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Inputs 2" sheetId="3" state="visible" r:id="rId3"/>
    <sheet xmlns:r="http://schemas.openxmlformats.org/officeDocument/2006/relationships" name="Events" sheetId="4" state="visible" r:id="rId4"/>
    <sheet xmlns:r="http://schemas.openxmlformats.org/officeDocument/2006/relationships" name="Events 2" sheetId="5" state="visible" r:id="rId5"/>
    <sheet xmlns:r="http://schemas.openxmlformats.org/officeDocument/2006/relationships" name="Rest of 2026" sheetId="6" state="visible" r:id="rId6"/>
    <sheet xmlns:r="http://schemas.openxmlformats.org/officeDocument/2006/relationships" name="Pay Schedule" sheetId="7" state="visible" r:id="rId7"/>
    <sheet xmlns:r="http://schemas.openxmlformats.org/officeDocument/2006/relationships" name="Pay Schedule 2" sheetId="8" state="visible" r:id="rId8"/>
    <sheet xmlns:r="http://schemas.openxmlformats.org/officeDocument/2006/relationships" name="Household" sheetId="9" state="visible" r:id="rId9"/>
    <sheet xmlns:r="http://schemas.openxmlformats.org/officeDocument/2006/relationships" name="StateTables" sheetId="10" state="veryHidden" r:id="rId10"/>
    <sheet xmlns:r="http://schemas.openxmlformats.org/officeDocument/2006/relationships" name="W-4 Guide" sheetId="11" state="visible" r:id="rId11"/>
    <sheet xmlns:r="http://schemas.openxmlformats.org/officeDocument/2006/relationships" name="Levers" sheetId="12" state="visible" r:id="rId12"/>
    <sheet xmlns:r="http://schemas.openxmlformats.org/officeDocument/2006/relationships" name="Goals" sheetId="13" state="visible" r:id="rId13"/>
    <sheet xmlns:r="http://schemas.openxmlformats.org/officeDocument/2006/relationships" name="True-Up" sheetId="14" state="visible" r:id="rId14"/>
    <sheet xmlns:r="http://schemas.openxmlformats.org/officeDocument/2006/relationships" name="Methodology &amp; Sources" sheetId="15" state="visible" r:id="rId15"/>
    <sheet xmlns:r="http://schemas.openxmlformats.org/officeDocument/2006/relationships" name="StateTables 2026" sheetId="16" state="veryHidden" r:id="rId16"/>
  </sheets>
  <definedNames/>
  <calcPr calcId="124519" fullCalcOnLoad="1"/>
</workbook>
</file>

<file path=xl/styles.xml><?xml version="1.0" encoding="utf-8"?>
<styleSheet xmlns="http://schemas.openxmlformats.org/spreadsheetml/2006/main">
  <numFmts count="3">
    <numFmt numFmtId="164" formatCode="yyyy-mm-dd"/>
    <numFmt numFmtId="165" formatCode="0.0000"/>
    <numFmt numFmtId="166" formatCode="0.0000%"/>
  </numFmts>
  <fonts count="11">
    <font>
      <name val="Calibri"/>
      <family val="2"/>
      <color theme="1"/>
      <sz val="11"/>
      <scheme val="minor"/>
    </font>
    <font>
      <b val="1"/>
      <sz val="15"/>
    </font>
    <font>
      <i val="1"/>
      <color rgb="00595959"/>
      <sz val="9"/>
    </font>
    <font>
      <b val="1"/>
      <sz val="12"/>
    </font>
    <font>
      <b val="1"/>
    </font>
    <font>
      <b val="1"/>
      <color rgb="00C00000"/>
    </font>
    <font>
      <b val="1"/>
      <color rgb="001F4E79"/>
      <sz val="11"/>
    </font>
    <font>
      <b val="1"/>
      <color rgb="00FFFFFF"/>
    </font>
    <font>
      <sz val="10.5"/>
    </font>
    <font>
      <b val="1"/>
      <color rgb="009C0006"/>
      <sz val="11"/>
    </font>
    <font>
      <i val="1"/>
      <color rgb="00666666"/>
      <sz val="9"/>
    </font>
  </fonts>
  <fills count="4">
    <fill>
      <patternFill/>
    </fill>
    <fill>
      <patternFill patternType="gray125"/>
    </fill>
    <fill>
      <patternFill patternType="solid">
        <fgColor rgb="00FFF2CC"/>
      </patternFill>
    </fill>
    <fill>
      <patternFill patternType="solid">
        <fgColor rgb="004472C4"/>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s>
  <cellStyleXfs count="1">
    <xf numFmtId="0" fontId="0" fillId="0" borderId="0"/>
  </cellStyleXfs>
  <cellXfs count="45">
    <xf numFmtId="0" fontId="0" fillId="0" borderId="0" pivotButton="0" quotePrefix="0" xfId="0"/>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0"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pivotButton="0" quotePrefix="0" xfId="0"/>
    <xf numFmtId="1" fontId="0" fillId="0" borderId="0" pivotButton="0" quotePrefix="0" xfId="0"/>
    <xf numFmtId="4" fontId="0" fillId="0" borderId="0" pivotButton="0" quotePrefix="0" xfId="0"/>
    <xf numFmtId="0" fontId="5" fillId="0" borderId="0" applyAlignment="1" pivotButton="0" quotePrefix="0" xfId="0">
      <alignment horizontal="left" vertical="top" wrapText="1"/>
    </xf>
    <xf numFmtId="0" fontId="1" fillId="0" borderId="0" pivotButton="0" quotePrefix="0" xfId="0"/>
    <xf numFmtId="0" fontId="6" fillId="0" borderId="0" pivotButton="0" quotePrefix="0" xfId="0"/>
    <xf numFmtId="0" fontId="0" fillId="2" borderId="1" pivotButton="0" quotePrefix="0" xfId="0"/>
    <xf numFmtId="4" fontId="0" fillId="2" borderId="1" pivotButton="0" quotePrefix="0" xfId="0"/>
    <xf numFmtId="0" fontId="0" fillId="0" borderId="1" pivotButton="0" quotePrefix="0" xfId="0"/>
    <xf numFmtId="164" fontId="0" fillId="2" borderId="1" pivotButton="0" quotePrefix="0" xfId="0"/>
    <xf numFmtId="1" fontId="0" fillId="2" borderId="1" pivotButton="0" quotePrefix="0" xfId="0"/>
    <xf numFmtId="4" fontId="0" fillId="0" borderId="1" pivotButton="0" quotePrefix="0" xfId="0"/>
    <xf numFmtId="0" fontId="2" fillId="0" borderId="0" pivotButton="0" quotePrefix="0" xfId="0"/>
    <xf numFmtId="165" fontId="0" fillId="2" borderId="1" pivotButton="0" quotePrefix="0" xfId="0"/>
    <xf numFmtId="0" fontId="7" fillId="3" borderId="1" applyAlignment="1" pivotButton="0" quotePrefix="0" xfId="0">
      <alignment horizontal="left" vertical="top" wrapText="1"/>
    </xf>
    <xf numFmtId="1" fontId="0" fillId="0" borderId="1" pivotButton="0" quotePrefix="0" xfId="0"/>
    <xf numFmtId="164" fontId="0" fillId="0" borderId="0" pivotButton="0" quotePrefix="0" xfId="0"/>
    <xf numFmtId="4" fontId="4" fillId="0" borderId="0" pivotButton="0" quotePrefix="0" xfId="0"/>
    <xf numFmtId="4" fontId="0" fillId="2" borderId="0" pivotButton="0" quotePrefix="0" xfId="0"/>
    <xf numFmtId="10" fontId="0" fillId="0" borderId="0" pivotButton="0" quotePrefix="0" xfId="0"/>
    <xf numFmtId="0" fontId="7" fillId="3" borderId="1" pivotButton="0" quotePrefix="0" xfId="0"/>
    <xf numFmtId="164" fontId="0" fillId="0" borderId="1" pivotButton="0" quotePrefix="0" xfId="0"/>
    <xf numFmtId="166" fontId="0" fillId="0" borderId="1" pivotButton="0" quotePrefix="0" xfId="0"/>
    <xf numFmtId="0" fontId="0" fillId="0" borderId="1" applyAlignment="1" pivotButton="0" quotePrefix="0" xfId="0">
      <alignment horizontal="left" vertical="top" wrapText="1"/>
    </xf>
    <xf numFmtId="10" fontId="0" fillId="0" borderId="1" pivotButton="0" quotePrefix="0" xfId="0"/>
    <xf numFmtId="0" fontId="4" fillId="0" borderId="0" applyAlignment="1" pivotButton="0" quotePrefix="0" xfId="0">
      <alignment horizontal="left" vertical="top" wrapText="1"/>
    </xf>
    <xf numFmtId="0" fontId="0" fillId="0" borderId="4" pivotButton="0" quotePrefix="0" xfId="0"/>
    <xf numFmtId="0" fontId="0" fillId="0" borderId="5" pivotButton="0" quotePrefix="0" xfId="0"/>
    <xf numFmtId="165" fontId="0" fillId="0" borderId="1" pivotButton="0" quotePrefix="0" xfId="0"/>
    <xf numFmtId="0" fontId="6" fillId="0" borderId="0" applyAlignment="1" pivotButton="0" quotePrefix="0" xfId="0">
      <alignment horizontal="left" vertical="top" wrapText="1"/>
    </xf>
    <xf numFmtId="0" fontId="8" fillId="0" borderId="0" applyAlignment="1" pivotButton="0" quotePrefix="0" xfId="0">
      <alignment horizontal="left" vertical="top" wrapText="1"/>
    </xf>
    <xf numFmtId="0" fontId="0" fillId="2" borderId="1" applyProtection="1" pivotButton="0" quotePrefix="0" xfId="0">
      <protection locked="0" hidden="0"/>
    </xf>
    <xf numFmtId="4" fontId="0" fillId="2" borderId="1" applyProtection="1" pivotButton="0" quotePrefix="0" xfId="0">
      <protection locked="0" hidden="0"/>
    </xf>
    <xf numFmtId="164" fontId="0" fillId="2" borderId="1" applyProtection="1" pivotButton="0" quotePrefix="0" xfId="0">
      <protection locked="0" hidden="0"/>
    </xf>
    <xf numFmtId="1" fontId="0" fillId="2" borderId="1" applyProtection="1" pivotButton="0" quotePrefix="0" xfId="0">
      <protection locked="0" hidden="0"/>
    </xf>
    <xf numFmtId="165" fontId="0" fillId="2" borderId="1" applyProtection="1" pivotButton="0" quotePrefix="0" xfId="0">
      <protection locked="0" hidden="0"/>
    </xf>
    <xf numFmtId="4" fontId="0" fillId="2" borderId="0" applyProtection="1" pivotButton="0" quotePrefix="0" xfId="0">
      <protection locked="0" hidden="0"/>
    </xf>
    <xf numFmtId="0" fontId="9" fillId="0" borderId="0" applyAlignment="1" pivotButton="0" quotePrefix="0" xfId="0">
      <alignment horizontal="left" vertical="top" wrapText="1"/>
    </xf>
    <xf numFmtId="0" fontId="0" fillId="0" borderId="0" applyAlignment="1" pivotButton="0" quotePrefix="0" xfId="0">
      <alignment horizontal="left" vertical="center"/>
    </xf>
    <xf numFmtId="0" fontId="10" fillId="0" borderId="0" pivotButton="0" quotePrefix="0" xfId="0"/>
  </cellXfs>
  <cellStyles count="1">
    <cellStyle name="Normal" xfId="0" builtinId="0" hidden="0"/>
  </cellStyles>
  <dxfs count="2">
    <dxf>
      <font>
        <b val="1"/>
        <i val="1"/>
        <color rgb="009C0006"/>
        <sz val="9"/>
      </font>
      <fill>
        <patternFill patternType="solid">
          <fgColor rgb="00FCE4E4"/>
          <bgColor rgb="00FCE4E4"/>
        </patternFill>
      </fill>
    </dxf>
    <dxf>
      <font>
        <b val="1"/>
        <color rgb="009C0006"/>
        <sz val="10"/>
      </font>
      <fill>
        <patternFill patternType="solid">
          <fgColor rgb="00FCE4E4"/>
          <bgColor rgb="00FCE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sheetPr>
  <dimension ref="A1:C36"/>
  <sheetViews>
    <sheetView workbookViewId="0">
      <selection activeCell="A1" sqref="A1"/>
    </sheetView>
  </sheetViews>
  <sheetFormatPr baseColWidth="8" defaultRowHeight="15"/>
  <cols>
    <col width="105" customWidth="1" min="2" max="2"/>
    <col width="18" customWidth="1" min="3" max="3"/>
  </cols>
  <sheetData>
    <row r="1">
      <c r="B1" s="1" t="inlineStr">
        <is>
          <t>Figmetric Take-Home Pay Year Planner</t>
        </is>
      </c>
    </row>
    <row r="2">
      <c r="B2" s="2" t="inlineStr">
        <is>
          <t>Planner 2026–2027 Combined Edition — official 2026 parameters; 2027 parameters provisional as of 2026-10-16 · A projection of your paychecks, from your next one through December 2027.</t>
        </is>
      </c>
    </row>
    <row r="3">
      <c r="B3" s="3" t="n"/>
    </row>
    <row r="4">
      <c r="B4" s="3" t="inlineStr">
        <is>
          <t>Your paycheck has seasons. Bonuses land, Social Security stops mid-year, 401(k)s fill up — and every one of those moments changes what you actually take home. This planner maps the whole year so you can see them coming.</t>
        </is>
      </c>
    </row>
    <row r="5">
      <c r="B5" s="3" t="n"/>
    </row>
    <row r="6">
      <c r="B6" s="4" t="inlineStr">
        <is>
          <t>HOW TO USE IT</t>
        </is>
      </c>
    </row>
    <row r="7">
      <c r="B7" s="3" t="inlineStr">
        <is>
          <t>1. Go to the Inputs tab and fill in the yellow cells: your pay, your pay schedule, your W-4 exactly as filed, your state certificate, and your paycheck deductions.</t>
        </is>
      </c>
    </row>
    <row r="8">
      <c r="B8" s="3" t="inlineStr">
        <is>
          <t>2. Open the Rest of 2026 tab for the rest of this year, then the Pay Schedule tab for 2027. Every pay date from your next check through December 2027 is there with its projected taxes, deductions, and net pay — including the ★ notes on the checks where something changes.</t>
        </is>
      </c>
    </row>
    <row r="9">
      <c r="B9" s="3" t="inlineStr">
        <is>
          <t>3. Each payday, type your real net pay into the 'Actual net' column. The variance column shows projection vs. reality.</t>
        </is>
      </c>
    </row>
    <row r="10">
      <c r="B10" s="3" t="inlineStr">
        <is>
          <t>4. Starting mid-year or changing jobs? Enter what you have already been paid and withheld in the 'Starting balances' section of Inputs — the caps depend on it.</t>
        </is>
      </c>
    </row>
    <row r="11">
      <c r="B11" s="3" t="inlineStr">
        <is>
          <t>5. Got a bonus coming? Add it in the one-off payments table on Inputs with its real date — it gets its own row in the schedule on that date.</t>
        </is>
      </c>
    </row>
    <row r="12">
      <c r="B12" s="3" t="inlineStr">
        <is>
          <t>6. Raise, move, new job, or a new W-4 mid-year? Add it on the Events tab with its pay date — the schedule applies it from that date forward (and an employer change restarts the Social Security cap, just like real payroll).</t>
        </is>
      </c>
    </row>
    <row r="13">
      <c r="B13" s="3" t="n"/>
    </row>
    <row r="14">
      <c r="B14" s="4" t="inlineStr">
        <is>
          <t>YOUR 2027 AT A GLANCE (live from the Pay Schedule — your rest-of-2026 totals are on the Rest of 2026 tab)</t>
        </is>
      </c>
    </row>
    <row r="15">
      <c r="B15" s="5" t="inlineStr">
        <is>
          <t>Paydays projected</t>
        </is>
      </c>
      <c r="C15" s="6">
        <f>SUM('Pay Schedule'!BF6:BF68)</f>
      </c>
    </row>
    <row r="16">
      <c r="B16" s="5" t="inlineStr">
        <is>
          <t>Total gross pay</t>
        </is>
      </c>
      <c r="C16" s="7">
        <f>SUM('Pay Schedule'!C6:C68)+SUM('Pay Schedule'!D6:D68)</f>
      </c>
    </row>
    <row r="17">
      <c r="B17" s="5" t="inlineStr">
        <is>
          <t>Projected take-home for the year</t>
        </is>
      </c>
      <c r="C17" s="7">
        <f>SUM('Pay Schedule'!Y6:Y68)</f>
      </c>
    </row>
    <row r="18">
      <c r="B18" s="5" t="inlineStr">
        <is>
          <t>Household take-home (both earners)</t>
        </is>
      </c>
      <c r="C18" s="7">
        <f>Household!$C$4</f>
      </c>
    </row>
    <row r="19">
      <c r="B19" s="5" t="inlineStr">
        <is>
          <t>Average net per check</t>
        </is>
      </c>
      <c r="C19" s="7">
        <f>IFERROR(AVERAGE('Pay Schedule'!Y6:Y68),0)</f>
      </c>
    </row>
    <row r="20">
      <c r="B20" s="5" t="inlineStr">
        <is>
          <t>Total federal withholding</t>
        </is>
      </c>
      <c r="C20" s="7">
        <f>SUM('Pay Schedule'!P6:P68)</f>
      </c>
    </row>
    <row r="21">
      <c r="B21" s="5" t="inlineStr">
        <is>
          <t>Total state withholding</t>
        </is>
      </c>
      <c r="C21" s="7">
        <f>SUM('Pay Schedule'!T6:T68)</f>
      </c>
    </row>
    <row r="22">
      <c r="B22" s="8">
        <f>IF(OR(Inputs!$C$4&lt;&gt;"Annual salary",SUM('Pay Schedule'!BF6:BF68)=Inputs!$C$8),"","⚠ This pay cycle produces "&amp;SUM('Pay Schedule'!BF6:BF68)&amp;" paydays in "&amp;Inputs!$C$10&amp;" instead of the standard "&amp;Inputs!$C$8&amp;". "&amp;IF(Inputs!$C$88="Actual paydays","Your salary is divided by "&amp;SUM('Pay Schedule'!BF6:BF68)&amp;" so the year totals your salary (Inputs row 88).","Your salary is divided by the standard "&amp;Inputs!$C$8&amp;" (payroll-style), so the year gross runs over the salary figure (Inputs row 88)."))</f>
      </c>
    </row>
    <row r="23" ht="30" customHeight="1">
      <c r="B23" s="8">
        <f>IF(OR(AND(ISNUMBER(SEARCH("MANUAL",IFERROR(VLOOKUP(Inputs!$C$21,StateTables!$A$6:$AB$56,5,FALSE),""))),NOT(Inputs!$C$26),OR(Inputs!$C$28="",Inputs!$C$28&lt;=0)),AND(ISNUMBER(SEARCH("MANUAL",IFERROR(VLOOKUP('Inputs 2'!$C$21,StateTables!$A$6:$AB$56,5,FALSE),""))),NOT('Inputs 2'!$C$26),OR('Inputs 2'!$C$28="",'Inputs 2'!$C$28&lt;=0))),"⚠ STATE TAX NOT ENTERED — "&amp;IF(AND(ISNUMBER(SEARCH("MANUAL",IFERROR(VLOOKUP(Inputs!$C$21,StateTables!$A$6:$AB$56,5,FALSE),""))),NOT(Inputs!$C$26),OR(Inputs!$C$28="",Inputs!$C$28&lt;=0)),"Earner 1's state ("&amp;Inputs!$C$21&amp;") is manual-entry with no per-check amount entered (Inputs row 28, 'State withholding per check'). ","")&amp;IF(AND(ISNUMBER(SEARCH("MANUAL",IFERROR(VLOOKUP('Inputs 2'!$C$21,StateTables!$A$6:$AB$56,5,FALSE),""))),NOT('Inputs 2'!$C$26),OR('Inputs 2'!$C$28="",'Inputs 2'!$C$28&lt;=0)),"Earner 2's state ("&amp;'Inputs 2'!$C$21&amp;") is manual-entry with no per-check amount entered (Inputs 2 row 28, 'State withholding per check'). ","")&amp;"Until the amount from a recent pay stub is entered, this workbook projects $0 state withholding for that earner and overstates take-home pay.","")</f>
      </c>
    </row>
    <row r="24">
      <c r="B24" s="4" t="inlineStr">
        <is>
          <t>WHAT'S LIVE IN THIS VERSION (2026–2027 COMBINED)</t>
        </is>
      </c>
    </row>
    <row r="25">
      <c r="B25" s="3" t="inlineStr">
        <is>
          <t>The Rest of 2026 section is computed from the official 2026 parameters and the official 2026 Social Security wage base ($184,500); the 2027 section is computed from the projected 2027 parameters and FICA from the official 2027 Social Security wage base (SSA, Oct 14, 2026) (Methodology &amp; Sources carries the status of every table — several are provisional until the IRS publishes the official figures in Oct–Nov 2026). Automatic state withholding treatment for 44 jurisdictions, including nine with no broad individual wage-income tax — every automatic formula in the 2027 section uses the state's verified 2026 rule carried forward as a provisional 2027 planning assumption; the Rest of 2026 section uses the verified 2026 rules themselves. Seven jurisdictions (CT, DC, GA, ME, NC, NM, UT) use the manual per-check amount you enter on Inputs — each is labeled MANUAL in the StateTables tab with the reason, and no unverified formula is dressed up as precise. If that manual amount is missing, this workbook says so loudly (Start Here, Inputs, and a red State WH column) instead of silently using $0.</t>
        </is>
      </c>
    </row>
    <row r="26">
      <c r="B26" s="3" t="inlineStr">
        <is>
          <t>Inside: the W-4 Guide (now the guidance tab) walks through the federal W-4 and every state's certificate, including California's DE 4 and exactly which pay-stub line to copy for the manual-entry states. The Levers tab prices the five tax-advantage levers on your own marginal rates — including the states (CA, NJ, PA) that do not let HSA contributions reduce state tax. Events now start or stop named deductions mid-year (a new HSA after a qualifying event, an FSA that ends). A second earner gets the full engine (Inputs 2 / Events 2 / Pay Schedule 2) and the Household tab merges both calendars. The Goals tab answers 'can we afford it' with a priority waterfall, and the True-Up tab compares your withholding to a deliberately simple liability ESTIMATE, labeled as such.</t>
        </is>
      </c>
    </row>
    <row r="27">
      <c r="B27" s="3" t="n"/>
    </row>
    <row r="28">
      <c r="B28" s="4" t="inlineStr">
        <is>
          <t>PLEASE READ — ACCURACY &amp; LIMITS</t>
        </is>
      </c>
    </row>
    <row r="29">
      <c r="B29" s="3" t="inlineStr">
        <is>
          <t>A projection, not payroll and not tax advice. Withholding is an estimate collected during the year; your final tax is settled when you file.</t>
        </is>
      </c>
    </row>
    <row r="30">
      <c r="B30" s="3" t="inlineStr">
        <is>
          <t>Precise on mechanics, not 100% precise in outcome. Known drift sources: bonuses/equity withheld at supplemental rates, mid-year raises or job changes (re-run the planner when they happen), and employer payroll quirks (some employers use cumulative/YTD-aware withholding, which can differ from the standard annualized method used here).</t>
        </is>
      </c>
    </row>
    <row r="31">
      <c r="B31" s="3" t="inlineStr">
        <is>
          <t>Assumes one employer and work state = tax state. The Social Security wage cap applies per employer in real payroll.</t>
        </is>
      </c>
    </row>
    <row r="32">
      <c r="B32" s="3" t="inlineStr">
        <is>
          <t>Guidance in this workbook is educational — how the forms work, never what you should claim.</t>
        </is>
      </c>
    </row>
    <row r="33" ht="42" customHeight="1">
      <c r="B33" s="42" t="inlineStr">
        <is>
          <t>Uses the official 2026 and 2027 Social Security wage bases. Federal income-tax brackets for 2027 and certain 2027 withholding and contribution limits remain estimates pending final government guidance. Your actual paycheck may differ.</t>
        </is>
      </c>
    </row>
    <row r="34">
      <c r="B34" s="10" t="inlineStr">
        <is>
          <t>LICENSE &amp; BUILD</t>
        </is>
      </c>
    </row>
    <row r="35" ht="62" customHeight="1">
      <c r="B35" s="35" t="inlineStr">
        <is>
          <t>© 2026 Figmetric. All rights reserved. This workbook is free for your personal use: plan with it, keep it, and open it in Excel or Google Sheets. Please do not re-upload, redistribute, resell, or publish modified copies — send people to figmetric.com instead. Tax rates, brackets, and statutory facts are public information; this workbook's design, text, and formulas are protected expression. Formula cells are locked so the math cannot be broken by accident; every yellow cell stays editable. The protection has no password — if you want to look under the hood, use Review → Unprotect Sheet.</t>
        </is>
      </c>
    </row>
    <row r="36">
      <c r="B36" s="17" t="inlineStr">
        <is>
          <t>Build FM-YP-2026-2027-1016-D1 · October 16, 2026 · figmetric.com</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tabColor rgb="00FFC000"/>
    <outlinePr summaryBelow="1" summaryRight="1"/>
    <pageSetUpPr/>
  </sheetPr>
  <dimension ref="B1:E99"/>
  <sheetViews>
    <sheetView workbookViewId="0">
      <selection activeCell="A1" sqref="A1"/>
    </sheetView>
  </sheetViews>
  <sheetFormatPr baseColWidth="8" defaultRowHeight="15"/>
  <cols>
    <col width="2" customWidth="1" min="1" max="1"/>
    <col width="46" customWidth="1" min="2" max="2"/>
    <col width="17" customWidth="1" min="3" max="3"/>
    <col width="15" customWidth="1" min="4" max="4"/>
    <col width="74" customWidth="1" min="5" max="5"/>
  </cols>
  <sheetData>
    <row r="1">
      <c r="B1" s="9" t="inlineStr">
        <is>
          <t>Inputs — yellow cells are yours to change</t>
        </is>
      </c>
    </row>
    <row r="2">
      <c r="B2" s="2" t="inlineStr">
        <is>
          <t>Everything in the Pay Schedule recalculates from this tab. Enter your W-4 and state certificate exactly as filed.</t>
        </is>
      </c>
    </row>
    <row r="3">
      <c r="B3" s="10" t="inlineStr">
        <is>
          <t>1 · Pay &amp; schedule</t>
        </is>
      </c>
    </row>
    <row r="4">
      <c r="B4" t="inlineStr">
        <is>
          <t>Pay basis</t>
        </is>
      </c>
      <c r="C4" s="36" t="inlineStr">
        <is>
          <t>Annual salary</t>
        </is>
      </c>
      <c r="E4" s="2" t="inlineStr">
        <is>
          <t>Choose 'Annual salary' or 'Per-check gross'.</t>
        </is>
      </c>
    </row>
    <row r="5">
      <c r="B5" t="inlineStr">
        <is>
          <t>Annual salary ($)</t>
        </is>
      </c>
      <c r="C5" s="37" t="n">
        <v>95000</v>
      </c>
    </row>
    <row r="6">
      <c r="B6" t="inlineStr">
        <is>
          <t>OR gross pay per check ($)</t>
        </is>
      </c>
      <c r="C6" s="37" t="n">
        <v>0</v>
      </c>
      <c r="E6" s="2" t="inlineStr">
        <is>
          <t>Used only when pay basis is 'Per-check gross'.</t>
        </is>
      </c>
    </row>
    <row r="7">
      <c r="B7" t="inlineStr">
        <is>
          <t>Pay frequency</t>
        </is>
      </c>
      <c r="C7" s="36" t="inlineStr">
        <is>
          <t>Biweekly</t>
        </is>
      </c>
      <c r="E7" s="2" t="inlineStr">
        <is>
          <t>Weekly / Biweekly / Semimonthly / Monthly.</t>
        </is>
      </c>
    </row>
    <row r="8">
      <c r="B8" t="inlineStr">
        <is>
          <t>Pay periods per year (auto)</t>
        </is>
      </c>
      <c r="C8" s="13">
        <f>IF(C7="Weekly",52,IF(C7="Biweekly",26,IF(C7="Semimonthly",24,12)))</f>
      </c>
    </row>
    <row r="9">
      <c r="B9" t="inlineStr">
        <is>
          <t>Your next payday (the plan starts here)</t>
        </is>
      </c>
      <c r="C9" s="38" t="n">
        <v>46318</v>
      </c>
      <c r="E9" s="2" t="inlineStr">
        <is>
          <t>The first payday of the planning year on your employer's cycle. A biweekly cycle can produce 27 paydays in a year — the schedule handles that naturally.</t>
        </is>
      </c>
    </row>
    <row r="10">
      <c r="B10" t="inlineStr">
        <is>
          <t>Planning year</t>
        </is>
      </c>
      <c r="C10" s="39" t="n">
        <v>2027</v>
      </c>
    </row>
    <row r="11">
      <c r="B11" s="10" t="inlineStr">
        <is>
          <t>2 · Federal Form W-4 (as filed)</t>
        </is>
      </c>
    </row>
    <row r="12">
      <c r="B12" t="inlineStr">
        <is>
          <t>Filing status (Step 1c)</t>
        </is>
      </c>
      <c r="C12" s="36" t="inlineStr">
        <is>
          <t>Single</t>
        </is>
      </c>
      <c r="E12" s="2" t="inlineStr">
        <is>
          <t>Single / MFJ / HoH — exactly as on your W-4.</t>
        </is>
      </c>
    </row>
    <row r="13">
      <c r="B13" t="inlineStr">
        <is>
          <t>Step 2 box checked?</t>
        </is>
      </c>
      <c r="C13" s="36" t="b">
        <v>0</v>
      </c>
      <c r="E13" s="2" t="inlineStr">
        <is>
          <t>Only if you checked the multiple-jobs box in Step 2(c).</t>
        </is>
      </c>
    </row>
    <row r="14">
      <c r="B14" t="inlineStr">
        <is>
          <t>Step 3 — dependents &amp; credits ($/yr)</t>
        </is>
      </c>
      <c r="C14" s="37" t="n">
        <v>0</v>
      </c>
    </row>
    <row r="15">
      <c r="B15" t="inlineStr">
        <is>
          <t>Step 4(a) — other income ($/yr)</t>
        </is>
      </c>
      <c r="C15" s="37" t="n">
        <v>0</v>
      </c>
    </row>
    <row r="16">
      <c r="B16" t="inlineStr">
        <is>
          <t>Step 4(b) — deductions ($/yr)</t>
        </is>
      </c>
      <c r="C16" s="37" t="n">
        <v>0</v>
      </c>
      <c r="E16" s="2" t="inlineStr">
        <is>
          <t>Amount above the standard deduction, from the W-4 Deductions Worksheet.</t>
        </is>
      </c>
    </row>
    <row r="17">
      <c r="B17" t="inlineStr">
        <is>
          <t>Step 4(c) — extra withholding ($/check)</t>
        </is>
      </c>
      <c r="C17" s="37" t="n">
        <v>0</v>
      </c>
    </row>
    <row r="18">
      <c r="B18" t="inlineStr">
        <is>
          <t>Exempt from federal withholding?</t>
        </is>
      </c>
      <c r="C18" s="36" t="b">
        <v>0</v>
      </c>
    </row>
    <row r="19">
      <c r="B19" t="inlineStr">
        <is>
          <t>Your age at year-end</t>
        </is>
      </c>
      <c r="C19" s="39" t="n">
        <v>40</v>
      </c>
      <c r="E19" s="2" t="inlineStr">
        <is>
          <t>Drives the 401(k) catch-up cap (50+: +$8,500; 60–63: +$11,750).</t>
        </is>
      </c>
    </row>
    <row r="20">
      <c r="B20" s="10" t="inlineStr">
        <is>
          <t>3 · State withholding certificate</t>
        </is>
      </c>
    </row>
    <row r="21">
      <c r="B21" t="inlineStr">
        <is>
          <t>State</t>
        </is>
      </c>
      <c r="C21" s="36" t="inlineStr">
        <is>
          <t>CA</t>
        </is>
      </c>
      <c r="E21" s="2" t="inlineStr">
        <is>
          <t>Most states compute live in v0.2 — see StateTables for which, and for the state-specific meaning of the allowance fields below.</t>
        </is>
      </c>
    </row>
    <row r="22">
      <c r="B22" t="inlineStr">
        <is>
          <t>State filing status</t>
        </is>
      </c>
      <c r="C22" s="36" t="inlineStr">
        <is>
          <t>Single</t>
        </is>
      </c>
      <c r="E22" s="2" t="inlineStr">
        <is>
          <t>Single / Married / Head of household (as your state defines them).</t>
        </is>
      </c>
    </row>
    <row r="23">
      <c r="B23" t="inlineStr">
        <is>
          <t>State regular allowances / exemptions</t>
        </is>
      </c>
      <c r="C23" s="39" t="n">
        <v>1</v>
      </c>
    </row>
    <row r="24">
      <c r="B24" t="inlineStr">
        <is>
          <t>State estimated-deduction allowances</t>
        </is>
      </c>
      <c r="C24" s="39" t="n">
        <v>0</v>
      </c>
      <c r="E24" s="2" t="inlineStr">
        <is>
          <t>CA DE 4 line 1b (Worksheet B) — one allowance per $1,000 of expected deductions above the standard deduction.</t>
        </is>
      </c>
    </row>
    <row r="25">
      <c r="B25" t="inlineStr">
        <is>
          <t>Extra state withholding ($/check)</t>
        </is>
      </c>
      <c r="C25" s="37" t="n">
        <v>0</v>
      </c>
    </row>
    <row r="26">
      <c r="B26" t="inlineStr">
        <is>
          <t>Exempt from state withholding?</t>
        </is>
      </c>
      <c r="C26" s="36" t="b">
        <v>0</v>
      </c>
    </row>
    <row r="27">
      <c r="B27" t="inlineStr">
        <is>
          <t>Local withholding ($/check, if any)</t>
        </is>
      </c>
      <c r="C27" s="37" t="n">
        <v>0</v>
      </c>
      <c r="E27" s="2" t="inlineStr">
        <is>
          <t>Flat per-check local tax (e.g., a city tax your employer withholds). NYC, Yonkers and Philadelphia compute from the section-8 settings below; a generic local rate is also there.</t>
        </is>
      </c>
    </row>
    <row r="28">
      <c r="B28" t="inlineStr">
        <is>
          <t>State withholding per check — copy from your paystub ($/check, manual-entry states only)</t>
        </is>
      </c>
      <c r="C28" s="37" t="n">
        <v>0</v>
      </c>
      <c r="E28" s="2">
        <f>IF(AND(ISNUMBER(SEARCH("MANUAL",IFERROR(VLOOKUP($C$21,StateTables!$A$6:$AB$56,5,FALSE),""))),NOT($C$26),OR($C$28="",$C$28&lt;=0)),"⚠⚠ STATE TAX NOT ENTERED — "&amp;$C$21&amp;" is a manual-entry state and the 'State withholding per check' field in row 28 of this tab is blank or $0, so this plan currently shows $0 state withholding and take-home pay that is too high. Copy the amount from one regular pay stub — the line labeled 'State Tax', 'State WH' or 'ST W/H' beside your state code — into the yellow row-28 field now; until you do, treat every state and net figure in this workbook as INCOMPLETE.",IF(AND(ISNUMBER(SEARCH("MANUAL",IFERROR(VLOOKUP($C$21,StateTables!$A$6:$AB$56,5,FALSE),""))),NOT($C$26)),"✓ Manual-entry state: this plan uses the "&amp;TEXT($C$28,"$#,##0.00")&amp;" per check you copied from your pay stub into row 28 as the "&amp;$C$21&amp;" withholding on every paycheck — update it whenever your stub amount changes.","Manual-entry states only (CT, DC, GA, ME, NC, NM, UT): copy your state withholding per check from a regular pay stub — the line labeled 'State Tax', 'State WH' or 'ST W/H' beside your state code. Every other state ignores this field and computes automatically."))</f>
      </c>
    </row>
    <row r="29">
      <c r="B29" s="10" t="inlineStr">
        <is>
          <t>4 · Your deductions</t>
        </is>
      </c>
    </row>
    <row r="30">
      <c r="B30" t="inlineStr">
        <is>
          <t>401(k)/403(b)/457 pre-tax — mode</t>
        </is>
      </c>
      <c r="C30" s="36" t="inlineStr">
        <is>
          <t>Percent</t>
        </is>
      </c>
      <c r="D30" s="37" t="n">
        <v>0</v>
      </c>
      <c r="E30" s="2" t="inlineStr">
        <is>
          <t>Percent = a decimal (0.05 = 5% of gross). Fixed = $ per check. Pre-tax 401(k) lowers income tax but NOT Social Security/Medicare tax.</t>
        </is>
      </c>
    </row>
    <row r="31">
      <c r="B31" t="inlineStr">
        <is>
          <t>401(k)/403(b)/457 pre-tax — value</t>
        </is>
      </c>
      <c r="D31" s="37" t="n">
        <v>0</v>
      </c>
    </row>
    <row r="32">
      <c r="B32" t="inlineStr">
        <is>
          <t>Roth 401(k) — mode</t>
        </is>
      </c>
      <c r="C32" s="36" t="inlineStr">
        <is>
          <t>Percent</t>
        </is>
      </c>
      <c r="D32" s="37" t="n">
        <v>0</v>
      </c>
      <c r="E32" s="2" t="inlineStr">
        <is>
          <t>Roth is post-tax but counts toward the same IRS deferral cap as pre-tax.</t>
        </is>
      </c>
    </row>
    <row r="33">
      <c r="B33" t="inlineStr">
        <is>
          <t>Roth 401(k) — value</t>
        </is>
      </c>
    </row>
    <row r="34">
      <c r="B34" t="inlineStr">
        <is>
          <t>401(k) deferral cap for you (auto)</t>
        </is>
      </c>
      <c r="C34" s="16">
        <f>25500+IF(AND(C19&gt;=60,C19&lt;=63),11750,IF(C19&gt;=50,8500,0))</f>
      </c>
      <c r="E34" s="17" t="inlineStr">
        <is>
          <t>Estimated — 401(k) contribution limits: 2027 IRS cap $25,500 (projected) + catch-up by your age.</t>
        </is>
      </c>
    </row>
    <row r="35">
      <c r="B35" t="inlineStr">
        <is>
          <t>HSA contribution ($/check, through payroll)</t>
        </is>
      </c>
      <c r="D35" s="37" t="n">
        <v>0</v>
      </c>
      <c r="E35" s="2" t="inlineStr">
        <is>
          <t>Through payroll it lowers income tax AND FICA. Requires an HDHP.</t>
        </is>
      </c>
    </row>
    <row r="36">
      <c r="B36" t="inlineStr">
        <is>
          <t>HSA coverage tier</t>
        </is>
      </c>
      <c r="C36" s="36" t="inlineStr">
        <is>
          <t>Self-only</t>
        </is>
      </c>
      <c r="E36" s="2" t="inlineStr">
        <is>
          <t>Self-only / Family.</t>
        </is>
      </c>
    </row>
    <row r="37">
      <c r="B37" t="inlineStr">
        <is>
          <t>HSA annual limit for you (auto)</t>
        </is>
      </c>
      <c r="C37" s="16">
        <f>(IF(C36="Family",'Methodology &amp; Sources'!$C$12,'Methodology &amp; Sources'!$C$11))+IF(C19&gt;=55,1000,0)</f>
      </c>
    </row>
    <row r="38">
      <c r="B38" t="inlineStr">
        <is>
          <t>Health FSA — annual election ($/yr)</t>
        </is>
      </c>
      <c r="D38" s="37" t="n">
        <v>0</v>
      </c>
      <c r="E38" s="2" t="inlineStr">
        <is>
          <t>Spread evenly across checks; the IRS limit is enforced. Use-it-or-lose-it: elect what you will actually spend.</t>
        </is>
      </c>
    </row>
    <row r="39">
      <c r="B39" t="inlineStr">
        <is>
          <t>Dependent-care FSA — annual election ($/yr)</t>
        </is>
      </c>
      <c r="D39" s="37" t="n">
        <v>0</v>
      </c>
      <c r="E39" s="2" t="inlineStr">
        <is>
          <t>Spread evenly; IRS limit enforced. Both spouses need earned income.</t>
        </is>
      </c>
    </row>
    <row r="40">
      <c r="B40" t="inlineStr">
        <is>
          <t>Medical premium ($/check, pre-tax §125)</t>
        </is>
      </c>
      <c r="D40" s="37" t="n">
        <v>0</v>
      </c>
    </row>
    <row r="41">
      <c r="B41" t="inlineStr">
        <is>
          <t>Dental premium ($/check, pre-tax §125)</t>
        </is>
      </c>
      <c r="D41" s="37" t="n">
        <v>0</v>
      </c>
    </row>
    <row r="42">
      <c r="B42" t="inlineStr">
        <is>
          <t>Vision premium ($/check, pre-tax §125)</t>
        </is>
      </c>
      <c r="D42" s="37" t="n">
        <v>0</v>
      </c>
    </row>
    <row r="43">
      <c r="B43" t="inlineStr">
        <is>
          <t>Commuter/parking ($/check, pre-tax)</t>
        </is>
      </c>
      <c r="D43" s="37" t="n">
        <v>0</v>
      </c>
    </row>
    <row r="44">
      <c r="B44" t="inlineStr">
        <is>
          <t>Other pre-tax deduction ($/check)</t>
        </is>
      </c>
      <c r="D44" s="37" t="n">
        <v>0</v>
      </c>
    </row>
    <row r="45">
      <c r="B45" t="inlineStr">
        <is>
          <t>Other post-tax deduction ($/check)</t>
        </is>
      </c>
      <c r="D45" s="37" t="n">
        <v>0</v>
      </c>
      <c r="E45" s="2" t="inlineStr">
        <is>
          <t>Flat voluntary deductions that do not reduce any tax.</t>
        </is>
      </c>
    </row>
    <row r="46">
      <c r="B46" t="inlineStr">
        <is>
          <t>Imputed income ($/check)</t>
        </is>
      </c>
      <c r="D46" s="37" t="n">
        <v>0</v>
      </c>
      <c r="E46" s="2" t="inlineStr">
        <is>
          <t>Taxable but not paid in cash (e.g., group-term life over $50K). It raises taxable wages without raising gross pay.</t>
        </is>
      </c>
    </row>
    <row r="47">
      <c r="B47" s="10" t="inlineStr">
        <is>
          <t>5 · Starting balances (skip if you start Jan 1 at this job)</t>
        </is>
      </c>
    </row>
    <row r="48">
      <c r="B48" t="inlineStr">
        <is>
          <t>Gross wages already paid this year ($)</t>
        </is>
      </c>
      <c r="C48" s="37" t="n">
        <v>0</v>
      </c>
    </row>
    <row r="49">
      <c r="B49" t="inlineStr">
        <is>
          <t>Social Security wages already taxed ($)</t>
        </is>
      </c>
      <c r="C49" s="37" t="n">
        <v>0</v>
      </c>
      <c r="E49" s="2" t="inlineStr">
        <is>
          <t>From your last pay stub's YTD figures. Drives when the SS cap bites.</t>
        </is>
      </c>
    </row>
    <row r="50">
      <c r="B50" t="inlineStr">
        <is>
          <t>Medicare wages already taxed ($)</t>
        </is>
      </c>
      <c r="C50" s="37" t="n">
        <v>0</v>
      </c>
      <c r="E50" s="2" t="inlineStr">
        <is>
          <t>Drives the $200,000 Additional Medicare threshold.</t>
        </is>
      </c>
    </row>
    <row r="51">
      <c r="B51" t="inlineStr">
        <is>
          <t>401(k) already deferred this year ($)</t>
        </is>
      </c>
      <c r="C51" s="37" t="n">
        <v>0</v>
      </c>
    </row>
    <row r="52">
      <c r="B52" t="inlineStr">
        <is>
          <t>Health FSA already deferred ($)</t>
        </is>
      </c>
      <c r="C52" s="37" t="n">
        <v>0</v>
      </c>
    </row>
    <row r="53">
      <c r="B53" t="inlineStr">
        <is>
          <t>Dependent-care FSA already deferred ($)</t>
        </is>
      </c>
      <c r="C53" s="37" t="n">
        <v>0</v>
      </c>
    </row>
    <row r="54">
      <c r="B54" t="inlineStr">
        <is>
          <t>HSA already contributed ($)</t>
        </is>
      </c>
      <c r="C54" s="37" t="n">
        <v>0</v>
      </c>
    </row>
    <row r="55">
      <c r="B55" t="inlineStr">
        <is>
          <t>Federal withholding already taken ($, info)</t>
        </is>
      </c>
      <c r="C55" s="37" t="n">
        <v>0</v>
      </c>
      <c r="E55" s="2" t="inlineStr">
        <is>
          <t>For your True-Up view; not used in the per-check math.</t>
        </is>
      </c>
    </row>
    <row r="56">
      <c r="B56" t="inlineStr">
        <is>
          <t>State withholding already taken ($, info)</t>
        </is>
      </c>
      <c r="C56" s="37" t="n">
        <v>0</v>
      </c>
    </row>
    <row r="57">
      <c r="B57" s="5" t="inlineStr">
        <is>
          <t>Date</t>
        </is>
      </c>
      <c r="D57" s="5" t="inlineStr">
        <is>
          <t>Amount ($)</t>
        </is>
      </c>
    </row>
    <row r="58">
      <c r="B58" t="inlineStr">
        <is>
          <t>One-off #1</t>
        </is>
      </c>
      <c r="C58" s="38" t="n"/>
      <c r="D58" s="37" t="n">
        <v>0</v>
      </c>
      <c r="E58" s="2" t="inlineStr">
        <is>
          <t>Each one-off gets its own row in the schedule on its date (or rides the row if it falls on a pay date). Federal withholding follows the method in row 89; states apply their published supplemental rule where one exists. Dates outside the planning year cannot be scheduled — see the warning under the table.</t>
        </is>
      </c>
    </row>
    <row r="59">
      <c r="B59" t="inlineStr">
        <is>
          <t>One-off #2</t>
        </is>
      </c>
      <c r="C59" s="38" t="n"/>
      <c r="D59" s="37" t="n">
        <v>0</v>
      </c>
    </row>
    <row r="60">
      <c r="B60" t="inlineStr">
        <is>
          <t>One-off #3</t>
        </is>
      </c>
      <c r="C60" s="38" t="n"/>
      <c r="D60" s="37" t="n">
        <v>0</v>
      </c>
    </row>
    <row r="61">
      <c r="B61" t="inlineStr">
        <is>
          <t>One-off #4</t>
        </is>
      </c>
      <c r="C61" s="38" t="n"/>
      <c r="D61" s="37" t="n">
        <v>0</v>
      </c>
    </row>
    <row r="62">
      <c r="B62" t="inlineStr">
        <is>
          <t>One-off #5</t>
        </is>
      </c>
      <c r="C62" s="38" t="n"/>
      <c r="D62" s="37" t="n">
        <v>0</v>
      </c>
    </row>
    <row r="63">
      <c r="B63" t="inlineStr">
        <is>
          <t>One-off #6</t>
        </is>
      </c>
      <c r="C63" s="38" t="n"/>
      <c r="D63" s="37" t="n">
        <v>0</v>
      </c>
    </row>
    <row r="64">
      <c r="B64" t="inlineStr">
        <is>
          <t>One-off #7</t>
        </is>
      </c>
      <c r="C64" s="38" t="n"/>
      <c r="D64" s="37" t="n">
        <v>0</v>
      </c>
    </row>
    <row r="65">
      <c r="B65" t="inlineStr">
        <is>
          <t>One-off #8</t>
        </is>
      </c>
      <c r="C65" s="38" t="n"/>
      <c r="D65" s="37" t="n">
        <v>0</v>
      </c>
    </row>
    <row r="66">
      <c r="B66" t="inlineStr">
        <is>
          <t>One-off #9</t>
        </is>
      </c>
      <c r="C66" s="38" t="n"/>
      <c r="D66" s="37" t="n">
        <v>0</v>
      </c>
    </row>
    <row r="67">
      <c r="B67" t="inlineStr">
        <is>
          <t>One-off #10</t>
        </is>
      </c>
      <c r="C67" s="38" t="n"/>
      <c r="D67" s="37" t="n">
        <v>0</v>
      </c>
    </row>
    <row r="68">
      <c r="B68" t="inlineStr">
        <is>
          <t>One-off total entered</t>
        </is>
      </c>
      <c r="C68" s="16">
        <f>SUM(D58:D67)</f>
      </c>
    </row>
    <row r="69">
      <c r="B69" t="inlineStr">
        <is>
          <t>One-off total scheduled</t>
        </is>
      </c>
      <c r="C69" s="16">
        <f>SUM('Pay Schedule'!D6:D68)+SUM('Rest of 2026'!D6:D68)</f>
      </c>
      <c r="E69" s="2" t="inlineStr">
        <is>
          <t>If these two totals differ, a one-off date falls outside the planning year and could not be scheduled.</t>
        </is>
      </c>
    </row>
    <row r="70">
      <c r="B70" s="8">
        <f>IF(SUMPRODUCT((C58:C67&lt;&gt;"")*(YEAR(C58:C67)&lt;&gt;C10)*(YEAR(C58:C67)&lt;&gt;2026))&gt;0,"⚠ WARNING: a one-off date falls OUTSIDE the planning year — it cannot be scheduled and is excluded above. ","")&amp;IF(SUMPRODUCT((C58:C67&lt;&gt;"")*(COUNTIF(C58:C67,C58:C67)&gt;1))&gt;0,"⚠ NOTE: duplicate one-off dates are combined into a single schedule row.","")</f>
      </c>
    </row>
    <row r="71">
      <c r="B71" s="10" t="inlineStr">
        <is>
          <t>7 · In-year changes (raises, moves, new employer, new W-4)</t>
        </is>
      </c>
    </row>
    <row r="72">
      <c r="B72" s="3" t="inlineStr">
        <is>
          <t>Life happens mid-year: use the Events tab. Each event takes effect on a pay date and the schedule resolves salary, 401(k), state, W-4, and employer (Social Security cap) changes from that date forward.</t>
        </is>
      </c>
    </row>
    <row r="73">
      <c r="B73" s="10" t="inlineStr">
        <is>
          <t>8 · State-specific settings (only the row for your state matters)</t>
        </is>
      </c>
    </row>
    <row r="74">
      <c r="B74" t="inlineStr">
        <is>
          <t>MD county tax rate (decimal)</t>
        </is>
      </c>
      <c r="C74" s="40" t="n">
        <v>0.032</v>
      </c>
      <c r="E74" s="2" t="inlineStr">
        <is>
          <t>Maryland: your county's flat rate from the MD guide (2.25%–3.30%; Anne Arundel &amp; Frederick are graduated — enter an approximate flat rate). Also used for MD lump-sum bonuses.</t>
        </is>
      </c>
    </row>
    <row r="75">
      <c r="B75" t="inlineStr">
        <is>
          <t>MA — number of blind exemptions (you + spouse)</t>
        </is>
      </c>
      <c r="C75" s="39" t="n">
        <v>0</v>
      </c>
      <c r="E75" s="2" t="inlineStr">
        <is>
          <t>Massachusetts: each blind person subtracts $110/yr of tax.</t>
        </is>
      </c>
    </row>
    <row r="76">
      <c r="B76" t="inlineStr">
        <is>
          <t>IN county tax rate (decimal)</t>
        </is>
      </c>
      <c r="C76" s="40" t="n">
        <v>0</v>
      </c>
      <c r="E76" s="2" t="inlineStr">
        <is>
          <t>Indiana: your Jan-1 county of residence rate (0.50%–3.00%, Departmental Notice #1 county table).</t>
        </is>
      </c>
    </row>
    <row r="77">
      <c r="B77" t="inlineStr">
        <is>
          <t>NJ rate table letter (from your NJ-W4)</t>
        </is>
      </c>
      <c r="C77" s="36" t="inlineStr">
        <is>
          <t>A</t>
        </is>
      </c>
      <c r="E77" s="2" t="inlineStr">
        <is>
          <t>New Jersey: the rate table (A–E) you selected on Form NJ-W4.</t>
        </is>
      </c>
    </row>
    <row r="78">
      <c r="B78" t="inlineStr">
        <is>
          <t>NYC resident?</t>
        </is>
      </c>
      <c r="C78" s="36" t="b">
        <v>0</v>
      </c>
      <c r="E78" s="2" t="inlineStr">
        <is>
          <t>New York City resident tax applies if you live in NYC.</t>
        </is>
      </c>
    </row>
    <row r="79">
      <c r="B79" t="inlineStr">
        <is>
          <t>Yonkers status</t>
        </is>
      </c>
      <c r="C79" s="36" t="inlineStr">
        <is>
          <t>None</t>
        </is>
      </c>
      <c r="E79" s="2" t="inlineStr">
        <is>
          <t>Resident: 16.75% of your NY State tax. Nonresident: 0.50% earnings tax on Yonkers wages.</t>
        </is>
      </c>
    </row>
    <row r="80">
      <c r="B80" t="inlineStr">
        <is>
          <t>Philadelphia status</t>
        </is>
      </c>
      <c r="C80" s="36" t="inlineStr">
        <is>
          <t>None</t>
        </is>
      </c>
      <c r="E80" s="2" t="inlineStr">
        <is>
          <t>Philadelphia wage tax on gross pay: resident 3.735%; nonresident 3.425% (rates in effect since Jul 1, 2026; no 2027 change announced as of Oct 13, 2026).</t>
        </is>
      </c>
    </row>
    <row r="81">
      <c r="B81" t="inlineStr">
        <is>
          <t>Local income-tax rate (decimal, generic)</t>
        </is>
      </c>
      <c r="C81" s="40" t="n">
        <v>0</v>
      </c>
      <c r="E81" s="2" t="inlineStr">
        <is>
          <t>Any other local wage tax your employer withholds as a % of gross pay (e.g., a PA Act 32 EIT or an Ohio/Kentucky city tax). Added to row 27's flat amount; not used for NYC/Yonkers/Philadelphia.</t>
        </is>
      </c>
    </row>
    <row r="82">
      <c r="B82" t="inlineStr">
        <is>
          <t>AZ elected withholding % (decimal)</t>
        </is>
      </c>
      <c r="C82" s="40" t="n">
        <v>0.02</v>
      </c>
      <c r="E82" s="2" t="inlineStr">
        <is>
          <t>Arizona: the percentage you elected on Form A-4 (menu 0.5%–3.5% of federal taxable wages; 2.0% is the no-form default).</t>
        </is>
      </c>
    </row>
    <row r="83">
      <c r="B83" t="inlineStr">
        <is>
          <t>Spouse works? (two-earner household)</t>
        </is>
      </c>
      <c r="C83" s="36" t="b">
        <v>0</v>
      </c>
      <c r="E83" s="2" t="inlineStr">
        <is>
          <t>Missouri: married with a working spouse uses the $16,100 standard deduction; spouse not working uses $32,200.</t>
        </is>
      </c>
    </row>
    <row r="84">
      <c r="B84" t="inlineStr">
        <is>
          <t>LA standard-deduction claim (0 / 1 / 2)</t>
        </is>
      </c>
      <c r="C84" s="36" t="inlineStr">
        <is>
          <t>1</t>
        </is>
      </c>
      <c r="E84" s="2" t="inlineStr">
        <is>
          <t>Louisiana Form L-4 Block A: 0 = none, 1 = single/MFS amount ($12,875), 2 = joint/HoH amount ($25,750).</t>
        </is>
      </c>
    </row>
    <row r="85">
      <c r="B85" t="inlineStr">
        <is>
          <t>MS total exemption claimed ($/yr)</t>
        </is>
      </c>
      <c r="C85" s="37" t="n">
        <v>6000</v>
      </c>
      <c r="E85" s="2" t="inlineStr">
        <is>
          <t>Mississippi Form 89-350 Line 6 total: e.g. Single $6,000; Married $12,000; plus $1,500 per dependent; +$1,500 per age-65/blind condition.</t>
        </is>
      </c>
    </row>
    <row r="86">
      <c r="B86" t="inlineStr">
        <is>
          <t>IN adopted-child exemptions (count)</t>
        </is>
      </c>
      <c r="C86" s="39" t="n">
        <v>0</v>
      </c>
      <c r="E86" s="2" t="inlineStr">
        <is>
          <t>Indiana WH-4 line 8: $3,000/yr each (other dependents use row 24 at $1,500/yr each).</t>
        </is>
      </c>
    </row>
    <row r="87">
      <c r="B87" s="2" t="inlineStr">
        <is>
          <t>How rows 23–24 are read, by state: CA — DE 4 lines 1a/1b. KS — row 23 counts $9,160 personal exemptions (MFJ = 2 built in), row 24 counts $2,320 dependents. GA — row 24 counts $5,000 dependents. IA — row 23 counts $40 allowance units from your IA W-4 dollar total. VA — row 23 counts $930 exemptions, row 24 counts $800 age-65/blind exemptions. IN — rows 23/24/86 as labeled. Most other states: row 23 = exemptions/allowances on your state certificate, row 24 unused.</t>
        </is>
      </c>
    </row>
    <row r="88">
      <c r="B88" t="inlineStr">
        <is>
          <t>Salary split in a 27/53-payday year</t>
        </is>
      </c>
      <c r="C88" s="36" t="inlineStr">
        <is>
          <t>Actual paydays</t>
        </is>
      </c>
      <c r="E88" s="2" t="inlineStr">
        <is>
          <t>Some years have 27 biweekly (or 53 weekly) paydays. 'Actual paydays' divides your annual salary by the real count so the year totals your salary; 'Standard periods' divides by 26/52 the way payroll does, so gross runs over salary. Applies only when the schedule starts in January (mid-year starters keep the standard split — use 'Per-check gross' for an exact check amount). Withholding annualization always uses standard periods.</t>
        </is>
      </c>
    </row>
    <row r="89">
      <c r="B89" t="inlineStr">
        <is>
          <t>One-off (bonus) federal withholding method</t>
        </is>
      </c>
      <c r="C89" s="36" t="inlineStr">
        <is>
          <t>Flat 22%</t>
        </is>
      </c>
      <c r="E89" s="2" t="inlineStr">
        <is>
          <t>Flat 22%: the IRS optional flat rate on supplemental wages — available only when federal tax was withheld from your regular wages in the current or prior year (Pub 15). Aggregate: the bonus is taxed as extra annual wages at your marginal bracket. States keep their own published supplemental rules either way.</t>
        </is>
      </c>
    </row>
    <row r="90">
      <c r="B90" t="inlineStr">
        <is>
          <t>First 2027 payday on your cycle (auto)</t>
        </is>
      </c>
      <c r="C90">
        <f>IF(C9&gt;=DATE(2027,1,1),C9,IF(C7="Weekly",C9+7*CEILING((DATE(2027,1,1)-C9)/7,1),IF(C7="Biweekly",C9+14*CEILING((DATE(2027,1,1)-C9)/14,1),IF(C7="Semimonthly",IF(DAY(C9)&gt;=17,DATE(2026,12,MIN(DAY(C9),31))+15,DATE(2027,1,MIN(DAY(C9),31))),EDATE(C9,(2027-YEAR(C9))*12+1-MONTH(C9))))))</f>
      </c>
      <c r="E90" s="44" t="inlineStr">
        <is>
          <t>Combined edition: rows 90–99 are automatic. They re-anchor the 2027 schedule to your pay cycle and reset the 2027 starting balances to zero when your plan begins in 2026 (annual caps restart Jan 1).</t>
        </is>
      </c>
    </row>
    <row r="91">
      <c r="B91" t="inlineStr">
        <is>
          <t>401(k) deferral cap — 2026 section (auto)</t>
        </is>
      </c>
      <c r="C91">
        <f>24500+IF(AND(C19&gt;=60,C19&lt;=63),11250,IF(C19&gt;=50,8000,0))</f>
      </c>
    </row>
    <row r="92">
      <c r="B92" t="inlineStr">
        <is>
          <t>HSA annual limit — 2026 section (auto)</t>
        </is>
      </c>
      <c r="C92">
        <f>(IF(C36="Family",'Methodology &amp; Sources'!$C$262,'Methodology &amp; Sources'!$C$261))+IF(C19&gt;=55,1000,0)</f>
      </c>
    </row>
    <row r="93">
      <c r="B93" t="inlineStr">
        <is>
          <t>2027 starting balance — gross paid (auto)</t>
        </is>
      </c>
      <c r="C93">
        <f>IF($C$9&lt;=DATE(2026,12,31),0,$C$48)</f>
      </c>
    </row>
    <row r="94">
      <c r="B94" t="inlineStr">
        <is>
          <t>2027 starting balance — SS wages taxed (auto)</t>
        </is>
      </c>
      <c r="C94">
        <f>IF($C$9&lt;=DATE(2026,12,31),0,$C$49)</f>
      </c>
    </row>
    <row r="95">
      <c r="B95" t="inlineStr">
        <is>
          <t>2027 starting balance — Medicare wages taxed (auto)</t>
        </is>
      </c>
      <c r="C95">
        <f>IF($C$9&lt;=DATE(2026,12,31),0,$C$50)</f>
      </c>
    </row>
    <row r="96">
      <c r="B96" t="inlineStr">
        <is>
          <t>2027 starting balance — 401(k) deferred (auto)</t>
        </is>
      </c>
      <c r="C96">
        <f>IF($C$9&lt;=DATE(2026,12,31),0,$C$51)</f>
      </c>
    </row>
    <row r="97">
      <c r="B97" t="inlineStr">
        <is>
          <t>2027 starting balance — health FSA deferred (auto)</t>
        </is>
      </c>
      <c r="C97">
        <f>IF($C$9&lt;=DATE(2026,12,31),0,$C$52)</f>
      </c>
    </row>
    <row r="98">
      <c r="B98" t="inlineStr">
        <is>
          <t>2027 starting balance — dep-care FSA deferred (auto)</t>
        </is>
      </c>
      <c r="C98">
        <f>IF($C$9&lt;=DATE(2026,12,31),0,$C$53)</f>
      </c>
    </row>
    <row r="99">
      <c r="B99" t="inlineStr">
        <is>
          <t>2027 starting balance — HSA contributed (auto)</t>
        </is>
      </c>
      <c r="C99">
        <f>IF($C$9&lt;=DATE(2026,12,31),0,$C$54)</f>
      </c>
    </row>
  </sheetData>
  <sheetProtection selectLockedCells="0" selectUnlockedCells="0" sheet="1" objects="0" insertRows="1" insertHyperlinks="1" autoFilter="1" scenarios="0" formatColumns="1" deleteColumns="1" insertColumns="1" pivotTables="1" deleteRows="1" formatCells="1" formatRows="1" sort="1"/>
  <mergeCells count="3">
    <mergeCell ref="B72:E72"/>
    <mergeCell ref="B87:E87"/>
    <mergeCell ref="B70:E70"/>
  </mergeCells>
  <conditionalFormatting sqref="E28">
    <cfRule type="expression" priority="1" dxfId="0">
      <formula>AND(ISNUMBER(SEARCH("MANUAL",IFERROR(VLOOKUP($C$21,StateTables!$A$6:$AB$56,5,FALSE),""))),NOT($C$26),OR($C$28="",$C$28&lt;=0))</formula>
    </cfRule>
  </conditionalFormatting>
  <dataValidations count="19">
    <dataValidation sqref="C4" showDropDown="0" showInputMessage="0" showErrorMessage="0" allowBlank="0" type="list">
      <formula1>"Annual salary,Per-check gross"</formula1>
    </dataValidation>
    <dataValidation sqref="C7" showDropDown="0" showInputMessage="0" showErrorMessage="0" allowBlank="0" type="list">
      <formula1>"Weekly,Biweekly,Semimonthly,Monthly"</formula1>
    </dataValidation>
    <dataValidation sqref="C12" showDropDown="0" showInputMessage="0" showErrorMessage="0" allowBlank="0" type="list">
      <formula1>"Single,MFJ,HoH"</formula1>
    </dataValidation>
    <dataValidation sqref="C13" showDropDown="0" showInputMessage="0" showErrorMessage="0" allowBlank="0" type="list">
      <formula1>"TRUE,FALSE"</formula1>
    </dataValidation>
    <dataValidation sqref="C18" showDropDown="0" showInputMessage="0" showErrorMessage="0" allowBlank="0" type="list">
      <formula1>"TRUE,FALSE"</formula1>
    </dataValidation>
    <dataValidation sqref="C21" showDropDown="0" showInputMessage="0" showErrorMessage="0" allowBlank="0" type="list">
      <formula1>"AK,AL,AR,AZ,CA,CO,CT,DC,DE,FL,GA,HI,IA,ID,IL,IN,KS,KY,LA,MA,MD,ME,MI,MN,MO,MS,MT,NC,ND,NE,NH,NJ,NM,NV,NY,OH,OK,OR,PA,RI,SC,SD,TN,TX,UT,VA,VT,WA,WI,WV,WY"</formula1>
    </dataValidation>
    <dataValidation sqref="C22" showDropDown="0" showInputMessage="0" showErrorMessage="0" allowBlank="0" type="list">
      <formula1>"Single,Married,Head of household"</formula1>
    </dataValidation>
    <dataValidation sqref="C26" showDropDown="0" showInputMessage="0" showErrorMessage="0" allowBlank="0" type="list">
      <formula1>"TRUE,FALSE"</formula1>
    </dataValidation>
    <dataValidation sqref="C30" showDropDown="0" showInputMessage="0" showErrorMessage="0" allowBlank="0" type="list">
      <formula1>"Percent,Fixed"</formula1>
    </dataValidation>
    <dataValidation sqref="C32" showDropDown="0" showInputMessage="0" showErrorMessage="0" allowBlank="0" type="list">
      <formula1>"Percent,Fixed"</formula1>
    </dataValidation>
    <dataValidation sqref="C36" showDropDown="0" showInputMessage="0" showErrorMessage="0" allowBlank="0" type="list">
      <formula1>"Self-only,Family"</formula1>
    </dataValidation>
    <dataValidation sqref="C78" showDropDown="0" showInputMessage="0" showErrorMessage="0" allowBlank="0" type="list">
      <formula1>"TRUE,FALSE"</formula1>
    </dataValidation>
    <dataValidation sqref="C83" showDropDown="0" showInputMessage="0" showErrorMessage="0" allowBlank="0" type="list">
      <formula1>"TRUE,FALSE"</formula1>
    </dataValidation>
    <dataValidation sqref="C79" showDropDown="0" showInputMessage="0" showErrorMessage="0" allowBlank="0" type="list">
      <formula1>"None,Resident,Nonresident"</formula1>
    </dataValidation>
    <dataValidation sqref="C80" showDropDown="0" showInputMessage="0" showErrorMessage="0" allowBlank="0" type="list">
      <formula1>"None,Resident,Nonresident"</formula1>
    </dataValidation>
    <dataValidation sqref="C77" showDropDown="0" showInputMessage="0" showErrorMessage="0" allowBlank="0" type="list">
      <formula1>"A,B,C,D,E"</formula1>
    </dataValidation>
    <dataValidation sqref="C84" showDropDown="0" showInputMessage="0" showErrorMessage="0" allowBlank="0" type="list">
      <formula1>"0,1,2"</formula1>
    </dataValidation>
    <dataValidation sqref="C88" showDropDown="0" showInputMessage="0" showErrorMessage="0" allowBlank="0" type="list">
      <formula1>"Actual paydays,Standard periods"</formula1>
    </dataValidation>
    <dataValidation sqref="C89" showDropDown="0" showInputMessage="0" showErrorMessage="0" allowBlank="0" type="list">
      <formula1>"Flat 22%,Aggregate"</formula1>
    </dataValidation>
  </dataValidations>
  <pageMargins left="0.75" right="0.75" top="1" bottom="1" header="0.5" footer="0.5"/>
</worksheet>
</file>

<file path=xl/worksheets/sheet3.xml><?xml version="1.0" encoding="utf-8"?>
<worksheet xmlns="http://schemas.openxmlformats.org/spreadsheetml/2006/main">
  <sheetPr>
    <tabColor rgb="00FFC000"/>
    <outlinePr summaryBelow="1" summaryRight="1"/>
    <pageSetUpPr/>
  </sheetPr>
  <dimension ref="B1:E89"/>
  <sheetViews>
    <sheetView workbookViewId="0">
      <selection activeCell="A1" sqref="A1"/>
    </sheetView>
  </sheetViews>
  <sheetFormatPr baseColWidth="8" defaultRowHeight="15"/>
  <cols>
    <col width="2" customWidth="1" min="1" max="1"/>
    <col width="46" customWidth="1" min="2" max="2"/>
    <col width="17" customWidth="1" min="3" max="3"/>
    <col width="15" customWidth="1" min="4" max="4"/>
    <col width="74" customWidth="1" min="5" max="5"/>
  </cols>
  <sheetData>
    <row r="1">
      <c r="B1" s="9" t="inlineStr">
        <is>
          <t>Inputs 2 — Earner 2 (yellow cells are yours to change)</t>
        </is>
      </c>
    </row>
    <row r="2">
      <c r="B2" s="2" t="inlineStr">
        <is>
          <t>Everything in the Pay Schedule recalculates from this tab. Enter your W-4 and state certificate exactly as filed.</t>
        </is>
      </c>
    </row>
    <row r="3">
      <c r="B3" s="10" t="inlineStr">
        <is>
          <t>1 · Pay &amp; schedule</t>
        </is>
      </c>
    </row>
    <row r="4">
      <c r="B4" t="inlineStr">
        <is>
          <t>Pay basis</t>
        </is>
      </c>
      <c r="C4" s="36" t="inlineStr">
        <is>
          <t>Annual salary</t>
        </is>
      </c>
      <c r="E4" s="2" t="inlineStr">
        <is>
          <t>Choose 'Annual salary' or 'Per-check gross'.</t>
        </is>
      </c>
    </row>
    <row r="5">
      <c r="B5" t="inlineStr">
        <is>
          <t>Annual salary ($)</t>
        </is>
      </c>
      <c r="C5" s="37" t="n">
        <v>0</v>
      </c>
    </row>
    <row r="6">
      <c r="B6" t="inlineStr">
        <is>
          <t>OR gross pay per check ($)</t>
        </is>
      </c>
      <c r="C6" s="37" t="n">
        <v>0</v>
      </c>
      <c r="E6" s="2" t="inlineStr">
        <is>
          <t>Used only when pay basis is 'Per-check gross'.</t>
        </is>
      </c>
    </row>
    <row r="7">
      <c r="B7" t="inlineStr">
        <is>
          <t>Pay frequency</t>
        </is>
      </c>
      <c r="C7" s="36" t="inlineStr">
        <is>
          <t>Biweekly</t>
        </is>
      </c>
      <c r="E7" s="2" t="inlineStr">
        <is>
          <t>Weekly / Biweekly / Semimonthly / Monthly.</t>
        </is>
      </c>
    </row>
    <row r="8">
      <c r="B8" t="inlineStr">
        <is>
          <t>Pay periods per year (auto)</t>
        </is>
      </c>
      <c r="C8" s="13">
        <f>IF(C7="Weekly",52,IF(C7="Biweekly",26,IF(C7="Semimonthly",24,12)))</f>
      </c>
    </row>
    <row r="9">
      <c r="B9" t="inlineStr">
        <is>
          <t>First pay date of the year</t>
        </is>
      </c>
      <c r="C9" s="38" t="n">
        <v>46388</v>
      </c>
      <c r="E9" s="2" t="inlineStr">
        <is>
          <t>The first payday of the planning year on your employer's cycle. A biweekly cycle can produce 27 paydays in a year — the schedule handles that naturally.</t>
        </is>
      </c>
    </row>
    <row r="10">
      <c r="B10" t="inlineStr">
        <is>
          <t>Planning year</t>
        </is>
      </c>
      <c r="C10" s="39" t="n">
        <v>2027</v>
      </c>
    </row>
    <row r="11">
      <c r="B11" s="10" t="inlineStr">
        <is>
          <t>2 · Federal Form W-4 (as filed)</t>
        </is>
      </c>
    </row>
    <row r="12">
      <c r="B12" t="inlineStr">
        <is>
          <t>Filing status (Step 1c)</t>
        </is>
      </c>
      <c r="C12" s="36" t="inlineStr">
        <is>
          <t>Single</t>
        </is>
      </c>
      <c r="E12" s="2" t="inlineStr">
        <is>
          <t>Single / MFJ / HoH — exactly as on your W-4.</t>
        </is>
      </c>
    </row>
    <row r="13">
      <c r="B13" t="inlineStr">
        <is>
          <t>Step 2 box checked?</t>
        </is>
      </c>
      <c r="C13" s="36" t="b">
        <v>0</v>
      </c>
      <c r="E13" s="2" t="inlineStr">
        <is>
          <t>Only if you checked the multiple-jobs box in Step 2(c).</t>
        </is>
      </c>
    </row>
    <row r="14">
      <c r="B14" t="inlineStr">
        <is>
          <t>Step 3 — dependents &amp; credits ($/yr)</t>
        </is>
      </c>
      <c r="C14" s="37" t="n">
        <v>0</v>
      </c>
    </row>
    <row r="15">
      <c r="B15" t="inlineStr">
        <is>
          <t>Step 4(a) — other income ($/yr)</t>
        </is>
      </c>
      <c r="C15" s="37" t="n">
        <v>0</v>
      </c>
    </row>
    <row r="16">
      <c r="B16" t="inlineStr">
        <is>
          <t>Step 4(b) — deductions ($/yr)</t>
        </is>
      </c>
      <c r="C16" s="37" t="n">
        <v>0</v>
      </c>
      <c r="E16" s="2" t="inlineStr">
        <is>
          <t>Amount above the standard deduction, from the W-4 Deductions Worksheet.</t>
        </is>
      </c>
    </row>
    <row r="17">
      <c r="B17" t="inlineStr">
        <is>
          <t>Step 4(c) — extra withholding ($/check)</t>
        </is>
      </c>
      <c r="C17" s="37" t="n">
        <v>0</v>
      </c>
    </row>
    <row r="18">
      <c r="B18" t="inlineStr">
        <is>
          <t>Exempt from federal withholding?</t>
        </is>
      </c>
      <c r="C18" s="36" t="b">
        <v>0</v>
      </c>
    </row>
    <row r="19">
      <c r="B19" t="inlineStr">
        <is>
          <t>Your age at year-end</t>
        </is>
      </c>
      <c r="C19" s="39" t="n">
        <v>40</v>
      </c>
      <c r="E19" s="2" t="inlineStr">
        <is>
          <t>Drives the 401(k) catch-up cap (50+: +$8,500; 60–63: +$11,750).</t>
        </is>
      </c>
    </row>
    <row r="20">
      <c r="B20" s="10" t="inlineStr">
        <is>
          <t>3 · State withholding certificate</t>
        </is>
      </c>
    </row>
    <row r="21">
      <c r="B21" t="inlineStr">
        <is>
          <t>State</t>
        </is>
      </c>
      <c r="C21" s="36" t="inlineStr">
        <is>
          <t>CA</t>
        </is>
      </c>
      <c r="E21" s="2" t="inlineStr">
        <is>
          <t>Most states compute live in v0.2 — see StateTables for which, and for the state-specific meaning of the allowance fields below.</t>
        </is>
      </c>
    </row>
    <row r="22">
      <c r="B22" t="inlineStr">
        <is>
          <t>State filing status</t>
        </is>
      </c>
      <c r="C22" s="36" t="inlineStr">
        <is>
          <t>Single</t>
        </is>
      </c>
      <c r="E22" s="2" t="inlineStr">
        <is>
          <t>Single / Married / Head of household (as your state defines them).</t>
        </is>
      </c>
    </row>
    <row r="23">
      <c r="B23" t="inlineStr">
        <is>
          <t>State regular allowances / exemptions</t>
        </is>
      </c>
      <c r="C23" s="39" t="n">
        <v>0</v>
      </c>
    </row>
    <row r="24">
      <c r="B24" t="inlineStr">
        <is>
          <t>State estimated-deduction allowances</t>
        </is>
      </c>
      <c r="C24" s="39" t="n">
        <v>0</v>
      </c>
      <c r="E24" s="2" t="inlineStr">
        <is>
          <t>CA DE 4 line 1b (Worksheet B) — one allowance per $1,000 of expected deductions above the standard deduction.</t>
        </is>
      </c>
    </row>
    <row r="25">
      <c r="B25" t="inlineStr">
        <is>
          <t>Extra state withholding ($/check)</t>
        </is>
      </c>
      <c r="C25" s="37" t="n">
        <v>0</v>
      </c>
    </row>
    <row r="26">
      <c r="B26" t="inlineStr">
        <is>
          <t>Exempt from state withholding?</t>
        </is>
      </c>
      <c r="C26" s="36" t="b">
        <v>0</v>
      </c>
    </row>
    <row r="27">
      <c r="B27" t="inlineStr">
        <is>
          <t>Local withholding ($/check, if any)</t>
        </is>
      </c>
      <c r="C27" s="37" t="n">
        <v>0</v>
      </c>
      <c r="E27" s="2" t="inlineStr">
        <is>
          <t>Flat per-check local tax (e.g., a city tax your employer withholds). NYC, Yonkers and Philadelphia compute from the section-8 settings below; a generic local rate is also there.</t>
        </is>
      </c>
    </row>
    <row r="28">
      <c r="B28" t="inlineStr">
        <is>
          <t>State withholding per check — copy from your paystub ($/check, manual-entry states only)</t>
        </is>
      </c>
      <c r="C28" s="37" t="n">
        <v>0</v>
      </c>
      <c r="E28" s="2">
        <f>IF(AND(ISNUMBER(SEARCH("MANUAL",IFERROR(VLOOKUP($C$21,StateTables!$A$6:$AB$56,5,FALSE),""))),NOT($C$26),OR($C$28="",$C$28&lt;=0)),"⚠⚠ STATE TAX NOT ENTERED — "&amp;$C$21&amp;" is a manual-entry state and the 'State withholding per check' field in row 28 of this tab is blank or $0, so this plan currently shows $0 state withholding and take-home pay that is too high. Copy the amount from one regular pay stub — the line labeled 'State Tax', 'State WH' or 'ST W/H' beside your state code — into the yellow row-28 field now; until you do, treat every state and net figure in this workbook as INCOMPLETE.",IF(AND(ISNUMBER(SEARCH("MANUAL",IFERROR(VLOOKUP($C$21,StateTables!$A$6:$AB$56,5,FALSE),""))),NOT($C$26)),"✓ Manual-entry state: this plan uses the "&amp;TEXT($C$28,"$#,##0.00")&amp;" per check you copied from your pay stub into row 28 as the "&amp;$C$21&amp;" withholding on every paycheck — update it whenever your stub amount changes.","Manual-entry states only (CT, DC, GA, ME, NC, NM, UT): copy your state withholding per check from a regular pay stub — the line labeled 'State Tax', 'State WH' or 'ST W/H' beside your state code. Every other state ignores this field and computes automatically."))</f>
      </c>
    </row>
    <row r="29">
      <c r="B29" s="10" t="inlineStr">
        <is>
          <t>4 · Your deductions</t>
        </is>
      </c>
    </row>
    <row r="30">
      <c r="B30" t="inlineStr">
        <is>
          <t>401(k)/403(b)/457 pre-tax — mode</t>
        </is>
      </c>
      <c r="C30" s="36" t="inlineStr">
        <is>
          <t>Percent</t>
        </is>
      </c>
      <c r="D30" s="37" t="n">
        <v>0</v>
      </c>
      <c r="E30" s="2" t="inlineStr">
        <is>
          <t>Percent = a decimal (0.05 = 5% of gross). Fixed = $ per check. Pre-tax 401(k) lowers income tax but NOT Social Security/Medicare tax.</t>
        </is>
      </c>
    </row>
    <row r="31">
      <c r="B31" t="inlineStr">
        <is>
          <t>401(k)/403(b)/457 pre-tax — value</t>
        </is>
      </c>
      <c r="D31" s="37" t="n">
        <v>0</v>
      </c>
    </row>
    <row r="32">
      <c r="B32" t="inlineStr">
        <is>
          <t>Roth 401(k) — mode</t>
        </is>
      </c>
      <c r="C32" s="36" t="inlineStr">
        <is>
          <t>Percent</t>
        </is>
      </c>
      <c r="D32" s="37" t="n">
        <v>0</v>
      </c>
      <c r="E32" s="2" t="inlineStr">
        <is>
          <t>Roth is post-tax but counts toward the same IRS deferral cap as pre-tax.</t>
        </is>
      </c>
    </row>
    <row r="33">
      <c r="B33" t="inlineStr">
        <is>
          <t>Roth 401(k) — value</t>
        </is>
      </c>
    </row>
    <row r="34">
      <c r="B34" t="inlineStr">
        <is>
          <t>401(k) deferral cap for you (auto)</t>
        </is>
      </c>
      <c r="C34" s="16">
        <f>25500+IF(AND(C19&gt;=60,C19&lt;=63),11750,IF(C19&gt;=50,8500,0))</f>
      </c>
      <c r="E34" s="17" t="inlineStr">
        <is>
          <t>Estimated — 401(k) contribution limits: 2027 IRS cap $25,500 (projected) + catch-up by your age.</t>
        </is>
      </c>
    </row>
    <row r="35">
      <c r="B35" t="inlineStr">
        <is>
          <t>HSA contribution ($/check, through payroll)</t>
        </is>
      </c>
      <c r="D35" s="37" t="n">
        <v>0</v>
      </c>
      <c r="E35" s="2" t="inlineStr">
        <is>
          <t>Through payroll it lowers income tax AND FICA. Requires an HDHP.</t>
        </is>
      </c>
    </row>
    <row r="36">
      <c r="B36" t="inlineStr">
        <is>
          <t>HSA coverage tier</t>
        </is>
      </c>
      <c r="C36" s="36" t="inlineStr">
        <is>
          <t>Self-only</t>
        </is>
      </c>
      <c r="E36" s="2" t="inlineStr">
        <is>
          <t>Self-only / Family.</t>
        </is>
      </c>
    </row>
    <row r="37">
      <c r="B37" t="inlineStr">
        <is>
          <t>HSA annual limit for you (auto)</t>
        </is>
      </c>
      <c r="C37" s="16">
        <f>(IF(C36="Family",'Methodology &amp; Sources'!$C$12,'Methodology &amp; Sources'!$C$11))+IF(C19&gt;=55,1000,0)</f>
      </c>
    </row>
    <row r="38">
      <c r="B38" t="inlineStr">
        <is>
          <t>Health FSA — annual election ($/yr)</t>
        </is>
      </c>
      <c r="D38" s="37" t="n">
        <v>0</v>
      </c>
      <c r="E38" s="2" t="inlineStr">
        <is>
          <t>Spread evenly across checks; the IRS limit is enforced. Use-it-or-lose-it: elect what you will actually spend.</t>
        </is>
      </c>
    </row>
    <row r="39">
      <c r="B39" t="inlineStr">
        <is>
          <t>Dependent-care FSA — annual election ($/yr)</t>
        </is>
      </c>
      <c r="D39" s="37" t="n">
        <v>0</v>
      </c>
      <c r="E39" s="2" t="inlineStr">
        <is>
          <t>Spread evenly; IRS limit enforced. Both spouses need earned income.</t>
        </is>
      </c>
    </row>
    <row r="40">
      <c r="B40" t="inlineStr">
        <is>
          <t>Medical premium ($/check, pre-tax §125)</t>
        </is>
      </c>
      <c r="D40" s="37" t="n">
        <v>0</v>
      </c>
    </row>
    <row r="41">
      <c r="B41" t="inlineStr">
        <is>
          <t>Dental premium ($/check, pre-tax §125)</t>
        </is>
      </c>
      <c r="D41" s="37" t="n">
        <v>0</v>
      </c>
    </row>
    <row r="42">
      <c r="B42" t="inlineStr">
        <is>
          <t>Vision premium ($/check, pre-tax §125)</t>
        </is>
      </c>
      <c r="D42" s="37" t="n">
        <v>0</v>
      </c>
    </row>
    <row r="43">
      <c r="B43" t="inlineStr">
        <is>
          <t>Commuter/parking ($/check, pre-tax)</t>
        </is>
      </c>
      <c r="D43" s="37" t="n">
        <v>0</v>
      </c>
    </row>
    <row r="44">
      <c r="B44" t="inlineStr">
        <is>
          <t>Other pre-tax deduction ($/check)</t>
        </is>
      </c>
      <c r="D44" s="37" t="n">
        <v>0</v>
      </c>
    </row>
    <row r="45">
      <c r="B45" t="inlineStr">
        <is>
          <t>Other post-tax deduction ($/check)</t>
        </is>
      </c>
      <c r="D45" s="37" t="n">
        <v>0</v>
      </c>
      <c r="E45" s="2" t="inlineStr">
        <is>
          <t>Flat voluntary deductions that do not reduce any tax.</t>
        </is>
      </c>
    </row>
    <row r="46">
      <c r="B46" t="inlineStr">
        <is>
          <t>Imputed income ($/check)</t>
        </is>
      </c>
      <c r="D46" s="37" t="n">
        <v>0</v>
      </c>
      <c r="E46" s="2" t="inlineStr">
        <is>
          <t>Taxable but not paid in cash (e.g., group-term life over $50K). It raises taxable wages without raising gross pay.</t>
        </is>
      </c>
    </row>
    <row r="47">
      <c r="B47" s="10" t="inlineStr">
        <is>
          <t>5 · Starting balances (skip if you start Jan 1 at this job)</t>
        </is>
      </c>
    </row>
    <row r="48">
      <c r="B48" t="inlineStr">
        <is>
          <t>Gross wages already paid this year ($)</t>
        </is>
      </c>
      <c r="C48" s="37" t="n">
        <v>0</v>
      </c>
    </row>
    <row r="49">
      <c r="B49" t="inlineStr">
        <is>
          <t>Social Security wages already taxed ($)</t>
        </is>
      </c>
      <c r="C49" s="37" t="n">
        <v>0</v>
      </c>
      <c r="E49" s="2" t="inlineStr">
        <is>
          <t>From your last pay stub's YTD figures. Drives when the SS cap bites.</t>
        </is>
      </c>
    </row>
    <row r="50">
      <c r="B50" t="inlineStr">
        <is>
          <t>Medicare wages already taxed ($)</t>
        </is>
      </c>
      <c r="C50" s="37" t="n">
        <v>0</v>
      </c>
      <c r="E50" s="2" t="inlineStr">
        <is>
          <t>Drives the $200,000 Additional Medicare threshold.</t>
        </is>
      </c>
    </row>
    <row r="51">
      <c r="B51" t="inlineStr">
        <is>
          <t>401(k) already deferred this year ($)</t>
        </is>
      </c>
      <c r="C51" s="37" t="n">
        <v>0</v>
      </c>
    </row>
    <row r="52">
      <c r="B52" t="inlineStr">
        <is>
          <t>Health FSA already deferred ($)</t>
        </is>
      </c>
      <c r="C52" s="37" t="n">
        <v>0</v>
      </c>
    </row>
    <row r="53">
      <c r="B53" t="inlineStr">
        <is>
          <t>Dependent-care FSA already deferred ($)</t>
        </is>
      </c>
      <c r="C53" s="37" t="n">
        <v>0</v>
      </c>
    </row>
    <row r="54">
      <c r="B54" t="inlineStr">
        <is>
          <t>HSA already contributed ($)</t>
        </is>
      </c>
      <c r="C54" s="37" t="n">
        <v>0</v>
      </c>
    </row>
    <row r="55">
      <c r="B55" t="inlineStr">
        <is>
          <t>Federal withholding already taken ($, info)</t>
        </is>
      </c>
      <c r="C55" s="37" t="n">
        <v>0</v>
      </c>
      <c r="E55" s="2" t="inlineStr">
        <is>
          <t>For your True-Up view; not used in the per-check math.</t>
        </is>
      </c>
    </row>
    <row r="56">
      <c r="B56" t="inlineStr">
        <is>
          <t>State withholding already taken ($, info)</t>
        </is>
      </c>
      <c r="C56" s="37" t="n">
        <v>0</v>
      </c>
    </row>
    <row r="57">
      <c r="B57" s="5" t="inlineStr">
        <is>
          <t>Date</t>
        </is>
      </c>
      <c r="D57" s="5" t="inlineStr">
        <is>
          <t>Amount ($)</t>
        </is>
      </c>
    </row>
    <row r="58">
      <c r="B58" t="inlineStr">
        <is>
          <t>One-off #1</t>
        </is>
      </c>
      <c r="C58" s="38" t="n"/>
      <c r="D58" s="37" t="n">
        <v>0</v>
      </c>
      <c r="E58" s="2" t="inlineStr">
        <is>
          <t>Each one-off gets its own row in the schedule on its date (or rides the row if it falls on a pay date). Federal withholding follows the method in row 89; states apply their published supplemental rule where one exists. Dates outside the planning year cannot be scheduled — see the warning under the table.</t>
        </is>
      </c>
    </row>
    <row r="59">
      <c r="B59" t="inlineStr">
        <is>
          <t>One-off #2</t>
        </is>
      </c>
      <c r="C59" s="38" t="n"/>
      <c r="D59" s="37" t="n">
        <v>0</v>
      </c>
    </row>
    <row r="60">
      <c r="B60" t="inlineStr">
        <is>
          <t>One-off #3</t>
        </is>
      </c>
      <c r="C60" s="38" t="n"/>
      <c r="D60" s="37" t="n">
        <v>0</v>
      </c>
    </row>
    <row r="61">
      <c r="B61" t="inlineStr">
        <is>
          <t>One-off #4</t>
        </is>
      </c>
      <c r="C61" s="38" t="n"/>
      <c r="D61" s="37" t="n">
        <v>0</v>
      </c>
    </row>
    <row r="62">
      <c r="B62" t="inlineStr">
        <is>
          <t>One-off #5</t>
        </is>
      </c>
      <c r="C62" s="38" t="n"/>
      <c r="D62" s="37" t="n">
        <v>0</v>
      </c>
    </row>
    <row r="63">
      <c r="B63" t="inlineStr">
        <is>
          <t>One-off #6</t>
        </is>
      </c>
      <c r="C63" s="38" t="n"/>
      <c r="D63" s="37" t="n">
        <v>0</v>
      </c>
    </row>
    <row r="64">
      <c r="B64" t="inlineStr">
        <is>
          <t>One-off #7</t>
        </is>
      </c>
      <c r="C64" s="38" t="n"/>
      <c r="D64" s="37" t="n">
        <v>0</v>
      </c>
    </row>
    <row r="65">
      <c r="B65" t="inlineStr">
        <is>
          <t>One-off #8</t>
        </is>
      </c>
      <c r="C65" s="38" t="n"/>
      <c r="D65" s="37" t="n">
        <v>0</v>
      </c>
    </row>
    <row r="66">
      <c r="B66" t="inlineStr">
        <is>
          <t>One-off #9</t>
        </is>
      </c>
      <c r="C66" s="38" t="n"/>
      <c r="D66" s="37" t="n">
        <v>0</v>
      </c>
    </row>
    <row r="67">
      <c r="B67" t="inlineStr">
        <is>
          <t>One-off #10</t>
        </is>
      </c>
      <c r="C67" s="38" t="n"/>
      <c r="D67" s="37" t="n">
        <v>0</v>
      </c>
    </row>
    <row r="68">
      <c r="B68" t="inlineStr">
        <is>
          <t>One-off total entered</t>
        </is>
      </c>
      <c r="C68" s="16">
        <f>SUM(D58:D67)</f>
      </c>
    </row>
    <row r="69">
      <c r="B69" t="inlineStr">
        <is>
          <t>One-off total scheduled</t>
        </is>
      </c>
      <c r="C69" s="16">
        <f>SUM('Pay Schedule 2'!D6:D68)</f>
      </c>
      <c r="E69" s="2" t="inlineStr">
        <is>
          <t>If these two totals differ, a one-off date falls outside the planning year and could not be scheduled.</t>
        </is>
      </c>
    </row>
    <row r="70">
      <c r="B70" s="8">
        <f>IF(SUMPRODUCT((C58:C67&lt;&gt;"")*(YEAR(C58:C67)&lt;&gt;C10))&gt;0,"⚠ WARNING: a one-off date falls OUTSIDE the planning year — it cannot be scheduled and is excluded above. ","")&amp;IF(SUMPRODUCT((C58:C67&lt;&gt;"")*(COUNTIF(C58:C67,C58:C67)&gt;1))&gt;0,"⚠ NOTE: duplicate one-off dates are combined into a single schedule row.","")</f>
      </c>
    </row>
    <row r="71">
      <c r="B71" s="10" t="inlineStr">
        <is>
          <t>7 · In-year changes (raises, moves, new employer, new W-4)</t>
        </is>
      </c>
    </row>
    <row r="72">
      <c r="B72" s="3" t="inlineStr">
        <is>
          <t>Life happens mid-year: use the Events tab. Each event takes effect on a pay date and the schedule resolves salary, 401(k), state, W-4, and employer (Social Security cap) changes from that date forward.</t>
        </is>
      </c>
    </row>
    <row r="73">
      <c r="B73" s="10" t="inlineStr">
        <is>
          <t>8 · State-specific settings (only the row for your state matters)</t>
        </is>
      </c>
    </row>
    <row r="74">
      <c r="B74" t="inlineStr">
        <is>
          <t>MD county tax rate (decimal)</t>
        </is>
      </c>
      <c r="C74" s="40" t="n">
        <v>0.032</v>
      </c>
      <c r="E74" s="2" t="inlineStr">
        <is>
          <t>Maryland: your county's flat rate from the MD guide (2.25%–3.30%; Anne Arundel &amp; Frederick are graduated — enter an approximate flat rate). Also used for MD lump-sum bonuses.</t>
        </is>
      </c>
    </row>
    <row r="75">
      <c r="B75" t="inlineStr">
        <is>
          <t>MA — number of blind exemptions (you + spouse)</t>
        </is>
      </c>
      <c r="C75" s="39" t="n">
        <v>0</v>
      </c>
      <c r="E75" s="2" t="inlineStr">
        <is>
          <t>Massachusetts: each blind person subtracts $110/yr of tax.</t>
        </is>
      </c>
    </row>
    <row r="76">
      <c r="B76" t="inlineStr">
        <is>
          <t>IN county tax rate (decimal)</t>
        </is>
      </c>
      <c r="C76" s="40" t="n">
        <v>0</v>
      </c>
      <c r="E76" s="2" t="inlineStr">
        <is>
          <t>Indiana: your Jan-1 county of residence rate (0.50%–3.00%, Departmental Notice #1 county table).</t>
        </is>
      </c>
    </row>
    <row r="77">
      <c r="B77" t="inlineStr">
        <is>
          <t>NJ rate table letter (from your NJ-W4)</t>
        </is>
      </c>
      <c r="C77" s="36" t="inlineStr">
        <is>
          <t>A</t>
        </is>
      </c>
      <c r="E77" s="2" t="inlineStr">
        <is>
          <t>New Jersey: the rate table (A–E) you selected on Form NJ-W4.</t>
        </is>
      </c>
    </row>
    <row r="78">
      <c r="B78" t="inlineStr">
        <is>
          <t>NYC resident?</t>
        </is>
      </c>
      <c r="C78" s="36" t="b">
        <v>0</v>
      </c>
      <c r="E78" s="2" t="inlineStr">
        <is>
          <t>New York City resident tax applies if you live in NYC.</t>
        </is>
      </c>
    </row>
    <row r="79">
      <c r="B79" t="inlineStr">
        <is>
          <t>Yonkers status</t>
        </is>
      </c>
      <c r="C79" s="36" t="inlineStr">
        <is>
          <t>None</t>
        </is>
      </c>
      <c r="E79" s="2" t="inlineStr">
        <is>
          <t>Resident: 16.75% of your NY State tax. Nonresident: 0.50% earnings tax on Yonkers wages.</t>
        </is>
      </c>
    </row>
    <row r="80">
      <c r="B80" t="inlineStr">
        <is>
          <t>Philadelphia status</t>
        </is>
      </c>
      <c r="C80" s="36" t="inlineStr">
        <is>
          <t>None</t>
        </is>
      </c>
      <c r="E80" s="2" t="inlineStr">
        <is>
          <t>Philadelphia wage tax on gross pay: resident 3.735%; nonresident 3.425% (rates in effect since Jul 1, 2026; no 2027 change announced as of Oct 13, 2026).</t>
        </is>
      </c>
    </row>
    <row r="81">
      <c r="B81" t="inlineStr">
        <is>
          <t>Local income-tax rate (decimal, generic)</t>
        </is>
      </c>
      <c r="C81" s="40" t="n">
        <v>0</v>
      </c>
      <c r="E81" s="2" t="inlineStr">
        <is>
          <t>Any other local wage tax your employer withholds as a % of gross pay (e.g., a PA Act 32 EIT or an Ohio/Kentucky city tax). Added to row 27's flat amount; not used for NYC/Yonkers/Philadelphia.</t>
        </is>
      </c>
    </row>
    <row r="82">
      <c r="B82" t="inlineStr">
        <is>
          <t>AZ elected withholding % (decimal)</t>
        </is>
      </c>
      <c r="C82" s="40" t="n">
        <v>0.02</v>
      </c>
      <c r="E82" s="2" t="inlineStr">
        <is>
          <t>Arizona: the percentage you elected on Form A-4 (menu 0.5%–3.5% of federal taxable wages; 2.0% is the no-form default).</t>
        </is>
      </c>
    </row>
    <row r="83">
      <c r="B83" t="inlineStr">
        <is>
          <t>Spouse works? (two-earner household)</t>
        </is>
      </c>
      <c r="C83" s="36" t="b">
        <v>0</v>
      </c>
      <c r="E83" s="2" t="inlineStr">
        <is>
          <t>Missouri: married with a working spouse uses the $16,100 standard deduction; spouse not working uses $32,200.</t>
        </is>
      </c>
    </row>
    <row r="84">
      <c r="B84" t="inlineStr">
        <is>
          <t>LA standard-deduction claim (0 / 1 / 2)</t>
        </is>
      </c>
      <c r="C84" s="36" t="inlineStr">
        <is>
          <t>1</t>
        </is>
      </c>
      <c r="E84" s="2" t="inlineStr">
        <is>
          <t>Louisiana Form L-4 Block A: 0 = none, 1 = single/MFS amount ($12,875), 2 = joint/HoH amount ($25,750).</t>
        </is>
      </c>
    </row>
    <row r="85">
      <c r="B85" t="inlineStr">
        <is>
          <t>MS total exemption claimed ($/yr)</t>
        </is>
      </c>
      <c r="C85" s="37" t="n">
        <v>0</v>
      </c>
      <c r="E85" s="2" t="inlineStr">
        <is>
          <t>Mississippi Form 89-350 Line 6 total: e.g. Single $6,000; Married $12,000; plus $1,500 per dependent; +$1,500 per age-65/blind condition.</t>
        </is>
      </c>
    </row>
    <row r="86">
      <c r="B86" t="inlineStr">
        <is>
          <t>IN adopted-child exemptions (count)</t>
        </is>
      </c>
      <c r="C86" s="39" t="n">
        <v>0</v>
      </c>
      <c r="E86" s="2" t="inlineStr">
        <is>
          <t>Indiana WH-4 line 8: $3,000/yr each (other dependents use row 24 at $1,500/yr each).</t>
        </is>
      </c>
    </row>
    <row r="87">
      <c r="B87" s="2" t="inlineStr">
        <is>
          <t>How rows 23–24 are read, by state: CA — DE 4 lines 1a/1b. KS — row 23 counts $9,160 personal exemptions (MFJ = 2 built in), row 24 counts $2,320 dependents. GA — row 24 counts $5,000 dependents. IA — row 23 counts $40 allowance units from your IA W-4 dollar total. VA — row 23 counts $930 exemptions, row 24 counts $800 age-65/blind exemptions. IN — rows 23/24/86 as labeled. Most other states: row 23 = exemptions/allowances on your state certificate, row 24 unused.</t>
        </is>
      </c>
    </row>
    <row r="88">
      <c r="B88" t="inlineStr">
        <is>
          <t>Salary split in a 27/53-payday year</t>
        </is>
      </c>
      <c r="C88" s="36" t="inlineStr">
        <is>
          <t>Actual paydays</t>
        </is>
      </c>
      <c r="E88" s="2" t="inlineStr">
        <is>
          <t>Some years have 27 biweekly (or 53 weekly) paydays. 'Actual paydays' divides your annual salary by the real count so the year totals your salary; 'Standard periods' divides by 26/52 the way payroll does, so gross runs over salary. Applies only when the schedule starts in January (mid-year starters keep the standard split — use 'Per-check gross' for an exact check amount). Withholding annualization always uses standard periods.</t>
        </is>
      </c>
    </row>
    <row r="89">
      <c r="B89" t="inlineStr">
        <is>
          <t>One-off (bonus) federal withholding method</t>
        </is>
      </c>
      <c r="C89" s="36" t="inlineStr">
        <is>
          <t>Flat 22%</t>
        </is>
      </c>
      <c r="E89" s="2" t="inlineStr">
        <is>
          <t>Flat 22%: the IRS optional flat rate on supplemental wages — available only when federal tax was withheld from your regular wages in the current or prior year (Pub 15). Aggregate: the bonus is taxed as extra annual wages at your marginal bracket. States keep their own published supplemental rules either way.</t>
        </is>
      </c>
    </row>
  </sheetData>
  <sheetProtection selectLockedCells="0" selectUnlockedCells="0" sheet="1" objects="0" insertRows="1" insertHyperlinks="1" autoFilter="1" scenarios="0" formatColumns="1" deleteColumns="1" insertColumns="1" pivotTables="1" deleteRows="1" formatCells="1" formatRows="1" sort="1"/>
  <mergeCells count="3">
    <mergeCell ref="B72:E72"/>
    <mergeCell ref="B87:E87"/>
    <mergeCell ref="B70:E70"/>
  </mergeCells>
  <conditionalFormatting sqref="E28">
    <cfRule type="expression" priority="1" dxfId="0">
      <formula>AND(ISNUMBER(SEARCH("MANUAL",IFERROR(VLOOKUP($C$21,StateTables!$A$6:$AB$56,5,FALSE),""))),NOT($C$26),OR($C$28="",$C$28&lt;=0))</formula>
    </cfRule>
  </conditionalFormatting>
  <dataValidations count="19">
    <dataValidation sqref="C4" showDropDown="0" showInputMessage="0" showErrorMessage="0" allowBlank="0" type="list">
      <formula1>"Annual salary,Per-check gross"</formula1>
    </dataValidation>
    <dataValidation sqref="C7" showDropDown="0" showInputMessage="0" showErrorMessage="0" allowBlank="0" type="list">
      <formula1>"Weekly,Biweekly,Semimonthly,Monthly"</formula1>
    </dataValidation>
    <dataValidation sqref="C12" showDropDown="0" showInputMessage="0" showErrorMessage="0" allowBlank="0" type="list">
      <formula1>"Single,MFJ,HoH"</formula1>
    </dataValidation>
    <dataValidation sqref="C13" showDropDown="0" showInputMessage="0" showErrorMessage="0" allowBlank="0" type="list">
      <formula1>"TRUE,FALSE"</formula1>
    </dataValidation>
    <dataValidation sqref="C18" showDropDown="0" showInputMessage="0" showErrorMessage="0" allowBlank="0" type="list">
      <formula1>"TRUE,FALSE"</formula1>
    </dataValidation>
    <dataValidation sqref="C21" showDropDown="0" showInputMessage="0" showErrorMessage="0" allowBlank="0" type="list">
      <formula1>"AK,AL,AR,AZ,CA,CO,CT,DC,DE,FL,GA,HI,IA,ID,IL,IN,KS,KY,LA,MA,MD,ME,MI,MN,MO,MS,MT,NC,ND,NE,NH,NJ,NM,NV,NY,OH,OK,OR,PA,RI,SC,SD,TN,TX,UT,VA,VT,WA,WI,WV,WY"</formula1>
    </dataValidation>
    <dataValidation sqref="C22" showDropDown="0" showInputMessage="0" showErrorMessage="0" allowBlank="0" type="list">
      <formula1>"Single,Married,Head of household"</formula1>
    </dataValidation>
    <dataValidation sqref="C26" showDropDown="0" showInputMessage="0" showErrorMessage="0" allowBlank="0" type="list">
      <formula1>"TRUE,FALSE"</formula1>
    </dataValidation>
    <dataValidation sqref="C30" showDropDown="0" showInputMessage="0" showErrorMessage="0" allowBlank="0" type="list">
      <formula1>"Percent,Fixed"</formula1>
    </dataValidation>
    <dataValidation sqref="C32" showDropDown="0" showInputMessage="0" showErrorMessage="0" allowBlank="0" type="list">
      <formula1>"Percent,Fixed"</formula1>
    </dataValidation>
    <dataValidation sqref="C36" showDropDown="0" showInputMessage="0" showErrorMessage="0" allowBlank="0" type="list">
      <formula1>"Self-only,Family"</formula1>
    </dataValidation>
    <dataValidation sqref="C78" showDropDown="0" showInputMessage="0" showErrorMessage="0" allowBlank="0" type="list">
      <formula1>"TRUE,FALSE"</formula1>
    </dataValidation>
    <dataValidation sqref="C83" showDropDown="0" showInputMessage="0" showErrorMessage="0" allowBlank="0" type="list">
      <formula1>"TRUE,FALSE"</formula1>
    </dataValidation>
    <dataValidation sqref="C79" showDropDown="0" showInputMessage="0" showErrorMessage="0" allowBlank="0" type="list">
      <formula1>"None,Resident,Nonresident"</formula1>
    </dataValidation>
    <dataValidation sqref="C80" showDropDown="0" showInputMessage="0" showErrorMessage="0" allowBlank="0" type="list">
      <formula1>"None,Resident,Nonresident"</formula1>
    </dataValidation>
    <dataValidation sqref="C77" showDropDown="0" showInputMessage="0" showErrorMessage="0" allowBlank="0" type="list">
      <formula1>"A,B,C,D,E"</formula1>
    </dataValidation>
    <dataValidation sqref="C84" showDropDown="0" showInputMessage="0" showErrorMessage="0" allowBlank="0" type="list">
      <formula1>"0,1,2"</formula1>
    </dataValidation>
    <dataValidation sqref="C88" showDropDown="0" showInputMessage="0" showErrorMessage="0" allowBlank="0" type="list">
      <formula1>"Actual paydays,Standard periods"</formula1>
    </dataValidation>
    <dataValidation sqref="C89" showDropDown="0" showInputMessage="0" showErrorMessage="0" allowBlank="0" type="list">
      <formula1>"Flat 22%,Aggregate"</formula1>
    </dataValidation>
  </dataValidations>
  <pageMargins left="0.75" right="0.75" top="1" bottom="1" header="0.5" footer="0.5"/>
</worksheet>
</file>

<file path=xl/worksheets/sheet4.xml><?xml version="1.0" encoding="utf-8"?>
<worksheet xmlns="http://schemas.openxmlformats.org/spreadsheetml/2006/main">
  <sheetPr>
    <tabColor rgb="00ED7D31"/>
    <outlinePr summaryBelow="1" summaryRight="1"/>
    <pageSetUpPr/>
  </sheetPr>
  <dimension ref="B1:J22"/>
  <sheetViews>
    <sheetView workbookViewId="0">
      <selection activeCell="A1" sqref="A1"/>
    </sheetView>
  </sheetViews>
  <sheetFormatPr baseColWidth="8" defaultRowHeight="15"/>
  <cols>
    <col width="2" customWidth="1" min="1" max="1"/>
    <col width="15" customWidth="1" min="2" max="2"/>
    <col width="21" customWidth="1" min="3" max="3"/>
    <col width="15" customWidth="1" min="4" max="4"/>
    <col width="15" customWidth="1" min="5" max="5"/>
    <col width="15" customWidth="1" min="6" max="6"/>
    <col width="15" customWidth="1" min="7" max="7"/>
    <col width="76" customWidth="1" min="8" max="8"/>
    <col width="15" customWidth="1" min="9" max="9"/>
    <col width="11" customWidth="1" min="10" max="10"/>
  </cols>
  <sheetData>
    <row r="1">
      <c r="B1" s="9" t="inlineStr">
        <is>
          <t>Events — changes that happen during the year</t>
        </is>
      </c>
    </row>
    <row r="2">
      <c r="B2" s="2" t="inlineStr">
        <is>
          <t>One row per change, effective on one of your pay dates. The schedule uses each event from its date forward; the Inputs tab values apply until the first event of that type.</t>
        </is>
      </c>
    </row>
    <row r="3">
      <c r="B3" s="2" t="inlineStr">
        <is>
          <t>Employer change resets the Social Security wage cap (it is per-employer in real payroll) — enter any SS wages already taxed at the new employer in Value 1 (usually 0). The 401(k) cap does NOT reset: it is a per-person IRS limit. 'Deduction start/stop' begins or ends a paycheck deduction mid-year — a premium starting, an FSA/HSA election from a qualifying life event (birth, marriage, a spouse's job change), a commuter benefit ending.</t>
        </is>
      </c>
    </row>
    <row r="5">
      <c r="B5" s="19" t="inlineStr">
        <is>
          <t>Effective pay date</t>
        </is>
      </c>
      <c r="C5" s="19" t="inlineStr">
        <is>
          <t>Type</t>
        </is>
      </c>
      <c r="D5" s="19" t="inlineStr">
        <is>
          <t>Value 1</t>
        </is>
      </c>
      <c r="E5" s="19" t="inlineStr">
        <is>
          <t>Value 2</t>
        </is>
      </c>
      <c r="F5" s="19" t="inlineStr">
        <is>
          <t>Value 3</t>
        </is>
      </c>
      <c r="G5" s="19" t="inlineStr">
        <is>
          <t>Value 4</t>
        </is>
      </c>
      <c r="H5" s="19" t="inlineStr">
        <is>
          <t>Notes — what each type expects</t>
        </is>
      </c>
      <c r="I5" s="19" t="inlineStr">
        <is>
          <t>Resolved $ (engine)</t>
        </is>
      </c>
      <c r="J5" s="19" t="inlineStr">
        <is>
          <t>Stop? (engine)</t>
        </is>
      </c>
    </row>
    <row r="6">
      <c r="B6" s="38" t="n"/>
      <c r="C6" s="36" t="n"/>
      <c r="D6" s="36" t="n"/>
      <c r="E6" s="36" t="n"/>
      <c r="F6" s="36" t="n"/>
      <c r="G6" s="36" t="n"/>
      <c r="H6" s="2" t="inlineStr">
        <is>
          <t>Salary: V1=new salary · 401(k): V1=Percent/Fixed, V2=value · State move: V1=state, V2=status, V3=reg allow, V4=est allow · Employer: V1=SS wages already taxed at new employer · W-4: V1=Step 3, V2=4(a), V3=4(b), V4=4(c) · State cert: V3=reg allow, V4=est allow · Deduction start/stop: V1=which deduction (HSA, Health FSA, Dependent-care FSA, Premiums, Commuter, Other pre-tax, Other post-tax); start V2=new amount ($/check — but for an FSA, the new ANNUAL election)</t>
        </is>
      </c>
      <c r="I6" s="16">
        <f>IF($C6="Deduction stop",0,$E6)</f>
      </c>
      <c r="J6" s="20">
        <f>IF($C6="Deduction stop",1,IF($C6="Deduction start",0,""))</f>
      </c>
    </row>
    <row r="7">
      <c r="B7" s="38" t="n"/>
      <c r="C7" s="36" t="n"/>
      <c r="D7" s="36" t="n"/>
      <c r="E7" s="36" t="n"/>
      <c r="F7" s="36" t="n"/>
      <c r="G7" s="36" t="n"/>
      <c r="H7" s="2" t="n"/>
      <c r="I7" s="16">
        <f>IF($C7="Deduction stop",0,$E7)</f>
      </c>
      <c r="J7" s="20">
        <f>IF($C7="Deduction stop",1,IF($C7="Deduction start",0,""))</f>
      </c>
    </row>
    <row r="8">
      <c r="B8" s="38" t="n"/>
      <c r="C8" s="36" t="n"/>
      <c r="D8" s="36" t="n"/>
      <c r="E8" s="36" t="n"/>
      <c r="F8" s="36" t="n"/>
      <c r="G8" s="36" t="n"/>
      <c r="H8" s="2" t="n"/>
      <c r="I8" s="16">
        <f>IF($C8="Deduction stop",0,$E8)</f>
      </c>
      <c r="J8" s="20">
        <f>IF($C8="Deduction stop",1,IF($C8="Deduction start",0,""))</f>
      </c>
    </row>
    <row r="9">
      <c r="B9" s="38" t="n"/>
      <c r="C9" s="36" t="n"/>
      <c r="D9" s="36" t="n"/>
      <c r="E9" s="36" t="n"/>
      <c r="F9" s="36" t="n"/>
      <c r="G9" s="36" t="n"/>
      <c r="H9" s="2" t="n"/>
      <c r="I9" s="16">
        <f>IF($C9="Deduction stop",0,$E9)</f>
      </c>
      <c r="J9" s="20">
        <f>IF($C9="Deduction stop",1,IF($C9="Deduction start",0,""))</f>
      </c>
    </row>
    <row r="10">
      <c r="B10" s="38" t="n"/>
      <c r="C10" s="36" t="n"/>
      <c r="D10" s="36" t="n"/>
      <c r="E10" s="36" t="n"/>
      <c r="F10" s="36" t="n"/>
      <c r="G10" s="36" t="n"/>
      <c r="H10" s="2" t="n"/>
      <c r="I10" s="16">
        <f>IF($C10="Deduction stop",0,$E10)</f>
      </c>
      <c r="J10" s="20">
        <f>IF($C10="Deduction stop",1,IF($C10="Deduction start",0,""))</f>
      </c>
    </row>
    <row r="11">
      <c r="B11" s="38" t="n"/>
      <c r="C11" s="36" t="n"/>
      <c r="D11" s="36" t="n"/>
      <c r="E11" s="36" t="n"/>
      <c r="F11" s="36" t="n"/>
      <c r="G11" s="36" t="n"/>
      <c r="H11" s="2" t="n"/>
      <c r="I11" s="16">
        <f>IF($C11="Deduction stop",0,$E11)</f>
      </c>
      <c r="J11" s="20">
        <f>IF($C11="Deduction stop",1,IF($C11="Deduction start",0,""))</f>
      </c>
    </row>
    <row r="12">
      <c r="B12" s="38" t="n"/>
      <c r="C12" s="36" t="n"/>
      <c r="D12" s="36" t="n"/>
      <c r="E12" s="36" t="n"/>
      <c r="F12" s="36" t="n"/>
      <c r="G12" s="36" t="n"/>
      <c r="H12" s="2" t="n"/>
      <c r="I12" s="16">
        <f>IF($C12="Deduction stop",0,$E12)</f>
      </c>
      <c r="J12" s="20">
        <f>IF($C12="Deduction stop",1,IF($C12="Deduction start",0,""))</f>
      </c>
    </row>
    <row r="13">
      <c r="B13" s="38" t="n"/>
      <c r="C13" s="36" t="n"/>
      <c r="D13" s="36" t="n"/>
      <c r="E13" s="36" t="n"/>
      <c r="F13" s="36" t="n"/>
      <c r="G13" s="36" t="n"/>
      <c r="H13" s="2" t="n"/>
      <c r="I13" s="16">
        <f>IF($C13="Deduction stop",0,$E13)</f>
      </c>
      <c r="J13" s="20">
        <f>IF($C13="Deduction stop",1,IF($C13="Deduction start",0,""))</f>
      </c>
    </row>
    <row r="14">
      <c r="B14" s="38" t="n"/>
      <c r="C14" s="36" t="n"/>
      <c r="D14" s="36" t="n"/>
      <c r="E14" s="36" t="n"/>
      <c r="F14" s="36" t="n"/>
      <c r="G14" s="36" t="n"/>
      <c r="H14" s="2" t="n"/>
      <c r="I14" s="16">
        <f>IF($C14="Deduction stop",0,$E14)</f>
      </c>
      <c r="J14" s="20">
        <f>IF($C14="Deduction stop",1,IF($C14="Deduction start",0,""))</f>
      </c>
    </row>
    <row r="15">
      <c r="B15" s="38" t="n"/>
      <c r="C15" s="36" t="n"/>
      <c r="D15" s="36" t="n"/>
      <c r="E15" s="36" t="n"/>
      <c r="F15" s="36" t="n"/>
      <c r="G15" s="36" t="n"/>
      <c r="H15" s="2" t="n"/>
      <c r="I15" s="16">
        <f>IF($C15="Deduction stop",0,$E15)</f>
      </c>
      <c r="J15" s="20">
        <f>IF($C15="Deduction stop",1,IF($C15="Deduction start",0,""))</f>
      </c>
    </row>
    <row r="16">
      <c r="B16" s="38" t="n"/>
      <c r="C16" s="36" t="n"/>
      <c r="D16" s="36" t="n"/>
      <c r="E16" s="36" t="n"/>
      <c r="F16" s="36" t="n"/>
      <c r="G16" s="36" t="n"/>
      <c r="H16" s="2" t="n"/>
      <c r="I16" s="16">
        <f>IF($C16="Deduction stop",0,$E16)</f>
      </c>
      <c r="J16" s="20">
        <f>IF($C16="Deduction stop",1,IF($C16="Deduction start",0,""))</f>
      </c>
    </row>
    <row r="17">
      <c r="B17" s="38" t="n"/>
      <c r="C17" s="36" t="n"/>
      <c r="D17" s="36" t="n"/>
      <c r="E17" s="36" t="n"/>
      <c r="F17" s="36" t="n"/>
      <c r="G17" s="36" t="n"/>
      <c r="H17" s="2" t="n"/>
      <c r="I17" s="16">
        <f>IF($C17="Deduction stop",0,$E17)</f>
      </c>
      <c r="J17" s="20">
        <f>IF($C17="Deduction stop",1,IF($C17="Deduction start",0,""))</f>
      </c>
    </row>
    <row r="19">
      <c r="B19" s="8">
        <f>IF(SUMPRODUCT((B6:B17&lt;&gt;"")*(COUNTIF('Pay Schedule'!$B$6:$B$68,B6:B17)=0))&gt;0,"⚠ NOTE: an event date above does not fall exactly on a pay date. Events take effect on the first pay date on or after their date; a date after the final pay date never takes effect.","")</f>
      </c>
    </row>
    <row r="21">
      <c r="B21" s="2" t="inlineStr">
        <is>
          <t>Deduction start/stop — how it works: name the deduction in Value 1 exactly as listed in the note above. A start replaces the Inputs amount from that pay date forward; a stop sets it to $0. For HSA, Premiums, Commuter and the two 'Other' lines the amount is dollars per check. For a Health FSA or Dependent-care FSA start, Value 2 is the new ANNUAL election: the planner spreads what is left of it over the paydays that remain in the year, the way payroll does after a qualifying life event. A later start for the same deduction overrides an earlier stop, and vice versa.</t>
        </is>
      </c>
    </row>
    <row r="22">
      <c r="B22" s="2" t="inlineStr">
        <is>
          <t>FSA elections normally can only change mid-year after a qualifying life event (birth, adoption, marriage, divorce, a spouse's job or coverage change) — your plan's rules govern what is allowed; this planner just does the math for the change you enter.</t>
        </is>
      </c>
    </row>
  </sheetData>
  <sheetProtection selectLockedCells="0" selectUnlockedCells="0" sheet="1" objects="0" insertRows="1" insertHyperlinks="1" autoFilter="1" scenarios="0" formatColumns="1" deleteColumns="1" insertColumns="1" pivotTables="1" deleteRows="1" formatCells="1" formatRows="1" sort="1"/>
  <mergeCells count="5">
    <mergeCell ref="B22:H22"/>
    <mergeCell ref="B21:H21"/>
    <mergeCell ref="B2:H2"/>
    <mergeCell ref="B3:H3"/>
    <mergeCell ref="B19:H19"/>
  </mergeCells>
  <dataValidations count="1">
    <dataValidation sqref="C6:C17" showDropDown="0" showInputMessage="0" showErrorMessage="0" allowBlank="0" type="list">
      <formula1>"Salary change,401(k) change,State move,Employer change,W-4 change,State cert change,Deduction start,Deduction stop"</formula1>
    </dataValidation>
  </dataValidations>
  <pageMargins left="0.75" right="0.75" top="1" bottom="1" header="0.5" footer="0.5"/>
</worksheet>
</file>

<file path=xl/worksheets/sheet5.xml><?xml version="1.0" encoding="utf-8"?>
<worksheet xmlns="http://schemas.openxmlformats.org/spreadsheetml/2006/main">
  <sheetPr>
    <tabColor rgb="00ED7D31"/>
    <outlinePr summaryBelow="1" summaryRight="1"/>
    <pageSetUpPr/>
  </sheetPr>
  <dimension ref="B1:J22"/>
  <sheetViews>
    <sheetView workbookViewId="0">
      <selection activeCell="A1" sqref="A1"/>
    </sheetView>
  </sheetViews>
  <sheetFormatPr baseColWidth="8" defaultRowHeight="15"/>
  <cols>
    <col width="2" customWidth="1" min="1" max="1"/>
    <col width="15" customWidth="1" min="2" max="2"/>
    <col width="21" customWidth="1" min="3" max="3"/>
    <col width="15" customWidth="1" min="4" max="4"/>
    <col width="15" customWidth="1" min="5" max="5"/>
    <col width="15" customWidth="1" min="6" max="6"/>
    <col width="15" customWidth="1" min="7" max="7"/>
    <col width="76" customWidth="1" min="8" max="8"/>
    <col width="15" customWidth="1" min="9" max="9"/>
    <col width="11" customWidth="1" min="10" max="10"/>
  </cols>
  <sheetData>
    <row r="1">
      <c r="B1" s="9" t="inlineStr">
        <is>
          <t>Events 2 — Earner 2's changes during the year</t>
        </is>
      </c>
    </row>
    <row r="2">
      <c r="B2" s="2" t="inlineStr">
        <is>
          <t>One row per change, effective on one of your pay dates. The schedule uses each event from its date forward; the Inputs tab values apply until the first event of that type.</t>
        </is>
      </c>
    </row>
    <row r="3">
      <c r="B3" s="2" t="inlineStr">
        <is>
          <t>Employer change resets the Social Security wage cap (it is per-employer in real payroll) — enter any SS wages already taxed at the new employer in Value 1 (usually 0). The 401(k) cap does NOT reset: it is a per-person IRS limit. 'Deduction start/stop' begins or ends a paycheck deduction mid-year — a premium starting, an FSA/HSA election from a qualifying life event (birth, marriage, a spouse's job change), a commuter benefit ending.</t>
        </is>
      </c>
    </row>
    <row r="5">
      <c r="B5" s="19" t="inlineStr">
        <is>
          <t>Effective pay date</t>
        </is>
      </c>
      <c r="C5" s="19" t="inlineStr">
        <is>
          <t>Type</t>
        </is>
      </c>
      <c r="D5" s="19" t="inlineStr">
        <is>
          <t>Value 1</t>
        </is>
      </c>
      <c r="E5" s="19" t="inlineStr">
        <is>
          <t>Value 2</t>
        </is>
      </c>
      <c r="F5" s="19" t="inlineStr">
        <is>
          <t>Value 3</t>
        </is>
      </c>
      <c r="G5" s="19" t="inlineStr">
        <is>
          <t>Value 4</t>
        </is>
      </c>
      <c r="H5" s="19" t="inlineStr">
        <is>
          <t>Notes — what each type expects</t>
        </is>
      </c>
      <c r="I5" s="19" t="inlineStr">
        <is>
          <t>Resolved $ (engine)</t>
        </is>
      </c>
      <c r="J5" s="19" t="inlineStr">
        <is>
          <t>Stop? (engine)</t>
        </is>
      </c>
    </row>
    <row r="6">
      <c r="B6" s="38" t="n"/>
      <c r="C6" s="36" t="n"/>
      <c r="D6" s="36" t="n"/>
      <c r="E6" s="36" t="n"/>
      <c r="F6" s="36" t="n"/>
      <c r="G6" s="36" t="n"/>
      <c r="H6" s="2" t="inlineStr">
        <is>
          <t>Salary: V1=new salary · 401(k): V1=Percent/Fixed, V2=value · State move: V1=state, V2=status, V3=reg allow, V4=est allow · Employer: V1=SS wages already taxed at new employer · W-4: V1=Step 3, V2=4(a), V3=4(b), V4=4(c) · State cert: V3=reg allow, V4=est allow · Deduction start/stop: V1=which deduction (HSA, Health FSA, Dependent-care FSA, Premiums, Commuter, Other pre-tax, Other post-tax); start V2=new amount ($/check — but for an FSA, the new ANNUAL election)</t>
        </is>
      </c>
      <c r="I6" s="16">
        <f>IF($C6="Deduction stop",0,$E6)</f>
      </c>
      <c r="J6" s="20">
        <f>IF($C6="Deduction stop",1,IF($C6="Deduction start",0,""))</f>
      </c>
    </row>
    <row r="7">
      <c r="B7" s="38" t="n"/>
      <c r="C7" s="36" t="n"/>
      <c r="D7" s="36" t="n"/>
      <c r="E7" s="36" t="n"/>
      <c r="F7" s="36" t="n"/>
      <c r="G7" s="36" t="n"/>
      <c r="H7" s="2" t="n"/>
      <c r="I7" s="16">
        <f>IF($C7="Deduction stop",0,$E7)</f>
      </c>
      <c r="J7" s="20">
        <f>IF($C7="Deduction stop",1,IF($C7="Deduction start",0,""))</f>
      </c>
    </row>
    <row r="8">
      <c r="B8" s="38" t="n"/>
      <c r="C8" s="36" t="n"/>
      <c r="D8" s="36" t="n"/>
      <c r="E8" s="36" t="n"/>
      <c r="F8" s="36" t="n"/>
      <c r="G8" s="36" t="n"/>
      <c r="H8" s="2" t="n"/>
      <c r="I8" s="16">
        <f>IF($C8="Deduction stop",0,$E8)</f>
      </c>
      <c r="J8" s="20">
        <f>IF($C8="Deduction stop",1,IF($C8="Deduction start",0,""))</f>
      </c>
    </row>
    <row r="9">
      <c r="B9" s="38" t="n"/>
      <c r="C9" s="36" t="n"/>
      <c r="D9" s="36" t="n"/>
      <c r="E9" s="36" t="n"/>
      <c r="F9" s="36" t="n"/>
      <c r="G9" s="36" t="n"/>
      <c r="H9" s="2" t="n"/>
      <c r="I9" s="16">
        <f>IF($C9="Deduction stop",0,$E9)</f>
      </c>
      <c r="J9" s="20">
        <f>IF($C9="Deduction stop",1,IF($C9="Deduction start",0,""))</f>
      </c>
    </row>
    <row r="10">
      <c r="B10" s="38" t="n"/>
      <c r="C10" s="36" t="n"/>
      <c r="D10" s="36" t="n"/>
      <c r="E10" s="36" t="n"/>
      <c r="F10" s="36" t="n"/>
      <c r="G10" s="36" t="n"/>
      <c r="H10" s="2" t="n"/>
      <c r="I10" s="16">
        <f>IF($C10="Deduction stop",0,$E10)</f>
      </c>
      <c r="J10" s="20">
        <f>IF($C10="Deduction stop",1,IF($C10="Deduction start",0,""))</f>
      </c>
    </row>
    <row r="11">
      <c r="B11" s="38" t="n"/>
      <c r="C11" s="36" t="n"/>
      <c r="D11" s="36" t="n"/>
      <c r="E11" s="36" t="n"/>
      <c r="F11" s="36" t="n"/>
      <c r="G11" s="36" t="n"/>
      <c r="H11" s="2" t="n"/>
      <c r="I11" s="16">
        <f>IF($C11="Deduction stop",0,$E11)</f>
      </c>
      <c r="J11" s="20">
        <f>IF($C11="Deduction stop",1,IF($C11="Deduction start",0,""))</f>
      </c>
    </row>
    <row r="12">
      <c r="B12" s="38" t="n"/>
      <c r="C12" s="36" t="n"/>
      <c r="D12" s="36" t="n"/>
      <c r="E12" s="36" t="n"/>
      <c r="F12" s="36" t="n"/>
      <c r="G12" s="36" t="n"/>
      <c r="H12" s="2" t="n"/>
      <c r="I12" s="16">
        <f>IF($C12="Deduction stop",0,$E12)</f>
      </c>
      <c r="J12" s="20">
        <f>IF($C12="Deduction stop",1,IF($C12="Deduction start",0,""))</f>
      </c>
    </row>
    <row r="13">
      <c r="B13" s="38" t="n"/>
      <c r="C13" s="36" t="n"/>
      <c r="D13" s="36" t="n"/>
      <c r="E13" s="36" t="n"/>
      <c r="F13" s="36" t="n"/>
      <c r="G13" s="36" t="n"/>
      <c r="H13" s="2" t="n"/>
      <c r="I13" s="16">
        <f>IF($C13="Deduction stop",0,$E13)</f>
      </c>
      <c r="J13" s="20">
        <f>IF($C13="Deduction stop",1,IF($C13="Deduction start",0,""))</f>
      </c>
    </row>
    <row r="14">
      <c r="B14" s="38" t="n"/>
      <c r="C14" s="36" t="n"/>
      <c r="D14" s="36" t="n"/>
      <c r="E14" s="36" t="n"/>
      <c r="F14" s="36" t="n"/>
      <c r="G14" s="36" t="n"/>
      <c r="H14" s="2" t="n"/>
      <c r="I14" s="16">
        <f>IF($C14="Deduction stop",0,$E14)</f>
      </c>
      <c r="J14" s="20">
        <f>IF($C14="Deduction stop",1,IF($C14="Deduction start",0,""))</f>
      </c>
    </row>
    <row r="15">
      <c r="B15" s="38" t="n"/>
      <c r="C15" s="36" t="n"/>
      <c r="D15" s="36" t="n"/>
      <c r="E15" s="36" t="n"/>
      <c r="F15" s="36" t="n"/>
      <c r="G15" s="36" t="n"/>
      <c r="H15" s="2" t="n"/>
      <c r="I15" s="16">
        <f>IF($C15="Deduction stop",0,$E15)</f>
      </c>
      <c r="J15" s="20">
        <f>IF($C15="Deduction stop",1,IF($C15="Deduction start",0,""))</f>
      </c>
    </row>
    <row r="16">
      <c r="B16" s="38" t="n"/>
      <c r="C16" s="36" t="n"/>
      <c r="D16" s="36" t="n"/>
      <c r="E16" s="36" t="n"/>
      <c r="F16" s="36" t="n"/>
      <c r="G16" s="36" t="n"/>
      <c r="H16" s="2" t="n"/>
      <c r="I16" s="16">
        <f>IF($C16="Deduction stop",0,$E16)</f>
      </c>
      <c r="J16" s="20">
        <f>IF($C16="Deduction stop",1,IF($C16="Deduction start",0,""))</f>
      </c>
    </row>
    <row r="17">
      <c r="B17" s="38" t="n"/>
      <c r="C17" s="36" t="n"/>
      <c r="D17" s="36" t="n"/>
      <c r="E17" s="36" t="n"/>
      <c r="F17" s="36" t="n"/>
      <c r="G17" s="36" t="n"/>
      <c r="H17" s="2" t="n"/>
      <c r="I17" s="16">
        <f>IF($C17="Deduction stop",0,$E17)</f>
      </c>
      <c r="J17" s="20">
        <f>IF($C17="Deduction stop",1,IF($C17="Deduction start",0,""))</f>
      </c>
    </row>
    <row r="19">
      <c r="B19" s="8">
        <f>IF(SUMPRODUCT((B6:B17&lt;&gt;"")*(COUNTIF('Pay Schedule 2'!$B$6:$B$68,B6:B17)=0))&gt;0,"⚠ NOTE: an event date above does not fall exactly on a pay date. Events take effect on the first pay date on or after their date; a date after the final pay date never takes effect.","")</f>
      </c>
    </row>
    <row r="21">
      <c r="B21" s="2" t="inlineStr">
        <is>
          <t>Deduction start/stop — how it works: name the deduction in Value 1 exactly as listed in the note above. A start replaces the Inputs amount from that pay date forward; a stop sets it to $0. For HSA, Premiums, Commuter and the two 'Other' lines the amount is dollars per check. For a Health FSA or Dependent-care FSA start, Value 2 is the new ANNUAL election: the planner spreads what is left of it over the paydays that remain in the year, the way payroll does after a qualifying life event. A later start for the same deduction overrides an earlier stop, and vice versa.</t>
        </is>
      </c>
    </row>
    <row r="22">
      <c r="B22" s="2" t="inlineStr">
        <is>
          <t>FSA elections normally can only change mid-year after a qualifying life event (birth, adoption, marriage, divorce, a spouse's job or coverage change) — your plan's rules govern what is allowed; this planner just does the math for the change you enter.</t>
        </is>
      </c>
    </row>
  </sheetData>
  <sheetProtection selectLockedCells="0" selectUnlockedCells="0" sheet="1" objects="0" insertRows="1" insertHyperlinks="1" autoFilter="1" scenarios="0" formatColumns="1" deleteColumns="1" insertColumns="1" pivotTables="1" deleteRows="1" formatCells="1" formatRows="1" sort="1"/>
  <mergeCells count="5">
    <mergeCell ref="B22:H22"/>
    <mergeCell ref="B21:H21"/>
    <mergeCell ref="B2:H2"/>
    <mergeCell ref="B3:H3"/>
    <mergeCell ref="B19:H19"/>
  </mergeCells>
  <dataValidations count="1">
    <dataValidation sqref="C6:C17" showDropDown="0" showInputMessage="0" showErrorMessage="0" allowBlank="0" type="list">
      <formula1>"Salary change,401(k) change,State move,Employer change,W-4 change,State cert change,Deduction start,Deduction stop"</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E68"/>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12" customWidth="1" min="3" max="3"/>
    <col width="11" customWidth="1" min="4" max="4"/>
    <col width="12" customWidth="1" min="5" max="5"/>
    <col width="11" customWidth="1" min="6" max="6"/>
    <col width="10" customWidth="1" min="7" max="7"/>
    <col width="11" customWidth="1" min="8" max="8"/>
    <col width="11" customWidth="1" min="9" max="9"/>
    <col width="12" customWidth="1" min="10" max="10"/>
    <col width="11" customWidth="1" min="11" max="11"/>
    <col width="11" customWidth="1" min="12" max="12"/>
    <col width="13" customWidth="1" min="13" max="13"/>
    <col width="12" customWidth="1" min="14" max="14"/>
    <col width="13" customWidth="1" min="15" max="15"/>
    <col width="11" customWidth="1" min="16" max="16"/>
    <col width="11" customWidth="1" min="17" max="17"/>
    <col width="10" customWidth="1" min="18" max="18"/>
    <col width="11" customWidth="1" min="19" max="19"/>
    <col width="11" customWidth="1" min="20" max="20"/>
    <col width="11" customWidth="1" min="21" max="21"/>
    <col width="10" customWidth="1" min="22" max="22"/>
    <col width="11" customWidth="1" min="23" max="23"/>
    <col width="12" customWidth="1" min="24" max="24"/>
    <col width="12" customWidth="1" min="25" max="25"/>
    <col width="12" customWidth="1" min="26" max="26"/>
    <col width="12" customWidth="1" min="27" max="27"/>
    <col width="12" customWidth="1" min="28" max="28"/>
    <col width="11" customWidth="1" min="29" max="29"/>
    <col width="62" customWidth="1" min="30" max="30"/>
    <col width="13" customWidth="1" min="31" max="31"/>
    <col width="10" customWidth="1" min="32" max="32"/>
    <col width="12" customWidth="1" min="33" max="33"/>
    <col width="13" customWidth="1" min="34" max="34"/>
    <col width="13" customWidth="1" min="35" max="35"/>
    <col width="13" customWidth="1" min="36" max="36"/>
    <col width="12" customWidth="1" min="37" max="37"/>
    <col width="11" customWidth="1" min="38" max="38"/>
    <col width="12" customWidth="1" min="39" max="39"/>
    <col width="9" customWidth="1" min="40" max="40"/>
    <col width="11" customWidth="1" min="41" max="41"/>
    <col width="11" customWidth="1" min="42" max="42"/>
    <col width="11" customWidth="1" min="43" max="43"/>
    <col width="11" customWidth="1" min="44" max="44"/>
    <col width="11" customWidth="1" min="45" max="45"/>
    <col width="11" customWidth="1" min="46" max="46"/>
    <col width="13" customWidth="1" min="47" max="47"/>
    <col width="9" customWidth="1" min="48" max="48"/>
    <col width="12" customWidth="1" min="49" max="49"/>
    <col width="12" customWidth="1" min="50" max="50"/>
    <col width="13" customWidth="1" min="51" max="51"/>
    <col width="13" customWidth="1" min="52" max="52"/>
    <col width="13" customWidth="1" min="53" max="53"/>
    <col width="13" customWidth="1" min="54" max="54"/>
    <col width="12" customWidth="1" min="55" max="55"/>
    <col width="12" customWidth="1" min="56" max="56"/>
    <col width="10" customWidth="1" min="57" max="57"/>
    <col width="10" customWidth="1" min="58" max="58"/>
    <col width="12" customWidth="1" min="59" max="59"/>
    <col width="12" customWidth="1" min="60" max="60"/>
    <col width="12" customWidth="1" min="61" max="61"/>
    <col width="13" customWidth="1" min="62" max="62"/>
    <col width="13" customWidth="1" min="63" max="63"/>
    <col width="12" customWidth="1" min="64" max="64"/>
    <col width="12" customWidth="1" min="65" max="65"/>
    <col width="12" customWidth="1" min="66" max="66"/>
    <col width="12" customWidth="1" min="67" max="67"/>
    <col width="12" customWidth="1" min="68" max="68"/>
    <col width="10" customWidth="1" min="69" max="69"/>
    <col width="10" customWidth="1" min="70" max="70"/>
    <col width="10" customWidth="1" min="71" max="71"/>
    <col width="10" customWidth="1" min="72" max="72"/>
    <col width="11" customWidth="1" min="73" max="73"/>
    <col width="11" customWidth="1" min="74" max="74"/>
    <col width="13" customWidth="1" min="75" max="75"/>
    <col width="13" customWidth="1" min="76" max="76"/>
    <col width="13" customWidth="1" min="77" max="77"/>
    <col width="11" customWidth="1" min="78" max="78"/>
    <col width="11" customWidth="1" min="79" max="79"/>
    <col width="11" customWidth="1" min="80" max="80"/>
    <col width="11" customWidth="1" min="81" max="81"/>
    <col width="12" customWidth="1" min="82" max="82"/>
    <col width="12" customWidth="1" min="83" max="83"/>
  </cols>
  <sheetData>
    <row r="1">
      <c r="B1" s="9" t="inlineStr">
        <is>
          <t>Rest of 2026 — your remaining paychecks, one by one</t>
        </is>
      </c>
    </row>
    <row r="2">
      <c r="B2" s="5" t="inlineStr">
        <is>
          <t>Paydays projected:</t>
        </is>
      </c>
      <c r="C2" s="6">
        <f>SUM(BF6:BF68)</f>
      </c>
      <c r="D2" s="5" t="inlineStr">
        <is>
          <t>Total gross:</t>
        </is>
      </c>
      <c r="E2" s="7">
        <f>SUM(C6:C68)+SUM(D6:D68)</f>
      </c>
      <c r="F2" s="5" t="inlineStr">
        <is>
          <t>Projected take-home — rest of 2026:</t>
        </is>
      </c>
      <c r="G2" s="7">
        <f>SUM(Y6:Y68)</f>
      </c>
    </row>
    <row r="3">
      <c r="B3" s="5" t="inlineStr">
        <is>
          <t>Total federal WH:</t>
        </is>
      </c>
      <c r="C3" s="7">
        <f>SUM(P6:P68)</f>
      </c>
      <c r="D3" s="5" t="inlineStr">
        <is>
          <t>Total FICA:</t>
        </is>
      </c>
      <c r="E3" s="7">
        <f>SUM(Q6:Q68)+SUM(R6:R68)+SUM(S6:S68)</f>
      </c>
      <c r="F3" s="5" t="inlineStr">
        <is>
          <t>Total state WH:</t>
        </is>
      </c>
      <c r="G3" s="7">
        <f>SUM(T6:T68)</f>
      </c>
    </row>
    <row r="4">
      <c r="B4" s="2" t="inlineStr">
        <is>
          <t>★ notes appear on the exact checks where a cap or threshold changes your pay. Type each real net into 'Actual net' as the year unfolds. ⚠ Manual-entry states: if the per-check amount on Inputs row 28 is blank, the State WH column is shaded red and shows $0 — that is missing data, not a real zero.</t>
        </is>
      </c>
    </row>
    <row r="5">
      <c r="A5" s="19" t="inlineStr">
        <is>
          <t>#</t>
        </is>
      </c>
      <c r="B5" s="19" t="inlineStr">
        <is>
          <t>Pay date</t>
        </is>
      </c>
      <c r="C5" s="19" t="inlineStr">
        <is>
          <t>Gross pay</t>
        </is>
      </c>
      <c r="D5" s="19" t="inlineStr">
        <is>
          <t>One-off pay</t>
        </is>
      </c>
      <c r="E5" s="19" t="inlineStr">
        <is>
          <t>401(k) pre-tax</t>
        </is>
      </c>
      <c r="F5" s="19" t="inlineStr">
        <is>
          <t>Roth 401(k)</t>
        </is>
      </c>
      <c r="G5" s="19" t="inlineStr">
        <is>
          <t>HSA</t>
        </is>
      </c>
      <c r="H5" s="19" t="inlineStr">
        <is>
          <t>Health FSA</t>
        </is>
      </c>
      <c r="I5" s="19" t="inlineStr">
        <is>
          <t>Dep-care FSA</t>
        </is>
      </c>
      <c r="J5" s="19" t="inlineStr">
        <is>
          <t>Premiums (§125)</t>
        </is>
      </c>
      <c r="K5" s="19" t="inlineStr">
        <is>
          <t>Other pre-tax</t>
        </is>
      </c>
      <c r="L5" s="19" t="inlineStr">
        <is>
          <t>Imputed income</t>
        </is>
      </c>
      <c r="M5" s="19" t="inlineStr">
        <is>
          <t>Federal taxable wages</t>
        </is>
      </c>
      <c r="N5" s="19" t="inlineStr">
        <is>
          <t>FICA wages</t>
        </is>
      </c>
      <c r="O5" s="19" t="inlineStr">
        <is>
          <t>State taxable wages</t>
        </is>
      </c>
      <c r="P5" s="19" t="inlineStr">
        <is>
          <t>Federal WH</t>
        </is>
      </c>
      <c r="Q5" s="19" t="inlineStr">
        <is>
          <t>Social Security</t>
        </is>
      </c>
      <c r="R5" s="19" t="inlineStr">
        <is>
          <t>Medicare</t>
        </is>
      </c>
      <c r="S5" s="19" t="inlineStr">
        <is>
          <t>Addl Medicare</t>
        </is>
      </c>
      <c r="T5" s="19" t="inlineStr">
        <is>
          <t>State WH</t>
        </is>
      </c>
      <c r="U5" s="19" t="inlineStr">
        <is>
          <t>State programs</t>
        </is>
      </c>
      <c r="V5" s="19" t="inlineStr">
        <is>
          <t>Local WH</t>
        </is>
      </c>
      <c r="W5" s="19" t="inlineStr">
        <is>
          <t>Other post-tax</t>
        </is>
      </c>
      <c r="X5" s="19" t="inlineStr">
        <is>
          <t>Total deducted</t>
        </is>
      </c>
      <c r="Y5" s="19" t="inlineStr">
        <is>
          <t>NET PAY</t>
        </is>
      </c>
      <c r="Z5" s="19" t="inlineStr">
        <is>
          <t>YTD gross</t>
        </is>
      </c>
      <c r="AA5" s="19" t="inlineStr">
        <is>
          <t>YTD net</t>
        </is>
      </c>
      <c r="AB5" s="19" t="inlineStr">
        <is>
          <t>SS wages YTD</t>
        </is>
      </c>
      <c r="AC5" s="19" t="inlineStr">
        <is>
          <t>401(k) YTD</t>
        </is>
      </c>
      <c r="AD5" s="19" t="inlineStr">
        <is>
          <t>★ Cap events</t>
        </is>
      </c>
      <c r="AE5" s="19" t="inlineStr">
        <is>
          <t>Actual net (you fill in)</t>
        </is>
      </c>
      <c r="AF5" s="19" t="inlineStr">
        <is>
          <t>Variance</t>
        </is>
      </c>
      <c r="AG5" s="19" t="inlineStr">
        <is>
          <t>Medicare wages YTD</t>
        </is>
      </c>
      <c r="AH5" s="19" t="inlineStr">
        <is>
          <t>Fed adj. annual wage (engine)</t>
        </is>
      </c>
      <c r="AI5" s="19" t="inlineStr">
        <is>
          <t>State annual wages (engine)</t>
        </is>
      </c>
      <c r="AJ5" s="19" t="inlineStr">
        <is>
          <t>State taxable, annual (engine)</t>
        </is>
      </c>
      <c r="AK5" s="19" t="inlineStr">
        <is>
          <t>Salary basis (resolved)</t>
        </is>
      </c>
      <c r="AL5" s="19" t="inlineStr">
        <is>
          <t>401(k) mode (resolved)</t>
        </is>
      </c>
      <c r="AM5" s="19" t="inlineStr">
        <is>
          <t>401(k) value (resolved)</t>
        </is>
      </c>
      <c r="AN5" s="19" t="inlineStr">
        <is>
          <t>State (resolved)</t>
        </is>
      </c>
      <c r="AO5" s="19" t="inlineStr">
        <is>
          <t>W-4 Step 3 (resolved)</t>
        </is>
      </c>
      <c r="AP5" s="19" t="inlineStr">
        <is>
          <t>W-4 4(a) (resolved)</t>
        </is>
      </c>
      <c r="AQ5" s="19" t="inlineStr">
        <is>
          <t>W-4 4(b) (resolved)</t>
        </is>
      </c>
      <c r="AR5" s="19" t="inlineStr">
        <is>
          <t>W-4 4(c) (resolved)</t>
        </is>
      </c>
      <c r="AS5" s="19" t="inlineStr">
        <is>
          <t>State reg allow. (resolved)</t>
        </is>
      </c>
      <c r="AT5" s="19" t="inlineStr">
        <is>
          <t>State est allow. (resolved)</t>
        </is>
      </c>
      <c r="AU5" s="19" t="inlineStr">
        <is>
          <t>State status (resolved)</t>
        </is>
      </c>
      <c r="AV5" s="19" t="inlineStr">
        <is>
          <t>Employer segment</t>
        </is>
      </c>
      <c r="AW5" s="19" t="inlineStr">
        <is>
          <t>Seg. SS marker (engine)</t>
        </is>
      </c>
      <c r="AX5" s="19" t="inlineStr">
        <is>
          <t>Seg. SS start balance (engine)</t>
        </is>
      </c>
      <c r="AY5" s="19" t="inlineStr">
        <is>
          <t>State annual wages, regular (engine)</t>
        </is>
      </c>
      <c r="AZ5" s="19" t="inlineStr">
        <is>
          <t>State taxable wages, annual (engine)</t>
        </is>
      </c>
      <c r="BA5" s="19" t="inlineStr">
        <is>
          <t>State bracket tax, annual (engine)</t>
        </is>
      </c>
      <c r="BB5" s="19" t="inlineStr">
        <is>
          <t>State direct tax / credits, annual (engine)</t>
        </is>
      </c>
      <c r="BC5" s="19" t="inlineStr">
        <is>
          <t>State one-off tax (engine)</t>
        </is>
      </c>
      <c r="BD5" s="19" t="inlineStr">
        <is>
          <t>FICA $ YTD (engine)</t>
        </is>
      </c>
      <c r="BE5" s="19" t="inlineStr">
        <is>
          <t>Payday count (engine)</t>
        </is>
      </c>
      <c r="BF5" s="19" t="inlineStr">
        <is>
          <t>Is payday row (engine)</t>
        </is>
      </c>
      <c r="BG5" s="19" t="inlineStr">
        <is>
          <t>Health FSA YTD (engine)</t>
        </is>
      </c>
      <c r="BH5" s="19" t="inlineStr">
        <is>
          <t>Dep-care FSA YTD (engine)</t>
        </is>
      </c>
      <c r="BI5" s="19" t="inlineStr">
        <is>
          <t>HSA YTD (engine)</t>
        </is>
      </c>
      <c r="BJ5" s="19" t="inlineStr">
        <is>
          <t>Health FSA election (resolved)</t>
        </is>
      </c>
      <c r="BK5" s="19" t="inlineStr">
        <is>
          <t>Dep-care FSA election (resolved)</t>
        </is>
      </c>
      <c r="BL5" s="19" t="inlineStr">
        <is>
          <t>HSA $/check (resolved)</t>
        </is>
      </c>
      <c r="BM5" s="19" t="inlineStr">
        <is>
          <t>Premiums $/check (resolved)</t>
        </is>
      </c>
      <c r="BN5" s="19" t="inlineStr">
        <is>
          <t>Commuter $/check (resolved)</t>
        </is>
      </c>
      <c r="BO5" s="19" t="inlineStr">
        <is>
          <t>Other pre-tax $/check (resolved)</t>
        </is>
      </c>
      <c r="BP5" s="19" t="inlineStr">
        <is>
          <t>Other post-tax $/check (resolved)</t>
        </is>
      </c>
      <c r="BQ5" s="19" t="inlineStr">
        <is>
          <t>Health FSA stopped (engine)</t>
        </is>
      </c>
      <c r="BR5" s="19" t="inlineStr">
        <is>
          <t>Dep-care FSA stopped (engine)</t>
        </is>
      </c>
      <c r="BS5" s="19" t="inlineStr">
        <is>
          <t>Health FSA event-started (engine)</t>
        </is>
      </c>
      <c r="BT5" s="19" t="inlineStr">
        <is>
          <t>Dep-care FSA event-started (engine)</t>
        </is>
      </c>
      <c r="BU5" s="19" t="inlineStr">
        <is>
          <t>Federal marginal rate (engine)</t>
        </is>
      </c>
      <c r="BV5" s="19" t="inlineStr">
        <is>
          <t>State marginal rate (engine)</t>
        </is>
      </c>
      <c r="BW5" s="19" t="inlineStr">
        <is>
          <t>State bracket tax, annual (engine) — part 1</t>
        </is>
      </c>
      <c r="BX5" s="19" t="inlineStr">
        <is>
          <t>State bracket tax, annual (engine) — part 2</t>
        </is>
      </c>
      <c r="BY5" s="19" t="inlineStr">
        <is>
          <t>State bracket tax, annual (engine) — part 3</t>
        </is>
      </c>
      <c r="BZ5" s="19" t="inlineStr">
        <is>
          <t>State marginal rate (engine) — part 1</t>
        </is>
      </c>
      <c r="CA5" s="19" t="inlineStr">
        <is>
          <t>State marginal rate (engine) — part 2</t>
        </is>
      </c>
      <c r="CB5" s="19" t="inlineStr">
        <is>
          <t>State marginal rate (engine) — part 3</t>
        </is>
      </c>
      <c r="CC5" s="19" t="inlineStr">
        <is>
          <t>State marginal rate (engine) — part 4</t>
        </is>
      </c>
      <c r="CD5" s="19" t="inlineStr">
        <is>
          <t>Next scheduled pay date (engine)</t>
        </is>
      </c>
      <c r="CE5" s="19" t="inlineStr">
        <is>
          <t>Next one-off date (engine)</t>
        </is>
      </c>
    </row>
    <row r="6">
      <c r="A6" t="n">
        <v>1</v>
      </c>
      <c r="B6" s="21">
        <f>IF(AND($CD6="",$CE6=""),"",IF($CE6="",$CD6,IF($CD6="",$CE6,MIN($CD6,$CE6))))</f>
      </c>
      <c r="C6" s="7">
        <f>IF($B6="","",IF($BF6=0,0,IF(Inputs!$C$4="Annual salary",ROUND($AK6/IF(AND(Inputs!$C$88="Actual paydays",MONTH(Inputs!$C$9)=1),MAX(1,MAX($BE$6:$BE$68)),Inputs!$C$8),2),$AK6)))</f>
      </c>
      <c r="D6" s="7">
        <f>IF($B6="","",SUMIF(Inputs!$C$58:$C$67,$B6,Inputs!$D$58:$D$67))</f>
      </c>
      <c r="E6" s="7">
        <f>IF($B6="","",ROUND(MAX(0,MIN(IF($AL6="Percent",$AM6*($C6+$D6),$AM6),MAX(0,Inputs!$C$91-Inputs!$C$51))),2))</f>
      </c>
      <c r="F6" s="7">
        <f>IF($B6="","",ROUND(MAX(0,MIN(IF(Inputs!$C$32="Percent",Inputs!$D$32*($C6+$D6),Inputs!$D$32),MAX(0,Inputs!$C$91-Inputs!$C$51-$E6))),2))</f>
      </c>
      <c r="G6" s="7">
        <f>IF($B6="","",IF($BF6=0,0,ROUND(MAX(0,MIN($BL6,Inputs!$C$92-Inputs!$C$54-0)),2)))</f>
      </c>
      <c r="H6" s="7">
        <f>IF($B6="","",IF(OR($BF6=0,$BQ6=1),0,ROUND(MAX(0,MIN(IF($BS6=1,ROUND(MAX(0,MIN($BJ6,'Methodology &amp; Sources'!$C$263)-Inputs!$C$52)/MAX(1,MAX($BE$6:$BE$68)-(0)),2),ROUND(MIN($BJ6,'Methodology &amp; Sources'!$C$263)/Inputs!$C$8,2)),MIN($BJ6,'Methodology &amp; Sources'!$C$263)-Inputs!$C$52)),2)))</f>
      </c>
      <c r="I6" s="7">
        <f>IF($B6="","",IF(OR($BF6=0,$BR6=1),0,ROUND(MAX(0,MIN(IF($BT6=1,ROUND(MAX(0,MIN($BK6,IF(Inputs!$C$12="MFJ",'Methodology &amp; Sources'!$C$264,'Methodology &amp; Sources'!$C$265))-Inputs!$C$53)/MAX(1,MAX($BE$6:$BE$68)-(0)),2),ROUND(MIN($BK6,IF(Inputs!$C$12="MFJ",'Methodology &amp; Sources'!$C$264,'Methodology &amp; Sources'!$C$265))/Inputs!$C$8,2)),MIN($BK6,IF(Inputs!$C$12="MFJ",'Methodology &amp; Sources'!$C$264,'Methodology &amp; Sources'!$C$265))-Inputs!$C$53)),2)))</f>
      </c>
      <c r="J6" s="7">
        <f>IF($B6="","",IF($BF6=0,0,$BM6))</f>
      </c>
      <c r="K6" s="7">
        <f>IF($B6="","",IF($BF6=0,0,$BN6+$BO6))</f>
      </c>
      <c r="L6" s="7">
        <f>IF($B6="","",IF($BF6=0,0,Inputs!$D$46))</f>
      </c>
      <c r="M6" s="7">
        <f>IF($B6="","",$C6+$D6+$L6-$E6-$G6-$H6-$I6-$J6-$K6)</f>
      </c>
      <c r="N6" s="7">
        <f>IF($B6="","",$C6+$D6+$L6-$G6-$H6-$I6-$J6-$K6)</f>
      </c>
      <c r="O6" s="7">
        <f>IF($B6="","",$C6+$D6+$L6-$E6-$H6-$I6-$J6-$K6-IF(OR($AN6="CA",$AN6="NJ"),0,$G6))</f>
      </c>
      <c r="P6" s="7">
        <f>IF($B6="","",IF(Inputs!$C$18,0,ROUND(MAX(0,IF(Inputs!$C$13,SUMPRODUCT(($AH6&gt;INDEX('Methodology &amp; Sources'!$B$279:$J$286,0,IF(Inputs!$C$12="MFJ",1,IF(Inputs!$C$12="HoH",7,4))))*($AH6-INDEX('Methodology &amp; Sources'!$B$279:$J$286,0,IF(Inputs!$C$12="MFJ",1,IF(Inputs!$C$12="HoH",7,4))))*INDEX('Methodology &amp; Sources'!$B$279:$J$286,0,IF(Inputs!$C$12="MFJ",1,IF(Inputs!$C$12="HoH",7,4))+2)),SUMPRODUCT(($AH6&gt;INDEX('Methodology &amp; Sources'!$B$269:$J$276,0,IF(Inputs!$C$12="MFJ",1,IF(Inputs!$C$12="HoH",7,4))))*($AH6-INDEX('Methodology &amp; Sources'!$B$269:$J$276,0,IF(Inputs!$C$12="MFJ",1,IF(Inputs!$C$12="HoH",7,4))))*INDEX('Methodology &amp; Sources'!$B$269:$J$276,0,IF(Inputs!$C$12="MFJ",1,IF(Inputs!$C$12="HoH",7,4))+2)))/Inputs!$C$8-$AO6/Inputs!$C$8)+$AR6+IF(Inputs!$C$89="Aggregate",MAX(0,IF(Inputs!$C$13,SUMPRODUCT((($AH6+$D6)&gt;INDEX('Methodology &amp; Sources'!$B$279:$J$286,0,IF(Inputs!$C$12="MFJ",1,IF(Inputs!$C$12="HoH",7,4))))*(($AH6+$D6)-INDEX('Methodology &amp; Sources'!$B$279:$J$286,0,IF(Inputs!$C$12="MFJ",1,IF(Inputs!$C$12="HoH",7,4))))*INDEX('Methodology &amp; Sources'!$B$279:$J$286,0,IF(Inputs!$C$12="MFJ",1,IF(Inputs!$C$12="HoH",7,4))+2)),SUMPRODUCT((($AH6+$D6)&gt;INDEX('Methodology &amp; Sources'!$B$269:$J$276,0,IF(Inputs!$C$12="MFJ",1,IF(Inputs!$C$12="HoH",7,4))))*(($AH6+$D6)-INDEX('Methodology &amp; Sources'!$B$269:$J$276,0,IF(Inputs!$C$12="MFJ",1,IF(Inputs!$C$12="HoH",7,4))))*INDEX('Methodology &amp; Sources'!$B$269:$J$276,0,IF(Inputs!$C$12="MFJ",1,IF(Inputs!$C$12="HoH",7,4))+2)))-IF(Inputs!$C$13,SUMPRODUCT(($AH6&gt;INDEX('Methodology &amp; Sources'!$B$279:$J$286,0,IF(Inputs!$C$12="MFJ",1,IF(Inputs!$C$12="HoH",7,4))))*($AH6-INDEX('Methodology &amp; Sources'!$B$279:$J$286,0,IF(Inputs!$C$12="MFJ",1,IF(Inputs!$C$12="HoH",7,4))))*INDEX('Methodology &amp; Sources'!$B$279:$J$286,0,IF(Inputs!$C$12="MFJ",1,IF(Inputs!$C$12="HoH",7,4))+2)),SUMPRODUCT(($AH6&gt;INDEX('Methodology &amp; Sources'!$B$269:$J$276,0,IF(Inputs!$C$12="MFJ",1,IF(Inputs!$C$12="HoH",7,4))))*($AH6-INDEX('Methodology &amp; Sources'!$B$269:$J$276,0,IF(Inputs!$C$12="MFJ",1,IF(Inputs!$C$12="HoH",7,4))))*INDEX('Methodology &amp; Sources'!$B$269:$J$276,0,IF(Inputs!$C$12="MFJ",1,IF(Inputs!$C$12="HoH",7,4))+2)))),'Methodology &amp; Sources'!$C$260*$D6),2)))</f>
      </c>
      <c r="Q6" s="7">
        <f>IF($B6="","",ROUND('Methodology &amp; Sources'!$C$254*MIN($N6,MAX(0,'Methodology &amp; Sources'!$C$253-($AX6+Inputs!$C$49-$AW6))),2))</f>
      </c>
      <c r="R6" s="7">
        <f>IF($B6="","",ROUND('Methodology &amp; Sources'!$C$255*$N6,2))</f>
      </c>
      <c r="S6" s="7">
        <f>IF($B6="","",ROUND('Methodology &amp; Sources'!$C$256*MAX(0,MIN($N6,Inputs!$C$50+$N6-'Methodology &amp; Sources'!$C$257)),2))</f>
      </c>
      <c r="T6" s="7">
        <f>IF($B6="","",IF(Inputs!$C$26,0,IF($AN6="CA",ROUND(IF($AI6&lt;=IF(($AS6+$AT6)&gt;=2,VLOOKUP($AN6,'StateTables 2026'!$A$6:$AB$56,10,FALSE),VLOOKUP($AN6,'StateTables 2026'!$A$6:$AB$56,9,FALSE)),0,MAX(0,SUMPRODUCT(($AJ6&gt;INDEX('Methodology &amp; Sources'!$B$289:$J$298,0,IF($AU6="Married",4,IF($AU6="Head of household",7,1))))*($AJ6-INDEX('Methodology &amp; Sources'!$B$289:$J$298,0,IF($AU6="Married",4,IF($AU6="Head of household",7,1))))*INDEX('Methodology &amp; Sources'!$B$289:$J$298,0,IF($AU6="Married",4,IF($AU6="Head of household",7,1))+2))-VLOOKUP($AN6,'StateTables 2026'!$A$6:$AB$56,11,FALSE)*$AS6)/Inputs!$C$8)+Inputs!$C$25+VLOOKUP($AN6,'StateTables 2026'!$A$6:$AB$56,13,FALSE)*$D6,2),IF(VLOOKUP($AN6,'StateTables 2026'!$A$6:$AB$56,4,FALSE)="None",0,IF(ISNUMBER(SEARCH("MANUAL",VLOOKUP($AN6,'StateTables 2026'!$A$6:$AB$56,5,FALSE))),Inputs!$C$28,ROUND(MAX(0,$BA6+$BB6)/Inputs!$C$8+Inputs!$C$25+$BC6,2))))))</f>
      </c>
      <c r="U6" s="7">
        <f>IF($B6="","",IF(VLOOKUP($AN6,'StateTables 2026'!$A$6:$AB$56,24,FALSE)="flatq",IF(OR(MONTH($B6)=1,MONTH($B6)=4,MONTH($B6)=7,MONTH($B6)=10),VLOOKUP($AN6,'StateTables 2026'!$A$6:$AB$56,25,FALSE),0),IF(VLOOKUP($AN6,'StateTables 2026'!$A$6:$AB$56,24,FALSE)="dbl",MIN(ROUND(0.005*$N6,2),ROUND(0.6*52/Inputs!$C$8,2)),IF(OR(VLOOKUP($AN6,'StateTables 2026'!$A$6:$AB$56,15,FALSE)="",VLOOKUP($AN6,'StateTables 2026'!$A$6:$AB$56,15,FALSE)=0),0,ROUND(VLOOKUP($AN6,'StateTables 2026'!$A$6:$AB$56,15,FALSE)*IF(OR(VLOOKUP($AN6,'StateTables 2026'!$A$6:$AB$56,16,FALSE)="",VLOOKUP($AN6,'StateTables 2026'!$A$6:$AB$56,16,FALSE)=0),$N6,MIN($N6,MAX(0,VLOOKUP($AN6,'StateTables 2026'!$A$6:$AB$56,16,FALSE)-($AX6+Inputs!$C$49-$AW6)))),2))))+IF(VLOOKUP($AN6,'StateTables 2026'!$A$6:$AB$56,27,FALSE)="flatq",IF(OR(MONTH($B6)=1,MONTH($B6)=4,MONTH($B6)=7,MONTH($B6)=10),VLOOKUP($AN6,'StateTables 2026'!$A$6:$AB$56,28,FALSE),0),IF(VLOOKUP($AN6,'StateTables 2026'!$A$6:$AB$56,27,FALSE)="dbl",MIN(ROUND(0.005*$N6,2),ROUND(0.6*52/Inputs!$C$8,2)),IF(OR(VLOOKUP($AN6,'StateTables 2026'!$A$6:$AB$56,18,FALSE)="",VLOOKUP($AN6,'StateTables 2026'!$A$6:$AB$56,18,FALSE)=0),0,ROUND(VLOOKUP($AN6,'StateTables 2026'!$A$6:$AB$56,18,FALSE)*IF(OR(VLOOKUP($AN6,'StateTables 2026'!$A$6:$AB$56,19,FALSE)="",VLOOKUP($AN6,'StateTables 2026'!$A$6:$AB$56,19,FALSE)=0),$N6,MIN($N6,MAX(0,VLOOKUP($AN6,'StateTables 2026'!$A$6:$AB$56,19,FALSE)-($AX6+Inputs!$C$49-$AW6)))),2)))))</f>
      </c>
      <c r="V6" s="7">
        <f>IF($B6="","",IF($AN6="NY",IF(Inputs!$C$78,ROUND(SUMPRODUCT((MAX(0,($O6-$D6)*Inputs!$C$8-(IF($AU6="Married",5500,5000)+1000*$AS6))&gt;INDEX('Methodology &amp; Sources'!$B$434:$J$448,0,4))*(MAX(0,($O6-$D6)*Inputs!$C$8-(IF($AU6="Married",5500,5000)+1000*$AS6))-INDEX('Methodology &amp; Sources'!$B$434:$J$448,0,4))*INDEX('Methodology &amp; Sources'!$B$434:$J$448,0,4+2))/Inputs!$C$8+0.0425*$D6,2),0)+IF(Inputs!$C$79="Resident",ROUND(0.1675*$T6,2),IF(Inputs!$C$79="Nonresident",ROUND(0.005*MAX(0,($O6-$D6)-(IF($AU6="Married",7950,7400)+1000*$AS6)/Inputs!$C$8),2),0)),IF($AN6="PA",IF(Inputs!$C$80="None",Inputs!$C$27+ROUND(Inputs!$C$81*($C6+$D6),2),ROUND(IF(Inputs!$C$80="Resident",IF($B6&lt;DATE(2026,7,1),0.0374,0.03735),IF($B6&lt;DATE(2026,7,1),0.0343,0.03425))*($C6+$D6),2)),IF($BF6=0,ROUND(Inputs!$C$81*($C6+$D6),2),Inputs!$C$27+ROUND(Inputs!$C$81*($C6+$D6),2)))))</f>
      </c>
      <c r="W6" s="7">
        <f>IF($B6="","",IF($BF6=0,0,$BP6))</f>
      </c>
      <c r="X6" s="7">
        <f>IF($B6="","",SUM($E6:$K6)+$P6+$Q6+$R6+$S6+$T6+$U6+$V6+$W6)</f>
      </c>
      <c r="Y6" s="22">
        <f>IF($B6="","",$C6+$D6-$X6)</f>
      </c>
      <c r="Z6" s="7">
        <f>IF($B6="","",Inputs!$C$48+$C6+$D6)</f>
      </c>
      <c r="AA6" s="7">
        <f>IF($B6="","",0+$Y6)</f>
      </c>
      <c r="AB6" s="7">
        <f>IF($B6="","",Inputs!$C$49+MIN($N6,MAX(0,'Methodology &amp; Sources'!$C$253-($AX6+Inputs!$C$49-$AW6))))</f>
      </c>
      <c r="AC6" s="7">
        <f>IF($B6="","",Inputs!$C$51+$E6+$F6)</f>
      </c>
      <c r="AD6" s="3">
        <f>IF($B6="","",IF(AND(Inputs!$C$49&lt;'Methodology &amp; Sources'!$C$253,$AB6&gt;='Methodology &amp; Sources'!$C$253),"★ Social Security maxed on this check — from the next check your net rises by about $"&amp;TEXT(ROUND('Methodology &amp; Sources'!$C$254*$N6,2),"#,##0.00")&amp;". ","")&amp;IF(AND(Inputs!$C$51&lt;Inputs!$C$91,$AC6&gt;=Inputs!$C$91),"★ 401(k) reaches the $"&amp;TEXT(Inputs!$C$91,"#,##0")&amp;" cap on this check — deferrals stop and net pay rises. ","")&amp;IF(AND(Inputs!$C$50&lt;'Methodology &amp; Sources'!$C$257,$AG6&gt;='Methodology &amp; Sources'!$C$257),"★ Wages pass $200,000 — the 0.9% Additional Medicare Tax starts here. ","")&amp;IF(AND($BJ6&gt;0,$H6&gt;0,Inputs!$C$52&lt;MIN($BJ6,'Methodology &amp; Sources'!$C$263),Inputs!$C$52+$H6&gt;=MIN($BJ6,'Methodology &amp; Sources'!$C$263)),"★ Health FSA election is now fully deferred for the year. ",""))</f>
      </c>
      <c r="AE6" s="41" t="n"/>
      <c r="AF6" s="7">
        <f>IF(OR($B6="",$AE6=""),"",$AE6-$Y6)</f>
      </c>
      <c r="AG6" s="7">
        <f>IF($B6="","",Inputs!$C$50+$N6)</f>
      </c>
      <c r="AH6" s="7">
        <f>IF($B6="","",MAX(0,($M6-$D6)*Inputs!$C$8+$AP6-$AQ6-IF(Inputs!$C$13,0,IF(Inputs!$C$12="MFJ",'Methodology &amp; Sources'!$C$258,'Methodology &amp; Sources'!$C$259))))</f>
      </c>
      <c r="AI6" s="7">
        <f>IF($B6="","",$O6*Inputs!$C$8)</f>
      </c>
      <c r="AJ6" s="7">
        <f>IF($B6="","",MAX(0,$AI6-VLOOKUP($AN6,'StateTables 2026'!$A$6:$AB$56,12,FALSE)*$AT6-IF(($AS6+$AT6)&gt;=2,VLOOKUP($AN6,'StateTables 2026'!$A$6:$AB$56,8,FALSE),VLOOKUP($AN6,'StateTables 2026'!$A$6:$AB$56,7,FALSE))))</f>
      </c>
      <c r="AK6" s="7">
        <f>IF($B6="","",IFERROR(LOOKUP(2,1/((Events!$C$6:$C$17="Salary change")*(Events!$B$6:$B$17&lt;=$B6)*(Events!$B$6:$B$17&lt;&gt;"")),Events!$D$6:$D$17),IF(Inputs!$C$4="Annual salary",Inputs!$C$5,Inputs!$C$6)))</f>
      </c>
      <c r="AL6">
        <f>IF($B6="","",IFERROR(LOOKUP(2,1/((Events!$C$6:$C$17="401(k) change")*(Events!$B$6:$B$17&lt;=$B6)*(Events!$B$6:$B$17&lt;&gt;"")),Events!$D$6:$D$17),Inputs!$C$30))</f>
      </c>
      <c r="AM6" s="7">
        <f>IF($B6="","",IFERROR(LOOKUP(2,1/((Events!$C$6:$C$17="401(k) change")*(Events!$B$6:$B$17&lt;=$B6)*(Events!$B$6:$B$17&lt;&gt;"")),Events!$E$6:$E$17),Inputs!$D$30))</f>
      </c>
      <c r="AN6">
        <f>IF($B6="","",IFERROR(LOOKUP(2,1/((Events!$C$6:$C$17="State move")*(Events!$B$6:$B$17&lt;=$B6)*(Events!$B$6:$B$17&lt;&gt;"")),Events!$D$6:$D$17),Inputs!$C$21))</f>
      </c>
      <c r="AO6" s="7">
        <f>IF($B6="","",IFERROR(LOOKUP(2,1/((Events!$C$6:$C$17="W-4 change")*(Events!$B$6:$B$17&lt;=$B6)*(Events!$B$6:$B$17&lt;&gt;"")),Events!$D$6:$D$17),Inputs!$C$14))</f>
      </c>
      <c r="AP6" s="7">
        <f>IF($B6="","",IFERROR(LOOKUP(2,1/((Events!$C$6:$C$17="W-4 change")*(Events!$B$6:$B$17&lt;=$B6)*(Events!$B$6:$B$17&lt;&gt;"")),Events!$E$6:$E$17),Inputs!$C$15))</f>
      </c>
      <c r="AQ6" s="7">
        <f>IF($B6="","",IFERROR(LOOKUP(2,1/((Events!$C$6:$C$17="W-4 change")*(Events!$B$6:$B$17&lt;=$B6)*(Events!$B$6:$B$17&lt;&gt;"")),Events!$F$6:$F$17),Inputs!$C$16))</f>
      </c>
      <c r="AR6" s="7">
        <f>IF($B6="","",IFERROR(LOOKUP(2,1/((Events!$C$6:$C$17="W-4 change")*(Events!$B$6:$B$17&lt;=$B6)*(Events!$B$6:$B$17&lt;&gt;"")),Events!$G$6:$G$17),Inputs!$C$17))</f>
      </c>
      <c r="AS6" s="6">
        <f>IF($B6="","",IFERROR(LOOKUP(2,1/(((Events!$C$6:$C$17="State move")+(Events!$C$6:$C$17="State cert change"))*(Events!$B$6:$B$17&lt;=$B6)*(Events!$B$6:$B$17&lt;&gt;"")),Events!$F$6:$F$17),Inputs!$C$23))</f>
      </c>
      <c r="AT6" s="6">
        <f>IF($B6="","",IFERROR(LOOKUP(2,1/(((Events!$C$6:$C$17="State move")+(Events!$C$6:$C$17="State cert change"))*(Events!$B$6:$B$17&lt;=$B6)*(Events!$B$6:$B$17&lt;&gt;"")),Events!$G$6:$G$17),Inputs!$C$24))</f>
      </c>
      <c r="AU6">
        <f>IF($B6="","",IFERROR(LOOKUP(2,1/((Events!$C$6:$C$17="State move")*(Events!$B$6:$B$17&lt;=$B6)*(Events!$B$6:$B$17&lt;&gt;"")),Events!$E$6:$E$17),Inputs!$C$22))</f>
      </c>
      <c r="AV6" s="6">
        <f>IF($B6="","",1+COUNTIFS(Events!$C$6:$C$17,"Employer change",Events!$B$6:$B$17,"&lt;="&amp;$B6,Events!$B$6:$B$17,"&lt;&gt;"))</f>
      </c>
      <c r="AW6" s="7">
        <f>IF($B6="","",IF($AV6=1,Inputs!$C$49,IF(IFERROR(MATCH(IFERROR(LOOKUP(2,1/((Events!$C$6:$C$17="Employer change")*(Events!$B$6:$B$17&lt;=$B6)*(Events!$B$6:$B$17&lt;&gt;"")),Events!$B$6:$B$17),""),$B$6:$B$68,1),1)&lt;=1,Inputs!$C$49,INDEX($AB$6:$AB$68,MATCH(IFERROR(LOOKUP(2,1/((Events!$C$6:$C$17="Employer change")*(Events!$B$6:$B$17&lt;=$B6)*(Events!$B$6:$B$17&lt;&gt;"")),Events!$B$6:$B$17),""),$B$6:$B$68,1)-1))))</f>
      </c>
      <c r="AX6" s="7">
        <f>IF($B6="","",IF($AV6=1,Inputs!$C$49,IFERROR(LOOKUP(2,1/((Events!$C$6:$C$17="Employer change")*(Events!$B$6:$B$17&lt;=$B6)*(Events!$B$6:$B$17&lt;&gt;"")),Events!$D$6:$D$17),0)))</f>
      </c>
      <c r="AY6" s="7">
        <f>IF($B6="","",($O6-$D6)*Inputs!$C$8)</f>
      </c>
      <c r="AZ6" s="7">
        <f>IF($B6="","",IF($AN6="AL",MAX(0,$AY6-IF($AU6="Married",IF($AY6&lt;=25999,8500,MAX(5000,8500-175*CEILING(($AY6-25999)/500,1))),IF($AU6="Head of household",IF($AY6&lt;=25999,5200,MAX(2500,5200-135*CEILING(($AY6-25999)/500,1))),IF($AY6&lt;=25999,3000,MAX(2500,3000-25*CEILING(($AY6-25999)/500,1)))))-($P6-'Methodology &amp; Sources'!$C$260*$D6)*Inputs!$C$8-IF(OR($AU6="Married",$AU6="Head of household"),3000,1500)-$AT6*IF($AY6&lt;=50000,1000,IF($AY6&lt;=100000,500,300))),IF($AN6="AR",IF(MAX(0,$AY6-2470)&lt;97701,INT(MAX(0,$AY6-2470)/100)*100+50,MAX(0,$AY6-2470)),IF($AN6="DE",MAX(0,$AI6-3250),IF($AN6="HI",MAX(0,$AI6-1144*$AS6-4350),IF($AN6="KS",MAX(0,$AI6-(9160*IF($AU6="Married",2,1)+2320*$AT6+IF($AU6="Head of household",2320,0))),IF($AN6="MD",MAX(0,$AI6-3400-3200*$AS6),IF($AN6="MN",MAX(0,$AY6-5300*$AS6),IF($AN6="MO",MAX(0,$AI6-IF($AU6="Head of household",24150,IF($AU6="Married",IF(Inputs!$C$83,16100,32200),16100))),IF($AN6="MT",$AY6,IF($AN6="ND",($C6+$L6)*Inputs!$C$8,IF($AN6="NE",MAX(0,$AY6-2440*$AS6),IF($AN6="NJ",MAX(0,$AY6-1000*$AS6),IF($AN6="NY",MAX(0,$AY6-(IF($AU6="Married",7950,7400)+1000*$AS6)),IF($AN6="OH",MAX(0,$AY6-650*$AS6),IF($AN6="OK",MAX(0,$AY6-1000*$AS6),IF($AN6="RI",MAX(0,$AI6-1000*$AS6),IF($AN6="SC",MAX(0,$AI6-5000*$AS6-IF($AS6=0,0,MIN(0.1*$AI6,7500))),IF($AN6="VA",MAX(0,$AI6-IF($AU6="Married",17500,8750)-930*$AS6-800*$AT6),IF($AN6="VT",MAX(0,$AI6-5400*$AS6),IF($AN6="WI",MAX(0,$AI6-MAX(0,IF($AU6="Married",9461-0.2*MAX(0,$AI6-25727),6702-0.12*MAX(0,$AI6-17780)))-400*$AS6),IF($AN6="WV",MAX(0,$AI6-2000*$AS6),$AI6))))))))))))))))))))))</f>
      </c>
      <c r="BA6" s="7">
        <f>IF($B6="","",IF($BW6&lt;&gt;"",$BW6,IF($BX6&lt;&gt;"",$BX6,IF($BY6&lt;&gt;"",$BY6,0))))</f>
      </c>
      <c r="BB6" s="7">
        <f>IF($B6="","",IF($AN6="AR",-29*$AS6,IF($AN6="DE",-110*$AS6,IF($AN6="MD",$AZ6*Inputs!$C$74,IF($AN6="AZ",Inputs!$C$82*($M6-$D6)*Inputs!$C$8,IF($AN6="CO",0.044*MAX(0,$AY6-IF($AU6="Married",10000,5000)),IF($AN6="IA",MAX(0,0.038*MAX(0,$AY6-IF($AU6="Head of household",19500,IF($AU6="Married",26000,13000)))-40*$AS6),IF($AN6="ID",0.053*MAX(0,$AY6-IF($AU6="Married",32000,16094)),IF($AN6="IL",0.0495*MAX(0,$AY6-(2925*$AS6+1000*$AT6)),IF($AN6="IN",(0.0295+Inputs!$C$76)*MAX(0,$AY6-(1000*$AS6+1500*$AT6+3000*Inputs!$C$86)),IF($AN6="KY",0.035*MAX(0,$AI6-3360),IF($AN6="LA",IF(Inputs!$C$84="0",0.0309*$AI6,0.0309*MAX(0,$AI6-IF(Inputs!$C$84="2",25750,12875))),IF($AN6="MA",0.05*MIN(MAX(0,$AY6-MIN((0+$Q6+$R6+$S6),2000)-IF($AS6=0,0,IF($AS6=1,4400,1000*$AS6+3400))),1107750)+0.09*MAX(0,MAX(0,$AY6-MIN((0+$Q6+$R6+$S6),2000)-IF($AS6=0,0,IF($AS6=1,4400,1000*$AS6+3400)))-1107750)-IF($AU6="Head of household",120,0)-110*Inputs!$C$75,IF($AN6="MI",0.0425*MAX(0,$AY6-5900*$AS6),IF($AN6="MS",0.04*MAX(0,$AI6-IF($AU6="Head of household",3400,IF($AU6="Married",4600,2300))-Inputs!$C$85-10000),IF($AN6="OR",IF(OR($AU6="Married",AND($AU6="Single",$AS6&gt;=3)),SUMPRODUCT((MAX(0,$AY6-MIN(($P6-'Methodology &amp; Sources'!$C$260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Sources'!$B$461:$J$464,0,4))*(MAX(0,$AY6-MIN(($P6-'Methodology &amp; Sources'!$C$260*$D6)*Inputs!$C$8,IF(OR($AU6="Married",AND($AU6="Single",$AS6&gt;=3)),IF($AY6&lt;250000,8750,IF($AY6&lt;260000,7000,IF($AY6&lt;270000,5250,IF($AY6&lt;280000,3500,IF($AY6&lt;290000,1750,0))))),IF($AY6&lt;125000,8750,IF($AY6&lt;130000,7000,IF($AY6&lt;135000,5250,IF($AY6&lt;140000,3500,IF($AY6&lt;145000,1750,0)))))))-IF(OR($AU6="Married",AND($AU6="Single",$AS6&gt;=3)),5820,2910))-INDEX('Methodology &amp; Sources'!$B$461:$J$464,0,4))*INDEX('Methodology &amp; Sources'!$B$461:$J$464,0,4+2)),SUMPRODUCT((MAX(0,$AY6-MIN(($P6-'Methodology &amp; Sources'!$C$260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Sources'!$B$461:$J$464,0,1))*(MAX(0,$AY6-MIN(($P6-'Methodology &amp; Sources'!$C$260*$D6)*Inputs!$C$8,IF(OR($AU6="Married",AND($AU6="Single",$AS6&gt;=3)),IF($AY6&lt;250000,8750,IF($AY6&lt;260000,7000,IF($AY6&lt;270000,5250,IF($AY6&lt;280000,3500,IF($AY6&lt;290000,1750,0))))),IF($AY6&lt;125000,8750,IF($AY6&lt;130000,7000,IF($AY6&lt;135000,5250,IF($AY6&lt;140000,3500,IF($AY6&lt;145000,1750,0)))))))-IF(OR($AU6="Married",AND($AU6="Single",$AS6&gt;=3)),5820,2910))-INDEX('Methodology &amp; Sources'!$B$461:$J$464,0,1))*INDEX('Methodology &amp; Sources'!$B$461:$J$464,0,1+2)))+263-263*IF(IF($AU6="Married",$AY6&gt;200000,$AY6&gt;100000),0,$AS6),IF($AN6="PA",0.0307*(($O6+$E6+$G6)*Inputs!$C$8),IF($AN6="NY",IF($AU6="Married",IF($AZ6&gt;=2155350,0,IF($AZ6&gt;=1077550,0.48,IF($AZ6&gt;=373200,1.21,IF($AZ6&gt;=323200,0.21,IF($AZ6&gt;=211550,-0.19,IF($AZ6&gt;=157650,-2.8,IF($AZ6&gt;=107650,-0.8,IF($AZ6&gt;=96800,0.05,IF($AZ6&gt;=80650,-0.1,IF($AZ6&gt;=13900,0.4,IF($AZ6&gt;=11700,-0.3,IF($AZ6&gt;=8500,0.5,0)))))))))))),IF($AZ6&gt;=1077550,0,IF($AZ6&gt;=265400,4.29,IF($AZ6&gt;=215400,2.29,IF($AZ6&gt;=157650,2.29,IF($AZ6&gt;=107650,0.29,IF($AZ6&gt;=96800,0.05,IF($AZ6&gt;=80650,-0.1,IF($AZ6&gt;=13900,0.4,IF($AZ6&gt;=11700,-0.3,IF($AZ6&gt;=8500,0.5,0))))))))))),0))))))))))))))))))</f>
      </c>
      <c r="BC6" s="7">
        <f>IF($B6="","",IF($AN6="AL",0.05*$D6,IF($AN6="AR",0.039*$D6,IF($AN6="ID",0.053*$D6,IF($AN6="IN",(0.0295+Inputs!$C$76)*$D6,IF($AN6="KS",0.05*$D6,IF($AN6="MA",0.09*MIN($D6,MAX(0,MAX(0,$AY6-MIN((0+$Q6+$R6+$S6),2000)-IF($AS6=0,0,IF($AS6=1,4400,1000*$AS6+3400)))+$D6-1107750))+0.05*($D6-MIN($D6,MAX(0,MAX(0,$AY6-MIN((0+$Q6+$R6+$S6),2000)-IF($AS6=0,0,IF($AS6=1,4400,1000*$AS6+3400)))+$D6-1107750))),IF($AN6="MD",(0.065+Inputs!$C$74)*$D6,IF($AN6="MI",0.0425*$D6,IF($AN6="MN",0.0625*$D6,IF($AN6="MO",0.047*$D6,IF($AN6="MT",0.05*$D6,IF($AN6="ND",0.015*$D6,IF($AN6="NE",0.035*$D6,IF($AN6="NJ",IF(Inputs!$C$77="B",SUMPRODUCT(($D6*Inputs!$C$8&gt;INDEX('Methodology &amp; Sources'!$B$405:$J$412,0,4))*($D6*Inputs!$C$8-INDEX('Methodology &amp; Sources'!$B$405:$J$412,0,4))*INDEX('Methodology &amp; Sources'!$B$405:$J$412,0,4+2)),IF(Inputs!$C$77="C",SUMPRODUCT(($D6*Inputs!$C$8&gt;INDEX('Methodology &amp; Sources'!$B$405:$J$412,0,7))*($D6*Inputs!$C$8-INDEX('Methodology &amp; Sources'!$B$405:$J$412,0,7))*INDEX('Methodology &amp; Sources'!$B$405:$J$412,0,7+2)),IF(Inputs!$C$77="D",SUMPRODUCT(($D6*Inputs!$C$8&gt;INDEX('Methodology &amp; Sources'!$B$417:$J$429,0,1))*($D6*Inputs!$C$8-INDEX('Methodology &amp; Sources'!$B$417:$J$429,0,1))*INDEX('Methodology &amp; Sources'!$B$417:$J$429,0,1+2)),IF(Inputs!$C$77="E",SUMPRODUCT(($D6*Inputs!$C$8&gt;INDEX('Methodology &amp; Sources'!$B$417:$J$429,0,4))*($D6*Inputs!$C$8-INDEX('Methodology &amp; Sources'!$B$417:$J$429,0,4))*INDEX('Methodology &amp; Sources'!$B$417:$J$429,0,4+2)),SUMPRODUCT(($D6*Inputs!$C$8&gt;INDEX('Methodology &amp; Sources'!$B$405:$J$412,0,1))*($D6*Inputs!$C$8-INDEX('Methodology &amp; Sources'!$B$405:$J$412,0,1))*INDEX('Methodology &amp; Sources'!$B$405:$J$412,0,1+2))))))/Inputs!$C$8,IF($AN6="NY",0.117*$D6,IF($AN6="OH",0.0275*$D6,IF($AN6="OK",0.045*$D6,IF($AN6="OR",0.08*$D6,IF($AN6="WI",IF($AY6&lt;12760,0.0354,IF($AY6&lt;25520,0.0465,IF($AY6&lt;280950,0.053,0.0765)))*$D6,0))))))))))))))))))))</f>
      </c>
      <c r="BD6" s="7">
        <f>IF($B6="","",0+$Q6+$R6+$S6)</f>
      </c>
      <c r="BE6" s="6">
        <f>IF($B6="",0,0+$BF6)</f>
      </c>
      <c r="BF6" s="6">
        <f>IF($B6="","",IF(AND(IF(YEAR(IF(Inputs!$C$7="Weekly",Inputs!$C$9+7*((0+1)-1),IF(Inputs!$C$7="Biweekly",Inputs!$C$9+14*((0+1)-1),IF(Inputs!$C$7="Semimonthly",DATE(YEAR(Inputs!$C$9),MONTH(Inputs!$C$9)+INT(((0+1)-1)/2),MIN(DAY(Inputs!$C$9),DAY(EOMONTH(DATE(YEAR(Inputs!$C$9),MONTH(Inputs!$C$9)+INT(((0+1)-1)/2),1),0))))+IF(MOD((0+1)-1,2)=1,15,0),EDATE(Inputs!$C$9,(0+1)-1)))))&lt;&gt;2026,"",IF(Inputs!$C$7="Weekly",Inputs!$C$9+7*((0+1)-1),IF(Inputs!$C$7="Biweekly",Inputs!$C$9+14*((0+1)-1),IF(Inputs!$C$7="Semimonthly",DATE(YEAR(Inputs!$C$9),MONTH(Inputs!$C$9)+INT(((0+1)-1)/2),MIN(DAY(Inputs!$C$9),DAY(EOMONTH(DATE(YEAR(Inputs!$C$9),MONTH(Inputs!$C$9)+INT(((0+1)-1)/2),1),0))))+IF(MOD((0+1)-1,2)=1,15,0),EDATE(Inputs!$C$9,(0+1)-1)))))&lt;&gt;"",$B6=IF(YEAR(IF(Inputs!$C$7="Weekly",Inputs!$C$9+7*((0+1)-1),IF(Inputs!$C$7="Biweekly",Inputs!$C$9+14*((0+1)-1),IF(Inputs!$C$7="Semimonthly",DATE(YEAR(Inputs!$C$9),MONTH(Inputs!$C$9)+INT(((0+1)-1)/2),MIN(DAY(Inputs!$C$9),DAY(EOMONTH(DATE(YEAR(Inputs!$C$9),MONTH(Inputs!$C$9)+INT(((0+1)-1)/2),1),0))))+IF(MOD((0+1)-1,2)=1,15,0),EDATE(Inputs!$C$9,(0+1)-1)))))&lt;&gt;2026,"",IF(Inputs!$C$7="Weekly",Inputs!$C$9+7*((0+1)-1),IF(Inputs!$C$7="Biweekly",Inputs!$C$9+14*((0+1)-1),IF(Inputs!$C$7="Semimonthly",DATE(YEAR(Inputs!$C$9),MONTH(Inputs!$C$9)+INT(((0+1)-1)/2),MIN(DAY(Inputs!$C$9),DAY(EOMONTH(DATE(YEAR(Inputs!$C$9),MONTH(Inputs!$C$9)+INT(((0+1)-1)/2),1),0))))+IF(MOD((0+1)-1,2)=1,15,0),EDATE(Inputs!$C$9,(0+1)-1)))))),1,0))</f>
      </c>
      <c r="BG6" s="7">
        <f>IF($B6="","",Inputs!$C$52+$H6)</f>
      </c>
      <c r="BH6" s="7">
        <f>IF($B6="","",Inputs!$C$53+$I6)</f>
      </c>
      <c r="BI6" s="7">
        <f>IF($B6="","",0+$G6)</f>
      </c>
      <c r="BJ6" s="7">
        <f>IF($B6="","",IFERROR(LOOKUP(2,1/((((Events!$C$6:$C$17="Deduction start"))*(Events!$D$6:$D$17="Health FSA"))*(Events!$B$6:$B$17&lt;=$B6)*(Events!$B$6:$B$17&lt;&gt;"")),Events!$E$6:$E$17),Inputs!$D$38))</f>
      </c>
      <c r="BK6" s="7">
        <f>IF($B6="","",IFERROR(LOOKUP(2,1/((((Events!$C$6:$C$17="Deduction start"))*(Events!$D$6:$D$17="Dependent-care FSA"))*(Events!$B$6:$B$17&lt;=$B6)*(Events!$B$6:$B$17&lt;&gt;"")),Events!$E$6:$E$17),Inputs!$D$39))</f>
      </c>
      <c r="BL6" s="7">
        <f>IF($B6="","",IFERROR(LOOKUP(2,1/((((Events!$C$6:$C$17="Deduction start")+(Events!$C$6:$C$17="Deduction stop"))*(Events!$D$6:$D$17="HSA"))*(Events!$B$6:$B$17&lt;=$B6)*(Events!$B$6:$B$17&lt;&gt;"")),Events!$I$6:$I$17),Inputs!$D$35))</f>
      </c>
      <c r="BM6" s="7">
        <f>IF($B6="","",IFERROR(LOOKUP(2,1/((((Events!$C$6:$C$17="Deduction start")+(Events!$C$6:$C$17="Deduction stop"))*(Events!$D$6:$D$17="Premiums"))*(Events!$B$6:$B$17&lt;=$B6)*(Events!$B$6:$B$17&lt;&gt;"")),Events!$I$6:$I$17),Inputs!$D$40+Inputs!$D$41+Inputs!$D$42))</f>
      </c>
      <c r="BN6" s="7">
        <f>IF($B6="","",IFERROR(LOOKUP(2,1/((((Events!$C$6:$C$17="Deduction start")+(Events!$C$6:$C$17="Deduction stop"))*(Events!$D$6:$D$17="Commuter"))*(Events!$B$6:$B$17&lt;=$B6)*(Events!$B$6:$B$17&lt;&gt;"")),Events!$I$6:$I$17),Inputs!$D$43))</f>
      </c>
      <c r="BO6" s="7">
        <f>IF($B6="","",IFERROR(LOOKUP(2,1/((((Events!$C$6:$C$17="Deduction start")+(Events!$C$6:$C$17="Deduction stop"))*(Events!$D$6:$D$17="Other pre-tax"))*(Events!$B$6:$B$17&lt;=$B6)*(Events!$B$6:$B$17&lt;&gt;"")),Events!$I$6:$I$17),Inputs!$D$44))</f>
      </c>
      <c r="BP6" s="7">
        <f>IF($B6="","",IFERROR(LOOKUP(2,1/((((Events!$C$6:$C$17="Deduction start")+(Events!$C$6:$C$17="Deduction stop"))*(Events!$D$6:$D$17="Other post-tax"))*(Events!$B$6:$B$17&lt;=$B6)*(Events!$B$6:$B$17&lt;&gt;"")),Events!$I$6:$I$17),Inputs!$D$45))</f>
      </c>
      <c r="BQ6" s="6">
        <f>IF($B6="","",IFERROR(LOOKUP(2,1/((((Events!$C$6:$C$17="Deduction start")+(Events!$C$6:$C$17="Deduction stop"))*(Events!$D$6:$D$17="Health FSA"))*(Events!$B$6:$B$17&lt;=$B6)*(Events!$B$6:$B$17&lt;&gt;"")),Events!$J$6:$J$17),0))</f>
      </c>
      <c r="BR6" s="6">
        <f>IF($B6="","",IFERROR(LOOKUP(2,1/((((Events!$C$6:$C$17="Deduction start")+(Events!$C$6:$C$17="Deduction stop"))*(Events!$D$6:$D$17="Dependent-care FSA"))*(Events!$B$6:$B$17&lt;=$B6)*(Events!$B$6:$B$17&lt;&gt;"")),Events!$J$6:$J$17),0))</f>
      </c>
      <c r="BS6" s="6">
        <f>IF($B6="","",IF(SUMPRODUCT((Events!$C$6:$C$17="Deduction start")*(Events!$B$6:$B$17&lt;=$B6)*(Events!$B$6:$B$17&lt;&gt;"")*(Events!$D$6:$D$17="Health FSA"))&gt;0,1,0))</f>
      </c>
      <c r="BT6" s="6">
        <f>IF($B6="","",IF(SUMPRODUCT((Events!$C$6:$C$17="Deduction start")*(Events!$B$6:$B$17&lt;=$B6)*(Events!$B$6:$B$17&lt;&gt;"")*(Events!$D$6:$D$17="Dependent-care FSA"))&gt;0,1,0))</f>
      </c>
      <c r="BU6" s="24">
        <f>IF($B6="","",IF(Inputs!$C$13,SUMPRODUCT(($AH6&gt;=INDEX('Methodology &amp; Sources'!$B$279:$J$286,0,IF(Inputs!$C$12="MFJ",1,IF(Inputs!$C$12="HoH",7,4))))*INDEX('Methodology &amp; Sources'!$B$279:$J$286,0,IF(Inputs!$C$12="MFJ",1,IF(Inputs!$C$12="HoH",7,4))+2)),SUMPRODUCT(($AH6&gt;=INDEX('Methodology &amp; Sources'!$B$269:$J$276,0,IF(Inputs!$C$12="MFJ",1,IF(Inputs!$C$12="HoH",7,4))))*INDEX('Methodology &amp; Sources'!$B$269:$J$276,0,IF(Inputs!$C$12="MFJ",1,IF(Inputs!$C$12="HoH",7,4))+2))))</f>
      </c>
      <c r="BV6" s="24">
        <f>IF($B6="","",IF($BZ6&lt;&gt;"",$BZ6,IF($CA6&lt;&gt;"",$CA6,IF($CB6&lt;&gt;"",$CB6,IF($CC6&lt;&gt;"",$CC6,0)))))</f>
      </c>
      <c r="BW6" s="7">
        <f>IF($B6="","",IF($AN6="MD",IF(OR($AU6="Married",$AU6="Head of household"),SUMPRODUCT(($AZ6&gt;INDEX('Methodology &amp; Sources'!$B$364:$J$370,0,1))*($AZ6-INDEX('Methodology &amp; Sources'!$B$364:$J$370,0,1))*INDEX('Methodology &amp; Sources'!$B$364:$J$370,0,1+2)),SUMPRODUCT(($AZ6&gt;INDEX('Methodology &amp; Sources'!$B$353:$J$359,0,7))*($AZ6-INDEX('Methodology &amp; Sources'!$B$353:$J$359,0,7))*INDEX('Methodology &amp; Sources'!$B$353:$J$359,0,7+2))),IF($AN6="MO",SUMPRODUCT(($AZ6&gt;INDEX('Methodology &amp; Sources'!$B$375:$J$382,0,1))*($AZ6-INDEX('Methodology &amp; Sources'!$B$375:$J$382,0,1))*INDEX('Methodology &amp; Sources'!$B$375:$J$382,0,1+2)),IF($AN6="MT",IF($AU6="Head of household",SUMPRODUCT(($AZ6&gt;INDEX('Methodology &amp; Sources'!$B$387:$J$389,0,1))*($AZ6-INDEX('Methodology &amp; Sources'!$B$387:$J$389,0,1))*INDEX('Methodology &amp; Sources'!$B$387:$J$389,0,1+2)),IF($AU6="Married",SUMPRODUCT(($AZ6&gt;INDEX('Methodology &amp; Sources'!$B$375:$J$382,0,7))*($AZ6-INDEX('Methodology &amp; Sources'!$B$375:$J$382,0,7))*INDEX('Methodology &amp; Sources'!$B$375:$J$382,0,7+2)),SUMPRODUCT(($AZ6&gt;INDEX('Methodology &amp; Sources'!$B$375:$J$382,0,4))*($AZ6-INDEX('Methodology &amp; Sources'!$B$375:$J$382,0,4))*INDEX('Methodology &amp; Sources'!$B$375:$J$382,0,4+2)))),IF($AN6="ND",IF($AU6="Head of household",SUMPRODUCT(($AZ6&gt;INDEX('Methodology &amp; Sources'!$B$394:$J$400,0,1))*($AZ6-INDEX('Methodology &amp; Sources'!$B$394:$J$400,0,1))*INDEX('Methodology &amp; Sources'!$B$394:$J$400,0,1+2)),IF($AU6="Married",SUMPRODUCT(($AZ6&gt;INDEX('Methodology &amp; Sources'!$B$387:$J$389,0,7))*($AZ6-INDEX('Methodology &amp; Sources'!$B$387:$J$389,0,7))*INDEX('Methodology &amp; Sources'!$B$387:$J$389,0,7+2)),SUMPRODUCT(($AZ6&gt;INDEX('Methodology &amp; Sources'!$B$387:$J$389,0,4))*($AZ6-INDEX('Methodology &amp; Sources'!$B$387:$J$389,0,4))*INDEX('Methodology &amp; Sources'!$B$387:$J$389,0,4+2)))),IF($AN6="NJ",IF(Inputs!$C$77="B",SUMPRODUCT(($AZ6&gt;INDEX('Methodology &amp; Sources'!$B$405:$J$412,0,4))*($AZ6-INDEX('Methodology &amp; Sources'!$B$405:$J$412,0,4))*INDEX('Methodology &amp; Sources'!$B$405:$J$412,0,4+2)),IF(Inputs!$C$77="C",SUMPRODUCT(($AZ6&gt;INDEX('Methodology &amp; Sources'!$B$405:$J$412,0,7))*($AZ6-INDEX('Methodology &amp; Sources'!$B$405:$J$412,0,7))*INDEX('Methodology &amp; Sources'!$B$405:$J$412,0,7+2)),IF(Inputs!$C$77="D",SUMPRODUCT(($AZ6&gt;INDEX('Methodology &amp; Sources'!$B$417:$J$429,0,1))*($AZ6-INDEX('Methodology &amp; Sources'!$B$417:$J$429,0,1))*INDEX('Methodology &amp; Sources'!$B$417:$J$429,0,1+2)),IF(Inputs!$C$77="E",SUMPRODUCT(($AZ6&gt;INDEX('Methodology &amp; Sources'!$B$417:$J$429,0,4))*($AZ6-INDEX('Methodology &amp; Sources'!$B$417:$J$429,0,4))*INDEX('Methodology &amp; Sources'!$B$417:$J$429,0,4+2)),SUMPRODUCT(($AZ6&gt;INDEX('Methodology &amp; Sources'!$B$405:$J$412,0,1))*($AZ6-INDEX('Methodology &amp; Sources'!$B$405:$J$412,0,1))*INDEX('Methodology &amp; Sources'!$B$405:$J$412,0,1+2)))))),IF($AN6="NY",IF($AU6="Married",IF($AZ6&gt;=2155350,$AZ6*IF($AZ6&gt;25000000,0.117,IF($AZ6&gt;5000000,0.111,0.1045)),SUMPRODUCT(($AZ6&gt;INDEX('Methodology &amp; Sources'!$B$434:$J$448,0,1))*($AZ6-INDEX('Methodology &amp; Sources'!$B$434:$J$448,0,1))*INDEX('Methodology &amp; Sources'!$B$434:$J$448,0,1+2))),IF($AZ6&gt;=1077550,$AZ6*IF($AZ6&gt;25000000,0.117,IF($AZ6&gt;5000000,0.111,0.1045)),SUMPRODUCT(($AZ6&gt;INDEX('Methodology &amp; Sources'!$B$417:$J$429,0,7))*($AZ6-INDEX('Methodology &amp; Sources'!$B$417:$J$429,0,7))*INDEX('Methodology &amp; Sources'!$B$417:$J$429,0,7+2)))),"")))))))</f>
      </c>
      <c r="BX6" s="7">
        <f>IF($B6="","",IF($AN6="AL",IF(OR($AU6="Married",$AU6="Head of household"),SUMPRODUCT(($AZ6&gt;INDEX('Methodology &amp; Sources'!$B$332:$J$336,0,4))*($AZ6-INDEX('Methodology &amp; Sources'!$B$332:$J$336,0,4))*INDEX('Methodology &amp; Sources'!$B$332:$J$336,0,4+2)),SUMPRODUCT(($AZ6&gt;INDEX('Methodology &amp; Sources'!$B$332:$J$336,0,1))*($AZ6-INDEX('Methodology &amp; Sources'!$B$332:$J$336,0,1))*INDEX('Methodology &amp; Sources'!$B$332:$J$336,0,1+2))),IF($AN6="KS",IF($AU6="Married",SUMPRODUCT(($AZ6&gt;INDEX('Methodology &amp; Sources'!$B$353:$J$359,0,4))*($AZ6-INDEX('Methodology &amp; Sources'!$B$353:$J$359,0,4))*INDEX('Methodology &amp; Sources'!$B$353:$J$359,0,4+2)),SUMPRODUCT(($AZ6&gt;INDEX('Methodology &amp; Sources'!$B$353:$J$359,0,1))*($AZ6-INDEX('Methodology &amp; Sources'!$B$353:$J$359,0,1))*INDEX('Methodology &amp; Sources'!$B$353:$J$359,0,1+2))),IF($AN6="MN",IF($AU6="Married",SUMPRODUCT(($AZ6&gt;INDEX('Methodology &amp; Sources'!$B$364:$J$370,0,7))*($AZ6-INDEX('Methodology &amp; Sources'!$B$364:$J$370,0,7))*INDEX('Methodology &amp; Sources'!$B$364:$J$370,0,7+2)),SUMPRODUCT(($AZ6&gt;INDEX('Methodology &amp; Sources'!$B$364:$J$370,0,4))*($AZ6-INDEX('Methodology &amp; Sources'!$B$364:$J$370,0,4))*INDEX('Methodology &amp; Sources'!$B$364:$J$370,0,4+2))),IF($AN6="NE",MAX(IF($AU6="Married",SUMPRODUCT(($AZ6&gt;INDEX('Methodology &amp; Sources'!$B$394:$J$400,0,7))*($AZ6-INDEX('Methodology &amp; Sources'!$B$394:$J$400,0,7))*INDEX('Methodology &amp; Sources'!$B$394:$J$400,0,7+2)),SUMPRODUCT(($AZ6&gt;INDEX('Methodology &amp; Sources'!$B$394:$J$400,0,4))*($AZ6-INDEX('Methodology &amp; Sources'!$B$394:$J$400,0,4))*INDEX('Methodology &amp; Sources'!$B$394:$J$400,0,4+2))),0.015*$AZ6),IF($AN6="OH",IF($B6&gt;=DATE(2026,8,1),SUMPRODUCT(($AZ6&gt;INDEX('Methodology &amp; Sources'!$B$453:$J$456,0,1))*($AZ6-INDEX('Methodology &amp; Sources'!$B$453:$J$456,0,1))*INDEX('Methodology &amp; Sources'!$B$453:$J$456,0,1+2)),SUMPRODUCT(($AZ6&gt;INDEX('Methodology &amp; Sources'!$B$434:$J$448,0,7))*($AZ6-INDEX('Methodology &amp; Sources'!$B$434:$J$448,0,7))*INDEX('Methodology &amp; Sources'!$B$434:$J$448,0,7+2))),IF($AN6="OK",IF($AU6="Married",SUMPRODUCT(($AZ6&gt;INDEX('Methodology &amp; Sources'!$B$453:$J$456,0,7))*($AZ6-INDEX('Methodology &amp; Sources'!$B$453:$J$456,0,7))*INDEX('Methodology &amp; Sources'!$B$453:$J$456,0,7+2)),SUMPRODUCT(($AZ6&gt;INDEX('Methodology &amp; Sources'!$B$453:$J$456,0,4))*($AZ6-INDEX('Methodology &amp; Sources'!$B$453:$J$456,0,4))*INDEX('Methodology &amp; Sources'!$B$453:$J$456,0,4+2))),IF($AN6="RI",SUMPRODUCT(($AZ6&gt;INDEX('Methodology &amp; Sources'!$B$461:$J$464,0,7))*($AZ6-INDEX('Methodology &amp; Sources'!$B$461:$J$464,0,7))*INDEX('Methodology &amp; Sources'!$B$461:$J$464,0,7+2)),IF($AN6="VT",IF($AU6="Married",SUMPRODUCT(($AZ6&gt;INDEX('Methodology &amp; Sources'!$B$478:$J$482,0,1))*($AZ6-INDEX('Methodology &amp; Sources'!$B$478:$J$482,0,1))*INDEX('Methodology &amp; Sources'!$B$478:$J$482,0,1+2)),SUMPRODUCT(($AZ6&gt;INDEX('Methodology &amp; Sources'!$B$469:$J$473,0,7))*($AZ6-INDEX('Methodology &amp; Sources'!$B$469:$J$473,0,7))*INDEX('Methodology &amp; Sources'!$B$469:$J$473,0,7+2))),IF($AN6="WV",IF($AU6="Married",SUMPRODUCT(($AZ6&gt;INDEX('Methodology &amp; Sources'!$B$487:$J$491,0,7))*($AZ6-INDEX('Methodology &amp; Sources'!$B$487:$J$491,0,7))*INDEX('Methodology &amp; Sources'!$B$487:$J$491,0,7+2)),SUMPRODUCT(($AZ6&gt;INDEX('Methodology &amp; Sources'!$B$478:$J$482,0,7))*($AZ6-INDEX('Methodology &amp; Sources'!$B$478:$J$482,0,7))*INDEX('Methodology &amp; Sources'!$B$478:$J$482,0,7+2))),""))))))))))</f>
      </c>
      <c r="BY6" s="7">
        <f>IF($B6="","",IF($AN6="AR",SUMPRODUCT(($AZ6&gt;INDEX('Methodology &amp; Sources'!$B$332:$J$336,0,7))*($AZ6-INDEX('Methodology &amp; Sources'!$B$332:$J$336,0,7))*INDEX('Methodology &amp; Sources'!$B$332:$J$336,0,7+2)),IF($AN6="DE",SUMPRODUCT(($AZ6&gt;INDEX('Methodology &amp; Sources'!$B$341:$J$348,0,1))*($AZ6-INDEX('Methodology &amp; Sources'!$B$341:$J$348,0,1))*INDEX('Methodology &amp; Sources'!$B$341:$J$348,0,1+2)),IF($AN6="HI",IF($AU6="Married",SUMPRODUCT(($AZ6&gt;INDEX('Methodology &amp; Sources'!$B$341:$J$348,0,7))*($AZ6-INDEX('Methodology &amp; Sources'!$B$341:$J$348,0,7))*INDEX('Methodology &amp; Sources'!$B$341:$J$348,0,7+2)),SUMPRODUCT(($AZ6&gt;INDEX('Methodology &amp; Sources'!$B$341:$J$348,0,4))*($AZ6-INDEX('Methodology &amp; Sources'!$B$341:$J$348,0,4))*INDEX('Methodology &amp; Sources'!$B$341:$J$348,0,4+2))),IF($AN6="SC",SUMPRODUCT(($AZ6&gt;INDEX('Methodology &amp; Sources'!$B$469:$J$473,0,1))*($AZ6-INDEX('Methodology &amp; Sources'!$B$469:$J$473,0,1))*INDEX('Methodology &amp; Sources'!$B$469:$J$473,0,1+2)),IF($AN6="VA",SUMPRODUCT(($AZ6&gt;INDEX('Methodology &amp; Sources'!$B$469:$J$473,0,4))*($AZ6-INDEX('Methodology &amp; Sources'!$B$469:$J$473,0,4))*INDEX('Methodology &amp; Sources'!$B$469:$J$473,0,4+2)),IF($AN6="WI",SUMPRODUCT(($AZ6&gt;INDEX('Methodology &amp; Sources'!$B$478:$J$482,0,4))*($AZ6-INDEX('Methodology &amp; Sources'!$B$478:$J$482,0,4))*INDEX('Methodology &amp; Sources'!$B$478:$J$482,0,4+2)),"")))))))</f>
      </c>
      <c r="BZ6" s="24">
        <f>IF($B6="","",IF($AN6="NJ",IF(Inputs!$C$77="B",SUMPRODUCT(($AZ6&gt;=INDEX('Methodology &amp; Sources'!$B$405:$J$412,0,4))*INDEX('Methodology &amp; Sources'!$B$405:$J$412,0,4+2)),IF(Inputs!$C$77="C",SUMPRODUCT(($AZ6&gt;=INDEX('Methodology &amp; Sources'!$B$405:$J$412,0,7))*INDEX('Methodology &amp; Sources'!$B$405:$J$412,0,7+2)),IF(Inputs!$C$77="D",SUMPRODUCT(($AZ6&gt;=INDEX('Methodology &amp; Sources'!$B$417:$J$429,0,1))*INDEX('Methodology &amp; Sources'!$B$417:$J$429,0,1+2)),IF(Inputs!$C$77="E",SUMPRODUCT(($AZ6&gt;=INDEX('Methodology &amp; Sources'!$B$417:$J$429,0,4))*INDEX('Methodology &amp; Sources'!$B$417:$J$429,0,4+2)),SUMPRODUCT(($AZ6&gt;=INDEX('Methodology &amp; Sources'!$B$405:$J$412,0,1))*INDEX('Methodology &amp; Sources'!$B$405:$J$412,0,1+2)))))),IF($AN6="OR",IF(OR($AU6="Married",AND($AU6="Single",$AS6&gt;=3)),SUMPRODUCT((MAX(0,$AY6-MIN(($P6-'Methodology &amp; Sources'!$C$260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Sources'!$B$461:$J$464,0,4))*INDEX('Methodology &amp; Sources'!$B$461:$J$464,0,4+2)),SUMPRODUCT((MAX(0,$AY6-MIN(($P6-'Methodology &amp; Sources'!$C$260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Sources'!$B$461:$J$464,0,1))*INDEX('Methodology &amp; Sources'!$B$461:$J$464,0,1+2)))*IF(($P6-'Methodology &amp; Sources'!$C$260*$D6)*Inputs!$C$8&gt;=IF(OR($AU6="Married",AND($AU6="Single",$AS6&gt;=3)),IF($AY6&lt;250000,8750,IF($AY6&lt;260000,7000,IF($AY6&lt;270000,5250,IF($AY6&lt;280000,3500,IF($AY6&lt;290000,1750,0))))),IF($AY6&lt;125000,8750,IF($AY6&lt;130000,7000,IF($AY6&lt;135000,5250,IF($AY6&lt;140000,3500,IF($AY6&lt;145000,1750,0)))))),1,1-IF(Inputs!$C$13,SUMPRODUCT(($AH6&gt;=INDEX('Methodology &amp; Sources'!$B$279:$J$286,0,IF(Inputs!$C$12="MFJ",1,IF(Inputs!$C$12="HoH",7,4))))*INDEX('Methodology &amp; Sources'!$B$279:$J$286,0,IF(Inputs!$C$12="MFJ",1,IF(Inputs!$C$12="HoH",7,4))+2)),SUMPRODUCT(($AH6&gt;=INDEX('Methodology &amp; Sources'!$B$269:$J$276,0,IF(Inputs!$C$12="MFJ",1,IF(Inputs!$C$12="HoH",7,4))))*INDEX('Methodology &amp; Sources'!$B$269:$J$276,0,IF(Inputs!$C$12="MFJ",1,IF(Inputs!$C$12="HoH",7,4))+2)))),IF($AN6="MI",IF($AY6&gt;5900*$AS6,0.0425,0),""))))</f>
      </c>
      <c r="CA6" s="24">
        <f>IF($B6="","",IF($AN6="AL",IF(OR($AU6="Married",$AU6="Head of household"),SUMPRODUCT(($AZ6&gt;=INDEX('Methodology &amp; Sources'!$B$332:$J$336,0,4))*INDEX('Methodology &amp; Sources'!$B$332:$J$336,0,4+2)),SUMPRODUCT(($AZ6&gt;=INDEX('Methodology &amp; Sources'!$B$332:$J$336,0,1))*INDEX('Methodology &amp; Sources'!$B$332:$J$336,0,1+2)))*(1-IF(Inputs!$C$13,SUMPRODUCT(($AH6&gt;=INDEX('Methodology &amp; Sources'!$B$279:$J$286,0,IF(Inputs!$C$12="MFJ",1,IF(Inputs!$C$12="HoH",7,4))))*INDEX('Methodology &amp; Sources'!$B$279:$J$286,0,IF(Inputs!$C$12="MFJ",1,IF(Inputs!$C$12="HoH",7,4))+2)),SUMPRODUCT(($AH6&gt;=INDEX('Methodology &amp; Sources'!$B$269:$J$276,0,IF(Inputs!$C$12="MFJ",1,IF(Inputs!$C$12="HoH",7,4))))*INDEX('Methodology &amp; Sources'!$B$269:$J$276,0,IF(Inputs!$C$12="MFJ",1,IF(Inputs!$C$12="HoH",7,4))+2)))),IF($AN6="KS",IF($AU6="Married",SUMPRODUCT(($AZ6&gt;=INDEX('Methodology &amp; Sources'!$B$353:$J$359,0,4))*INDEX('Methodology &amp; Sources'!$B$353:$J$359,0,4+2)),SUMPRODUCT(($AZ6&gt;=INDEX('Methodology &amp; Sources'!$B$353:$J$359,0,1))*INDEX('Methodology &amp; Sources'!$B$353:$J$359,0,1+2))),IF($AN6="MD",IF(OR($AU6="Married",$AU6="Head of household"),SUMPRODUCT(($AZ6&gt;=INDEX('Methodology &amp; Sources'!$B$364:$J$370,0,1))*INDEX('Methodology &amp; Sources'!$B$364:$J$370,0,1+2)),SUMPRODUCT(($AZ6&gt;=INDEX('Methodology &amp; Sources'!$B$353:$J$359,0,7))*INDEX('Methodology &amp; Sources'!$B$353:$J$359,0,7+2)))+Inputs!$C$74,IF($AN6="MT",IF($AU6="Head of household",SUMPRODUCT(($AZ6&gt;=INDEX('Methodology &amp; Sources'!$B$387:$J$389,0,1))*INDEX('Methodology &amp; Sources'!$B$387:$J$389,0,1+2)),IF($AU6="Married",SUMPRODUCT(($AZ6&gt;=INDEX('Methodology &amp; Sources'!$B$375:$J$382,0,7))*INDEX('Methodology &amp; Sources'!$B$375:$J$382,0,7+2)),SUMPRODUCT(($AZ6&gt;=INDEX('Methodology &amp; Sources'!$B$375:$J$382,0,4))*INDEX('Methodology &amp; Sources'!$B$375:$J$382,0,4+2)))),IF($AN6="ND",IF($AU6="Head of household",SUMPRODUCT(($AZ6&gt;=INDEX('Methodology &amp; Sources'!$B$394:$J$400,0,1))*INDEX('Methodology &amp; Sources'!$B$394:$J$400,0,1+2)),IF($AU6="Married",SUMPRODUCT(($AZ6&gt;=INDEX('Methodology &amp; Sources'!$B$387:$J$389,0,7))*INDEX('Methodology &amp; Sources'!$B$387:$J$389,0,7+2)),SUMPRODUCT(($AZ6&gt;=INDEX('Methodology &amp; Sources'!$B$387:$J$389,0,4))*INDEX('Methodology &amp; Sources'!$B$387:$J$389,0,4+2)))),IF($AN6="NY",IF($AU6="Married",IF($AZ6&gt;=2155350,IF($AZ6&gt;25000000,0.117,IF($AZ6&gt;5000000,0.111,0.1045)),SUMPRODUCT(($AZ6&gt;=INDEX('Methodology &amp; Sources'!$B$434:$J$448,0,1))*INDEX('Methodology &amp; Sources'!$B$434:$J$448,0,1+2))),IF($AZ6&gt;=1077550,IF($AZ6&gt;25000000,0.117,IF($AZ6&gt;5000000,0.111,0.1045)),SUMPRODUCT(($AZ6&gt;=INDEX('Methodology &amp; Sources'!$B$417:$J$429,0,7))*INDEX('Methodology &amp; Sources'!$B$417:$J$429,0,7+2)))),"")))))))</f>
      </c>
      <c r="CB6" s="24">
        <f>IF($B6="","",IF($AN6="CA",SUMPRODUCT(($AJ6&gt;=INDEX('Methodology &amp; Sources'!$B$289:$J$298,0,IF($AU6="Married",4,IF($AU6="Head of household",7,1))))*INDEX('Methodology &amp; Sources'!$B$289:$J$298,0,IF($AU6="Married",4,IF($AU6="Head of household",7,1))+2)),IF($AN6="HI",IF($AU6="Married",SUMPRODUCT(($AZ6&gt;=INDEX('Methodology &amp; Sources'!$B$341:$J$348,0,7))*INDEX('Methodology &amp; Sources'!$B$341:$J$348,0,7+2)),SUMPRODUCT(($AZ6&gt;=INDEX('Methodology &amp; Sources'!$B$341:$J$348,0,4))*INDEX('Methodology &amp; Sources'!$B$341:$J$348,0,4+2))),IF($AN6="MN",IF($AU6="Married",SUMPRODUCT(($AZ6&gt;=INDEX('Methodology &amp; Sources'!$B$364:$J$370,0,7))*INDEX('Methodology &amp; Sources'!$B$364:$J$370,0,7+2)),SUMPRODUCT(($AZ6&gt;=INDEX('Methodology &amp; Sources'!$B$364:$J$370,0,4))*INDEX('Methodology &amp; Sources'!$B$364:$J$370,0,4+2))),IF($AN6="MO",SUMPRODUCT(($AZ6&gt;=INDEX('Methodology &amp; Sources'!$B$375:$J$382,0,1))*INDEX('Methodology &amp; Sources'!$B$375:$J$382,0,1+2)),IF($AN6="NE",MAX(IF($AU6="Married",SUMPRODUCT(($AZ6&gt;=INDEX('Methodology &amp; Sources'!$B$394:$J$400,0,7))*INDEX('Methodology &amp; Sources'!$B$394:$J$400,0,7+2)),SUMPRODUCT(($AZ6&gt;=INDEX('Methodology &amp; Sources'!$B$394:$J$400,0,4))*INDEX('Methodology &amp; Sources'!$B$394:$J$400,0,4+2))),0.015),IF($AN6="OH",IF($B6&gt;=DATE(2026,8,1),SUMPRODUCT(($AZ6&gt;=INDEX('Methodology &amp; Sources'!$B$453:$J$456,0,1))*INDEX('Methodology &amp; Sources'!$B$453:$J$456,0,1+2)),SUMPRODUCT(($AZ6&gt;=INDEX('Methodology &amp; Sources'!$B$434:$J$448,0,7))*INDEX('Methodology &amp; Sources'!$B$434:$J$448,0,7+2))),IF($AN6="OK",IF($AU6="Married",SUMPRODUCT(($AZ6&gt;=INDEX('Methodology &amp; Sources'!$B$453:$J$456,0,7))*INDEX('Methodology &amp; Sources'!$B$453:$J$456,0,7+2)),SUMPRODUCT(($AZ6&gt;=INDEX('Methodology &amp; Sources'!$B$453:$J$456,0,4))*INDEX('Methodology &amp; Sources'!$B$453:$J$456,0,4+2))),IF($AN6="RI",SUMPRODUCT(($AZ6&gt;=INDEX('Methodology &amp; Sources'!$B$461:$J$464,0,7))*INDEX('Methodology &amp; Sources'!$B$461:$J$464,0,7+2)),IF($AN6="SC",SUMPRODUCT(($AZ6&gt;=INDEX('Methodology &amp; Sources'!$B$469:$J$473,0,1))*INDEX('Methodology &amp; Sources'!$B$469:$J$473,0,1+2)),IF($AN6="VT",IF($AU6="Married",SUMPRODUCT(($AZ6&gt;=INDEX('Methodology &amp; Sources'!$B$478:$J$482,0,1))*INDEX('Methodology &amp; Sources'!$B$478:$J$482,0,1+2)),SUMPRODUCT(($AZ6&gt;=INDEX('Methodology &amp; Sources'!$B$469:$J$473,0,7))*INDEX('Methodology &amp; Sources'!$B$469:$J$473,0,7+2))),IF($AN6="WV",IF($AU6="Married",SUMPRODUCT(($AZ6&gt;=INDEX('Methodology &amp; Sources'!$B$487:$J$491,0,7))*INDEX('Methodology &amp; Sources'!$B$487:$J$491,0,7+2)),SUMPRODUCT(($AZ6&gt;=INDEX('Methodology &amp; Sources'!$B$478:$J$482,0,7))*INDEX('Methodology &amp; Sources'!$B$478:$J$482,0,7+2))),IF($AN6="IN",(0.0295+Inputs!$C$76),"")))))))))))))</f>
      </c>
      <c r="CC6" s="24">
        <f>IF($B6="","",IF($AN6="AR",SUMPRODUCT(($AZ6&gt;=INDEX('Methodology &amp; Sources'!$B$332:$J$336,0,7))*INDEX('Methodology &amp; Sources'!$B$332:$J$336,0,7+2)),IF($AN6="DE",SUMPRODUCT(($AZ6&gt;=INDEX('Methodology &amp; Sources'!$B$341:$J$348,0,1))*INDEX('Methodology &amp; Sources'!$B$341:$J$348,0,1+2)),IF($AN6="VA",SUMPRODUCT(($AZ6&gt;=INDEX('Methodology &amp; Sources'!$B$469:$J$473,0,4))*INDEX('Methodology &amp; Sources'!$B$469:$J$473,0,4+2)),IF($AN6="WI",SUMPRODUCT(($AZ6&gt;=INDEX('Methodology &amp; Sources'!$B$478:$J$482,0,4))*INDEX('Methodology &amp; Sources'!$B$478:$J$482,0,4+2)),IF($AN6="AZ",Inputs!$C$82,IF($AN6="CO",IF($AY6&gt;IF($AU6="Married",10000,5000),0.044,0),IF($AN6="IA",IF($AY6&gt;IF($AU6="Head of household",19500,IF($AU6="Married",26000,13000)),0.038,0),IF($AN6="ID",IF($AY6&gt;IF($AU6="Married",32000,16094),0.053,0),IF($AN6="IL",IF($AY6&gt;(2925*$AS6+1000*$AT6),0.0495,0),IF($AN6="KY",IF($AI6&gt;3360,0.035,0),IF($AN6="LA",0.0309,IF($AN6="MA",IF(MAX(0,$AY6-MIN((0+$Q6+$R6+$S6),2000)-IF($AS6=0,0,IF($AS6=1,4400,1000*$AS6+3400)))&gt;=1107750,0.09,0.05),IF($AN6="MS",IF($AI6-IF($AU6="Head of household",3400,IF($AU6="Married",4600,2300))-Inputs!$C$85&gt;10000,0.04,0),IF($AN6="PA",0.0307,"")))))))))))))))</f>
      </c>
      <c r="CD6" s="21">
        <f>IF(YEAR(IF(Inputs!$C$7="Weekly",Inputs!$C$9+7*((0+1)-1),IF(Inputs!$C$7="Biweekly",Inputs!$C$9+14*((0+1)-1),IF(Inputs!$C$7="Semimonthly",DATE(YEAR(Inputs!$C$9),MONTH(Inputs!$C$9)+INT(((0+1)-1)/2),MIN(DAY(Inputs!$C$9),DAY(EOMONTH(DATE(YEAR(Inputs!$C$9),MONTH(Inputs!$C$9)+INT(((0+1)-1)/2),1),0))))+IF(MOD((0+1)-1,2)=1,15,0),EDATE(Inputs!$C$9,(0+1)-1)))))&lt;&gt;2026,"",IF(Inputs!$C$7="Weekly",Inputs!$C$9+7*((0+1)-1),IF(Inputs!$C$7="Biweekly",Inputs!$C$9+14*((0+1)-1),IF(Inputs!$C$7="Semimonthly",DATE(YEAR(Inputs!$C$9),MONTH(Inputs!$C$9)+INT(((0+1)-1)/2),MIN(DAY(Inputs!$C$9),DAY(EOMONTH(DATE(YEAR(Inputs!$C$9),MONTH(Inputs!$C$9)+INT(((0+1)-1)/2),1),0))))+IF(MOD((0+1)-1,2)=1,15,0),EDATE(Inputs!$C$9,(0+1)-1)))))</f>
      </c>
      <c r="CE6" s="21">
        <f>IF(SUMPRODUCT(MIN(IF((Inputs!$C$58:$C$67&gt;0)*(Inputs!$C$58:$C$67&gt;=DATE(2026,1,1))*(Inputs!$C$58:$C$67&lt;=DATE(2026,12,31)),Inputs!$C$58:$C$67,999999)))=999999,"",SUMPRODUCT(MIN(IF((Inputs!$C$58:$C$67&gt;0)*(Inputs!$C$58:$C$67&gt;=DATE(2026,1,1))*(Inputs!$C$58:$C$67&lt;=DATE(2026,12,31)),Inputs!$C$58:$C$67,999999))))</f>
      </c>
    </row>
    <row r="7">
      <c r="A7" t="n">
        <v>2</v>
      </c>
      <c r="B7" s="21">
        <f>IF(AND($CD7="",$CE7=""),"",IF($CE7="",$CD7,IF($CD7="",$CE7,MIN($CD7,$CE7))))</f>
      </c>
      <c r="C7" s="7">
        <f>IF($B7="","",IF($BF7=0,0,IF(Inputs!$C$4="Annual salary",ROUND($AK7/IF(AND(Inputs!$C$88="Actual paydays",MONTH(Inputs!$C$9)=1),MAX(1,MAX($BE$6:$BE$68)),Inputs!$C$8),2),$AK7)))</f>
      </c>
      <c r="D7" s="7">
        <f>IF($B7="","",SUMIF(Inputs!$C$58:$C$67,$B7,Inputs!$D$58:$D$67))</f>
      </c>
      <c r="E7" s="7">
        <f>IF($B7="","",ROUND(MAX(0,MIN(IF($AL7="Percent",$AM7*($C7+$D7),$AM7),MAX(0,Inputs!$C$91-$AC6))),2))</f>
      </c>
      <c r="F7" s="7">
        <f>IF($B7="","",ROUND(MAX(0,MIN(IF(Inputs!$C$32="Percent",Inputs!$D$32*($C7+$D7),Inputs!$D$32),MAX(0,Inputs!$C$91-$AC6-$E7))),2))</f>
      </c>
      <c r="G7" s="7">
        <f>IF($B7="","",IF($BF7=0,0,ROUND(MAX(0,MIN($BL7,Inputs!$C$92-Inputs!$C$54-$BI6)),2)))</f>
      </c>
      <c r="H7" s="7">
        <f>IF($B7="","",IF(OR($BF7=0,$BQ7=1),0,ROUND(MAX(0,MIN(IF($BS7=1,ROUND(MAX(0,MIN($BJ7,'Methodology &amp; Sources'!$C$263)-$BG6)/MAX(1,MAX($BE$6:$BE$68)-($BE6)),2),ROUND(MIN($BJ7,'Methodology &amp; Sources'!$C$263)/Inputs!$C$8,2)),MIN($BJ7,'Methodology &amp; Sources'!$C$263)-$BG6)),2)))</f>
      </c>
      <c r="I7" s="7">
        <f>IF($B7="","",IF(OR($BF7=0,$BR7=1),0,ROUND(MAX(0,MIN(IF($BT7=1,ROUND(MAX(0,MIN($BK7,IF(Inputs!$C$12="MFJ",'Methodology &amp; Sources'!$C$264,'Methodology &amp; Sources'!$C$265))-$BH6)/MAX(1,MAX($BE$6:$BE$68)-($BE6)),2),ROUND(MIN($BK7,IF(Inputs!$C$12="MFJ",'Methodology &amp; Sources'!$C$264,'Methodology &amp; Sources'!$C$265))/Inputs!$C$8,2)),MIN($BK7,IF(Inputs!$C$12="MFJ",'Methodology &amp; Sources'!$C$264,'Methodology &amp; Sources'!$C$265))-$BH6)),2)))</f>
      </c>
      <c r="J7" s="7">
        <f>IF($B7="","",IF($BF7=0,0,$BM7))</f>
      </c>
      <c r="K7" s="7">
        <f>IF($B7="","",IF($BF7=0,0,$BN7+$BO7))</f>
      </c>
      <c r="L7" s="7">
        <f>IF($B7="","",IF($BF7=0,0,Inputs!$D$46))</f>
      </c>
      <c r="M7" s="7">
        <f>IF($B7="","",$C7+$D7+$L7-$E7-$G7-$H7-$I7-$J7-$K7)</f>
      </c>
      <c r="N7" s="7">
        <f>IF($B7="","",$C7+$D7+$L7-$G7-$H7-$I7-$J7-$K7)</f>
      </c>
      <c r="O7" s="7">
        <f>IF($B7="","",$C7+$D7+$L7-$E7-$H7-$I7-$J7-$K7-IF(OR($AN7="CA",$AN7="NJ"),0,$G7))</f>
      </c>
      <c r="P7" s="7">
        <f>IF($B7="","",IF(Inputs!$C$18,0,ROUND(MAX(0,IF(Inputs!$C$13,SUMPRODUCT(($AH7&gt;INDEX('Methodology &amp; Sources'!$B$279:$J$286,0,IF(Inputs!$C$12="MFJ",1,IF(Inputs!$C$12="HoH",7,4))))*($AH7-INDEX('Methodology &amp; Sources'!$B$279:$J$286,0,IF(Inputs!$C$12="MFJ",1,IF(Inputs!$C$12="HoH",7,4))))*INDEX('Methodology &amp; Sources'!$B$279:$J$286,0,IF(Inputs!$C$12="MFJ",1,IF(Inputs!$C$12="HoH",7,4))+2)),SUMPRODUCT(($AH7&gt;INDEX('Methodology &amp; Sources'!$B$269:$J$276,0,IF(Inputs!$C$12="MFJ",1,IF(Inputs!$C$12="HoH",7,4))))*($AH7-INDEX('Methodology &amp; Sources'!$B$269:$J$276,0,IF(Inputs!$C$12="MFJ",1,IF(Inputs!$C$12="HoH",7,4))))*INDEX('Methodology &amp; Sources'!$B$269:$J$276,0,IF(Inputs!$C$12="MFJ",1,IF(Inputs!$C$12="HoH",7,4))+2)))/Inputs!$C$8-$AO7/Inputs!$C$8)+$AR7+IF(Inputs!$C$89="Aggregate",MAX(0,IF(Inputs!$C$13,SUMPRODUCT((($AH7+$D7)&gt;INDEX('Methodology &amp; Sources'!$B$279:$J$286,0,IF(Inputs!$C$12="MFJ",1,IF(Inputs!$C$12="HoH",7,4))))*(($AH7+$D7)-INDEX('Methodology &amp; Sources'!$B$279:$J$286,0,IF(Inputs!$C$12="MFJ",1,IF(Inputs!$C$12="HoH",7,4))))*INDEX('Methodology &amp; Sources'!$B$279:$J$286,0,IF(Inputs!$C$12="MFJ",1,IF(Inputs!$C$12="HoH",7,4))+2)),SUMPRODUCT((($AH7+$D7)&gt;INDEX('Methodology &amp; Sources'!$B$269:$J$276,0,IF(Inputs!$C$12="MFJ",1,IF(Inputs!$C$12="HoH",7,4))))*(($AH7+$D7)-INDEX('Methodology &amp; Sources'!$B$269:$J$276,0,IF(Inputs!$C$12="MFJ",1,IF(Inputs!$C$12="HoH",7,4))))*INDEX('Methodology &amp; Sources'!$B$269:$J$276,0,IF(Inputs!$C$12="MFJ",1,IF(Inputs!$C$12="HoH",7,4))+2)))-IF(Inputs!$C$13,SUMPRODUCT(($AH7&gt;INDEX('Methodology &amp; Sources'!$B$279:$J$286,0,IF(Inputs!$C$12="MFJ",1,IF(Inputs!$C$12="HoH",7,4))))*($AH7-INDEX('Methodology &amp; Sources'!$B$279:$J$286,0,IF(Inputs!$C$12="MFJ",1,IF(Inputs!$C$12="HoH",7,4))))*INDEX('Methodology &amp; Sources'!$B$279:$J$286,0,IF(Inputs!$C$12="MFJ",1,IF(Inputs!$C$12="HoH",7,4))+2)),SUMPRODUCT(($AH7&gt;INDEX('Methodology &amp; Sources'!$B$269:$J$276,0,IF(Inputs!$C$12="MFJ",1,IF(Inputs!$C$12="HoH",7,4))))*($AH7-INDEX('Methodology &amp; Sources'!$B$269:$J$276,0,IF(Inputs!$C$12="MFJ",1,IF(Inputs!$C$12="HoH",7,4))))*INDEX('Methodology &amp; Sources'!$B$269:$J$276,0,IF(Inputs!$C$12="MFJ",1,IF(Inputs!$C$12="HoH",7,4))+2)))),'Methodology &amp; Sources'!$C$260*$D7),2)))</f>
      </c>
      <c r="Q7" s="7">
        <f>IF($B7="","",ROUND('Methodology &amp; Sources'!$C$254*MIN($N7,MAX(0,'Methodology &amp; Sources'!$C$253-($AX7+$AB6-$AW7))),2))</f>
      </c>
      <c r="R7" s="7">
        <f>IF($B7="","",ROUND('Methodology &amp; Sources'!$C$255*$N7,2))</f>
      </c>
      <c r="S7" s="7">
        <f>IF($B7="","",ROUND('Methodology &amp; Sources'!$C$256*MAX(0,MIN($N7,$AG6+$N7-'Methodology &amp; Sources'!$C$257)),2))</f>
      </c>
      <c r="T7" s="7">
        <f>IF($B7="","",IF(Inputs!$C$26,0,IF($AN7="CA",ROUND(IF($AI7&lt;=IF(($AS7+$AT7)&gt;=2,VLOOKUP($AN7,'StateTables 2026'!$A$6:$AB$56,10,FALSE),VLOOKUP($AN7,'StateTables 2026'!$A$6:$AB$56,9,FALSE)),0,MAX(0,SUMPRODUCT(($AJ7&gt;INDEX('Methodology &amp; Sources'!$B$289:$J$298,0,IF($AU7="Married",4,IF($AU7="Head of household",7,1))))*($AJ7-INDEX('Methodology &amp; Sources'!$B$289:$J$298,0,IF($AU7="Married",4,IF($AU7="Head of household",7,1))))*INDEX('Methodology &amp; Sources'!$B$289:$J$298,0,IF($AU7="Married",4,IF($AU7="Head of household",7,1))+2))-VLOOKUP($AN7,'StateTables 2026'!$A$6:$AB$56,11,FALSE)*$AS7)/Inputs!$C$8)+Inputs!$C$25+VLOOKUP($AN7,'StateTables 2026'!$A$6:$AB$56,13,FALSE)*$D7,2),IF(VLOOKUP($AN7,'StateTables 2026'!$A$6:$AB$56,4,FALSE)="None",0,IF(ISNUMBER(SEARCH("MANUAL",VLOOKUP($AN7,'StateTables 2026'!$A$6:$AB$56,5,FALSE))),Inputs!$C$28,ROUND(MAX(0,$BA7+$BB7)/Inputs!$C$8+Inputs!$C$25+$BC7,2))))))</f>
      </c>
      <c r="U7" s="7">
        <f>IF($B7="","",IF(VLOOKUP($AN7,'StateTables 2026'!$A$6:$AB$56,24,FALSE)="flatq",IF(OR(MONTH($B7)=1,MONTH($B7)=4,MONTH($B7)=7,MONTH($B7)=10),VLOOKUP($AN7,'StateTables 2026'!$A$6:$AB$56,25,FALSE),0),IF(VLOOKUP($AN7,'StateTables 2026'!$A$6:$AB$56,24,FALSE)="dbl",MIN(ROUND(0.005*$N7,2),ROUND(0.6*52/Inputs!$C$8,2)),IF(OR(VLOOKUP($AN7,'StateTables 2026'!$A$6:$AB$56,15,FALSE)="",VLOOKUP($AN7,'StateTables 2026'!$A$6:$AB$56,15,FALSE)=0),0,ROUND(VLOOKUP($AN7,'StateTables 2026'!$A$6:$AB$56,15,FALSE)*IF(OR(VLOOKUP($AN7,'StateTables 2026'!$A$6:$AB$56,16,FALSE)="",VLOOKUP($AN7,'StateTables 2026'!$A$6:$AB$56,16,FALSE)=0),$N7,MIN($N7,MAX(0,VLOOKUP($AN7,'StateTables 2026'!$A$6:$AB$56,16,FALSE)-($AX7+$AB6-$AW7)))),2))))+IF(VLOOKUP($AN7,'StateTables 2026'!$A$6:$AB$56,27,FALSE)="flatq",IF(OR(MONTH($B7)=1,MONTH($B7)=4,MONTH($B7)=7,MONTH($B7)=10),VLOOKUP($AN7,'StateTables 2026'!$A$6:$AB$56,28,FALSE),0),IF(VLOOKUP($AN7,'StateTables 2026'!$A$6:$AB$56,27,FALSE)="dbl",MIN(ROUND(0.005*$N7,2),ROUND(0.6*52/Inputs!$C$8,2)),IF(OR(VLOOKUP($AN7,'StateTables 2026'!$A$6:$AB$56,18,FALSE)="",VLOOKUP($AN7,'StateTables 2026'!$A$6:$AB$56,18,FALSE)=0),0,ROUND(VLOOKUP($AN7,'StateTables 2026'!$A$6:$AB$56,18,FALSE)*IF(OR(VLOOKUP($AN7,'StateTables 2026'!$A$6:$AB$56,19,FALSE)="",VLOOKUP($AN7,'StateTables 2026'!$A$6:$AB$56,19,FALSE)=0),$N7,MIN($N7,MAX(0,VLOOKUP($AN7,'StateTables 2026'!$A$6:$AB$56,19,FALSE)-($AX7+$AB6-$AW7)))),2)))))</f>
      </c>
      <c r="V7" s="7">
        <f>IF($B7="","",IF($AN7="NY",IF(Inputs!$C$78,ROUND(SUMPRODUCT((MAX(0,($O7-$D7)*Inputs!$C$8-(IF($AU7="Married",5500,5000)+1000*$AS7))&gt;INDEX('Methodology &amp; Sources'!$B$434:$J$448,0,4))*(MAX(0,($O7-$D7)*Inputs!$C$8-(IF($AU7="Married",5500,5000)+1000*$AS7))-INDEX('Methodology &amp; Sources'!$B$434:$J$448,0,4))*INDEX('Methodology &amp; Sources'!$B$434:$J$448,0,4+2))/Inputs!$C$8+0.0425*$D7,2),0)+IF(Inputs!$C$79="Resident",ROUND(0.1675*$T7,2),IF(Inputs!$C$79="Nonresident",ROUND(0.005*MAX(0,($O7-$D7)-(IF($AU7="Married",7950,7400)+1000*$AS7)/Inputs!$C$8),2),0)),IF($AN7="PA",IF(Inputs!$C$80="None",Inputs!$C$27+ROUND(Inputs!$C$81*($C7+$D7),2),ROUND(IF(Inputs!$C$80="Resident",IF($B7&lt;DATE(2026,7,1),0.0374,0.03735),IF($B7&lt;DATE(2026,7,1),0.0343,0.03425))*($C7+$D7),2)),IF($BF7=0,ROUND(Inputs!$C$81*($C7+$D7),2),Inputs!$C$27+ROUND(Inputs!$C$81*($C7+$D7),2)))))</f>
      </c>
      <c r="W7" s="7">
        <f>IF($B7="","",IF($BF7=0,0,$BP7))</f>
      </c>
      <c r="X7" s="7">
        <f>IF($B7="","",SUM($E7:$K7)+$P7+$Q7+$R7+$S7+$T7+$U7+$V7+$W7)</f>
      </c>
      <c r="Y7" s="22">
        <f>IF($B7="","",$C7+$D7-$X7)</f>
      </c>
      <c r="Z7" s="7">
        <f>IF($B7="","",$Z6+$C7+$D7)</f>
      </c>
      <c r="AA7" s="7">
        <f>IF($B7="","",$AA6+$Y7)</f>
      </c>
      <c r="AB7" s="7">
        <f>IF($B7="","",$AB6+MIN($N7,MAX(0,'Methodology &amp; Sources'!$C$253-($AX7+$AB6-$AW7))))</f>
      </c>
      <c r="AC7" s="7">
        <f>IF($B7="","",$AC6+$E7+$F7)</f>
      </c>
      <c r="AD7" s="3">
        <f>IF($B7="","",IF(AND($AB6&lt;'Methodology &amp; Sources'!$C$253,$AB7&gt;='Methodology &amp; Sources'!$C$253),"★ Social Security maxed on this check — from the next check your net rises by about $"&amp;TEXT(ROUND('Methodology &amp; Sources'!$C$254*$N7,2),"#,##0.00")&amp;". ","")&amp;IF(AND($AC6&lt;Inputs!$C$91,$AC7&gt;=Inputs!$C$91),"★ 401(k) reaches the $"&amp;TEXT(Inputs!$C$91,"#,##0")&amp;" cap on this check — deferrals stop and net pay rises. ","")&amp;IF(AND($AG6&lt;'Methodology &amp; Sources'!$C$257,$AG7&gt;='Methodology &amp; Sources'!$C$257),"★ Wages pass $200,000 — the 0.9% Additional Medicare Tax starts here. ","")&amp;IF(AND($BJ7&gt;0,$H7&gt;0,$BG6&lt;MIN($BJ7,'Methodology &amp; Sources'!$C$263),$BG6+$H7&gt;=MIN($BJ7,'Methodology &amp; Sources'!$C$263)),"★ Health FSA election is now fully deferred for the year. ",""))</f>
      </c>
      <c r="AE7" s="41" t="n"/>
      <c r="AF7" s="7">
        <f>IF(OR($B7="",$AE7=""),"",$AE7-$Y7)</f>
      </c>
      <c r="AG7" s="7">
        <f>IF($B7="","",$AG6+$N7)</f>
      </c>
      <c r="AH7" s="7">
        <f>IF($B7="","",MAX(0,($M7-$D7)*Inputs!$C$8+$AP7-$AQ7-IF(Inputs!$C$13,0,IF(Inputs!$C$12="MFJ",'Methodology &amp; Sources'!$C$258,'Methodology &amp; Sources'!$C$259))))</f>
      </c>
      <c r="AI7" s="7">
        <f>IF($B7="","",$O7*Inputs!$C$8)</f>
      </c>
      <c r="AJ7" s="7">
        <f>IF($B7="","",MAX(0,$AI7-VLOOKUP($AN7,'StateTables 2026'!$A$6:$AB$56,12,FALSE)*$AT7-IF(($AS7+$AT7)&gt;=2,VLOOKUP($AN7,'StateTables 2026'!$A$6:$AB$56,8,FALSE),VLOOKUP($AN7,'StateTables 2026'!$A$6:$AB$56,7,FALSE))))</f>
      </c>
      <c r="AK7" s="7">
        <f>IF($B7="","",IFERROR(LOOKUP(2,1/((Events!$C$6:$C$17="Salary change")*(Events!$B$6:$B$17&lt;=$B7)*(Events!$B$6:$B$17&lt;&gt;"")),Events!$D$6:$D$17),IF(Inputs!$C$4="Annual salary",Inputs!$C$5,Inputs!$C$6)))</f>
      </c>
      <c r="AL7">
        <f>IF($B7="","",IFERROR(LOOKUP(2,1/((Events!$C$6:$C$17="401(k) change")*(Events!$B$6:$B$17&lt;=$B7)*(Events!$B$6:$B$17&lt;&gt;"")),Events!$D$6:$D$17),Inputs!$C$30))</f>
      </c>
      <c r="AM7" s="7">
        <f>IF($B7="","",IFERROR(LOOKUP(2,1/((Events!$C$6:$C$17="401(k) change")*(Events!$B$6:$B$17&lt;=$B7)*(Events!$B$6:$B$17&lt;&gt;"")),Events!$E$6:$E$17),Inputs!$D$30))</f>
      </c>
      <c r="AN7">
        <f>IF($B7="","",IFERROR(LOOKUP(2,1/((Events!$C$6:$C$17="State move")*(Events!$B$6:$B$17&lt;=$B7)*(Events!$B$6:$B$17&lt;&gt;"")),Events!$D$6:$D$17),Inputs!$C$21))</f>
      </c>
      <c r="AO7" s="7">
        <f>IF($B7="","",IFERROR(LOOKUP(2,1/((Events!$C$6:$C$17="W-4 change")*(Events!$B$6:$B$17&lt;=$B7)*(Events!$B$6:$B$17&lt;&gt;"")),Events!$D$6:$D$17),Inputs!$C$14))</f>
      </c>
      <c r="AP7" s="7">
        <f>IF($B7="","",IFERROR(LOOKUP(2,1/((Events!$C$6:$C$17="W-4 change")*(Events!$B$6:$B$17&lt;=$B7)*(Events!$B$6:$B$17&lt;&gt;"")),Events!$E$6:$E$17),Inputs!$C$15))</f>
      </c>
      <c r="AQ7" s="7">
        <f>IF($B7="","",IFERROR(LOOKUP(2,1/((Events!$C$6:$C$17="W-4 change")*(Events!$B$6:$B$17&lt;=$B7)*(Events!$B$6:$B$17&lt;&gt;"")),Events!$F$6:$F$17),Inputs!$C$16))</f>
      </c>
      <c r="AR7" s="7">
        <f>IF($B7="","",IFERROR(LOOKUP(2,1/((Events!$C$6:$C$17="W-4 change")*(Events!$B$6:$B$17&lt;=$B7)*(Events!$B$6:$B$17&lt;&gt;"")),Events!$G$6:$G$17),Inputs!$C$17))</f>
      </c>
      <c r="AS7" s="6">
        <f>IF($B7="","",IFERROR(LOOKUP(2,1/(((Events!$C$6:$C$17="State move")+(Events!$C$6:$C$17="State cert change"))*(Events!$B$6:$B$17&lt;=$B7)*(Events!$B$6:$B$17&lt;&gt;"")),Events!$F$6:$F$17),Inputs!$C$23))</f>
      </c>
      <c r="AT7" s="6">
        <f>IF($B7="","",IFERROR(LOOKUP(2,1/(((Events!$C$6:$C$17="State move")+(Events!$C$6:$C$17="State cert change"))*(Events!$B$6:$B$17&lt;=$B7)*(Events!$B$6:$B$17&lt;&gt;"")),Events!$G$6:$G$17),Inputs!$C$24))</f>
      </c>
      <c r="AU7">
        <f>IF($B7="","",IFERROR(LOOKUP(2,1/((Events!$C$6:$C$17="State move")*(Events!$B$6:$B$17&lt;=$B7)*(Events!$B$6:$B$17&lt;&gt;"")),Events!$E$6:$E$17),Inputs!$C$22))</f>
      </c>
      <c r="AV7" s="6">
        <f>IF($B7="","",1+COUNTIFS(Events!$C$6:$C$17,"Employer change",Events!$B$6:$B$17,"&lt;="&amp;$B7,Events!$B$6:$B$17,"&lt;&gt;"))</f>
      </c>
      <c r="AW7" s="7">
        <f>IF($B7="","",IF($AV7=1,Inputs!$C$49,IF(IFERROR(MATCH(IFERROR(LOOKUP(2,1/((Events!$C$6:$C$17="Employer change")*(Events!$B$6:$B$17&lt;=$B7)*(Events!$B$6:$B$17&lt;&gt;"")),Events!$B$6:$B$17),""),$B$6:$B$68,1),1)&lt;=1,Inputs!$C$49,INDEX($AB$6:$AB$68,MATCH(IFERROR(LOOKUP(2,1/((Events!$C$6:$C$17="Employer change")*(Events!$B$6:$B$17&lt;=$B7)*(Events!$B$6:$B$17&lt;&gt;"")),Events!$B$6:$B$17),""),$B$6:$B$68,1)-1))))</f>
      </c>
      <c r="AX7" s="7">
        <f>IF($B7="","",IF($AV7=1,Inputs!$C$49,IFERROR(LOOKUP(2,1/((Events!$C$6:$C$17="Employer change")*(Events!$B$6:$B$17&lt;=$B7)*(Events!$B$6:$B$17&lt;&gt;"")),Events!$D$6:$D$17),0)))</f>
      </c>
      <c r="AY7" s="7">
        <f>IF($B7="","",($O7-$D7)*Inputs!$C$8)</f>
      </c>
      <c r="AZ7" s="7">
        <f>IF($B7="","",IF($AN7="AL",MAX(0,$AY7-IF($AU7="Married",IF($AY7&lt;=25999,8500,MAX(5000,8500-175*CEILING(($AY7-25999)/500,1))),IF($AU7="Head of household",IF($AY7&lt;=25999,5200,MAX(2500,5200-135*CEILING(($AY7-25999)/500,1))),IF($AY7&lt;=25999,3000,MAX(2500,3000-25*CEILING(($AY7-25999)/500,1)))))-($P7-'Methodology &amp; Sources'!$C$260*$D7)*Inputs!$C$8-IF(OR($AU7="Married",$AU7="Head of household"),3000,1500)-$AT7*IF($AY7&lt;=50000,1000,IF($AY7&lt;=100000,500,300))),IF($AN7="AR",IF(MAX(0,$AY7-2470)&lt;97701,INT(MAX(0,$AY7-2470)/100)*100+50,MAX(0,$AY7-2470)),IF($AN7="DE",MAX(0,$AI7-3250),IF($AN7="HI",MAX(0,$AI7-1144*$AS7-4350),IF($AN7="KS",MAX(0,$AI7-(9160*IF($AU7="Married",2,1)+2320*$AT7+IF($AU7="Head of household",2320,0))),IF($AN7="MD",MAX(0,$AI7-3400-3200*$AS7),IF($AN7="MN",MAX(0,$AY7-5300*$AS7),IF($AN7="MO",MAX(0,$AI7-IF($AU7="Head of household",24150,IF($AU7="Married",IF(Inputs!$C$83,16100,32200),16100))),IF($AN7="MT",$AY7,IF($AN7="ND",($C7+$L7)*Inputs!$C$8,IF($AN7="NE",MAX(0,$AY7-2440*$AS7),IF($AN7="NJ",MAX(0,$AY7-1000*$AS7),IF($AN7="NY",MAX(0,$AY7-(IF($AU7="Married",7950,7400)+1000*$AS7)),IF($AN7="OH",MAX(0,$AY7-650*$AS7),IF($AN7="OK",MAX(0,$AY7-1000*$AS7),IF($AN7="RI",MAX(0,$AI7-1000*$AS7),IF($AN7="SC",MAX(0,$AI7-5000*$AS7-IF($AS7=0,0,MIN(0.1*$AI7,7500))),IF($AN7="VA",MAX(0,$AI7-IF($AU7="Married",17500,8750)-930*$AS7-800*$AT7),IF($AN7="VT",MAX(0,$AI7-5400*$AS7),IF($AN7="WI",MAX(0,$AI7-MAX(0,IF($AU7="Married",9461-0.2*MAX(0,$AI7-25727),6702-0.12*MAX(0,$AI7-17780)))-400*$AS7),IF($AN7="WV",MAX(0,$AI7-2000*$AS7),$AI7))))))))))))))))))))))</f>
      </c>
      <c r="BA7" s="7">
        <f>IF($B7="","",IF($BW7&lt;&gt;"",$BW7,IF($BX7&lt;&gt;"",$BX7,IF($BY7&lt;&gt;"",$BY7,0))))</f>
      </c>
      <c r="BB7" s="7">
        <f>IF($B7="","",IF($AN7="AR",-29*$AS7,IF($AN7="DE",-110*$AS7,IF($AN7="MD",$AZ7*Inputs!$C$74,IF($AN7="AZ",Inputs!$C$82*($M7-$D7)*Inputs!$C$8,IF($AN7="CO",0.044*MAX(0,$AY7-IF($AU7="Married",10000,5000)),IF($AN7="IA",MAX(0,0.038*MAX(0,$AY7-IF($AU7="Head of household",19500,IF($AU7="Married",26000,13000)))-40*$AS7),IF($AN7="ID",0.053*MAX(0,$AY7-IF($AU7="Married",32000,16094)),IF($AN7="IL",0.0495*MAX(0,$AY7-(2925*$AS7+1000*$AT7)),IF($AN7="IN",(0.0295+Inputs!$C$76)*MAX(0,$AY7-(1000*$AS7+1500*$AT7+3000*Inputs!$C$86)),IF($AN7="KY",0.035*MAX(0,$AI7-3360),IF($AN7="LA",IF(Inputs!$C$84="0",0.0309*$AI7,0.0309*MAX(0,$AI7-IF(Inputs!$C$84="2",25750,12875))),IF($AN7="MA",0.05*MIN(MAX(0,$AY7-MIN(($BD6+$Q7+$R7+$S7),2000)-IF($AS7=0,0,IF($AS7=1,4400,1000*$AS7+3400))),1107750)+0.09*MAX(0,MAX(0,$AY7-MIN(($BD6+$Q7+$R7+$S7),2000)-IF($AS7=0,0,IF($AS7=1,4400,1000*$AS7+3400)))-1107750)-IF($AU7="Head of household",120,0)-110*Inputs!$C$75,IF($AN7="MI",0.0425*MAX(0,$AY7-5900*$AS7),IF($AN7="MS",0.04*MAX(0,$AI7-IF($AU7="Head of household",3400,IF($AU7="Married",4600,2300))-Inputs!$C$85-10000),IF($AN7="OR",IF(OR($AU7="Married",AND($AU7="Single",$AS7&gt;=3)),SUMPRODUCT((MAX(0,$AY7-MIN(($P7-'Methodology &amp; Sources'!$C$260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Sources'!$B$461:$J$464,0,4))*(MAX(0,$AY7-MIN(($P7-'Methodology &amp; Sources'!$C$260*$D7)*Inputs!$C$8,IF(OR($AU7="Married",AND($AU7="Single",$AS7&gt;=3)),IF($AY7&lt;250000,8750,IF($AY7&lt;260000,7000,IF($AY7&lt;270000,5250,IF($AY7&lt;280000,3500,IF($AY7&lt;290000,1750,0))))),IF($AY7&lt;125000,8750,IF($AY7&lt;130000,7000,IF($AY7&lt;135000,5250,IF($AY7&lt;140000,3500,IF($AY7&lt;145000,1750,0)))))))-IF(OR($AU7="Married",AND($AU7="Single",$AS7&gt;=3)),5820,2910))-INDEX('Methodology &amp; Sources'!$B$461:$J$464,0,4))*INDEX('Methodology &amp; Sources'!$B$461:$J$464,0,4+2)),SUMPRODUCT((MAX(0,$AY7-MIN(($P7-'Methodology &amp; Sources'!$C$260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Sources'!$B$461:$J$464,0,1))*(MAX(0,$AY7-MIN(($P7-'Methodology &amp; Sources'!$C$260*$D7)*Inputs!$C$8,IF(OR($AU7="Married",AND($AU7="Single",$AS7&gt;=3)),IF($AY7&lt;250000,8750,IF($AY7&lt;260000,7000,IF($AY7&lt;270000,5250,IF($AY7&lt;280000,3500,IF($AY7&lt;290000,1750,0))))),IF($AY7&lt;125000,8750,IF($AY7&lt;130000,7000,IF($AY7&lt;135000,5250,IF($AY7&lt;140000,3500,IF($AY7&lt;145000,1750,0)))))))-IF(OR($AU7="Married",AND($AU7="Single",$AS7&gt;=3)),5820,2910))-INDEX('Methodology &amp; Sources'!$B$461:$J$464,0,1))*INDEX('Methodology &amp; Sources'!$B$461:$J$464,0,1+2)))+263-263*IF(IF($AU7="Married",$AY7&gt;200000,$AY7&gt;100000),0,$AS7),IF($AN7="PA",0.0307*(($O7+$E7+$G7)*Inputs!$C$8),IF($AN7="NY",IF($AU7="Married",IF($AZ7&gt;=2155350,0,IF($AZ7&gt;=1077550,0.48,IF($AZ7&gt;=373200,1.21,IF($AZ7&gt;=323200,0.21,IF($AZ7&gt;=211550,-0.19,IF($AZ7&gt;=157650,-2.8,IF($AZ7&gt;=107650,-0.8,IF($AZ7&gt;=96800,0.05,IF($AZ7&gt;=80650,-0.1,IF($AZ7&gt;=13900,0.4,IF($AZ7&gt;=11700,-0.3,IF($AZ7&gt;=8500,0.5,0)))))))))))),IF($AZ7&gt;=1077550,0,IF($AZ7&gt;=265400,4.29,IF($AZ7&gt;=215400,2.29,IF($AZ7&gt;=157650,2.29,IF($AZ7&gt;=107650,0.29,IF($AZ7&gt;=96800,0.05,IF($AZ7&gt;=80650,-0.1,IF($AZ7&gt;=13900,0.4,IF($AZ7&gt;=11700,-0.3,IF($AZ7&gt;=8500,0.5,0))))))))))),0))))))))))))))))))</f>
      </c>
      <c r="BC7" s="7">
        <f>IF($B7="","",IF($AN7="AL",0.05*$D7,IF($AN7="AR",0.039*$D7,IF($AN7="ID",0.053*$D7,IF($AN7="IN",(0.0295+Inputs!$C$76)*$D7,IF($AN7="KS",0.05*$D7,IF($AN7="MA",0.09*MIN($D7,MAX(0,MAX(0,$AY7-MIN(($BD6+$Q7+$R7+$S7),2000)-IF($AS7=0,0,IF($AS7=1,4400,1000*$AS7+3400)))+$D7-1107750))+0.05*($D7-MIN($D7,MAX(0,MAX(0,$AY7-MIN(($BD6+$Q7+$R7+$S7),2000)-IF($AS7=0,0,IF($AS7=1,4400,1000*$AS7+3400)))+$D7-1107750))),IF($AN7="MD",(0.065+Inputs!$C$74)*$D7,IF($AN7="MI",0.0425*$D7,IF($AN7="MN",0.0625*$D7,IF($AN7="MO",0.047*$D7,IF($AN7="MT",0.05*$D7,IF($AN7="ND",0.015*$D7,IF($AN7="NE",0.035*$D7,IF($AN7="NJ",IF(Inputs!$C$77="B",SUMPRODUCT(($D7*Inputs!$C$8&gt;INDEX('Methodology &amp; Sources'!$B$405:$J$412,0,4))*($D7*Inputs!$C$8-INDEX('Methodology &amp; Sources'!$B$405:$J$412,0,4))*INDEX('Methodology &amp; Sources'!$B$405:$J$412,0,4+2)),IF(Inputs!$C$77="C",SUMPRODUCT(($D7*Inputs!$C$8&gt;INDEX('Methodology &amp; Sources'!$B$405:$J$412,0,7))*($D7*Inputs!$C$8-INDEX('Methodology &amp; Sources'!$B$405:$J$412,0,7))*INDEX('Methodology &amp; Sources'!$B$405:$J$412,0,7+2)),IF(Inputs!$C$77="D",SUMPRODUCT(($D7*Inputs!$C$8&gt;INDEX('Methodology &amp; Sources'!$B$417:$J$429,0,1))*($D7*Inputs!$C$8-INDEX('Methodology &amp; Sources'!$B$417:$J$429,0,1))*INDEX('Methodology &amp; Sources'!$B$417:$J$429,0,1+2)),IF(Inputs!$C$77="E",SUMPRODUCT(($D7*Inputs!$C$8&gt;INDEX('Methodology &amp; Sources'!$B$417:$J$429,0,4))*($D7*Inputs!$C$8-INDEX('Methodology &amp; Sources'!$B$417:$J$429,0,4))*INDEX('Methodology &amp; Sources'!$B$417:$J$429,0,4+2)),SUMPRODUCT(($D7*Inputs!$C$8&gt;INDEX('Methodology &amp; Sources'!$B$405:$J$412,0,1))*($D7*Inputs!$C$8-INDEX('Methodology &amp; Sources'!$B$405:$J$412,0,1))*INDEX('Methodology &amp; Sources'!$B$405:$J$412,0,1+2))))))/Inputs!$C$8,IF($AN7="NY",0.117*$D7,IF($AN7="OH",0.0275*$D7,IF($AN7="OK",0.045*$D7,IF($AN7="OR",0.08*$D7,IF($AN7="WI",IF($AY7&lt;12760,0.0354,IF($AY7&lt;25520,0.0465,IF($AY7&lt;280950,0.053,0.0765)))*$D7,0))))))))))))))))))))</f>
      </c>
      <c r="BD7" s="7">
        <f>IF($B7="","",$BD6+$Q7+$R7+$S7)</f>
      </c>
      <c r="BE7" s="6">
        <f>IF($B7="",$BE6,$BE6+$BF7)</f>
      </c>
      <c r="BF7" s="6">
        <f>IF($B7="","",IF(AND(IF(YEAR(IF(Inputs!$C$7="Weekly",Inputs!$C$9+7*(($BE6+1)-1),IF(Inputs!$C$7="Biweekly",Inputs!$C$9+14*(($BE6+1)-1),IF(Inputs!$C$7="Semimonthly",DATE(YEAR(Inputs!$C$9),MONTH(Inputs!$C$9)+INT((($BE6+1)-1)/2),MIN(DAY(Inputs!$C$9),DAY(EOMONTH(DATE(YEAR(Inputs!$C$9),MONTH(Inputs!$C$9)+INT((($BE6+1)-1)/2),1),0))))+IF(MOD(($BE6+1)-1,2)=1,15,0),EDATE(Inputs!$C$9,($BE6+1)-1)))))&lt;&gt;2026,"",IF(Inputs!$C$7="Weekly",Inputs!$C$9+7*(($BE6+1)-1),IF(Inputs!$C$7="Biweekly",Inputs!$C$9+14*(($BE6+1)-1),IF(Inputs!$C$7="Semimonthly",DATE(YEAR(Inputs!$C$9),MONTH(Inputs!$C$9)+INT((($BE6+1)-1)/2),MIN(DAY(Inputs!$C$9),DAY(EOMONTH(DATE(YEAR(Inputs!$C$9),MONTH(Inputs!$C$9)+INT((($BE6+1)-1)/2),1),0))))+IF(MOD(($BE6+1)-1,2)=1,15,0),EDATE(Inputs!$C$9,($BE6+1)-1)))))&lt;&gt;"",$B7=IF(YEAR(IF(Inputs!$C$7="Weekly",Inputs!$C$9+7*(($BE6+1)-1),IF(Inputs!$C$7="Biweekly",Inputs!$C$9+14*(($BE6+1)-1),IF(Inputs!$C$7="Semimonthly",DATE(YEAR(Inputs!$C$9),MONTH(Inputs!$C$9)+INT((($BE6+1)-1)/2),MIN(DAY(Inputs!$C$9),DAY(EOMONTH(DATE(YEAR(Inputs!$C$9),MONTH(Inputs!$C$9)+INT((($BE6+1)-1)/2),1),0))))+IF(MOD(($BE6+1)-1,2)=1,15,0),EDATE(Inputs!$C$9,($BE6+1)-1)))))&lt;&gt;2026,"",IF(Inputs!$C$7="Weekly",Inputs!$C$9+7*(($BE6+1)-1),IF(Inputs!$C$7="Biweekly",Inputs!$C$9+14*(($BE6+1)-1),IF(Inputs!$C$7="Semimonthly",DATE(YEAR(Inputs!$C$9),MONTH(Inputs!$C$9)+INT((($BE6+1)-1)/2),MIN(DAY(Inputs!$C$9),DAY(EOMONTH(DATE(YEAR(Inputs!$C$9),MONTH(Inputs!$C$9)+INT((($BE6+1)-1)/2),1),0))))+IF(MOD(($BE6+1)-1,2)=1,15,0),EDATE(Inputs!$C$9,($BE6+1)-1)))))),1,0))</f>
      </c>
      <c r="BG7" s="7">
        <f>IF($B7="","",$BG6+$H7)</f>
      </c>
      <c r="BH7" s="7">
        <f>IF($B7="","",$BH6+$I7)</f>
      </c>
      <c r="BI7" s="7">
        <f>IF($B7="","",$BI6+$G7)</f>
      </c>
      <c r="BJ7" s="7">
        <f>IF($B7="","",IFERROR(LOOKUP(2,1/((((Events!$C$6:$C$17="Deduction start"))*(Events!$D$6:$D$17="Health FSA"))*(Events!$B$6:$B$17&lt;=$B7)*(Events!$B$6:$B$17&lt;&gt;"")),Events!$E$6:$E$17),Inputs!$D$38))</f>
      </c>
      <c r="BK7" s="7">
        <f>IF($B7="","",IFERROR(LOOKUP(2,1/((((Events!$C$6:$C$17="Deduction start"))*(Events!$D$6:$D$17="Dependent-care FSA"))*(Events!$B$6:$B$17&lt;=$B7)*(Events!$B$6:$B$17&lt;&gt;"")),Events!$E$6:$E$17),Inputs!$D$39))</f>
      </c>
      <c r="BL7" s="7">
        <f>IF($B7="","",IFERROR(LOOKUP(2,1/((((Events!$C$6:$C$17="Deduction start")+(Events!$C$6:$C$17="Deduction stop"))*(Events!$D$6:$D$17="HSA"))*(Events!$B$6:$B$17&lt;=$B7)*(Events!$B$6:$B$17&lt;&gt;"")),Events!$I$6:$I$17),Inputs!$D$35))</f>
      </c>
      <c r="BM7" s="7">
        <f>IF($B7="","",IFERROR(LOOKUP(2,1/((((Events!$C$6:$C$17="Deduction start")+(Events!$C$6:$C$17="Deduction stop"))*(Events!$D$6:$D$17="Premiums"))*(Events!$B$6:$B$17&lt;=$B7)*(Events!$B$6:$B$17&lt;&gt;"")),Events!$I$6:$I$17),Inputs!$D$40+Inputs!$D$41+Inputs!$D$42))</f>
      </c>
      <c r="BN7" s="7">
        <f>IF($B7="","",IFERROR(LOOKUP(2,1/((((Events!$C$6:$C$17="Deduction start")+(Events!$C$6:$C$17="Deduction stop"))*(Events!$D$6:$D$17="Commuter"))*(Events!$B$6:$B$17&lt;=$B7)*(Events!$B$6:$B$17&lt;&gt;"")),Events!$I$6:$I$17),Inputs!$D$43))</f>
      </c>
      <c r="BO7" s="7">
        <f>IF($B7="","",IFERROR(LOOKUP(2,1/((((Events!$C$6:$C$17="Deduction start")+(Events!$C$6:$C$17="Deduction stop"))*(Events!$D$6:$D$17="Other pre-tax"))*(Events!$B$6:$B$17&lt;=$B7)*(Events!$B$6:$B$17&lt;&gt;"")),Events!$I$6:$I$17),Inputs!$D$44))</f>
      </c>
      <c r="BP7" s="7">
        <f>IF($B7="","",IFERROR(LOOKUP(2,1/((((Events!$C$6:$C$17="Deduction start")+(Events!$C$6:$C$17="Deduction stop"))*(Events!$D$6:$D$17="Other post-tax"))*(Events!$B$6:$B$17&lt;=$B7)*(Events!$B$6:$B$17&lt;&gt;"")),Events!$I$6:$I$17),Inputs!$D$45))</f>
      </c>
      <c r="BQ7" s="6">
        <f>IF($B7="","",IFERROR(LOOKUP(2,1/((((Events!$C$6:$C$17="Deduction start")+(Events!$C$6:$C$17="Deduction stop"))*(Events!$D$6:$D$17="Health FSA"))*(Events!$B$6:$B$17&lt;=$B7)*(Events!$B$6:$B$17&lt;&gt;"")),Events!$J$6:$J$17),0))</f>
      </c>
      <c r="BR7" s="6">
        <f>IF($B7="","",IFERROR(LOOKUP(2,1/((((Events!$C$6:$C$17="Deduction start")+(Events!$C$6:$C$17="Deduction stop"))*(Events!$D$6:$D$17="Dependent-care FSA"))*(Events!$B$6:$B$17&lt;=$B7)*(Events!$B$6:$B$17&lt;&gt;"")),Events!$J$6:$J$17),0))</f>
      </c>
      <c r="BS7" s="6">
        <f>IF($B7="","",IF(SUMPRODUCT((Events!$C$6:$C$17="Deduction start")*(Events!$B$6:$B$17&lt;=$B7)*(Events!$B$6:$B$17&lt;&gt;"")*(Events!$D$6:$D$17="Health FSA"))&gt;0,1,0))</f>
      </c>
      <c r="BT7" s="6">
        <f>IF($B7="","",IF(SUMPRODUCT((Events!$C$6:$C$17="Deduction start")*(Events!$B$6:$B$17&lt;=$B7)*(Events!$B$6:$B$17&lt;&gt;"")*(Events!$D$6:$D$17="Dependent-care FSA"))&gt;0,1,0))</f>
      </c>
      <c r="BU7" s="24">
        <f>IF($B7="","",IF(Inputs!$C$13,SUMPRODUCT(($AH7&gt;=INDEX('Methodology &amp; Sources'!$B$279:$J$286,0,IF(Inputs!$C$12="MFJ",1,IF(Inputs!$C$12="HoH",7,4))))*INDEX('Methodology &amp; Sources'!$B$279:$J$286,0,IF(Inputs!$C$12="MFJ",1,IF(Inputs!$C$12="HoH",7,4))+2)),SUMPRODUCT(($AH7&gt;=INDEX('Methodology &amp; Sources'!$B$269:$J$276,0,IF(Inputs!$C$12="MFJ",1,IF(Inputs!$C$12="HoH",7,4))))*INDEX('Methodology &amp; Sources'!$B$269:$J$276,0,IF(Inputs!$C$12="MFJ",1,IF(Inputs!$C$12="HoH",7,4))+2))))</f>
      </c>
      <c r="BV7" s="24">
        <f>IF($B7="","",IF($BZ7&lt;&gt;"",$BZ7,IF($CA7&lt;&gt;"",$CA7,IF($CB7&lt;&gt;"",$CB7,IF($CC7&lt;&gt;"",$CC7,0)))))</f>
      </c>
      <c r="BW7" s="7">
        <f>IF($B7="","",IF($AN7="MD",IF(OR($AU7="Married",$AU7="Head of household"),SUMPRODUCT(($AZ7&gt;INDEX('Methodology &amp; Sources'!$B$364:$J$370,0,1))*($AZ7-INDEX('Methodology &amp; Sources'!$B$364:$J$370,0,1))*INDEX('Methodology &amp; Sources'!$B$364:$J$370,0,1+2)),SUMPRODUCT(($AZ7&gt;INDEX('Methodology &amp; Sources'!$B$353:$J$359,0,7))*($AZ7-INDEX('Methodology &amp; Sources'!$B$353:$J$359,0,7))*INDEX('Methodology &amp; Sources'!$B$353:$J$359,0,7+2))),IF($AN7="MO",SUMPRODUCT(($AZ7&gt;INDEX('Methodology &amp; Sources'!$B$375:$J$382,0,1))*($AZ7-INDEX('Methodology &amp; Sources'!$B$375:$J$382,0,1))*INDEX('Methodology &amp; Sources'!$B$375:$J$382,0,1+2)),IF($AN7="MT",IF($AU7="Head of household",SUMPRODUCT(($AZ7&gt;INDEX('Methodology &amp; Sources'!$B$387:$J$389,0,1))*($AZ7-INDEX('Methodology &amp; Sources'!$B$387:$J$389,0,1))*INDEX('Methodology &amp; Sources'!$B$387:$J$389,0,1+2)),IF($AU7="Married",SUMPRODUCT(($AZ7&gt;INDEX('Methodology &amp; Sources'!$B$375:$J$382,0,7))*($AZ7-INDEX('Methodology &amp; Sources'!$B$375:$J$382,0,7))*INDEX('Methodology &amp; Sources'!$B$375:$J$382,0,7+2)),SUMPRODUCT(($AZ7&gt;INDEX('Methodology &amp; Sources'!$B$375:$J$382,0,4))*($AZ7-INDEX('Methodology &amp; Sources'!$B$375:$J$382,0,4))*INDEX('Methodology &amp; Sources'!$B$375:$J$382,0,4+2)))),IF($AN7="ND",IF($AU7="Head of household",SUMPRODUCT(($AZ7&gt;INDEX('Methodology &amp; Sources'!$B$394:$J$400,0,1))*($AZ7-INDEX('Methodology &amp; Sources'!$B$394:$J$400,0,1))*INDEX('Methodology &amp; Sources'!$B$394:$J$400,0,1+2)),IF($AU7="Married",SUMPRODUCT(($AZ7&gt;INDEX('Methodology &amp; Sources'!$B$387:$J$389,0,7))*($AZ7-INDEX('Methodology &amp; Sources'!$B$387:$J$389,0,7))*INDEX('Methodology &amp; Sources'!$B$387:$J$389,0,7+2)),SUMPRODUCT(($AZ7&gt;INDEX('Methodology &amp; Sources'!$B$387:$J$389,0,4))*($AZ7-INDEX('Methodology &amp; Sources'!$B$387:$J$389,0,4))*INDEX('Methodology &amp; Sources'!$B$387:$J$389,0,4+2)))),IF($AN7="NJ",IF(Inputs!$C$77="B",SUMPRODUCT(($AZ7&gt;INDEX('Methodology &amp; Sources'!$B$405:$J$412,0,4))*($AZ7-INDEX('Methodology &amp; Sources'!$B$405:$J$412,0,4))*INDEX('Methodology &amp; Sources'!$B$405:$J$412,0,4+2)),IF(Inputs!$C$77="C",SUMPRODUCT(($AZ7&gt;INDEX('Methodology &amp; Sources'!$B$405:$J$412,0,7))*($AZ7-INDEX('Methodology &amp; Sources'!$B$405:$J$412,0,7))*INDEX('Methodology &amp; Sources'!$B$405:$J$412,0,7+2)),IF(Inputs!$C$77="D",SUMPRODUCT(($AZ7&gt;INDEX('Methodology &amp; Sources'!$B$417:$J$429,0,1))*($AZ7-INDEX('Methodology &amp; Sources'!$B$417:$J$429,0,1))*INDEX('Methodology &amp; Sources'!$B$417:$J$429,0,1+2)),IF(Inputs!$C$77="E",SUMPRODUCT(($AZ7&gt;INDEX('Methodology &amp; Sources'!$B$417:$J$429,0,4))*($AZ7-INDEX('Methodology &amp; Sources'!$B$417:$J$429,0,4))*INDEX('Methodology &amp; Sources'!$B$417:$J$429,0,4+2)),SUMPRODUCT(($AZ7&gt;INDEX('Methodology &amp; Sources'!$B$405:$J$412,0,1))*($AZ7-INDEX('Methodology &amp; Sources'!$B$405:$J$412,0,1))*INDEX('Methodology &amp; Sources'!$B$405:$J$412,0,1+2)))))),IF($AN7="NY",IF($AU7="Married",IF($AZ7&gt;=2155350,$AZ7*IF($AZ7&gt;25000000,0.117,IF($AZ7&gt;5000000,0.111,0.1045)),SUMPRODUCT(($AZ7&gt;INDEX('Methodology &amp; Sources'!$B$434:$J$448,0,1))*($AZ7-INDEX('Methodology &amp; Sources'!$B$434:$J$448,0,1))*INDEX('Methodology &amp; Sources'!$B$434:$J$448,0,1+2))),IF($AZ7&gt;=1077550,$AZ7*IF($AZ7&gt;25000000,0.117,IF($AZ7&gt;5000000,0.111,0.1045)),SUMPRODUCT(($AZ7&gt;INDEX('Methodology &amp; Sources'!$B$417:$J$429,0,7))*($AZ7-INDEX('Methodology &amp; Sources'!$B$417:$J$429,0,7))*INDEX('Methodology &amp; Sources'!$B$417:$J$429,0,7+2)))),"")))))))</f>
      </c>
      <c r="BX7" s="7">
        <f>IF($B7="","",IF($AN7="AL",IF(OR($AU7="Married",$AU7="Head of household"),SUMPRODUCT(($AZ7&gt;INDEX('Methodology &amp; Sources'!$B$332:$J$336,0,4))*($AZ7-INDEX('Methodology &amp; Sources'!$B$332:$J$336,0,4))*INDEX('Methodology &amp; Sources'!$B$332:$J$336,0,4+2)),SUMPRODUCT(($AZ7&gt;INDEX('Methodology &amp; Sources'!$B$332:$J$336,0,1))*($AZ7-INDEX('Methodology &amp; Sources'!$B$332:$J$336,0,1))*INDEX('Methodology &amp; Sources'!$B$332:$J$336,0,1+2))),IF($AN7="KS",IF($AU7="Married",SUMPRODUCT(($AZ7&gt;INDEX('Methodology &amp; Sources'!$B$353:$J$359,0,4))*($AZ7-INDEX('Methodology &amp; Sources'!$B$353:$J$359,0,4))*INDEX('Methodology &amp; Sources'!$B$353:$J$359,0,4+2)),SUMPRODUCT(($AZ7&gt;INDEX('Methodology &amp; Sources'!$B$353:$J$359,0,1))*($AZ7-INDEX('Methodology &amp; Sources'!$B$353:$J$359,0,1))*INDEX('Methodology &amp; Sources'!$B$353:$J$359,0,1+2))),IF($AN7="MN",IF($AU7="Married",SUMPRODUCT(($AZ7&gt;INDEX('Methodology &amp; Sources'!$B$364:$J$370,0,7))*($AZ7-INDEX('Methodology &amp; Sources'!$B$364:$J$370,0,7))*INDEX('Methodology &amp; Sources'!$B$364:$J$370,0,7+2)),SUMPRODUCT(($AZ7&gt;INDEX('Methodology &amp; Sources'!$B$364:$J$370,0,4))*($AZ7-INDEX('Methodology &amp; Sources'!$B$364:$J$370,0,4))*INDEX('Methodology &amp; Sources'!$B$364:$J$370,0,4+2))),IF($AN7="NE",MAX(IF($AU7="Married",SUMPRODUCT(($AZ7&gt;INDEX('Methodology &amp; Sources'!$B$394:$J$400,0,7))*($AZ7-INDEX('Methodology &amp; Sources'!$B$394:$J$400,0,7))*INDEX('Methodology &amp; Sources'!$B$394:$J$400,0,7+2)),SUMPRODUCT(($AZ7&gt;INDEX('Methodology &amp; Sources'!$B$394:$J$400,0,4))*($AZ7-INDEX('Methodology &amp; Sources'!$B$394:$J$400,0,4))*INDEX('Methodology &amp; Sources'!$B$394:$J$400,0,4+2))),0.015*$AZ7),IF($AN7="OH",IF($B7&gt;=DATE(2026,8,1),SUMPRODUCT(($AZ7&gt;INDEX('Methodology &amp; Sources'!$B$453:$J$456,0,1))*($AZ7-INDEX('Methodology &amp; Sources'!$B$453:$J$456,0,1))*INDEX('Methodology &amp; Sources'!$B$453:$J$456,0,1+2)),SUMPRODUCT(($AZ7&gt;INDEX('Methodology &amp; Sources'!$B$434:$J$448,0,7))*($AZ7-INDEX('Methodology &amp; Sources'!$B$434:$J$448,0,7))*INDEX('Methodology &amp; Sources'!$B$434:$J$448,0,7+2))),IF($AN7="OK",IF($AU7="Married",SUMPRODUCT(($AZ7&gt;INDEX('Methodology &amp; Sources'!$B$453:$J$456,0,7))*($AZ7-INDEX('Methodology &amp; Sources'!$B$453:$J$456,0,7))*INDEX('Methodology &amp; Sources'!$B$453:$J$456,0,7+2)),SUMPRODUCT(($AZ7&gt;INDEX('Methodology &amp; Sources'!$B$453:$J$456,0,4))*($AZ7-INDEX('Methodology &amp; Sources'!$B$453:$J$456,0,4))*INDEX('Methodology &amp; Sources'!$B$453:$J$456,0,4+2))),IF($AN7="RI",SUMPRODUCT(($AZ7&gt;INDEX('Methodology &amp; Sources'!$B$461:$J$464,0,7))*($AZ7-INDEX('Methodology &amp; Sources'!$B$461:$J$464,0,7))*INDEX('Methodology &amp; Sources'!$B$461:$J$464,0,7+2)),IF($AN7="VT",IF($AU7="Married",SUMPRODUCT(($AZ7&gt;INDEX('Methodology &amp; Sources'!$B$478:$J$482,0,1))*($AZ7-INDEX('Methodology &amp; Sources'!$B$478:$J$482,0,1))*INDEX('Methodology &amp; Sources'!$B$478:$J$482,0,1+2)),SUMPRODUCT(($AZ7&gt;INDEX('Methodology &amp; Sources'!$B$469:$J$473,0,7))*($AZ7-INDEX('Methodology &amp; Sources'!$B$469:$J$473,0,7))*INDEX('Methodology &amp; Sources'!$B$469:$J$473,0,7+2))),IF($AN7="WV",IF($AU7="Married",SUMPRODUCT(($AZ7&gt;INDEX('Methodology &amp; Sources'!$B$487:$J$491,0,7))*($AZ7-INDEX('Methodology &amp; Sources'!$B$487:$J$491,0,7))*INDEX('Methodology &amp; Sources'!$B$487:$J$491,0,7+2)),SUMPRODUCT(($AZ7&gt;INDEX('Methodology &amp; Sources'!$B$478:$J$482,0,7))*($AZ7-INDEX('Methodology &amp; Sources'!$B$478:$J$482,0,7))*INDEX('Methodology &amp; Sources'!$B$478:$J$482,0,7+2))),""))))))))))</f>
      </c>
      <c r="BY7" s="7">
        <f>IF($B7="","",IF($AN7="AR",SUMPRODUCT(($AZ7&gt;INDEX('Methodology &amp; Sources'!$B$332:$J$336,0,7))*($AZ7-INDEX('Methodology &amp; Sources'!$B$332:$J$336,0,7))*INDEX('Methodology &amp; Sources'!$B$332:$J$336,0,7+2)),IF($AN7="DE",SUMPRODUCT(($AZ7&gt;INDEX('Methodology &amp; Sources'!$B$341:$J$348,0,1))*($AZ7-INDEX('Methodology &amp; Sources'!$B$341:$J$348,0,1))*INDEX('Methodology &amp; Sources'!$B$341:$J$348,0,1+2)),IF($AN7="HI",IF($AU7="Married",SUMPRODUCT(($AZ7&gt;INDEX('Methodology &amp; Sources'!$B$341:$J$348,0,7))*($AZ7-INDEX('Methodology &amp; Sources'!$B$341:$J$348,0,7))*INDEX('Methodology &amp; Sources'!$B$341:$J$348,0,7+2)),SUMPRODUCT(($AZ7&gt;INDEX('Methodology &amp; Sources'!$B$341:$J$348,0,4))*($AZ7-INDEX('Methodology &amp; Sources'!$B$341:$J$348,0,4))*INDEX('Methodology &amp; Sources'!$B$341:$J$348,0,4+2))),IF($AN7="SC",SUMPRODUCT(($AZ7&gt;INDEX('Methodology &amp; Sources'!$B$469:$J$473,0,1))*($AZ7-INDEX('Methodology &amp; Sources'!$B$469:$J$473,0,1))*INDEX('Methodology &amp; Sources'!$B$469:$J$473,0,1+2)),IF($AN7="VA",SUMPRODUCT(($AZ7&gt;INDEX('Methodology &amp; Sources'!$B$469:$J$473,0,4))*($AZ7-INDEX('Methodology &amp; Sources'!$B$469:$J$473,0,4))*INDEX('Methodology &amp; Sources'!$B$469:$J$473,0,4+2)),IF($AN7="WI",SUMPRODUCT(($AZ7&gt;INDEX('Methodology &amp; Sources'!$B$478:$J$482,0,4))*($AZ7-INDEX('Methodology &amp; Sources'!$B$478:$J$482,0,4))*INDEX('Methodology &amp; Sources'!$B$478:$J$482,0,4+2)),"")))))))</f>
      </c>
      <c r="BZ7" s="24">
        <f>IF($B7="","",IF($AN7="NJ",IF(Inputs!$C$77="B",SUMPRODUCT(($AZ7&gt;=INDEX('Methodology &amp; Sources'!$B$405:$J$412,0,4))*INDEX('Methodology &amp; Sources'!$B$405:$J$412,0,4+2)),IF(Inputs!$C$77="C",SUMPRODUCT(($AZ7&gt;=INDEX('Methodology &amp; Sources'!$B$405:$J$412,0,7))*INDEX('Methodology &amp; Sources'!$B$405:$J$412,0,7+2)),IF(Inputs!$C$77="D",SUMPRODUCT(($AZ7&gt;=INDEX('Methodology &amp; Sources'!$B$417:$J$429,0,1))*INDEX('Methodology &amp; Sources'!$B$417:$J$429,0,1+2)),IF(Inputs!$C$77="E",SUMPRODUCT(($AZ7&gt;=INDEX('Methodology &amp; Sources'!$B$417:$J$429,0,4))*INDEX('Methodology &amp; Sources'!$B$417:$J$429,0,4+2)),SUMPRODUCT(($AZ7&gt;=INDEX('Methodology &amp; Sources'!$B$405:$J$412,0,1))*INDEX('Methodology &amp; Sources'!$B$405:$J$412,0,1+2)))))),IF($AN7="OR",IF(OR($AU7="Married",AND($AU7="Single",$AS7&gt;=3)),SUMPRODUCT((MAX(0,$AY7-MIN(($P7-'Methodology &amp; Sources'!$C$260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Sources'!$B$461:$J$464,0,4))*INDEX('Methodology &amp; Sources'!$B$461:$J$464,0,4+2)),SUMPRODUCT((MAX(0,$AY7-MIN(($P7-'Methodology &amp; Sources'!$C$260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Sources'!$B$461:$J$464,0,1))*INDEX('Methodology &amp; Sources'!$B$461:$J$464,0,1+2)))*IF(($P7-'Methodology &amp; Sources'!$C$260*$D7)*Inputs!$C$8&gt;=IF(OR($AU7="Married",AND($AU7="Single",$AS7&gt;=3)),IF($AY7&lt;250000,8750,IF($AY7&lt;260000,7000,IF($AY7&lt;270000,5250,IF($AY7&lt;280000,3500,IF($AY7&lt;290000,1750,0))))),IF($AY7&lt;125000,8750,IF($AY7&lt;130000,7000,IF($AY7&lt;135000,5250,IF($AY7&lt;140000,3500,IF($AY7&lt;145000,1750,0)))))),1,1-IF(Inputs!$C$13,SUMPRODUCT(($AH7&gt;=INDEX('Methodology &amp; Sources'!$B$279:$J$286,0,IF(Inputs!$C$12="MFJ",1,IF(Inputs!$C$12="HoH",7,4))))*INDEX('Methodology &amp; Sources'!$B$279:$J$286,0,IF(Inputs!$C$12="MFJ",1,IF(Inputs!$C$12="HoH",7,4))+2)),SUMPRODUCT(($AH7&gt;=INDEX('Methodology &amp; Sources'!$B$269:$J$276,0,IF(Inputs!$C$12="MFJ",1,IF(Inputs!$C$12="HoH",7,4))))*INDEX('Methodology &amp; Sources'!$B$269:$J$276,0,IF(Inputs!$C$12="MFJ",1,IF(Inputs!$C$12="HoH",7,4))+2)))),IF($AN7="MI",IF($AY7&gt;5900*$AS7,0.0425,0),""))))</f>
      </c>
      <c r="CA7" s="24">
        <f>IF($B7="","",IF($AN7="AL",IF(OR($AU7="Married",$AU7="Head of household"),SUMPRODUCT(($AZ7&gt;=INDEX('Methodology &amp; Sources'!$B$332:$J$336,0,4))*INDEX('Methodology &amp; Sources'!$B$332:$J$336,0,4+2)),SUMPRODUCT(($AZ7&gt;=INDEX('Methodology &amp; Sources'!$B$332:$J$336,0,1))*INDEX('Methodology &amp; Sources'!$B$332:$J$336,0,1+2)))*(1-IF(Inputs!$C$13,SUMPRODUCT(($AH7&gt;=INDEX('Methodology &amp; Sources'!$B$279:$J$286,0,IF(Inputs!$C$12="MFJ",1,IF(Inputs!$C$12="HoH",7,4))))*INDEX('Methodology &amp; Sources'!$B$279:$J$286,0,IF(Inputs!$C$12="MFJ",1,IF(Inputs!$C$12="HoH",7,4))+2)),SUMPRODUCT(($AH7&gt;=INDEX('Methodology &amp; Sources'!$B$269:$J$276,0,IF(Inputs!$C$12="MFJ",1,IF(Inputs!$C$12="HoH",7,4))))*INDEX('Methodology &amp; Sources'!$B$269:$J$276,0,IF(Inputs!$C$12="MFJ",1,IF(Inputs!$C$12="HoH",7,4))+2)))),IF($AN7="KS",IF($AU7="Married",SUMPRODUCT(($AZ7&gt;=INDEX('Methodology &amp; Sources'!$B$353:$J$359,0,4))*INDEX('Methodology &amp; Sources'!$B$353:$J$359,0,4+2)),SUMPRODUCT(($AZ7&gt;=INDEX('Methodology &amp; Sources'!$B$353:$J$359,0,1))*INDEX('Methodology &amp; Sources'!$B$353:$J$359,0,1+2))),IF($AN7="MD",IF(OR($AU7="Married",$AU7="Head of household"),SUMPRODUCT(($AZ7&gt;=INDEX('Methodology &amp; Sources'!$B$364:$J$370,0,1))*INDEX('Methodology &amp; Sources'!$B$364:$J$370,0,1+2)),SUMPRODUCT(($AZ7&gt;=INDEX('Methodology &amp; Sources'!$B$353:$J$359,0,7))*INDEX('Methodology &amp; Sources'!$B$353:$J$359,0,7+2)))+Inputs!$C$74,IF($AN7="MT",IF($AU7="Head of household",SUMPRODUCT(($AZ7&gt;=INDEX('Methodology &amp; Sources'!$B$387:$J$389,0,1))*INDEX('Methodology &amp; Sources'!$B$387:$J$389,0,1+2)),IF($AU7="Married",SUMPRODUCT(($AZ7&gt;=INDEX('Methodology &amp; Sources'!$B$375:$J$382,0,7))*INDEX('Methodology &amp; Sources'!$B$375:$J$382,0,7+2)),SUMPRODUCT(($AZ7&gt;=INDEX('Methodology &amp; Sources'!$B$375:$J$382,0,4))*INDEX('Methodology &amp; Sources'!$B$375:$J$382,0,4+2)))),IF($AN7="ND",IF($AU7="Head of household",SUMPRODUCT(($AZ7&gt;=INDEX('Methodology &amp; Sources'!$B$394:$J$400,0,1))*INDEX('Methodology &amp; Sources'!$B$394:$J$400,0,1+2)),IF($AU7="Married",SUMPRODUCT(($AZ7&gt;=INDEX('Methodology &amp; Sources'!$B$387:$J$389,0,7))*INDEX('Methodology &amp; Sources'!$B$387:$J$389,0,7+2)),SUMPRODUCT(($AZ7&gt;=INDEX('Methodology &amp; Sources'!$B$387:$J$389,0,4))*INDEX('Methodology &amp; Sources'!$B$387:$J$389,0,4+2)))),IF($AN7="NY",IF($AU7="Married",IF($AZ7&gt;=2155350,IF($AZ7&gt;25000000,0.117,IF($AZ7&gt;5000000,0.111,0.1045)),SUMPRODUCT(($AZ7&gt;=INDEX('Methodology &amp; Sources'!$B$434:$J$448,0,1))*INDEX('Methodology &amp; Sources'!$B$434:$J$448,0,1+2))),IF($AZ7&gt;=1077550,IF($AZ7&gt;25000000,0.117,IF($AZ7&gt;5000000,0.111,0.1045)),SUMPRODUCT(($AZ7&gt;=INDEX('Methodology &amp; Sources'!$B$417:$J$429,0,7))*INDEX('Methodology &amp; Sources'!$B$417:$J$429,0,7+2)))),"")))))))</f>
      </c>
      <c r="CB7" s="24">
        <f>IF($B7="","",IF($AN7="CA",SUMPRODUCT(($AJ7&gt;=INDEX('Methodology &amp; Sources'!$B$289:$J$298,0,IF($AU7="Married",4,IF($AU7="Head of household",7,1))))*INDEX('Methodology &amp; Sources'!$B$289:$J$298,0,IF($AU7="Married",4,IF($AU7="Head of household",7,1))+2)),IF($AN7="HI",IF($AU7="Married",SUMPRODUCT(($AZ7&gt;=INDEX('Methodology &amp; Sources'!$B$341:$J$348,0,7))*INDEX('Methodology &amp; Sources'!$B$341:$J$348,0,7+2)),SUMPRODUCT(($AZ7&gt;=INDEX('Methodology &amp; Sources'!$B$341:$J$348,0,4))*INDEX('Methodology &amp; Sources'!$B$341:$J$348,0,4+2))),IF($AN7="MN",IF($AU7="Married",SUMPRODUCT(($AZ7&gt;=INDEX('Methodology &amp; Sources'!$B$364:$J$370,0,7))*INDEX('Methodology &amp; Sources'!$B$364:$J$370,0,7+2)),SUMPRODUCT(($AZ7&gt;=INDEX('Methodology &amp; Sources'!$B$364:$J$370,0,4))*INDEX('Methodology &amp; Sources'!$B$364:$J$370,0,4+2))),IF($AN7="MO",SUMPRODUCT(($AZ7&gt;=INDEX('Methodology &amp; Sources'!$B$375:$J$382,0,1))*INDEX('Methodology &amp; Sources'!$B$375:$J$382,0,1+2)),IF($AN7="NE",MAX(IF($AU7="Married",SUMPRODUCT(($AZ7&gt;=INDEX('Methodology &amp; Sources'!$B$394:$J$400,0,7))*INDEX('Methodology &amp; Sources'!$B$394:$J$400,0,7+2)),SUMPRODUCT(($AZ7&gt;=INDEX('Methodology &amp; Sources'!$B$394:$J$400,0,4))*INDEX('Methodology &amp; Sources'!$B$394:$J$400,0,4+2))),0.015),IF($AN7="OH",IF($B7&gt;=DATE(2026,8,1),SUMPRODUCT(($AZ7&gt;=INDEX('Methodology &amp; Sources'!$B$453:$J$456,0,1))*INDEX('Methodology &amp; Sources'!$B$453:$J$456,0,1+2)),SUMPRODUCT(($AZ7&gt;=INDEX('Methodology &amp; Sources'!$B$434:$J$448,0,7))*INDEX('Methodology &amp; Sources'!$B$434:$J$448,0,7+2))),IF($AN7="OK",IF($AU7="Married",SUMPRODUCT(($AZ7&gt;=INDEX('Methodology &amp; Sources'!$B$453:$J$456,0,7))*INDEX('Methodology &amp; Sources'!$B$453:$J$456,0,7+2)),SUMPRODUCT(($AZ7&gt;=INDEX('Methodology &amp; Sources'!$B$453:$J$456,0,4))*INDEX('Methodology &amp; Sources'!$B$453:$J$456,0,4+2))),IF($AN7="RI",SUMPRODUCT(($AZ7&gt;=INDEX('Methodology &amp; Sources'!$B$461:$J$464,0,7))*INDEX('Methodology &amp; Sources'!$B$461:$J$464,0,7+2)),IF($AN7="SC",SUMPRODUCT(($AZ7&gt;=INDEX('Methodology &amp; Sources'!$B$469:$J$473,0,1))*INDEX('Methodology &amp; Sources'!$B$469:$J$473,0,1+2)),IF($AN7="VT",IF($AU7="Married",SUMPRODUCT(($AZ7&gt;=INDEX('Methodology &amp; Sources'!$B$478:$J$482,0,1))*INDEX('Methodology &amp; Sources'!$B$478:$J$482,0,1+2)),SUMPRODUCT(($AZ7&gt;=INDEX('Methodology &amp; Sources'!$B$469:$J$473,0,7))*INDEX('Methodology &amp; Sources'!$B$469:$J$473,0,7+2))),IF($AN7="WV",IF($AU7="Married",SUMPRODUCT(($AZ7&gt;=INDEX('Methodology &amp; Sources'!$B$487:$J$491,0,7))*INDEX('Methodology &amp; Sources'!$B$487:$J$491,0,7+2)),SUMPRODUCT(($AZ7&gt;=INDEX('Methodology &amp; Sources'!$B$478:$J$482,0,7))*INDEX('Methodology &amp; Sources'!$B$478:$J$482,0,7+2))),IF($AN7="IN",(0.0295+Inputs!$C$76),"")))))))))))))</f>
      </c>
      <c r="CC7" s="24">
        <f>IF($B7="","",IF($AN7="AR",SUMPRODUCT(($AZ7&gt;=INDEX('Methodology &amp; Sources'!$B$332:$J$336,0,7))*INDEX('Methodology &amp; Sources'!$B$332:$J$336,0,7+2)),IF($AN7="DE",SUMPRODUCT(($AZ7&gt;=INDEX('Methodology &amp; Sources'!$B$341:$J$348,0,1))*INDEX('Methodology &amp; Sources'!$B$341:$J$348,0,1+2)),IF($AN7="VA",SUMPRODUCT(($AZ7&gt;=INDEX('Methodology &amp; Sources'!$B$469:$J$473,0,4))*INDEX('Methodology &amp; Sources'!$B$469:$J$473,0,4+2)),IF($AN7="WI",SUMPRODUCT(($AZ7&gt;=INDEX('Methodology &amp; Sources'!$B$478:$J$482,0,4))*INDEX('Methodology &amp; Sources'!$B$478:$J$482,0,4+2)),IF($AN7="AZ",Inputs!$C$82,IF($AN7="CO",IF($AY7&gt;IF($AU7="Married",10000,5000),0.044,0),IF($AN7="IA",IF($AY7&gt;IF($AU7="Head of household",19500,IF($AU7="Married",26000,13000)),0.038,0),IF($AN7="ID",IF($AY7&gt;IF($AU7="Married",32000,16094),0.053,0),IF($AN7="IL",IF($AY7&gt;(2925*$AS7+1000*$AT7),0.0495,0),IF($AN7="KY",IF($AI7&gt;3360,0.035,0),IF($AN7="LA",0.0309,IF($AN7="MA",IF(MAX(0,$AY7-MIN(($BD6+$Q7+$R7+$S7),2000)-IF($AS7=0,0,IF($AS7=1,4400,1000*$AS7+3400)))&gt;=1107750,0.09,0.05),IF($AN7="MS",IF($AI7-IF($AU7="Head of household",3400,IF($AU7="Married",4600,2300))-Inputs!$C$85&gt;10000,0.04,0),IF($AN7="PA",0.0307,"")))))))))))))))</f>
      </c>
      <c r="CD7" s="21">
        <f>IF(YEAR(IF(Inputs!$C$7="Weekly",Inputs!$C$9+7*(($BE6+1)-1),IF(Inputs!$C$7="Biweekly",Inputs!$C$9+14*(($BE6+1)-1),IF(Inputs!$C$7="Semimonthly",DATE(YEAR(Inputs!$C$9),MONTH(Inputs!$C$9)+INT((($BE6+1)-1)/2),MIN(DAY(Inputs!$C$9),DAY(EOMONTH(DATE(YEAR(Inputs!$C$9),MONTH(Inputs!$C$9)+INT((($BE6+1)-1)/2),1),0))))+IF(MOD(($BE6+1)-1,2)=1,15,0),EDATE(Inputs!$C$9,($BE6+1)-1)))))&lt;&gt;2026,"",IF(Inputs!$C$7="Weekly",Inputs!$C$9+7*(($BE6+1)-1),IF(Inputs!$C$7="Biweekly",Inputs!$C$9+14*(($BE6+1)-1),IF(Inputs!$C$7="Semimonthly",DATE(YEAR(Inputs!$C$9),MONTH(Inputs!$C$9)+INT((($BE6+1)-1)/2),MIN(DAY(Inputs!$C$9),DAY(EOMONTH(DATE(YEAR(Inputs!$C$9),MONTH(Inputs!$C$9)+INT((($BE6+1)-1)/2),1),0))))+IF(MOD(($BE6+1)-1,2)=1,15,0),EDATE(Inputs!$C$9,($BE6+1)-1)))))</f>
      </c>
      <c r="CE7" s="21">
        <f>IF(SUMPRODUCT(MIN(IF((Inputs!$C$58:$C$67&gt;MAX($B$6:$B6))*(Inputs!$C$58:$C$67&gt;=DATE(2026,1,1))*(Inputs!$C$58:$C$67&lt;=DATE(2026,12,31)),Inputs!$C$58:$C$67,999999)))=999999,"",SUMPRODUCT(MIN(IF((Inputs!$C$58:$C$67&gt;MAX($B$6:$B6))*(Inputs!$C$58:$C$67&gt;=DATE(2026,1,1))*(Inputs!$C$58:$C$67&lt;=DATE(2026,12,31)),Inputs!$C$58:$C$67,999999))))</f>
      </c>
    </row>
    <row r="8">
      <c r="A8" t="n">
        <v>3</v>
      </c>
      <c r="B8" s="21">
        <f>IF(AND($CD8="",$CE8=""),"",IF($CE8="",$CD8,IF($CD8="",$CE8,MIN($CD8,$CE8))))</f>
      </c>
      <c r="C8" s="7">
        <f>IF($B8="","",IF($BF8=0,0,IF(Inputs!$C$4="Annual salary",ROUND($AK8/IF(AND(Inputs!$C$88="Actual paydays",MONTH(Inputs!$C$9)=1),MAX(1,MAX($BE$6:$BE$68)),Inputs!$C$8),2),$AK8)))</f>
      </c>
      <c r="D8" s="7">
        <f>IF($B8="","",SUMIF(Inputs!$C$58:$C$67,$B8,Inputs!$D$58:$D$67))</f>
      </c>
      <c r="E8" s="7">
        <f>IF($B8="","",ROUND(MAX(0,MIN(IF($AL8="Percent",$AM8*($C8+$D8),$AM8),MAX(0,Inputs!$C$91-$AC7))),2))</f>
      </c>
      <c r="F8" s="7">
        <f>IF($B8="","",ROUND(MAX(0,MIN(IF(Inputs!$C$32="Percent",Inputs!$D$32*($C8+$D8),Inputs!$D$32),MAX(0,Inputs!$C$91-$AC7-$E8))),2))</f>
      </c>
      <c r="G8" s="7">
        <f>IF($B8="","",IF($BF8=0,0,ROUND(MAX(0,MIN($BL8,Inputs!$C$92-Inputs!$C$54-$BI7)),2)))</f>
      </c>
      <c r="H8" s="7">
        <f>IF($B8="","",IF(OR($BF8=0,$BQ8=1),0,ROUND(MAX(0,MIN(IF($BS8=1,ROUND(MAX(0,MIN($BJ8,'Methodology &amp; Sources'!$C$263)-$BG7)/MAX(1,MAX($BE$6:$BE$68)-($BE7)),2),ROUND(MIN($BJ8,'Methodology &amp; Sources'!$C$263)/Inputs!$C$8,2)),MIN($BJ8,'Methodology &amp; Sources'!$C$263)-$BG7)),2)))</f>
      </c>
      <c r="I8" s="7">
        <f>IF($B8="","",IF(OR($BF8=0,$BR8=1),0,ROUND(MAX(0,MIN(IF($BT8=1,ROUND(MAX(0,MIN($BK8,IF(Inputs!$C$12="MFJ",'Methodology &amp; Sources'!$C$264,'Methodology &amp; Sources'!$C$265))-$BH7)/MAX(1,MAX($BE$6:$BE$68)-($BE7)),2),ROUND(MIN($BK8,IF(Inputs!$C$12="MFJ",'Methodology &amp; Sources'!$C$264,'Methodology &amp; Sources'!$C$265))/Inputs!$C$8,2)),MIN($BK8,IF(Inputs!$C$12="MFJ",'Methodology &amp; Sources'!$C$264,'Methodology &amp; Sources'!$C$265))-$BH7)),2)))</f>
      </c>
      <c r="J8" s="7">
        <f>IF($B8="","",IF($BF8=0,0,$BM8))</f>
      </c>
      <c r="K8" s="7">
        <f>IF($B8="","",IF($BF8=0,0,$BN8+$BO8))</f>
      </c>
      <c r="L8" s="7">
        <f>IF($B8="","",IF($BF8=0,0,Inputs!$D$46))</f>
      </c>
      <c r="M8" s="7">
        <f>IF($B8="","",$C8+$D8+$L8-$E8-$G8-$H8-$I8-$J8-$K8)</f>
      </c>
      <c r="N8" s="7">
        <f>IF($B8="","",$C8+$D8+$L8-$G8-$H8-$I8-$J8-$K8)</f>
      </c>
      <c r="O8" s="7">
        <f>IF($B8="","",$C8+$D8+$L8-$E8-$H8-$I8-$J8-$K8-IF(OR($AN8="CA",$AN8="NJ"),0,$G8))</f>
      </c>
      <c r="P8" s="7">
        <f>IF($B8="","",IF(Inputs!$C$18,0,ROUND(MAX(0,IF(Inputs!$C$13,SUMPRODUCT(($AH8&gt;INDEX('Methodology &amp; Sources'!$B$279:$J$286,0,IF(Inputs!$C$12="MFJ",1,IF(Inputs!$C$12="HoH",7,4))))*($AH8-INDEX('Methodology &amp; Sources'!$B$279:$J$286,0,IF(Inputs!$C$12="MFJ",1,IF(Inputs!$C$12="HoH",7,4))))*INDEX('Methodology &amp; Sources'!$B$279:$J$286,0,IF(Inputs!$C$12="MFJ",1,IF(Inputs!$C$12="HoH",7,4))+2)),SUMPRODUCT(($AH8&gt;INDEX('Methodology &amp; Sources'!$B$269:$J$276,0,IF(Inputs!$C$12="MFJ",1,IF(Inputs!$C$12="HoH",7,4))))*($AH8-INDEX('Methodology &amp; Sources'!$B$269:$J$276,0,IF(Inputs!$C$12="MFJ",1,IF(Inputs!$C$12="HoH",7,4))))*INDEX('Methodology &amp; Sources'!$B$269:$J$276,0,IF(Inputs!$C$12="MFJ",1,IF(Inputs!$C$12="HoH",7,4))+2)))/Inputs!$C$8-$AO8/Inputs!$C$8)+$AR8+IF(Inputs!$C$89="Aggregate",MAX(0,IF(Inputs!$C$13,SUMPRODUCT((($AH8+$D8)&gt;INDEX('Methodology &amp; Sources'!$B$279:$J$286,0,IF(Inputs!$C$12="MFJ",1,IF(Inputs!$C$12="HoH",7,4))))*(($AH8+$D8)-INDEX('Methodology &amp; Sources'!$B$279:$J$286,0,IF(Inputs!$C$12="MFJ",1,IF(Inputs!$C$12="HoH",7,4))))*INDEX('Methodology &amp; Sources'!$B$279:$J$286,0,IF(Inputs!$C$12="MFJ",1,IF(Inputs!$C$12="HoH",7,4))+2)),SUMPRODUCT((($AH8+$D8)&gt;INDEX('Methodology &amp; Sources'!$B$269:$J$276,0,IF(Inputs!$C$12="MFJ",1,IF(Inputs!$C$12="HoH",7,4))))*(($AH8+$D8)-INDEX('Methodology &amp; Sources'!$B$269:$J$276,0,IF(Inputs!$C$12="MFJ",1,IF(Inputs!$C$12="HoH",7,4))))*INDEX('Methodology &amp; Sources'!$B$269:$J$276,0,IF(Inputs!$C$12="MFJ",1,IF(Inputs!$C$12="HoH",7,4))+2)))-IF(Inputs!$C$13,SUMPRODUCT(($AH8&gt;INDEX('Methodology &amp; Sources'!$B$279:$J$286,0,IF(Inputs!$C$12="MFJ",1,IF(Inputs!$C$12="HoH",7,4))))*($AH8-INDEX('Methodology &amp; Sources'!$B$279:$J$286,0,IF(Inputs!$C$12="MFJ",1,IF(Inputs!$C$12="HoH",7,4))))*INDEX('Methodology &amp; Sources'!$B$279:$J$286,0,IF(Inputs!$C$12="MFJ",1,IF(Inputs!$C$12="HoH",7,4))+2)),SUMPRODUCT(($AH8&gt;INDEX('Methodology &amp; Sources'!$B$269:$J$276,0,IF(Inputs!$C$12="MFJ",1,IF(Inputs!$C$12="HoH",7,4))))*($AH8-INDEX('Methodology &amp; Sources'!$B$269:$J$276,0,IF(Inputs!$C$12="MFJ",1,IF(Inputs!$C$12="HoH",7,4))))*INDEX('Methodology &amp; Sources'!$B$269:$J$276,0,IF(Inputs!$C$12="MFJ",1,IF(Inputs!$C$12="HoH",7,4))+2)))),'Methodology &amp; Sources'!$C$260*$D8),2)))</f>
      </c>
      <c r="Q8" s="7">
        <f>IF($B8="","",ROUND('Methodology &amp; Sources'!$C$254*MIN($N8,MAX(0,'Methodology &amp; Sources'!$C$253-($AX8+$AB7-$AW8))),2))</f>
      </c>
      <c r="R8" s="7">
        <f>IF($B8="","",ROUND('Methodology &amp; Sources'!$C$255*$N8,2))</f>
      </c>
      <c r="S8" s="7">
        <f>IF($B8="","",ROUND('Methodology &amp; Sources'!$C$256*MAX(0,MIN($N8,$AG7+$N8-'Methodology &amp; Sources'!$C$257)),2))</f>
      </c>
      <c r="T8" s="7">
        <f>IF($B8="","",IF(Inputs!$C$26,0,IF($AN8="CA",ROUND(IF($AI8&lt;=IF(($AS8+$AT8)&gt;=2,VLOOKUP($AN8,'StateTables 2026'!$A$6:$AB$56,10,FALSE),VLOOKUP($AN8,'StateTables 2026'!$A$6:$AB$56,9,FALSE)),0,MAX(0,SUMPRODUCT(($AJ8&gt;INDEX('Methodology &amp; Sources'!$B$289:$J$298,0,IF($AU8="Married",4,IF($AU8="Head of household",7,1))))*($AJ8-INDEX('Methodology &amp; Sources'!$B$289:$J$298,0,IF($AU8="Married",4,IF($AU8="Head of household",7,1))))*INDEX('Methodology &amp; Sources'!$B$289:$J$298,0,IF($AU8="Married",4,IF($AU8="Head of household",7,1))+2))-VLOOKUP($AN8,'StateTables 2026'!$A$6:$AB$56,11,FALSE)*$AS8)/Inputs!$C$8)+Inputs!$C$25+VLOOKUP($AN8,'StateTables 2026'!$A$6:$AB$56,13,FALSE)*$D8,2),IF(VLOOKUP($AN8,'StateTables 2026'!$A$6:$AB$56,4,FALSE)="None",0,IF(ISNUMBER(SEARCH("MANUAL",VLOOKUP($AN8,'StateTables 2026'!$A$6:$AB$56,5,FALSE))),Inputs!$C$28,ROUND(MAX(0,$BA8+$BB8)/Inputs!$C$8+Inputs!$C$25+$BC8,2))))))</f>
      </c>
      <c r="U8" s="7">
        <f>IF($B8="","",IF(VLOOKUP($AN8,'StateTables 2026'!$A$6:$AB$56,24,FALSE)="flatq",IF(OR(MONTH($B8)=1,MONTH($B8)=4,MONTH($B8)=7,MONTH($B8)=10),VLOOKUP($AN8,'StateTables 2026'!$A$6:$AB$56,25,FALSE),0),IF(VLOOKUP($AN8,'StateTables 2026'!$A$6:$AB$56,24,FALSE)="dbl",MIN(ROUND(0.005*$N8,2),ROUND(0.6*52/Inputs!$C$8,2)),IF(OR(VLOOKUP($AN8,'StateTables 2026'!$A$6:$AB$56,15,FALSE)="",VLOOKUP($AN8,'StateTables 2026'!$A$6:$AB$56,15,FALSE)=0),0,ROUND(VLOOKUP($AN8,'StateTables 2026'!$A$6:$AB$56,15,FALSE)*IF(OR(VLOOKUP($AN8,'StateTables 2026'!$A$6:$AB$56,16,FALSE)="",VLOOKUP($AN8,'StateTables 2026'!$A$6:$AB$56,16,FALSE)=0),$N8,MIN($N8,MAX(0,VLOOKUP($AN8,'StateTables 2026'!$A$6:$AB$56,16,FALSE)-($AX8+$AB7-$AW8)))),2))))+IF(VLOOKUP($AN8,'StateTables 2026'!$A$6:$AB$56,27,FALSE)="flatq",IF(OR(MONTH($B8)=1,MONTH($B8)=4,MONTH($B8)=7,MONTH($B8)=10),VLOOKUP($AN8,'StateTables 2026'!$A$6:$AB$56,28,FALSE),0),IF(VLOOKUP($AN8,'StateTables 2026'!$A$6:$AB$56,27,FALSE)="dbl",MIN(ROUND(0.005*$N8,2),ROUND(0.6*52/Inputs!$C$8,2)),IF(OR(VLOOKUP($AN8,'StateTables 2026'!$A$6:$AB$56,18,FALSE)="",VLOOKUP($AN8,'StateTables 2026'!$A$6:$AB$56,18,FALSE)=0),0,ROUND(VLOOKUP($AN8,'StateTables 2026'!$A$6:$AB$56,18,FALSE)*IF(OR(VLOOKUP($AN8,'StateTables 2026'!$A$6:$AB$56,19,FALSE)="",VLOOKUP($AN8,'StateTables 2026'!$A$6:$AB$56,19,FALSE)=0),$N8,MIN($N8,MAX(0,VLOOKUP($AN8,'StateTables 2026'!$A$6:$AB$56,19,FALSE)-($AX8+$AB7-$AW8)))),2)))))</f>
      </c>
      <c r="V8" s="7">
        <f>IF($B8="","",IF($AN8="NY",IF(Inputs!$C$78,ROUND(SUMPRODUCT((MAX(0,($O8-$D8)*Inputs!$C$8-(IF($AU8="Married",5500,5000)+1000*$AS8))&gt;INDEX('Methodology &amp; Sources'!$B$434:$J$448,0,4))*(MAX(0,($O8-$D8)*Inputs!$C$8-(IF($AU8="Married",5500,5000)+1000*$AS8))-INDEX('Methodology &amp; Sources'!$B$434:$J$448,0,4))*INDEX('Methodology &amp; Sources'!$B$434:$J$448,0,4+2))/Inputs!$C$8+0.0425*$D8,2),0)+IF(Inputs!$C$79="Resident",ROUND(0.1675*$T8,2),IF(Inputs!$C$79="Nonresident",ROUND(0.005*MAX(0,($O8-$D8)-(IF($AU8="Married",7950,7400)+1000*$AS8)/Inputs!$C$8),2),0)),IF($AN8="PA",IF(Inputs!$C$80="None",Inputs!$C$27+ROUND(Inputs!$C$81*($C8+$D8),2),ROUND(IF(Inputs!$C$80="Resident",IF($B8&lt;DATE(2026,7,1),0.0374,0.03735),IF($B8&lt;DATE(2026,7,1),0.0343,0.03425))*($C8+$D8),2)),IF($BF8=0,ROUND(Inputs!$C$81*($C8+$D8),2),Inputs!$C$27+ROUND(Inputs!$C$81*($C8+$D8),2)))))</f>
      </c>
      <c r="W8" s="7">
        <f>IF($B8="","",IF($BF8=0,0,$BP8))</f>
      </c>
      <c r="X8" s="7">
        <f>IF($B8="","",SUM($E8:$K8)+$P8+$Q8+$R8+$S8+$T8+$U8+$V8+$W8)</f>
      </c>
      <c r="Y8" s="22">
        <f>IF($B8="","",$C8+$D8-$X8)</f>
      </c>
      <c r="Z8" s="7">
        <f>IF($B8="","",$Z7+$C8+$D8)</f>
      </c>
      <c r="AA8" s="7">
        <f>IF($B8="","",$AA7+$Y8)</f>
      </c>
      <c r="AB8" s="7">
        <f>IF($B8="","",$AB7+MIN($N8,MAX(0,'Methodology &amp; Sources'!$C$253-($AX8+$AB7-$AW8))))</f>
      </c>
      <c r="AC8" s="7">
        <f>IF($B8="","",$AC7+$E8+$F8)</f>
      </c>
      <c r="AD8" s="3">
        <f>IF($B8="","",IF(AND($AB7&lt;'Methodology &amp; Sources'!$C$253,$AB8&gt;='Methodology &amp; Sources'!$C$253),"★ Social Security maxed on this check — from the next check your net rises by about $"&amp;TEXT(ROUND('Methodology &amp; Sources'!$C$254*$N8,2),"#,##0.00")&amp;". ","")&amp;IF(AND($AC7&lt;Inputs!$C$91,$AC8&gt;=Inputs!$C$91),"★ 401(k) reaches the $"&amp;TEXT(Inputs!$C$91,"#,##0")&amp;" cap on this check — deferrals stop and net pay rises. ","")&amp;IF(AND($AG7&lt;'Methodology &amp; Sources'!$C$257,$AG8&gt;='Methodology &amp; Sources'!$C$257),"★ Wages pass $200,000 — the 0.9% Additional Medicare Tax starts here. ","")&amp;IF(AND($BJ8&gt;0,$H8&gt;0,$BG7&lt;MIN($BJ8,'Methodology &amp; Sources'!$C$263),$BG7+$H8&gt;=MIN($BJ8,'Methodology &amp; Sources'!$C$263)),"★ Health FSA election is now fully deferred for the year. ",""))</f>
      </c>
      <c r="AE8" s="41" t="n"/>
      <c r="AF8" s="7">
        <f>IF(OR($B8="",$AE8=""),"",$AE8-$Y8)</f>
      </c>
      <c r="AG8" s="7">
        <f>IF($B8="","",$AG7+$N8)</f>
      </c>
      <c r="AH8" s="7">
        <f>IF($B8="","",MAX(0,($M8-$D8)*Inputs!$C$8+$AP8-$AQ8-IF(Inputs!$C$13,0,IF(Inputs!$C$12="MFJ",'Methodology &amp; Sources'!$C$258,'Methodology &amp; Sources'!$C$259))))</f>
      </c>
      <c r="AI8" s="7">
        <f>IF($B8="","",$O8*Inputs!$C$8)</f>
      </c>
      <c r="AJ8" s="7">
        <f>IF($B8="","",MAX(0,$AI8-VLOOKUP($AN8,'StateTables 2026'!$A$6:$AB$56,12,FALSE)*$AT8-IF(($AS8+$AT8)&gt;=2,VLOOKUP($AN8,'StateTables 2026'!$A$6:$AB$56,8,FALSE),VLOOKUP($AN8,'StateTables 2026'!$A$6:$AB$56,7,FALSE))))</f>
      </c>
      <c r="AK8" s="7">
        <f>IF($B8="","",IFERROR(LOOKUP(2,1/((Events!$C$6:$C$17="Salary change")*(Events!$B$6:$B$17&lt;=$B8)*(Events!$B$6:$B$17&lt;&gt;"")),Events!$D$6:$D$17),IF(Inputs!$C$4="Annual salary",Inputs!$C$5,Inputs!$C$6)))</f>
      </c>
      <c r="AL8">
        <f>IF($B8="","",IFERROR(LOOKUP(2,1/((Events!$C$6:$C$17="401(k) change")*(Events!$B$6:$B$17&lt;=$B8)*(Events!$B$6:$B$17&lt;&gt;"")),Events!$D$6:$D$17),Inputs!$C$30))</f>
      </c>
      <c r="AM8" s="7">
        <f>IF($B8="","",IFERROR(LOOKUP(2,1/((Events!$C$6:$C$17="401(k) change")*(Events!$B$6:$B$17&lt;=$B8)*(Events!$B$6:$B$17&lt;&gt;"")),Events!$E$6:$E$17),Inputs!$D$30))</f>
      </c>
      <c r="AN8">
        <f>IF($B8="","",IFERROR(LOOKUP(2,1/((Events!$C$6:$C$17="State move")*(Events!$B$6:$B$17&lt;=$B8)*(Events!$B$6:$B$17&lt;&gt;"")),Events!$D$6:$D$17),Inputs!$C$21))</f>
      </c>
      <c r="AO8" s="7">
        <f>IF($B8="","",IFERROR(LOOKUP(2,1/((Events!$C$6:$C$17="W-4 change")*(Events!$B$6:$B$17&lt;=$B8)*(Events!$B$6:$B$17&lt;&gt;"")),Events!$D$6:$D$17),Inputs!$C$14))</f>
      </c>
      <c r="AP8" s="7">
        <f>IF($B8="","",IFERROR(LOOKUP(2,1/((Events!$C$6:$C$17="W-4 change")*(Events!$B$6:$B$17&lt;=$B8)*(Events!$B$6:$B$17&lt;&gt;"")),Events!$E$6:$E$17),Inputs!$C$15))</f>
      </c>
      <c r="AQ8" s="7">
        <f>IF($B8="","",IFERROR(LOOKUP(2,1/((Events!$C$6:$C$17="W-4 change")*(Events!$B$6:$B$17&lt;=$B8)*(Events!$B$6:$B$17&lt;&gt;"")),Events!$F$6:$F$17),Inputs!$C$16))</f>
      </c>
      <c r="AR8" s="7">
        <f>IF($B8="","",IFERROR(LOOKUP(2,1/((Events!$C$6:$C$17="W-4 change")*(Events!$B$6:$B$17&lt;=$B8)*(Events!$B$6:$B$17&lt;&gt;"")),Events!$G$6:$G$17),Inputs!$C$17))</f>
      </c>
      <c r="AS8" s="6">
        <f>IF($B8="","",IFERROR(LOOKUP(2,1/(((Events!$C$6:$C$17="State move")+(Events!$C$6:$C$17="State cert change"))*(Events!$B$6:$B$17&lt;=$B8)*(Events!$B$6:$B$17&lt;&gt;"")),Events!$F$6:$F$17),Inputs!$C$23))</f>
      </c>
      <c r="AT8" s="6">
        <f>IF($B8="","",IFERROR(LOOKUP(2,1/(((Events!$C$6:$C$17="State move")+(Events!$C$6:$C$17="State cert change"))*(Events!$B$6:$B$17&lt;=$B8)*(Events!$B$6:$B$17&lt;&gt;"")),Events!$G$6:$G$17),Inputs!$C$24))</f>
      </c>
      <c r="AU8">
        <f>IF($B8="","",IFERROR(LOOKUP(2,1/((Events!$C$6:$C$17="State move")*(Events!$B$6:$B$17&lt;=$B8)*(Events!$B$6:$B$17&lt;&gt;"")),Events!$E$6:$E$17),Inputs!$C$22))</f>
      </c>
      <c r="AV8" s="6">
        <f>IF($B8="","",1+COUNTIFS(Events!$C$6:$C$17,"Employer change",Events!$B$6:$B$17,"&lt;="&amp;$B8,Events!$B$6:$B$17,"&lt;&gt;"))</f>
      </c>
      <c r="AW8" s="7">
        <f>IF($B8="","",IF($AV8=1,Inputs!$C$49,IF(IFERROR(MATCH(IFERROR(LOOKUP(2,1/((Events!$C$6:$C$17="Employer change")*(Events!$B$6:$B$17&lt;=$B8)*(Events!$B$6:$B$17&lt;&gt;"")),Events!$B$6:$B$17),""),$B$6:$B$68,1),1)&lt;=1,Inputs!$C$49,INDEX($AB$6:$AB$68,MATCH(IFERROR(LOOKUP(2,1/((Events!$C$6:$C$17="Employer change")*(Events!$B$6:$B$17&lt;=$B8)*(Events!$B$6:$B$17&lt;&gt;"")),Events!$B$6:$B$17),""),$B$6:$B$68,1)-1))))</f>
      </c>
      <c r="AX8" s="7">
        <f>IF($B8="","",IF($AV8=1,Inputs!$C$49,IFERROR(LOOKUP(2,1/((Events!$C$6:$C$17="Employer change")*(Events!$B$6:$B$17&lt;=$B8)*(Events!$B$6:$B$17&lt;&gt;"")),Events!$D$6:$D$17),0)))</f>
      </c>
      <c r="AY8" s="7">
        <f>IF($B8="","",($O8-$D8)*Inputs!$C$8)</f>
      </c>
      <c r="AZ8" s="7">
        <f>IF($B8="","",IF($AN8="AL",MAX(0,$AY8-IF($AU8="Married",IF($AY8&lt;=25999,8500,MAX(5000,8500-175*CEILING(($AY8-25999)/500,1))),IF($AU8="Head of household",IF($AY8&lt;=25999,5200,MAX(2500,5200-135*CEILING(($AY8-25999)/500,1))),IF($AY8&lt;=25999,3000,MAX(2500,3000-25*CEILING(($AY8-25999)/500,1)))))-($P8-'Methodology &amp; Sources'!$C$260*$D8)*Inputs!$C$8-IF(OR($AU8="Married",$AU8="Head of household"),3000,1500)-$AT8*IF($AY8&lt;=50000,1000,IF($AY8&lt;=100000,500,300))),IF($AN8="AR",IF(MAX(0,$AY8-2470)&lt;97701,INT(MAX(0,$AY8-2470)/100)*100+50,MAX(0,$AY8-2470)),IF($AN8="DE",MAX(0,$AI8-3250),IF($AN8="HI",MAX(0,$AI8-1144*$AS8-4350),IF($AN8="KS",MAX(0,$AI8-(9160*IF($AU8="Married",2,1)+2320*$AT8+IF($AU8="Head of household",2320,0))),IF($AN8="MD",MAX(0,$AI8-3400-3200*$AS8),IF($AN8="MN",MAX(0,$AY8-5300*$AS8),IF($AN8="MO",MAX(0,$AI8-IF($AU8="Head of household",24150,IF($AU8="Married",IF(Inputs!$C$83,16100,32200),16100))),IF($AN8="MT",$AY8,IF($AN8="ND",($C8+$L8)*Inputs!$C$8,IF($AN8="NE",MAX(0,$AY8-2440*$AS8),IF($AN8="NJ",MAX(0,$AY8-1000*$AS8),IF($AN8="NY",MAX(0,$AY8-(IF($AU8="Married",7950,7400)+1000*$AS8)),IF($AN8="OH",MAX(0,$AY8-650*$AS8),IF($AN8="OK",MAX(0,$AY8-1000*$AS8),IF($AN8="RI",MAX(0,$AI8-1000*$AS8),IF($AN8="SC",MAX(0,$AI8-5000*$AS8-IF($AS8=0,0,MIN(0.1*$AI8,7500))),IF($AN8="VA",MAX(0,$AI8-IF($AU8="Married",17500,8750)-930*$AS8-800*$AT8),IF($AN8="VT",MAX(0,$AI8-5400*$AS8),IF($AN8="WI",MAX(0,$AI8-MAX(0,IF($AU8="Married",9461-0.2*MAX(0,$AI8-25727),6702-0.12*MAX(0,$AI8-17780)))-400*$AS8),IF($AN8="WV",MAX(0,$AI8-2000*$AS8),$AI8))))))))))))))))))))))</f>
      </c>
      <c r="BA8" s="7">
        <f>IF($B8="","",IF($BW8&lt;&gt;"",$BW8,IF($BX8&lt;&gt;"",$BX8,IF($BY8&lt;&gt;"",$BY8,0))))</f>
      </c>
      <c r="BB8" s="7">
        <f>IF($B8="","",IF($AN8="AR",-29*$AS8,IF($AN8="DE",-110*$AS8,IF($AN8="MD",$AZ8*Inputs!$C$74,IF($AN8="AZ",Inputs!$C$82*($M8-$D8)*Inputs!$C$8,IF($AN8="CO",0.044*MAX(0,$AY8-IF($AU8="Married",10000,5000)),IF($AN8="IA",MAX(0,0.038*MAX(0,$AY8-IF($AU8="Head of household",19500,IF($AU8="Married",26000,13000)))-40*$AS8),IF($AN8="ID",0.053*MAX(0,$AY8-IF($AU8="Married",32000,16094)),IF($AN8="IL",0.0495*MAX(0,$AY8-(2925*$AS8+1000*$AT8)),IF($AN8="IN",(0.0295+Inputs!$C$76)*MAX(0,$AY8-(1000*$AS8+1500*$AT8+3000*Inputs!$C$86)),IF($AN8="KY",0.035*MAX(0,$AI8-3360),IF($AN8="LA",IF(Inputs!$C$84="0",0.0309*$AI8,0.0309*MAX(0,$AI8-IF(Inputs!$C$84="2",25750,12875))),IF($AN8="MA",0.05*MIN(MAX(0,$AY8-MIN(($BD7+$Q8+$R8+$S8),2000)-IF($AS8=0,0,IF($AS8=1,4400,1000*$AS8+3400))),1107750)+0.09*MAX(0,MAX(0,$AY8-MIN(($BD7+$Q8+$R8+$S8),2000)-IF($AS8=0,0,IF($AS8=1,4400,1000*$AS8+3400)))-1107750)-IF($AU8="Head of household",120,0)-110*Inputs!$C$75,IF($AN8="MI",0.0425*MAX(0,$AY8-5900*$AS8),IF($AN8="MS",0.04*MAX(0,$AI8-IF($AU8="Head of household",3400,IF($AU8="Married",4600,2300))-Inputs!$C$85-10000),IF($AN8="OR",IF(OR($AU8="Married",AND($AU8="Single",$AS8&gt;=3)),SUMPRODUCT((MAX(0,$AY8-MIN(($P8-'Methodology &amp; Sources'!$C$260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Sources'!$B$461:$J$464,0,4))*(MAX(0,$AY8-MIN(($P8-'Methodology &amp; Sources'!$C$260*$D8)*Inputs!$C$8,IF(OR($AU8="Married",AND($AU8="Single",$AS8&gt;=3)),IF($AY8&lt;250000,8750,IF($AY8&lt;260000,7000,IF($AY8&lt;270000,5250,IF($AY8&lt;280000,3500,IF($AY8&lt;290000,1750,0))))),IF($AY8&lt;125000,8750,IF($AY8&lt;130000,7000,IF($AY8&lt;135000,5250,IF($AY8&lt;140000,3500,IF($AY8&lt;145000,1750,0)))))))-IF(OR($AU8="Married",AND($AU8="Single",$AS8&gt;=3)),5820,2910))-INDEX('Methodology &amp; Sources'!$B$461:$J$464,0,4))*INDEX('Methodology &amp; Sources'!$B$461:$J$464,0,4+2)),SUMPRODUCT((MAX(0,$AY8-MIN(($P8-'Methodology &amp; Sources'!$C$260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Sources'!$B$461:$J$464,0,1))*(MAX(0,$AY8-MIN(($P8-'Methodology &amp; Sources'!$C$260*$D8)*Inputs!$C$8,IF(OR($AU8="Married",AND($AU8="Single",$AS8&gt;=3)),IF($AY8&lt;250000,8750,IF($AY8&lt;260000,7000,IF($AY8&lt;270000,5250,IF($AY8&lt;280000,3500,IF($AY8&lt;290000,1750,0))))),IF($AY8&lt;125000,8750,IF($AY8&lt;130000,7000,IF($AY8&lt;135000,5250,IF($AY8&lt;140000,3500,IF($AY8&lt;145000,1750,0)))))))-IF(OR($AU8="Married",AND($AU8="Single",$AS8&gt;=3)),5820,2910))-INDEX('Methodology &amp; Sources'!$B$461:$J$464,0,1))*INDEX('Methodology &amp; Sources'!$B$461:$J$464,0,1+2)))+263-263*IF(IF($AU8="Married",$AY8&gt;200000,$AY8&gt;100000),0,$AS8),IF($AN8="PA",0.0307*(($O8+$E8+$G8)*Inputs!$C$8),IF($AN8="NY",IF($AU8="Married",IF($AZ8&gt;=2155350,0,IF($AZ8&gt;=1077550,0.48,IF($AZ8&gt;=373200,1.21,IF($AZ8&gt;=323200,0.21,IF($AZ8&gt;=211550,-0.19,IF($AZ8&gt;=157650,-2.8,IF($AZ8&gt;=107650,-0.8,IF($AZ8&gt;=96800,0.05,IF($AZ8&gt;=80650,-0.1,IF($AZ8&gt;=13900,0.4,IF($AZ8&gt;=11700,-0.3,IF($AZ8&gt;=8500,0.5,0)))))))))))),IF($AZ8&gt;=1077550,0,IF($AZ8&gt;=265400,4.29,IF($AZ8&gt;=215400,2.29,IF($AZ8&gt;=157650,2.29,IF($AZ8&gt;=107650,0.29,IF($AZ8&gt;=96800,0.05,IF($AZ8&gt;=80650,-0.1,IF($AZ8&gt;=13900,0.4,IF($AZ8&gt;=11700,-0.3,IF($AZ8&gt;=8500,0.5,0))))))))))),0))))))))))))))))))</f>
      </c>
      <c r="BC8" s="7">
        <f>IF($B8="","",IF($AN8="AL",0.05*$D8,IF($AN8="AR",0.039*$D8,IF($AN8="ID",0.053*$D8,IF($AN8="IN",(0.0295+Inputs!$C$76)*$D8,IF($AN8="KS",0.05*$D8,IF($AN8="MA",0.09*MIN($D8,MAX(0,MAX(0,$AY8-MIN(($BD7+$Q8+$R8+$S8),2000)-IF($AS8=0,0,IF($AS8=1,4400,1000*$AS8+3400)))+$D8-1107750))+0.05*($D8-MIN($D8,MAX(0,MAX(0,$AY8-MIN(($BD7+$Q8+$R8+$S8),2000)-IF($AS8=0,0,IF($AS8=1,4400,1000*$AS8+3400)))+$D8-1107750))),IF($AN8="MD",(0.065+Inputs!$C$74)*$D8,IF($AN8="MI",0.0425*$D8,IF($AN8="MN",0.0625*$D8,IF($AN8="MO",0.047*$D8,IF($AN8="MT",0.05*$D8,IF($AN8="ND",0.015*$D8,IF($AN8="NE",0.035*$D8,IF($AN8="NJ",IF(Inputs!$C$77="B",SUMPRODUCT(($D8*Inputs!$C$8&gt;INDEX('Methodology &amp; Sources'!$B$405:$J$412,0,4))*($D8*Inputs!$C$8-INDEX('Methodology &amp; Sources'!$B$405:$J$412,0,4))*INDEX('Methodology &amp; Sources'!$B$405:$J$412,0,4+2)),IF(Inputs!$C$77="C",SUMPRODUCT(($D8*Inputs!$C$8&gt;INDEX('Methodology &amp; Sources'!$B$405:$J$412,0,7))*($D8*Inputs!$C$8-INDEX('Methodology &amp; Sources'!$B$405:$J$412,0,7))*INDEX('Methodology &amp; Sources'!$B$405:$J$412,0,7+2)),IF(Inputs!$C$77="D",SUMPRODUCT(($D8*Inputs!$C$8&gt;INDEX('Methodology &amp; Sources'!$B$417:$J$429,0,1))*($D8*Inputs!$C$8-INDEX('Methodology &amp; Sources'!$B$417:$J$429,0,1))*INDEX('Methodology &amp; Sources'!$B$417:$J$429,0,1+2)),IF(Inputs!$C$77="E",SUMPRODUCT(($D8*Inputs!$C$8&gt;INDEX('Methodology &amp; Sources'!$B$417:$J$429,0,4))*($D8*Inputs!$C$8-INDEX('Methodology &amp; Sources'!$B$417:$J$429,0,4))*INDEX('Methodology &amp; Sources'!$B$417:$J$429,0,4+2)),SUMPRODUCT(($D8*Inputs!$C$8&gt;INDEX('Methodology &amp; Sources'!$B$405:$J$412,0,1))*($D8*Inputs!$C$8-INDEX('Methodology &amp; Sources'!$B$405:$J$412,0,1))*INDEX('Methodology &amp; Sources'!$B$405:$J$412,0,1+2))))))/Inputs!$C$8,IF($AN8="NY",0.117*$D8,IF($AN8="OH",0.0275*$D8,IF($AN8="OK",0.045*$D8,IF($AN8="OR",0.08*$D8,IF($AN8="WI",IF($AY8&lt;12760,0.0354,IF($AY8&lt;25520,0.0465,IF($AY8&lt;280950,0.053,0.0765)))*$D8,0))))))))))))))))))))</f>
      </c>
      <c r="BD8" s="7">
        <f>IF($B8="","",$BD7+$Q8+$R8+$S8)</f>
      </c>
      <c r="BE8" s="6">
        <f>IF($B8="",$BE7,$BE7+$BF8)</f>
      </c>
      <c r="BF8" s="6">
        <f>IF($B8="","",IF(AND(IF(YEAR(IF(Inputs!$C$7="Weekly",Inputs!$C$9+7*(($BE7+1)-1),IF(Inputs!$C$7="Biweekly",Inputs!$C$9+14*(($BE7+1)-1),IF(Inputs!$C$7="Semimonthly",DATE(YEAR(Inputs!$C$9),MONTH(Inputs!$C$9)+INT((($BE7+1)-1)/2),MIN(DAY(Inputs!$C$9),DAY(EOMONTH(DATE(YEAR(Inputs!$C$9),MONTH(Inputs!$C$9)+INT((($BE7+1)-1)/2),1),0))))+IF(MOD(($BE7+1)-1,2)=1,15,0),EDATE(Inputs!$C$9,($BE7+1)-1)))))&lt;&gt;2026,"",IF(Inputs!$C$7="Weekly",Inputs!$C$9+7*(($BE7+1)-1),IF(Inputs!$C$7="Biweekly",Inputs!$C$9+14*(($BE7+1)-1),IF(Inputs!$C$7="Semimonthly",DATE(YEAR(Inputs!$C$9),MONTH(Inputs!$C$9)+INT((($BE7+1)-1)/2),MIN(DAY(Inputs!$C$9),DAY(EOMONTH(DATE(YEAR(Inputs!$C$9),MONTH(Inputs!$C$9)+INT((($BE7+1)-1)/2),1),0))))+IF(MOD(($BE7+1)-1,2)=1,15,0),EDATE(Inputs!$C$9,($BE7+1)-1)))))&lt;&gt;"",$B8=IF(YEAR(IF(Inputs!$C$7="Weekly",Inputs!$C$9+7*(($BE7+1)-1),IF(Inputs!$C$7="Biweekly",Inputs!$C$9+14*(($BE7+1)-1),IF(Inputs!$C$7="Semimonthly",DATE(YEAR(Inputs!$C$9),MONTH(Inputs!$C$9)+INT((($BE7+1)-1)/2),MIN(DAY(Inputs!$C$9),DAY(EOMONTH(DATE(YEAR(Inputs!$C$9),MONTH(Inputs!$C$9)+INT((($BE7+1)-1)/2),1),0))))+IF(MOD(($BE7+1)-1,2)=1,15,0),EDATE(Inputs!$C$9,($BE7+1)-1)))))&lt;&gt;2026,"",IF(Inputs!$C$7="Weekly",Inputs!$C$9+7*(($BE7+1)-1),IF(Inputs!$C$7="Biweekly",Inputs!$C$9+14*(($BE7+1)-1),IF(Inputs!$C$7="Semimonthly",DATE(YEAR(Inputs!$C$9),MONTH(Inputs!$C$9)+INT((($BE7+1)-1)/2),MIN(DAY(Inputs!$C$9),DAY(EOMONTH(DATE(YEAR(Inputs!$C$9),MONTH(Inputs!$C$9)+INT((($BE7+1)-1)/2),1),0))))+IF(MOD(($BE7+1)-1,2)=1,15,0),EDATE(Inputs!$C$9,($BE7+1)-1)))))),1,0))</f>
      </c>
      <c r="BG8" s="7">
        <f>IF($B8="","",$BG7+$H8)</f>
      </c>
      <c r="BH8" s="7">
        <f>IF($B8="","",$BH7+$I8)</f>
      </c>
      <c r="BI8" s="7">
        <f>IF($B8="","",$BI7+$G8)</f>
      </c>
      <c r="BJ8" s="7">
        <f>IF($B8="","",IFERROR(LOOKUP(2,1/((((Events!$C$6:$C$17="Deduction start"))*(Events!$D$6:$D$17="Health FSA"))*(Events!$B$6:$B$17&lt;=$B8)*(Events!$B$6:$B$17&lt;&gt;"")),Events!$E$6:$E$17),Inputs!$D$38))</f>
      </c>
      <c r="BK8" s="7">
        <f>IF($B8="","",IFERROR(LOOKUP(2,1/((((Events!$C$6:$C$17="Deduction start"))*(Events!$D$6:$D$17="Dependent-care FSA"))*(Events!$B$6:$B$17&lt;=$B8)*(Events!$B$6:$B$17&lt;&gt;"")),Events!$E$6:$E$17),Inputs!$D$39))</f>
      </c>
      <c r="BL8" s="7">
        <f>IF($B8="","",IFERROR(LOOKUP(2,1/((((Events!$C$6:$C$17="Deduction start")+(Events!$C$6:$C$17="Deduction stop"))*(Events!$D$6:$D$17="HSA"))*(Events!$B$6:$B$17&lt;=$B8)*(Events!$B$6:$B$17&lt;&gt;"")),Events!$I$6:$I$17),Inputs!$D$35))</f>
      </c>
      <c r="BM8" s="7">
        <f>IF($B8="","",IFERROR(LOOKUP(2,1/((((Events!$C$6:$C$17="Deduction start")+(Events!$C$6:$C$17="Deduction stop"))*(Events!$D$6:$D$17="Premiums"))*(Events!$B$6:$B$17&lt;=$B8)*(Events!$B$6:$B$17&lt;&gt;"")),Events!$I$6:$I$17),Inputs!$D$40+Inputs!$D$41+Inputs!$D$42))</f>
      </c>
      <c r="BN8" s="7">
        <f>IF($B8="","",IFERROR(LOOKUP(2,1/((((Events!$C$6:$C$17="Deduction start")+(Events!$C$6:$C$17="Deduction stop"))*(Events!$D$6:$D$17="Commuter"))*(Events!$B$6:$B$17&lt;=$B8)*(Events!$B$6:$B$17&lt;&gt;"")),Events!$I$6:$I$17),Inputs!$D$43))</f>
      </c>
      <c r="BO8" s="7">
        <f>IF($B8="","",IFERROR(LOOKUP(2,1/((((Events!$C$6:$C$17="Deduction start")+(Events!$C$6:$C$17="Deduction stop"))*(Events!$D$6:$D$17="Other pre-tax"))*(Events!$B$6:$B$17&lt;=$B8)*(Events!$B$6:$B$17&lt;&gt;"")),Events!$I$6:$I$17),Inputs!$D$44))</f>
      </c>
      <c r="BP8" s="7">
        <f>IF($B8="","",IFERROR(LOOKUP(2,1/((((Events!$C$6:$C$17="Deduction start")+(Events!$C$6:$C$17="Deduction stop"))*(Events!$D$6:$D$17="Other post-tax"))*(Events!$B$6:$B$17&lt;=$B8)*(Events!$B$6:$B$17&lt;&gt;"")),Events!$I$6:$I$17),Inputs!$D$45))</f>
      </c>
      <c r="BQ8" s="6">
        <f>IF($B8="","",IFERROR(LOOKUP(2,1/((((Events!$C$6:$C$17="Deduction start")+(Events!$C$6:$C$17="Deduction stop"))*(Events!$D$6:$D$17="Health FSA"))*(Events!$B$6:$B$17&lt;=$B8)*(Events!$B$6:$B$17&lt;&gt;"")),Events!$J$6:$J$17),0))</f>
      </c>
      <c r="BR8" s="6">
        <f>IF($B8="","",IFERROR(LOOKUP(2,1/((((Events!$C$6:$C$17="Deduction start")+(Events!$C$6:$C$17="Deduction stop"))*(Events!$D$6:$D$17="Dependent-care FSA"))*(Events!$B$6:$B$17&lt;=$B8)*(Events!$B$6:$B$17&lt;&gt;"")),Events!$J$6:$J$17),0))</f>
      </c>
      <c r="BS8" s="6">
        <f>IF($B8="","",IF(SUMPRODUCT((Events!$C$6:$C$17="Deduction start")*(Events!$B$6:$B$17&lt;=$B8)*(Events!$B$6:$B$17&lt;&gt;"")*(Events!$D$6:$D$17="Health FSA"))&gt;0,1,0))</f>
      </c>
      <c r="BT8" s="6">
        <f>IF($B8="","",IF(SUMPRODUCT((Events!$C$6:$C$17="Deduction start")*(Events!$B$6:$B$17&lt;=$B8)*(Events!$B$6:$B$17&lt;&gt;"")*(Events!$D$6:$D$17="Dependent-care FSA"))&gt;0,1,0))</f>
      </c>
      <c r="BU8" s="24">
        <f>IF($B8="","",IF(Inputs!$C$13,SUMPRODUCT(($AH8&gt;=INDEX('Methodology &amp; Sources'!$B$279:$J$286,0,IF(Inputs!$C$12="MFJ",1,IF(Inputs!$C$12="HoH",7,4))))*INDEX('Methodology &amp; Sources'!$B$279:$J$286,0,IF(Inputs!$C$12="MFJ",1,IF(Inputs!$C$12="HoH",7,4))+2)),SUMPRODUCT(($AH8&gt;=INDEX('Methodology &amp; Sources'!$B$269:$J$276,0,IF(Inputs!$C$12="MFJ",1,IF(Inputs!$C$12="HoH",7,4))))*INDEX('Methodology &amp; Sources'!$B$269:$J$276,0,IF(Inputs!$C$12="MFJ",1,IF(Inputs!$C$12="HoH",7,4))+2))))</f>
      </c>
      <c r="BV8" s="24">
        <f>IF($B8="","",IF($BZ8&lt;&gt;"",$BZ8,IF($CA8&lt;&gt;"",$CA8,IF($CB8&lt;&gt;"",$CB8,IF($CC8&lt;&gt;"",$CC8,0)))))</f>
      </c>
      <c r="BW8" s="7">
        <f>IF($B8="","",IF($AN8="MD",IF(OR($AU8="Married",$AU8="Head of household"),SUMPRODUCT(($AZ8&gt;INDEX('Methodology &amp; Sources'!$B$364:$J$370,0,1))*($AZ8-INDEX('Methodology &amp; Sources'!$B$364:$J$370,0,1))*INDEX('Methodology &amp; Sources'!$B$364:$J$370,0,1+2)),SUMPRODUCT(($AZ8&gt;INDEX('Methodology &amp; Sources'!$B$353:$J$359,0,7))*($AZ8-INDEX('Methodology &amp; Sources'!$B$353:$J$359,0,7))*INDEX('Methodology &amp; Sources'!$B$353:$J$359,0,7+2))),IF($AN8="MO",SUMPRODUCT(($AZ8&gt;INDEX('Methodology &amp; Sources'!$B$375:$J$382,0,1))*($AZ8-INDEX('Methodology &amp; Sources'!$B$375:$J$382,0,1))*INDEX('Methodology &amp; Sources'!$B$375:$J$382,0,1+2)),IF($AN8="MT",IF($AU8="Head of household",SUMPRODUCT(($AZ8&gt;INDEX('Methodology &amp; Sources'!$B$387:$J$389,0,1))*($AZ8-INDEX('Methodology &amp; Sources'!$B$387:$J$389,0,1))*INDEX('Methodology &amp; Sources'!$B$387:$J$389,0,1+2)),IF($AU8="Married",SUMPRODUCT(($AZ8&gt;INDEX('Methodology &amp; Sources'!$B$375:$J$382,0,7))*($AZ8-INDEX('Methodology &amp; Sources'!$B$375:$J$382,0,7))*INDEX('Methodology &amp; Sources'!$B$375:$J$382,0,7+2)),SUMPRODUCT(($AZ8&gt;INDEX('Methodology &amp; Sources'!$B$375:$J$382,0,4))*($AZ8-INDEX('Methodology &amp; Sources'!$B$375:$J$382,0,4))*INDEX('Methodology &amp; Sources'!$B$375:$J$382,0,4+2)))),IF($AN8="ND",IF($AU8="Head of household",SUMPRODUCT(($AZ8&gt;INDEX('Methodology &amp; Sources'!$B$394:$J$400,0,1))*($AZ8-INDEX('Methodology &amp; Sources'!$B$394:$J$400,0,1))*INDEX('Methodology &amp; Sources'!$B$394:$J$400,0,1+2)),IF($AU8="Married",SUMPRODUCT(($AZ8&gt;INDEX('Methodology &amp; Sources'!$B$387:$J$389,0,7))*($AZ8-INDEX('Methodology &amp; Sources'!$B$387:$J$389,0,7))*INDEX('Methodology &amp; Sources'!$B$387:$J$389,0,7+2)),SUMPRODUCT(($AZ8&gt;INDEX('Methodology &amp; Sources'!$B$387:$J$389,0,4))*($AZ8-INDEX('Methodology &amp; Sources'!$B$387:$J$389,0,4))*INDEX('Methodology &amp; Sources'!$B$387:$J$389,0,4+2)))),IF($AN8="NJ",IF(Inputs!$C$77="B",SUMPRODUCT(($AZ8&gt;INDEX('Methodology &amp; Sources'!$B$405:$J$412,0,4))*($AZ8-INDEX('Methodology &amp; Sources'!$B$405:$J$412,0,4))*INDEX('Methodology &amp; Sources'!$B$405:$J$412,0,4+2)),IF(Inputs!$C$77="C",SUMPRODUCT(($AZ8&gt;INDEX('Methodology &amp; Sources'!$B$405:$J$412,0,7))*($AZ8-INDEX('Methodology &amp; Sources'!$B$405:$J$412,0,7))*INDEX('Methodology &amp; Sources'!$B$405:$J$412,0,7+2)),IF(Inputs!$C$77="D",SUMPRODUCT(($AZ8&gt;INDEX('Methodology &amp; Sources'!$B$417:$J$429,0,1))*($AZ8-INDEX('Methodology &amp; Sources'!$B$417:$J$429,0,1))*INDEX('Methodology &amp; Sources'!$B$417:$J$429,0,1+2)),IF(Inputs!$C$77="E",SUMPRODUCT(($AZ8&gt;INDEX('Methodology &amp; Sources'!$B$417:$J$429,0,4))*($AZ8-INDEX('Methodology &amp; Sources'!$B$417:$J$429,0,4))*INDEX('Methodology &amp; Sources'!$B$417:$J$429,0,4+2)),SUMPRODUCT(($AZ8&gt;INDEX('Methodology &amp; Sources'!$B$405:$J$412,0,1))*($AZ8-INDEX('Methodology &amp; Sources'!$B$405:$J$412,0,1))*INDEX('Methodology &amp; Sources'!$B$405:$J$412,0,1+2)))))),IF($AN8="NY",IF($AU8="Married",IF($AZ8&gt;=2155350,$AZ8*IF($AZ8&gt;25000000,0.117,IF($AZ8&gt;5000000,0.111,0.1045)),SUMPRODUCT(($AZ8&gt;INDEX('Methodology &amp; Sources'!$B$434:$J$448,0,1))*($AZ8-INDEX('Methodology &amp; Sources'!$B$434:$J$448,0,1))*INDEX('Methodology &amp; Sources'!$B$434:$J$448,0,1+2))),IF($AZ8&gt;=1077550,$AZ8*IF($AZ8&gt;25000000,0.117,IF($AZ8&gt;5000000,0.111,0.1045)),SUMPRODUCT(($AZ8&gt;INDEX('Methodology &amp; Sources'!$B$417:$J$429,0,7))*($AZ8-INDEX('Methodology &amp; Sources'!$B$417:$J$429,0,7))*INDEX('Methodology &amp; Sources'!$B$417:$J$429,0,7+2)))),"")))))))</f>
      </c>
      <c r="BX8" s="7">
        <f>IF($B8="","",IF($AN8="AL",IF(OR($AU8="Married",$AU8="Head of household"),SUMPRODUCT(($AZ8&gt;INDEX('Methodology &amp; Sources'!$B$332:$J$336,0,4))*($AZ8-INDEX('Methodology &amp; Sources'!$B$332:$J$336,0,4))*INDEX('Methodology &amp; Sources'!$B$332:$J$336,0,4+2)),SUMPRODUCT(($AZ8&gt;INDEX('Methodology &amp; Sources'!$B$332:$J$336,0,1))*($AZ8-INDEX('Methodology &amp; Sources'!$B$332:$J$336,0,1))*INDEX('Methodology &amp; Sources'!$B$332:$J$336,0,1+2))),IF($AN8="KS",IF($AU8="Married",SUMPRODUCT(($AZ8&gt;INDEX('Methodology &amp; Sources'!$B$353:$J$359,0,4))*($AZ8-INDEX('Methodology &amp; Sources'!$B$353:$J$359,0,4))*INDEX('Methodology &amp; Sources'!$B$353:$J$359,0,4+2)),SUMPRODUCT(($AZ8&gt;INDEX('Methodology &amp; Sources'!$B$353:$J$359,0,1))*($AZ8-INDEX('Methodology &amp; Sources'!$B$353:$J$359,0,1))*INDEX('Methodology &amp; Sources'!$B$353:$J$359,0,1+2))),IF($AN8="MN",IF($AU8="Married",SUMPRODUCT(($AZ8&gt;INDEX('Methodology &amp; Sources'!$B$364:$J$370,0,7))*($AZ8-INDEX('Methodology &amp; Sources'!$B$364:$J$370,0,7))*INDEX('Methodology &amp; Sources'!$B$364:$J$370,0,7+2)),SUMPRODUCT(($AZ8&gt;INDEX('Methodology &amp; Sources'!$B$364:$J$370,0,4))*($AZ8-INDEX('Methodology &amp; Sources'!$B$364:$J$370,0,4))*INDEX('Methodology &amp; Sources'!$B$364:$J$370,0,4+2))),IF($AN8="NE",MAX(IF($AU8="Married",SUMPRODUCT(($AZ8&gt;INDEX('Methodology &amp; Sources'!$B$394:$J$400,0,7))*($AZ8-INDEX('Methodology &amp; Sources'!$B$394:$J$400,0,7))*INDEX('Methodology &amp; Sources'!$B$394:$J$400,0,7+2)),SUMPRODUCT(($AZ8&gt;INDEX('Methodology &amp; Sources'!$B$394:$J$400,0,4))*($AZ8-INDEX('Methodology &amp; Sources'!$B$394:$J$400,0,4))*INDEX('Methodology &amp; Sources'!$B$394:$J$400,0,4+2))),0.015*$AZ8),IF($AN8="OH",IF($B8&gt;=DATE(2026,8,1),SUMPRODUCT(($AZ8&gt;INDEX('Methodology &amp; Sources'!$B$453:$J$456,0,1))*($AZ8-INDEX('Methodology &amp; Sources'!$B$453:$J$456,0,1))*INDEX('Methodology &amp; Sources'!$B$453:$J$456,0,1+2)),SUMPRODUCT(($AZ8&gt;INDEX('Methodology &amp; Sources'!$B$434:$J$448,0,7))*($AZ8-INDEX('Methodology &amp; Sources'!$B$434:$J$448,0,7))*INDEX('Methodology &amp; Sources'!$B$434:$J$448,0,7+2))),IF($AN8="OK",IF($AU8="Married",SUMPRODUCT(($AZ8&gt;INDEX('Methodology &amp; Sources'!$B$453:$J$456,0,7))*($AZ8-INDEX('Methodology &amp; Sources'!$B$453:$J$456,0,7))*INDEX('Methodology &amp; Sources'!$B$453:$J$456,0,7+2)),SUMPRODUCT(($AZ8&gt;INDEX('Methodology &amp; Sources'!$B$453:$J$456,0,4))*($AZ8-INDEX('Methodology &amp; Sources'!$B$453:$J$456,0,4))*INDEX('Methodology &amp; Sources'!$B$453:$J$456,0,4+2))),IF($AN8="RI",SUMPRODUCT(($AZ8&gt;INDEX('Methodology &amp; Sources'!$B$461:$J$464,0,7))*($AZ8-INDEX('Methodology &amp; Sources'!$B$461:$J$464,0,7))*INDEX('Methodology &amp; Sources'!$B$461:$J$464,0,7+2)),IF($AN8="VT",IF($AU8="Married",SUMPRODUCT(($AZ8&gt;INDEX('Methodology &amp; Sources'!$B$478:$J$482,0,1))*($AZ8-INDEX('Methodology &amp; Sources'!$B$478:$J$482,0,1))*INDEX('Methodology &amp; Sources'!$B$478:$J$482,0,1+2)),SUMPRODUCT(($AZ8&gt;INDEX('Methodology &amp; Sources'!$B$469:$J$473,0,7))*($AZ8-INDEX('Methodology &amp; Sources'!$B$469:$J$473,0,7))*INDEX('Methodology &amp; Sources'!$B$469:$J$473,0,7+2))),IF($AN8="WV",IF($AU8="Married",SUMPRODUCT(($AZ8&gt;INDEX('Methodology &amp; Sources'!$B$487:$J$491,0,7))*($AZ8-INDEX('Methodology &amp; Sources'!$B$487:$J$491,0,7))*INDEX('Methodology &amp; Sources'!$B$487:$J$491,0,7+2)),SUMPRODUCT(($AZ8&gt;INDEX('Methodology &amp; Sources'!$B$478:$J$482,0,7))*($AZ8-INDEX('Methodology &amp; Sources'!$B$478:$J$482,0,7))*INDEX('Methodology &amp; Sources'!$B$478:$J$482,0,7+2))),""))))))))))</f>
      </c>
      <c r="BY8" s="7">
        <f>IF($B8="","",IF($AN8="AR",SUMPRODUCT(($AZ8&gt;INDEX('Methodology &amp; Sources'!$B$332:$J$336,0,7))*($AZ8-INDEX('Methodology &amp; Sources'!$B$332:$J$336,0,7))*INDEX('Methodology &amp; Sources'!$B$332:$J$336,0,7+2)),IF($AN8="DE",SUMPRODUCT(($AZ8&gt;INDEX('Methodology &amp; Sources'!$B$341:$J$348,0,1))*($AZ8-INDEX('Methodology &amp; Sources'!$B$341:$J$348,0,1))*INDEX('Methodology &amp; Sources'!$B$341:$J$348,0,1+2)),IF($AN8="HI",IF($AU8="Married",SUMPRODUCT(($AZ8&gt;INDEX('Methodology &amp; Sources'!$B$341:$J$348,0,7))*($AZ8-INDEX('Methodology &amp; Sources'!$B$341:$J$348,0,7))*INDEX('Methodology &amp; Sources'!$B$341:$J$348,0,7+2)),SUMPRODUCT(($AZ8&gt;INDEX('Methodology &amp; Sources'!$B$341:$J$348,0,4))*($AZ8-INDEX('Methodology &amp; Sources'!$B$341:$J$348,0,4))*INDEX('Methodology &amp; Sources'!$B$341:$J$348,0,4+2))),IF($AN8="SC",SUMPRODUCT(($AZ8&gt;INDEX('Methodology &amp; Sources'!$B$469:$J$473,0,1))*($AZ8-INDEX('Methodology &amp; Sources'!$B$469:$J$473,0,1))*INDEX('Methodology &amp; Sources'!$B$469:$J$473,0,1+2)),IF($AN8="VA",SUMPRODUCT(($AZ8&gt;INDEX('Methodology &amp; Sources'!$B$469:$J$473,0,4))*($AZ8-INDEX('Methodology &amp; Sources'!$B$469:$J$473,0,4))*INDEX('Methodology &amp; Sources'!$B$469:$J$473,0,4+2)),IF($AN8="WI",SUMPRODUCT(($AZ8&gt;INDEX('Methodology &amp; Sources'!$B$478:$J$482,0,4))*($AZ8-INDEX('Methodology &amp; Sources'!$B$478:$J$482,0,4))*INDEX('Methodology &amp; Sources'!$B$478:$J$482,0,4+2)),"")))))))</f>
      </c>
      <c r="BZ8" s="24">
        <f>IF($B8="","",IF($AN8="NJ",IF(Inputs!$C$77="B",SUMPRODUCT(($AZ8&gt;=INDEX('Methodology &amp; Sources'!$B$405:$J$412,0,4))*INDEX('Methodology &amp; Sources'!$B$405:$J$412,0,4+2)),IF(Inputs!$C$77="C",SUMPRODUCT(($AZ8&gt;=INDEX('Methodology &amp; Sources'!$B$405:$J$412,0,7))*INDEX('Methodology &amp; Sources'!$B$405:$J$412,0,7+2)),IF(Inputs!$C$77="D",SUMPRODUCT(($AZ8&gt;=INDEX('Methodology &amp; Sources'!$B$417:$J$429,0,1))*INDEX('Methodology &amp; Sources'!$B$417:$J$429,0,1+2)),IF(Inputs!$C$77="E",SUMPRODUCT(($AZ8&gt;=INDEX('Methodology &amp; Sources'!$B$417:$J$429,0,4))*INDEX('Methodology &amp; Sources'!$B$417:$J$429,0,4+2)),SUMPRODUCT(($AZ8&gt;=INDEX('Methodology &amp; Sources'!$B$405:$J$412,0,1))*INDEX('Methodology &amp; Sources'!$B$405:$J$412,0,1+2)))))),IF($AN8="OR",IF(OR($AU8="Married",AND($AU8="Single",$AS8&gt;=3)),SUMPRODUCT((MAX(0,$AY8-MIN(($P8-'Methodology &amp; Sources'!$C$260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Sources'!$B$461:$J$464,0,4))*INDEX('Methodology &amp; Sources'!$B$461:$J$464,0,4+2)),SUMPRODUCT((MAX(0,$AY8-MIN(($P8-'Methodology &amp; Sources'!$C$260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Sources'!$B$461:$J$464,0,1))*INDEX('Methodology &amp; Sources'!$B$461:$J$464,0,1+2)))*IF(($P8-'Methodology &amp; Sources'!$C$260*$D8)*Inputs!$C$8&gt;=IF(OR($AU8="Married",AND($AU8="Single",$AS8&gt;=3)),IF($AY8&lt;250000,8750,IF($AY8&lt;260000,7000,IF($AY8&lt;270000,5250,IF($AY8&lt;280000,3500,IF($AY8&lt;290000,1750,0))))),IF($AY8&lt;125000,8750,IF($AY8&lt;130000,7000,IF($AY8&lt;135000,5250,IF($AY8&lt;140000,3500,IF($AY8&lt;145000,1750,0)))))),1,1-IF(Inputs!$C$13,SUMPRODUCT(($AH8&gt;=INDEX('Methodology &amp; Sources'!$B$279:$J$286,0,IF(Inputs!$C$12="MFJ",1,IF(Inputs!$C$12="HoH",7,4))))*INDEX('Methodology &amp; Sources'!$B$279:$J$286,0,IF(Inputs!$C$12="MFJ",1,IF(Inputs!$C$12="HoH",7,4))+2)),SUMPRODUCT(($AH8&gt;=INDEX('Methodology &amp; Sources'!$B$269:$J$276,0,IF(Inputs!$C$12="MFJ",1,IF(Inputs!$C$12="HoH",7,4))))*INDEX('Methodology &amp; Sources'!$B$269:$J$276,0,IF(Inputs!$C$12="MFJ",1,IF(Inputs!$C$12="HoH",7,4))+2)))),IF($AN8="MI",IF($AY8&gt;5900*$AS8,0.0425,0),""))))</f>
      </c>
      <c r="CA8" s="24">
        <f>IF($B8="","",IF($AN8="AL",IF(OR($AU8="Married",$AU8="Head of household"),SUMPRODUCT(($AZ8&gt;=INDEX('Methodology &amp; Sources'!$B$332:$J$336,0,4))*INDEX('Methodology &amp; Sources'!$B$332:$J$336,0,4+2)),SUMPRODUCT(($AZ8&gt;=INDEX('Methodology &amp; Sources'!$B$332:$J$336,0,1))*INDEX('Methodology &amp; Sources'!$B$332:$J$336,0,1+2)))*(1-IF(Inputs!$C$13,SUMPRODUCT(($AH8&gt;=INDEX('Methodology &amp; Sources'!$B$279:$J$286,0,IF(Inputs!$C$12="MFJ",1,IF(Inputs!$C$12="HoH",7,4))))*INDEX('Methodology &amp; Sources'!$B$279:$J$286,0,IF(Inputs!$C$12="MFJ",1,IF(Inputs!$C$12="HoH",7,4))+2)),SUMPRODUCT(($AH8&gt;=INDEX('Methodology &amp; Sources'!$B$269:$J$276,0,IF(Inputs!$C$12="MFJ",1,IF(Inputs!$C$12="HoH",7,4))))*INDEX('Methodology &amp; Sources'!$B$269:$J$276,0,IF(Inputs!$C$12="MFJ",1,IF(Inputs!$C$12="HoH",7,4))+2)))),IF($AN8="KS",IF($AU8="Married",SUMPRODUCT(($AZ8&gt;=INDEX('Methodology &amp; Sources'!$B$353:$J$359,0,4))*INDEX('Methodology &amp; Sources'!$B$353:$J$359,0,4+2)),SUMPRODUCT(($AZ8&gt;=INDEX('Methodology &amp; Sources'!$B$353:$J$359,0,1))*INDEX('Methodology &amp; Sources'!$B$353:$J$359,0,1+2))),IF($AN8="MD",IF(OR($AU8="Married",$AU8="Head of household"),SUMPRODUCT(($AZ8&gt;=INDEX('Methodology &amp; Sources'!$B$364:$J$370,0,1))*INDEX('Methodology &amp; Sources'!$B$364:$J$370,0,1+2)),SUMPRODUCT(($AZ8&gt;=INDEX('Methodology &amp; Sources'!$B$353:$J$359,0,7))*INDEX('Methodology &amp; Sources'!$B$353:$J$359,0,7+2)))+Inputs!$C$74,IF($AN8="MT",IF($AU8="Head of household",SUMPRODUCT(($AZ8&gt;=INDEX('Methodology &amp; Sources'!$B$387:$J$389,0,1))*INDEX('Methodology &amp; Sources'!$B$387:$J$389,0,1+2)),IF($AU8="Married",SUMPRODUCT(($AZ8&gt;=INDEX('Methodology &amp; Sources'!$B$375:$J$382,0,7))*INDEX('Methodology &amp; Sources'!$B$375:$J$382,0,7+2)),SUMPRODUCT(($AZ8&gt;=INDEX('Methodology &amp; Sources'!$B$375:$J$382,0,4))*INDEX('Methodology &amp; Sources'!$B$375:$J$382,0,4+2)))),IF($AN8="ND",IF($AU8="Head of household",SUMPRODUCT(($AZ8&gt;=INDEX('Methodology &amp; Sources'!$B$394:$J$400,0,1))*INDEX('Methodology &amp; Sources'!$B$394:$J$400,0,1+2)),IF($AU8="Married",SUMPRODUCT(($AZ8&gt;=INDEX('Methodology &amp; Sources'!$B$387:$J$389,0,7))*INDEX('Methodology &amp; Sources'!$B$387:$J$389,0,7+2)),SUMPRODUCT(($AZ8&gt;=INDEX('Methodology &amp; Sources'!$B$387:$J$389,0,4))*INDEX('Methodology &amp; Sources'!$B$387:$J$389,0,4+2)))),IF($AN8="NY",IF($AU8="Married",IF($AZ8&gt;=2155350,IF($AZ8&gt;25000000,0.117,IF($AZ8&gt;5000000,0.111,0.1045)),SUMPRODUCT(($AZ8&gt;=INDEX('Methodology &amp; Sources'!$B$434:$J$448,0,1))*INDEX('Methodology &amp; Sources'!$B$434:$J$448,0,1+2))),IF($AZ8&gt;=1077550,IF($AZ8&gt;25000000,0.117,IF($AZ8&gt;5000000,0.111,0.1045)),SUMPRODUCT(($AZ8&gt;=INDEX('Methodology &amp; Sources'!$B$417:$J$429,0,7))*INDEX('Methodology &amp; Sources'!$B$417:$J$429,0,7+2)))),"")))))))</f>
      </c>
      <c r="CB8" s="24">
        <f>IF($B8="","",IF($AN8="CA",SUMPRODUCT(($AJ8&gt;=INDEX('Methodology &amp; Sources'!$B$289:$J$298,0,IF($AU8="Married",4,IF($AU8="Head of household",7,1))))*INDEX('Methodology &amp; Sources'!$B$289:$J$298,0,IF($AU8="Married",4,IF($AU8="Head of household",7,1))+2)),IF($AN8="HI",IF($AU8="Married",SUMPRODUCT(($AZ8&gt;=INDEX('Methodology &amp; Sources'!$B$341:$J$348,0,7))*INDEX('Methodology &amp; Sources'!$B$341:$J$348,0,7+2)),SUMPRODUCT(($AZ8&gt;=INDEX('Methodology &amp; Sources'!$B$341:$J$348,0,4))*INDEX('Methodology &amp; Sources'!$B$341:$J$348,0,4+2))),IF($AN8="MN",IF($AU8="Married",SUMPRODUCT(($AZ8&gt;=INDEX('Methodology &amp; Sources'!$B$364:$J$370,0,7))*INDEX('Methodology &amp; Sources'!$B$364:$J$370,0,7+2)),SUMPRODUCT(($AZ8&gt;=INDEX('Methodology &amp; Sources'!$B$364:$J$370,0,4))*INDEX('Methodology &amp; Sources'!$B$364:$J$370,0,4+2))),IF($AN8="MO",SUMPRODUCT(($AZ8&gt;=INDEX('Methodology &amp; Sources'!$B$375:$J$382,0,1))*INDEX('Methodology &amp; Sources'!$B$375:$J$382,0,1+2)),IF($AN8="NE",MAX(IF($AU8="Married",SUMPRODUCT(($AZ8&gt;=INDEX('Methodology &amp; Sources'!$B$394:$J$400,0,7))*INDEX('Methodology &amp; Sources'!$B$394:$J$400,0,7+2)),SUMPRODUCT(($AZ8&gt;=INDEX('Methodology &amp; Sources'!$B$394:$J$400,0,4))*INDEX('Methodology &amp; Sources'!$B$394:$J$400,0,4+2))),0.015),IF($AN8="OH",IF($B8&gt;=DATE(2026,8,1),SUMPRODUCT(($AZ8&gt;=INDEX('Methodology &amp; Sources'!$B$453:$J$456,0,1))*INDEX('Methodology &amp; Sources'!$B$453:$J$456,0,1+2)),SUMPRODUCT(($AZ8&gt;=INDEX('Methodology &amp; Sources'!$B$434:$J$448,0,7))*INDEX('Methodology &amp; Sources'!$B$434:$J$448,0,7+2))),IF($AN8="OK",IF($AU8="Married",SUMPRODUCT(($AZ8&gt;=INDEX('Methodology &amp; Sources'!$B$453:$J$456,0,7))*INDEX('Methodology &amp; Sources'!$B$453:$J$456,0,7+2)),SUMPRODUCT(($AZ8&gt;=INDEX('Methodology &amp; Sources'!$B$453:$J$456,0,4))*INDEX('Methodology &amp; Sources'!$B$453:$J$456,0,4+2))),IF($AN8="RI",SUMPRODUCT(($AZ8&gt;=INDEX('Methodology &amp; Sources'!$B$461:$J$464,0,7))*INDEX('Methodology &amp; Sources'!$B$461:$J$464,0,7+2)),IF($AN8="SC",SUMPRODUCT(($AZ8&gt;=INDEX('Methodology &amp; Sources'!$B$469:$J$473,0,1))*INDEX('Methodology &amp; Sources'!$B$469:$J$473,0,1+2)),IF($AN8="VT",IF($AU8="Married",SUMPRODUCT(($AZ8&gt;=INDEX('Methodology &amp; Sources'!$B$478:$J$482,0,1))*INDEX('Methodology &amp; Sources'!$B$478:$J$482,0,1+2)),SUMPRODUCT(($AZ8&gt;=INDEX('Methodology &amp; Sources'!$B$469:$J$473,0,7))*INDEX('Methodology &amp; Sources'!$B$469:$J$473,0,7+2))),IF($AN8="WV",IF($AU8="Married",SUMPRODUCT(($AZ8&gt;=INDEX('Methodology &amp; Sources'!$B$487:$J$491,0,7))*INDEX('Methodology &amp; Sources'!$B$487:$J$491,0,7+2)),SUMPRODUCT(($AZ8&gt;=INDEX('Methodology &amp; Sources'!$B$478:$J$482,0,7))*INDEX('Methodology &amp; Sources'!$B$478:$J$482,0,7+2))),IF($AN8="IN",(0.0295+Inputs!$C$76),"")))))))))))))</f>
      </c>
      <c r="CC8" s="24">
        <f>IF($B8="","",IF($AN8="AR",SUMPRODUCT(($AZ8&gt;=INDEX('Methodology &amp; Sources'!$B$332:$J$336,0,7))*INDEX('Methodology &amp; Sources'!$B$332:$J$336,0,7+2)),IF($AN8="DE",SUMPRODUCT(($AZ8&gt;=INDEX('Methodology &amp; Sources'!$B$341:$J$348,0,1))*INDEX('Methodology &amp; Sources'!$B$341:$J$348,0,1+2)),IF($AN8="VA",SUMPRODUCT(($AZ8&gt;=INDEX('Methodology &amp; Sources'!$B$469:$J$473,0,4))*INDEX('Methodology &amp; Sources'!$B$469:$J$473,0,4+2)),IF($AN8="WI",SUMPRODUCT(($AZ8&gt;=INDEX('Methodology &amp; Sources'!$B$478:$J$482,0,4))*INDEX('Methodology &amp; Sources'!$B$478:$J$482,0,4+2)),IF($AN8="AZ",Inputs!$C$82,IF($AN8="CO",IF($AY8&gt;IF($AU8="Married",10000,5000),0.044,0),IF($AN8="IA",IF($AY8&gt;IF($AU8="Head of household",19500,IF($AU8="Married",26000,13000)),0.038,0),IF($AN8="ID",IF($AY8&gt;IF($AU8="Married",32000,16094),0.053,0),IF($AN8="IL",IF($AY8&gt;(2925*$AS8+1000*$AT8),0.0495,0),IF($AN8="KY",IF($AI8&gt;3360,0.035,0),IF($AN8="LA",0.0309,IF($AN8="MA",IF(MAX(0,$AY8-MIN(($BD7+$Q8+$R8+$S8),2000)-IF($AS8=0,0,IF($AS8=1,4400,1000*$AS8+3400)))&gt;=1107750,0.09,0.05),IF($AN8="MS",IF($AI8-IF($AU8="Head of household",3400,IF($AU8="Married",4600,2300))-Inputs!$C$85&gt;10000,0.04,0),IF($AN8="PA",0.0307,"")))))))))))))))</f>
      </c>
      <c r="CD8" s="21">
        <f>IF(YEAR(IF(Inputs!$C$7="Weekly",Inputs!$C$9+7*(($BE7+1)-1),IF(Inputs!$C$7="Biweekly",Inputs!$C$9+14*(($BE7+1)-1),IF(Inputs!$C$7="Semimonthly",DATE(YEAR(Inputs!$C$9),MONTH(Inputs!$C$9)+INT((($BE7+1)-1)/2),MIN(DAY(Inputs!$C$9),DAY(EOMONTH(DATE(YEAR(Inputs!$C$9),MONTH(Inputs!$C$9)+INT((($BE7+1)-1)/2),1),0))))+IF(MOD(($BE7+1)-1,2)=1,15,0),EDATE(Inputs!$C$9,($BE7+1)-1)))))&lt;&gt;2026,"",IF(Inputs!$C$7="Weekly",Inputs!$C$9+7*(($BE7+1)-1),IF(Inputs!$C$7="Biweekly",Inputs!$C$9+14*(($BE7+1)-1),IF(Inputs!$C$7="Semimonthly",DATE(YEAR(Inputs!$C$9),MONTH(Inputs!$C$9)+INT((($BE7+1)-1)/2),MIN(DAY(Inputs!$C$9),DAY(EOMONTH(DATE(YEAR(Inputs!$C$9),MONTH(Inputs!$C$9)+INT((($BE7+1)-1)/2),1),0))))+IF(MOD(($BE7+1)-1,2)=1,15,0),EDATE(Inputs!$C$9,($BE7+1)-1)))))</f>
      </c>
      <c r="CE8" s="21">
        <f>IF(SUMPRODUCT(MIN(IF((Inputs!$C$58:$C$67&gt;MAX($B$6:$B7))*(Inputs!$C$58:$C$67&gt;=DATE(2026,1,1))*(Inputs!$C$58:$C$67&lt;=DATE(2026,12,31)),Inputs!$C$58:$C$67,999999)))=999999,"",SUMPRODUCT(MIN(IF((Inputs!$C$58:$C$67&gt;MAX($B$6:$B7))*(Inputs!$C$58:$C$67&gt;=DATE(2026,1,1))*(Inputs!$C$58:$C$67&lt;=DATE(2026,12,31)),Inputs!$C$58:$C$67,999999))))</f>
      </c>
    </row>
    <row r="9">
      <c r="A9" t="n">
        <v>4</v>
      </c>
      <c r="B9" s="21">
        <f>IF(AND($CD9="",$CE9=""),"",IF($CE9="",$CD9,IF($CD9="",$CE9,MIN($CD9,$CE9))))</f>
      </c>
      <c r="C9" s="7">
        <f>IF($B9="","",IF($BF9=0,0,IF(Inputs!$C$4="Annual salary",ROUND($AK9/IF(AND(Inputs!$C$88="Actual paydays",MONTH(Inputs!$C$9)=1),MAX(1,MAX($BE$6:$BE$68)),Inputs!$C$8),2),$AK9)))</f>
      </c>
      <c r="D9" s="7">
        <f>IF($B9="","",SUMIF(Inputs!$C$58:$C$67,$B9,Inputs!$D$58:$D$67))</f>
      </c>
      <c r="E9" s="7">
        <f>IF($B9="","",ROUND(MAX(0,MIN(IF($AL9="Percent",$AM9*($C9+$D9),$AM9),MAX(0,Inputs!$C$91-$AC8))),2))</f>
      </c>
      <c r="F9" s="7">
        <f>IF($B9="","",ROUND(MAX(0,MIN(IF(Inputs!$C$32="Percent",Inputs!$D$32*($C9+$D9),Inputs!$D$32),MAX(0,Inputs!$C$91-$AC8-$E9))),2))</f>
      </c>
      <c r="G9" s="7">
        <f>IF($B9="","",IF($BF9=0,0,ROUND(MAX(0,MIN($BL9,Inputs!$C$92-Inputs!$C$54-$BI8)),2)))</f>
      </c>
      <c r="H9" s="7">
        <f>IF($B9="","",IF(OR($BF9=0,$BQ9=1),0,ROUND(MAX(0,MIN(IF($BS9=1,ROUND(MAX(0,MIN($BJ9,'Methodology &amp; Sources'!$C$263)-$BG8)/MAX(1,MAX($BE$6:$BE$68)-($BE8)),2),ROUND(MIN($BJ9,'Methodology &amp; Sources'!$C$263)/Inputs!$C$8,2)),MIN($BJ9,'Methodology &amp; Sources'!$C$263)-$BG8)),2)))</f>
      </c>
      <c r="I9" s="7">
        <f>IF($B9="","",IF(OR($BF9=0,$BR9=1),0,ROUND(MAX(0,MIN(IF($BT9=1,ROUND(MAX(0,MIN($BK9,IF(Inputs!$C$12="MFJ",'Methodology &amp; Sources'!$C$264,'Methodology &amp; Sources'!$C$265))-$BH8)/MAX(1,MAX($BE$6:$BE$68)-($BE8)),2),ROUND(MIN($BK9,IF(Inputs!$C$12="MFJ",'Methodology &amp; Sources'!$C$264,'Methodology &amp; Sources'!$C$265))/Inputs!$C$8,2)),MIN($BK9,IF(Inputs!$C$12="MFJ",'Methodology &amp; Sources'!$C$264,'Methodology &amp; Sources'!$C$265))-$BH8)),2)))</f>
      </c>
      <c r="J9" s="7">
        <f>IF($B9="","",IF($BF9=0,0,$BM9))</f>
      </c>
      <c r="K9" s="7">
        <f>IF($B9="","",IF($BF9=0,0,$BN9+$BO9))</f>
      </c>
      <c r="L9" s="7">
        <f>IF($B9="","",IF($BF9=0,0,Inputs!$D$46))</f>
      </c>
      <c r="M9" s="7">
        <f>IF($B9="","",$C9+$D9+$L9-$E9-$G9-$H9-$I9-$J9-$K9)</f>
      </c>
      <c r="N9" s="7">
        <f>IF($B9="","",$C9+$D9+$L9-$G9-$H9-$I9-$J9-$K9)</f>
      </c>
      <c r="O9" s="7">
        <f>IF($B9="","",$C9+$D9+$L9-$E9-$H9-$I9-$J9-$K9-IF(OR($AN9="CA",$AN9="NJ"),0,$G9))</f>
      </c>
      <c r="P9" s="7">
        <f>IF($B9="","",IF(Inputs!$C$18,0,ROUND(MAX(0,IF(Inputs!$C$13,SUMPRODUCT(($AH9&gt;INDEX('Methodology &amp; Sources'!$B$279:$J$286,0,IF(Inputs!$C$12="MFJ",1,IF(Inputs!$C$12="HoH",7,4))))*($AH9-INDEX('Methodology &amp; Sources'!$B$279:$J$286,0,IF(Inputs!$C$12="MFJ",1,IF(Inputs!$C$12="HoH",7,4))))*INDEX('Methodology &amp; Sources'!$B$279:$J$286,0,IF(Inputs!$C$12="MFJ",1,IF(Inputs!$C$12="HoH",7,4))+2)),SUMPRODUCT(($AH9&gt;INDEX('Methodology &amp; Sources'!$B$269:$J$276,0,IF(Inputs!$C$12="MFJ",1,IF(Inputs!$C$12="HoH",7,4))))*($AH9-INDEX('Methodology &amp; Sources'!$B$269:$J$276,0,IF(Inputs!$C$12="MFJ",1,IF(Inputs!$C$12="HoH",7,4))))*INDEX('Methodology &amp; Sources'!$B$269:$J$276,0,IF(Inputs!$C$12="MFJ",1,IF(Inputs!$C$12="HoH",7,4))+2)))/Inputs!$C$8-$AO9/Inputs!$C$8)+$AR9+IF(Inputs!$C$89="Aggregate",MAX(0,IF(Inputs!$C$13,SUMPRODUCT((($AH9+$D9)&gt;INDEX('Methodology &amp; Sources'!$B$279:$J$286,0,IF(Inputs!$C$12="MFJ",1,IF(Inputs!$C$12="HoH",7,4))))*(($AH9+$D9)-INDEX('Methodology &amp; Sources'!$B$279:$J$286,0,IF(Inputs!$C$12="MFJ",1,IF(Inputs!$C$12="HoH",7,4))))*INDEX('Methodology &amp; Sources'!$B$279:$J$286,0,IF(Inputs!$C$12="MFJ",1,IF(Inputs!$C$12="HoH",7,4))+2)),SUMPRODUCT((($AH9+$D9)&gt;INDEX('Methodology &amp; Sources'!$B$269:$J$276,0,IF(Inputs!$C$12="MFJ",1,IF(Inputs!$C$12="HoH",7,4))))*(($AH9+$D9)-INDEX('Methodology &amp; Sources'!$B$269:$J$276,0,IF(Inputs!$C$12="MFJ",1,IF(Inputs!$C$12="HoH",7,4))))*INDEX('Methodology &amp; Sources'!$B$269:$J$276,0,IF(Inputs!$C$12="MFJ",1,IF(Inputs!$C$12="HoH",7,4))+2)))-IF(Inputs!$C$13,SUMPRODUCT(($AH9&gt;INDEX('Methodology &amp; Sources'!$B$279:$J$286,0,IF(Inputs!$C$12="MFJ",1,IF(Inputs!$C$12="HoH",7,4))))*($AH9-INDEX('Methodology &amp; Sources'!$B$279:$J$286,0,IF(Inputs!$C$12="MFJ",1,IF(Inputs!$C$12="HoH",7,4))))*INDEX('Methodology &amp; Sources'!$B$279:$J$286,0,IF(Inputs!$C$12="MFJ",1,IF(Inputs!$C$12="HoH",7,4))+2)),SUMPRODUCT(($AH9&gt;INDEX('Methodology &amp; Sources'!$B$269:$J$276,0,IF(Inputs!$C$12="MFJ",1,IF(Inputs!$C$12="HoH",7,4))))*($AH9-INDEX('Methodology &amp; Sources'!$B$269:$J$276,0,IF(Inputs!$C$12="MFJ",1,IF(Inputs!$C$12="HoH",7,4))))*INDEX('Methodology &amp; Sources'!$B$269:$J$276,0,IF(Inputs!$C$12="MFJ",1,IF(Inputs!$C$12="HoH",7,4))+2)))),'Methodology &amp; Sources'!$C$260*$D9),2)))</f>
      </c>
      <c r="Q9" s="7">
        <f>IF($B9="","",ROUND('Methodology &amp; Sources'!$C$254*MIN($N9,MAX(0,'Methodology &amp; Sources'!$C$253-($AX9+$AB8-$AW9))),2))</f>
      </c>
      <c r="R9" s="7">
        <f>IF($B9="","",ROUND('Methodology &amp; Sources'!$C$255*$N9,2))</f>
      </c>
      <c r="S9" s="7">
        <f>IF($B9="","",ROUND('Methodology &amp; Sources'!$C$256*MAX(0,MIN($N9,$AG8+$N9-'Methodology &amp; Sources'!$C$257)),2))</f>
      </c>
      <c r="T9" s="7">
        <f>IF($B9="","",IF(Inputs!$C$26,0,IF($AN9="CA",ROUND(IF($AI9&lt;=IF(($AS9+$AT9)&gt;=2,VLOOKUP($AN9,'StateTables 2026'!$A$6:$AB$56,10,FALSE),VLOOKUP($AN9,'StateTables 2026'!$A$6:$AB$56,9,FALSE)),0,MAX(0,SUMPRODUCT(($AJ9&gt;INDEX('Methodology &amp; Sources'!$B$289:$J$298,0,IF($AU9="Married",4,IF($AU9="Head of household",7,1))))*($AJ9-INDEX('Methodology &amp; Sources'!$B$289:$J$298,0,IF($AU9="Married",4,IF($AU9="Head of household",7,1))))*INDEX('Methodology &amp; Sources'!$B$289:$J$298,0,IF($AU9="Married",4,IF($AU9="Head of household",7,1))+2))-VLOOKUP($AN9,'StateTables 2026'!$A$6:$AB$56,11,FALSE)*$AS9)/Inputs!$C$8)+Inputs!$C$25+VLOOKUP($AN9,'StateTables 2026'!$A$6:$AB$56,13,FALSE)*$D9,2),IF(VLOOKUP($AN9,'StateTables 2026'!$A$6:$AB$56,4,FALSE)="None",0,IF(ISNUMBER(SEARCH("MANUAL",VLOOKUP($AN9,'StateTables 2026'!$A$6:$AB$56,5,FALSE))),Inputs!$C$28,ROUND(MAX(0,$BA9+$BB9)/Inputs!$C$8+Inputs!$C$25+$BC9,2))))))</f>
      </c>
      <c r="U9" s="7">
        <f>IF($B9="","",IF(VLOOKUP($AN9,'StateTables 2026'!$A$6:$AB$56,24,FALSE)="flatq",IF(OR(MONTH($B9)=1,MONTH($B9)=4,MONTH($B9)=7,MONTH($B9)=10),VLOOKUP($AN9,'StateTables 2026'!$A$6:$AB$56,25,FALSE),0),IF(VLOOKUP($AN9,'StateTables 2026'!$A$6:$AB$56,24,FALSE)="dbl",MIN(ROUND(0.005*$N9,2),ROUND(0.6*52/Inputs!$C$8,2)),IF(OR(VLOOKUP($AN9,'StateTables 2026'!$A$6:$AB$56,15,FALSE)="",VLOOKUP($AN9,'StateTables 2026'!$A$6:$AB$56,15,FALSE)=0),0,ROUND(VLOOKUP($AN9,'StateTables 2026'!$A$6:$AB$56,15,FALSE)*IF(OR(VLOOKUP($AN9,'StateTables 2026'!$A$6:$AB$56,16,FALSE)="",VLOOKUP($AN9,'StateTables 2026'!$A$6:$AB$56,16,FALSE)=0),$N9,MIN($N9,MAX(0,VLOOKUP($AN9,'StateTables 2026'!$A$6:$AB$56,16,FALSE)-($AX9+$AB8-$AW9)))),2))))+IF(VLOOKUP($AN9,'StateTables 2026'!$A$6:$AB$56,27,FALSE)="flatq",IF(OR(MONTH($B9)=1,MONTH($B9)=4,MONTH($B9)=7,MONTH($B9)=10),VLOOKUP($AN9,'StateTables 2026'!$A$6:$AB$56,28,FALSE),0),IF(VLOOKUP($AN9,'StateTables 2026'!$A$6:$AB$56,27,FALSE)="dbl",MIN(ROUND(0.005*$N9,2),ROUND(0.6*52/Inputs!$C$8,2)),IF(OR(VLOOKUP($AN9,'StateTables 2026'!$A$6:$AB$56,18,FALSE)="",VLOOKUP($AN9,'StateTables 2026'!$A$6:$AB$56,18,FALSE)=0),0,ROUND(VLOOKUP($AN9,'StateTables 2026'!$A$6:$AB$56,18,FALSE)*IF(OR(VLOOKUP($AN9,'StateTables 2026'!$A$6:$AB$56,19,FALSE)="",VLOOKUP($AN9,'StateTables 2026'!$A$6:$AB$56,19,FALSE)=0),$N9,MIN($N9,MAX(0,VLOOKUP($AN9,'StateTables 2026'!$A$6:$AB$56,19,FALSE)-($AX9+$AB8-$AW9)))),2)))))</f>
      </c>
      <c r="V9" s="7">
        <f>IF($B9="","",IF($AN9="NY",IF(Inputs!$C$78,ROUND(SUMPRODUCT((MAX(0,($O9-$D9)*Inputs!$C$8-(IF($AU9="Married",5500,5000)+1000*$AS9))&gt;INDEX('Methodology &amp; Sources'!$B$434:$J$448,0,4))*(MAX(0,($O9-$D9)*Inputs!$C$8-(IF($AU9="Married",5500,5000)+1000*$AS9))-INDEX('Methodology &amp; Sources'!$B$434:$J$448,0,4))*INDEX('Methodology &amp; Sources'!$B$434:$J$448,0,4+2))/Inputs!$C$8+0.0425*$D9,2),0)+IF(Inputs!$C$79="Resident",ROUND(0.1675*$T9,2),IF(Inputs!$C$79="Nonresident",ROUND(0.005*MAX(0,($O9-$D9)-(IF($AU9="Married",7950,7400)+1000*$AS9)/Inputs!$C$8),2),0)),IF($AN9="PA",IF(Inputs!$C$80="None",Inputs!$C$27+ROUND(Inputs!$C$81*($C9+$D9),2),ROUND(IF(Inputs!$C$80="Resident",IF($B9&lt;DATE(2026,7,1),0.0374,0.03735),IF($B9&lt;DATE(2026,7,1),0.0343,0.03425))*($C9+$D9),2)),IF($BF9=0,ROUND(Inputs!$C$81*($C9+$D9),2),Inputs!$C$27+ROUND(Inputs!$C$81*($C9+$D9),2)))))</f>
      </c>
      <c r="W9" s="7">
        <f>IF($B9="","",IF($BF9=0,0,$BP9))</f>
      </c>
      <c r="X9" s="7">
        <f>IF($B9="","",SUM($E9:$K9)+$P9+$Q9+$R9+$S9+$T9+$U9+$V9+$W9)</f>
      </c>
      <c r="Y9" s="22">
        <f>IF($B9="","",$C9+$D9-$X9)</f>
      </c>
      <c r="Z9" s="7">
        <f>IF($B9="","",$Z8+$C9+$D9)</f>
      </c>
      <c r="AA9" s="7">
        <f>IF($B9="","",$AA8+$Y9)</f>
      </c>
      <c r="AB9" s="7">
        <f>IF($B9="","",$AB8+MIN($N9,MAX(0,'Methodology &amp; Sources'!$C$253-($AX9+$AB8-$AW9))))</f>
      </c>
      <c r="AC9" s="7">
        <f>IF($B9="","",$AC8+$E9+$F9)</f>
      </c>
      <c r="AD9" s="3">
        <f>IF($B9="","",IF(AND($AB8&lt;'Methodology &amp; Sources'!$C$253,$AB9&gt;='Methodology &amp; Sources'!$C$253),"★ Social Security maxed on this check — from the next check your net rises by about $"&amp;TEXT(ROUND('Methodology &amp; Sources'!$C$254*$N9,2),"#,##0.00")&amp;". ","")&amp;IF(AND($AC8&lt;Inputs!$C$91,$AC9&gt;=Inputs!$C$91),"★ 401(k) reaches the $"&amp;TEXT(Inputs!$C$91,"#,##0")&amp;" cap on this check — deferrals stop and net pay rises. ","")&amp;IF(AND($AG8&lt;'Methodology &amp; Sources'!$C$257,$AG9&gt;='Methodology &amp; Sources'!$C$257),"★ Wages pass $200,000 — the 0.9% Additional Medicare Tax starts here. ","")&amp;IF(AND($BJ9&gt;0,$H9&gt;0,$BG8&lt;MIN($BJ9,'Methodology &amp; Sources'!$C$263),$BG8+$H9&gt;=MIN($BJ9,'Methodology &amp; Sources'!$C$263)),"★ Health FSA election is now fully deferred for the year. ",""))</f>
      </c>
      <c r="AE9" s="41" t="n"/>
      <c r="AF9" s="7">
        <f>IF(OR($B9="",$AE9=""),"",$AE9-$Y9)</f>
      </c>
      <c r="AG9" s="7">
        <f>IF($B9="","",$AG8+$N9)</f>
      </c>
      <c r="AH9" s="7">
        <f>IF($B9="","",MAX(0,($M9-$D9)*Inputs!$C$8+$AP9-$AQ9-IF(Inputs!$C$13,0,IF(Inputs!$C$12="MFJ",'Methodology &amp; Sources'!$C$258,'Methodology &amp; Sources'!$C$259))))</f>
      </c>
      <c r="AI9" s="7">
        <f>IF($B9="","",$O9*Inputs!$C$8)</f>
      </c>
      <c r="AJ9" s="7">
        <f>IF($B9="","",MAX(0,$AI9-VLOOKUP($AN9,'StateTables 2026'!$A$6:$AB$56,12,FALSE)*$AT9-IF(($AS9+$AT9)&gt;=2,VLOOKUP($AN9,'StateTables 2026'!$A$6:$AB$56,8,FALSE),VLOOKUP($AN9,'StateTables 2026'!$A$6:$AB$56,7,FALSE))))</f>
      </c>
      <c r="AK9" s="7">
        <f>IF($B9="","",IFERROR(LOOKUP(2,1/((Events!$C$6:$C$17="Salary change")*(Events!$B$6:$B$17&lt;=$B9)*(Events!$B$6:$B$17&lt;&gt;"")),Events!$D$6:$D$17),IF(Inputs!$C$4="Annual salary",Inputs!$C$5,Inputs!$C$6)))</f>
      </c>
      <c r="AL9">
        <f>IF($B9="","",IFERROR(LOOKUP(2,1/((Events!$C$6:$C$17="401(k) change")*(Events!$B$6:$B$17&lt;=$B9)*(Events!$B$6:$B$17&lt;&gt;"")),Events!$D$6:$D$17),Inputs!$C$30))</f>
      </c>
      <c r="AM9" s="7">
        <f>IF($B9="","",IFERROR(LOOKUP(2,1/((Events!$C$6:$C$17="401(k) change")*(Events!$B$6:$B$17&lt;=$B9)*(Events!$B$6:$B$17&lt;&gt;"")),Events!$E$6:$E$17),Inputs!$D$30))</f>
      </c>
      <c r="AN9">
        <f>IF($B9="","",IFERROR(LOOKUP(2,1/((Events!$C$6:$C$17="State move")*(Events!$B$6:$B$17&lt;=$B9)*(Events!$B$6:$B$17&lt;&gt;"")),Events!$D$6:$D$17),Inputs!$C$21))</f>
      </c>
      <c r="AO9" s="7">
        <f>IF($B9="","",IFERROR(LOOKUP(2,1/((Events!$C$6:$C$17="W-4 change")*(Events!$B$6:$B$17&lt;=$B9)*(Events!$B$6:$B$17&lt;&gt;"")),Events!$D$6:$D$17),Inputs!$C$14))</f>
      </c>
      <c r="AP9" s="7">
        <f>IF($B9="","",IFERROR(LOOKUP(2,1/((Events!$C$6:$C$17="W-4 change")*(Events!$B$6:$B$17&lt;=$B9)*(Events!$B$6:$B$17&lt;&gt;"")),Events!$E$6:$E$17),Inputs!$C$15))</f>
      </c>
      <c r="AQ9" s="7">
        <f>IF($B9="","",IFERROR(LOOKUP(2,1/((Events!$C$6:$C$17="W-4 change")*(Events!$B$6:$B$17&lt;=$B9)*(Events!$B$6:$B$17&lt;&gt;"")),Events!$F$6:$F$17),Inputs!$C$16))</f>
      </c>
      <c r="AR9" s="7">
        <f>IF($B9="","",IFERROR(LOOKUP(2,1/((Events!$C$6:$C$17="W-4 change")*(Events!$B$6:$B$17&lt;=$B9)*(Events!$B$6:$B$17&lt;&gt;"")),Events!$G$6:$G$17),Inputs!$C$17))</f>
      </c>
      <c r="AS9" s="6">
        <f>IF($B9="","",IFERROR(LOOKUP(2,1/(((Events!$C$6:$C$17="State move")+(Events!$C$6:$C$17="State cert change"))*(Events!$B$6:$B$17&lt;=$B9)*(Events!$B$6:$B$17&lt;&gt;"")),Events!$F$6:$F$17),Inputs!$C$23))</f>
      </c>
      <c r="AT9" s="6">
        <f>IF($B9="","",IFERROR(LOOKUP(2,1/(((Events!$C$6:$C$17="State move")+(Events!$C$6:$C$17="State cert change"))*(Events!$B$6:$B$17&lt;=$B9)*(Events!$B$6:$B$17&lt;&gt;"")),Events!$G$6:$G$17),Inputs!$C$24))</f>
      </c>
      <c r="AU9">
        <f>IF($B9="","",IFERROR(LOOKUP(2,1/((Events!$C$6:$C$17="State move")*(Events!$B$6:$B$17&lt;=$B9)*(Events!$B$6:$B$17&lt;&gt;"")),Events!$E$6:$E$17),Inputs!$C$22))</f>
      </c>
      <c r="AV9" s="6">
        <f>IF($B9="","",1+COUNTIFS(Events!$C$6:$C$17,"Employer change",Events!$B$6:$B$17,"&lt;="&amp;$B9,Events!$B$6:$B$17,"&lt;&gt;"))</f>
      </c>
      <c r="AW9" s="7">
        <f>IF($B9="","",IF($AV9=1,Inputs!$C$49,IF(IFERROR(MATCH(IFERROR(LOOKUP(2,1/((Events!$C$6:$C$17="Employer change")*(Events!$B$6:$B$17&lt;=$B9)*(Events!$B$6:$B$17&lt;&gt;"")),Events!$B$6:$B$17),""),$B$6:$B$68,1),1)&lt;=1,Inputs!$C$49,INDEX($AB$6:$AB$68,MATCH(IFERROR(LOOKUP(2,1/((Events!$C$6:$C$17="Employer change")*(Events!$B$6:$B$17&lt;=$B9)*(Events!$B$6:$B$17&lt;&gt;"")),Events!$B$6:$B$17),""),$B$6:$B$68,1)-1))))</f>
      </c>
      <c r="AX9" s="7">
        <f>IF($B9="","",IF($AV9=1,Inputs!$C$49,IFERROR(LOOKUP(2,1/((Events!$C$6:$C$17="Employer change")*(Events!$B$6:$B$17&lt;=$B9)*(Events!$B$6:$B$17&lt;&gt;"")),Events!$D$6:$D$17),0)))</f>
      </c>
      <c r="AY9" s="7">
        <f>IF($B9="","",($O9-$D9)*Inputs!$C$8)</f>
      </c>
      <c r="AZ9" s="7">
        <f>IF($B9="","",IF($AN9="AL",MAX(0,$AY9-IF($AU9="Married",IF($AY9&lt;=25999,8500,MAX(5000,8500-175*CEILING(($AY9-25999)/500,1))),IF($AU9="Head of household",IF($AY9&lt;=25999,5200,MAX(2500,5200-135*CEILING(($AY9-25999)/500,1))),IF($AY9&lt;=25999,3000,MAX(2500,3000-25*CEILING(($AY9-25999)/500,1)))))-($P9-'Methodology &amp; Sources'!$C$260*$D9)*Inputs!$C$8-IF(OR($AU9="Married",$AU9="Head of household"),3000,1500)-$AT9*IF($AY9&lt;=50000,1000,IF($AY9&lt;=100000,500,300))),IF($AN9="AR",IF(MAX(0,$AY9-2470)&lt;97701,INT(MAX(0,$AY9-2470)/100)*100+50,MAX(0,$AY9-2470)),IF($AN9="DE",MAX(0,$AI9-3250),IF($AN9="HI",MAX(0,$AI9-1144*$AS9-4350),IF($AN9="KS",MAX(0,$AI9-(9160*IF($AU9="Married",2,1)+2320*$AT9+IF($AU9="Head of household",2320,0))),IF($AN9="MD",MAX(0,$AI9-3400-3200*$AS9),IF($AN9="MN",MAX(0,$AY9-5300*$AS9),IF($AN9="MO",MAX(0,$AI9-IF($AU9="Head of household",24150,IF($AU9="Married",IF(Inputs!$C$83,16100,32200),16100))),IF($AN9="MT",$AY9,IF($AN9="ND",($C9+$L9)*Inputs!$C$8,IF($AN9="NE",MAX(0,$AY9-2440*$AS9),IF($AN9="NJ",MAX(0,$AY9-1000*$AS9),IF($AN9="NY",MAX(0,$AY9-(IF($AU9="Married",7950,7400)+1000*$AS9)),IF($AN9="OH",MAX(0,$AY9-650*$AS9),IF($AN9="OK",MAX(0,$AY9-1000*$AS9),IF($AN9="RI",MAX(0,$AI9-1000*$AS9),IF($AN9="SC",MAX(0,$AI9-5000*$AS9-IF($AS9=0,0,MIN(0.1*$AI9,7500))),IF($AN9="VA",MAX(0,$AI9-IF($AU9="Married",17500,8750)-930*$AS9-800*$AT9),IF($AN9="VT",MAX(0,$AI9-5400*$AS9),IF($AN9="WI",MAX(0,$AI9-MAX(0,IF($AU9="Married",9461-0.2*MAX(0,$AI9-25727),6702-0.12*MAX(0,$AI9-17780)))-400*$AS9),IF($AN9="WV",MAX(0,$AI9-2000*$AS9),$AI9))))))))))))))))))))))</f>
      </c>
      <c r="BA9" s="7">
        <f>IF($B9="","",IF($BW9&lt;&gt;"",$BW9,IF($BX9&lt;&gt;"",$BX9,IF($BY9&lt;&gt;"",$BY9,0))))</f>
      </c>
      <c r="BB9" s="7">
        <f>IF($B9="","",IF($AN9="AR",-29*$AS9,IF($AN9="DE",-110*$AS9,IF($AN9="MD",$AZ9*Inputs!$C$74,IF($AN9="AZ",Inputs!$C$82*($M9-$D9)*Inputs!$C$8,IF($AN9="CO",0.044*MAX(0,$AY9-IF($AU9="Married",10000,5000)),IF($AN9="IA",MAX(0,0.038*MAX(0,$AY9-IF($AU9="Head of household",19500,IF($AU9="Married",26000,13000)))-40*$AS9),IF($AN9="ID",0.053*MAX(0,$AY9-IF($AU9="Married",32000,16094)),IF($AN9="IL",0.0495*MAX(0,$AY9-(2925*$AS9+1000*$AT9)),IF($AN9="IN",(0.0295+Inputs!$C$76)*MAX(0,$AY9-(1000*$AS9+1500*$AT9+3000*Inputs!$C$86)),IF($AN9="KY",0.035*MAX(0,$AI9-3360),IF($AN9="LA",IF(Inputs!$C$84="0",0.0309*$AI9,0.0309*MAX(0,$AI9-IF(Inputs!$C$84="2",25750,12875))),IF($AN9="MA",0.05*MIN(MAX(0,$AY9-MIN(($BD8+$Q9+$R9+$S9),2000)-IF($AS9=0,0,IF($AS9=1,4400,1000*$AS9+3400))),1107750)+0.09*MAX(0,MAX(0,$AY9-MIN(($BD8+$Q9+$R9+$S9),2000)-IF($AS9=0,0,IF($AS9=1,4400,1000*$AS9+3400)))-1107750)-IF($AU9="Head of household",120,0)-110*Inputs!$C$75,IF($AN9="MI",0.0425*MAX(0,$AY9-5900*$AS9),IF($AN9="MS",0.04*MAX(0,$AI9-IF($AU9="Head of household",3400,IF($AU9="Married",4600,2300))-Inputs!$C$85-10000),IF($AN9="OR",IF(OR($AU9="Married",AND($AU9="Single",$AS9&gt;=3)),SUMPRODUCT((MAX(0,$AY9-MIN(($P9-'Methodology &amp; Sources'!$C$260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Sources'!$B$461:$J$464,0,4))*(MAX(0,$AY9-MIN(($P9-'Methodology &amp; Sources'!$C$260*$D9)*Inputs!$C$8,IF(OR($AU9="Married",AND($AU9="Single",$AS9&gt;=3)),IF($AY9&lt;250000,8750,IF($AY9&lt;260000,7000,IF($AY9&lt;270000,5250,IF($AY9&lt;280000,3500,IF($AY9&lt;290000,1750,0))))),IF($AY9&lt;125000,8750,IF($AY9&lt;130000,7000,IF($AY9&lt;135000,5250,IF($AY9&lt;140000,3500,IF($AY9&lt;145000,1750,0)))))))-IF(OR($AU9="Married",AND($AU9="Single",$AS9&gt;=3)),5820,2910))-INDEX('Methodology &amp; Sources'!$B$461:$J$464,0,4))*INDEX('Methodology &amp; Sources'!$B$461:$J$464,0,4+2)),SUMPRODUCT((MAX(0,$AY9-MIN(($P9-'Methodology &amp; Sources'!$C$260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Sources'!$B$461:$J$464,0,1))*(MAX(0,$AY9-MIN(($P9-'Methodology &amp; Sources'!$C$260*$D9)*Inputs!$C$8,IF(OR($AU9="Married",AND($AU9="Single",$AS9&gt;=3)),IF($AY9&lt;250000,8750,IF($AY9&lt;260000,7000,IF($AY9&lt;270000,5250,IF($AY9&lt;280000,3500,IF($AY9&lt;290000,1750,0))))),IF($AY9&lt;125000,8750,IF($AY9&lt;130000,7000,IF($AY9&lt;135000,5250,IF($AY9&lt;140000,3500,IF($AY9&lt;145000,1750,0)))))))-IF(OR($AU9="Married",AND($AU9="Single",$AS9&gt;=3)),5820,2910))-INDEX('Methodology &amp; Sources'!$B$461:$J$464,0,1))*INDEX('Methodology &amp; Sources'!$B$461:$J$464,0,1+2)))+263-263*IF(IF($AU9="Married",$AY9&gt;200000,$AY9&gt;100000),0,$AS9),IF($AN9="PA",0.0307*(($O9+$E9+$G9)*Inputs!$C$8),IF($AN9="NY",IF($AU9="Married",IF($AZ9&gt;=2155350,0,IF($AZ9&gt;=1077550,0.48,IF($AZ9&gt;=373200,1.21,IF($AZ9&gt;=323200,0.21,IF($AZ9&gt;=211550,-0.19,IF($AZ9&gt;=157650,-2.8,IF($AZ9&gt;=107650,-0.8,IF($AZ9&gt;=96800,0.05,IF($AZ9&gt;=80650,-0.1,IF($AZ9&gt;=13900,0.4,IF($AZ9&gt;=11700,-0.3,IF($AZ9&gt;=8500,0.5,0)))))))))))),IF($AZ9&gt;=1077550,0,IF($AZ9&gt;=265400,4.29,IF($AZ9&gt;=215400,2.29,IF($AZ9&gt;=157650,2.29,IF($AZ9&gt;=107650,0.29,IF($AZ9&gt;=96800,0.05,IF($AZ9&gt;=80650,-0.1,IF($AZ9&gt;=13900,0.4,IF($AZ9&gt;=11700,-0.3,IF($AZ9&gt;=8500,0.5,0))))))))))),0))))))))))))))))))</f>
      </c>
      <c r="BC9" s="7">
        <f>IF($B9="","",IF($AN9="AL",0.05*$D9,IF($AN9="AR",0.039*$D9,IF($AN9="ID",0.053*$D9,IF($AN9="IN",(0.0295+Inputs!$C$76)*$D9,IF($AN9="KS",0.05*$D9,IF($AN9="MA",0.09*MIN($D9,MAX(0,MAX(0,$AY9-MIN(($BD8+$Q9+$R9+$S9),2000)-IF($AS9=0,0,IF($AS9=1,4400,1000*$AS9+3400)))+$D9-1107750))+0.05*($D9-MIN($D9,MAX(0,MAX(0,$AY9-MIN(($BD8+$Q9+$R9+$S9),2000)-IF($AS9=0,0,IF($AS9=1,4400,1000*$AS9+3400)))+$D9-1107750))),IF($AN9="MD",(0.065+Inputs!$C$74)*$D9,IF($AN9="MI",0.0425*$D9,IF($AN9="MN",0.0625*$D9,IF($AN9="MO",0.047*$D9,IF($AN9="MT",0.05*$D9,IF($AN9="ND",0.015*$D9,IF($AN9="NE",0.035*$D9,IF($AN9="NJ",IF(Inputs!$C$77="B",SUMPRODUCT(($D9*Inputs!$C$8&gt;INDEX('Methodology &amp; Sources'!$B$405:$J$412,0,4))*($D9*Inputs!$C$8-INDEX('Methodology &amp; Sources'!$B$405:$J$412,0,4))*INDEX('Methodology &amp; Sources'!$B$405:$J$412,0,4+2)),IF(Inputs!$C$77="C",SUMPRODUCT(($D9*Inputs!$C$8&gt;INDEX('Methodology &amp; Sources'!$B$405:$J$412,0,7))*($D9*Inputs!$C$8-INDEX('Methodology &amp; Sources'!$B$405:$J$412,0,7))*INDEX('Methodology &amp; Sources'!$B$405:$J$412,0,7+2)),IF(Inputs!$C$77="D",SUMPRODUCT(($D9*Inputs!$C$8&gt;INDEX('Methodology &amp; Sources'!$B$417:$J$429,0,1))*($D9*Inputs!$C$8-INDEX('Methodology &amp; Sources'!$B$417:$J$429,0,1))*INDEX('Methodology &amp; Sources'!$B$417:$J$429,0,1+2)),IF(Inputs!$C$77="E",SUMPRODUCT(($D9*Inputs!$C$8&gt;INDEX('Methodology &amp; Sources'!$B$417:$J$429,0,4))*($D9*Inputs!$C$8-INDEX('Methodology &amp; Sources'!$B$417:$J$429,0,4))*INDEX('Methodology &amp; Sources'!$B$417:$J$429,0,4+2)),SUMPRODUCT(($D9*Inputs!$C$8&gt;INDEX('Methodology &amp; Sources'!$B$405:$J$412,0,1))*($D9*Inputs!$C$8-INDEX('Methodology &amp; Sources'!$B$405:$J$412,0,1))*INDEX('Methodology &amp; Sources'!$B$405:$J$412,0,1+2))))))/Inputs!$C$8,IF($AN9="NY",0.117*$D9,IF($AN9="OH",0.0275*$D9,IF($AN9="OK",0.045*$D9,IF($AN9="OR",0.08*$D9,IF($AN9="WI",IF($AY9&lt;12760,0.0354,IF($AY9&lt;25520,0.0465,IF($AY9&lt;280950,0.053,0.0765)))*$D9,0))))))))))))))))))))</f>
      </c>
      <c r="BD9" s="7">
        <f>IF($B9="","",$BD8+$Q9+$R9+$S9)</f>
      </c>
      <c r="BE9" s="6">
        <f>IF($B9="",$BE8,$BE8+$BF9)</f>
      </c>
      <c r="BF9" s="6">
        <f>IF($B9="","",IF(AND(IF(YEAR(IF(Inputs!$C$7="Weekly",Inputs!$C$9+7*(($BE8+1)-1),IF(Inputs!$C$7="Biweekly",Inputs!$C$9+14*(($BE8+1)-1),IF(Inputs!$C$7="Semimonthly",DATE(YEAR(Inputs!$C$9),MONTH(Inputs!$C$9)+INT((($BE8+1)-1)/2),MIN(DAY(Inputs!$C$9),DAY(EOMONTH(DATE(YEAR(Inputs!$C$9),MONTH(Inputs!$C$9)+INT((($BE8+1)-1)/2),1),0))))+IF(MOD(($BE8+1)-1,2)=1,15,0),EDATE(Inputs!$C$9,($BE8+1)-1)))))&lt;&gt;2026,"",IF(Inputs!$C$7="Weekly",Inputs!$C$9+7*(($BE8+1)-1),IF(Inputs!$C$7="Biweekly",Inputs!$C$9+14*(($BE8+1)-1),IF(Inputs!$C$7="Semimonthly",DATE(YEAR(Inputs!$C$9),MONTH(Inputs!$C$9)+INT((($BE8+1)-1)/2),MIN(DAY(Inputs!$C$9),DAY(EOMONTH(DATE(YEAR(Inputs!$C$9),MONTH(Inputs!$C$9)+INT((($BE8+1)-1)/2),1),0))))+IF(MOD(($BE8+1)-1,2)=1,15,0),EDATE(Inputs!$C$9,($BE8+1)-1)))))&lt;&gt;"",$B9=IF(YEAR(IF(Inputs!$C$7="Weekly",Inputs!$C$9+7*(($BE8+1)-1),IF(Inputs!$C$7="Biweekly",Inputs!$C$9+14*(($BE8+1)-1),IF(Inputs!$C$7="Semimonthly",DATE(YEAR(Inputs!$C$9),MONTH(Inputs!$C$9)+INT((($BE8+1)-1)/2),MIN(DAY(Inputs!$C$9),DAY(EOMONTH(DATE(YEAR(Inputs!$C$9),MONTH(Inputs!$C$9)+INT((($BE8+1)-1)/2),1),0))))+IF(MOD(($BE8+1)-1,2)=1,15,0),EDATE(Inputs!$C$9,($BE8+1)-1)))))&lt;&gt;2026,"",IF(Inputs!$C$7="Weekly",Inputs!$C$9+7*(($BE8+1)-1),IF(Inputs!$C$7="Biweekly",Inputs!$C$9+14*(($BE8+1)-1),IF(Inputs!$C$7="Semimonthly",DATE(YEAR(Inputs!$C$9),MONTH(Inputs!$C$9)+INT((($BE8+1)-1)/2),MIN(DAY(Inputs!$C$9),DAY(EOMONTH(DATE(YEAR(Inputs!$C$9),MONTH(Inputs!$C$9)+INT((($BE8+1)-1)/2),1),0))))+IF(MOD(($BE8+1)-1,2)=1,15,0),EDATE(Inputs!$C$9,($BE8+1)-1)))))),1,0))</f>
      </c>
      <c r="BG9" s="7">
        <f>IF($B9="","",$BG8+$H9)</f>
      </c>
      <c r="BH9" s="7">
        <f>IF($B9="","",$BH8+$I9)</f>
      </c>
      <c r="BI9" s="7">
        <f>IF($B9="","",$BI8+$G9)</f>
      </c>
      <c r="BJ9" s="7">
        <f>IF($B9="","",IFERROR(LOOKUP(2,1/((((Events!$C$6:$C$17="Deduction start"))*(Events!$D$6:$D$17="Health FSA"))*(Events!$B$6:$B$17&lt;=$B9)*(Events!$B$6:$B$17&lt;&gt;"")),Events!$E$6:$E$17),Inputs!$D$38))</f>
      </c>
      <c r="BK9" s="7">
        <f>IF($B9="","",IFERROR(LOOKUP(2,1/((((Events!$C$6:$C$17="Deduction start"))*(Events!$D$6:$D$17="Dependent-care FSA"))*(Events!$B$6:$B$17&lt;=$B9)*(Events!$B$6:$B$17&lt;&gt;"")),Events!$E$6:$E$17),Inputs!$D$39))</f>
      </c>
      <c r="BL9" s="7">
        <f>IF($B9="","",IFERROR(LOOKUP(2,1/((((Events!$C$6:$C$17="Deduction start")+(Events!$C$6:$C$17="Deduction stop"))*(Events!$D$6:$D$17="HSA"))*(Events!$B$6:$B$17&lt;=$B9)*(Events!$B$6:$B$17&lt;&gt;"")),Events!$I$6:$I$17),Inputs!$D$35))</f>
      </c>
      <c r="BM9" s="7">
        <f>IF($B9="","",IFERROR(LOOKUP(2,1/((((Events!$C$6:$C$17="Deduction start")+(Events!$C$6:$C$17="Deduction stop"))*(Events!$D$6:$D$17="Premiums"))*(Events!$B$6:$B$17&lt;=$B9)*(Events!$B$6:$B$17&lt;&gt;"")),Events!$I$6:$I$17),Inputs!$D$40+Inputs!$D$41+Inputs!$D$42))</f>
      </c>
      <c r="BN9" s="7">
        <f>IF($B9="","",IFERROR(LOOKUP(2,1/((((Events!$C$6:$C$17="Deduction start")+(Events!$C$6:$C$17="Deduction stop"))*(Events!$D$6:$D$17="Commuter"))*(Events!$B$6:$B$17&lt;=$B9)*(Events!$B$6:$B$17&lt;&gt;"")),Events!$I$6:$I$17),Inputs!$D$43))</f>
      </c>
      <c r="BO9" s="7">
        <f>IF($B9="","",IFERROR(LOOKUP(2,1/((((Events!$C$6:$C$17="Deduction start")+(Events!$C$6:$C$17="Deduction stop"))*(Events!$D$6:$D$17="Other pre-tax"))*(Events!$B$6:$B$17&lt;=$B9)*(Events!$B$6:$B$17&lt;&gt;"")),Events!$I$6:$I$17),Inputs!$D$44))</f>
      </c>
      <c r="BP9" s="7">
        <f>IF($B9="","",IFERROR(LOOKUP(2,1/((((Events!$C$6:$C$17="Deduction start")+(Events!$C$6:$C$17="Deduction stop"))*(Events!$D$6:$D$17="Other post-tax"))*(Events!$B$6:$B$17&lt;=$B9)*(Events!$B$6:$B$17&lt;&gt;"")),Events!$I$6:$I$17),Inputs!$D$45))</f>
      </c>
      <c r="BQ9" s="6">
        <f>IF($B9="","",IFERROR(LOOKUP(2,1/((((Events!$C$6:$C$17="Deduction start")+(Events!$C$6:$C$17="Deduction stop"))*(Events!$D$6:$D$17="Health FSA"))*(Events!$B$6:$B$17&lt;=$B9)*(Events!$B$6:$B$17&lt;&gt;"")),Events!$J$6:$J$17),0))</f>
      </c>
      <c r="BR9" s="6">
        <f>IF($B9="","",IFERROR(LOOKUP(2,1/((((Events!$C$6:$C$17="Deduction start")+(Events!$C$6:$C$17="Deduction stop"))*(Events!$D$6:$D$17="Dependent-care FSA"))*(Events!$B$6:$B$17&lt;=$B9)*(Events!$B$6:$B$17&lt;&gt;"")),Events!$J$6:$J$17),0))</f>
      </c>
      <c r="BS9" s="6">
        <f>IF($B9="","",IF(SUMPRODUCT((Events!$C$6:$C$17="Deduction start")*(Events!$B$6:$B$17&lt;=$B9)*(Events!$B$6:$B$17&lt;&gt;"")*(Events!$D$6:$D$17="Health FSA"))&gt;0,1,0))</f>
      </c>
      <c r="BT9" s="6">
        <f>IF($B9="","",IF(SUMPRODUCT((Events!$C$6:$C$17="Deduction start")*(Events!$B$6:$B$17&lt;=$B9)*(Events!$B$6:$B$17&lt;&gt;"")*(Events!$D$6:$D$17="Dependent-care FSA"))&gt;0,1,0))</f>
      </c>
      <c r="BU9" s="24">
        <f>IF($B9="","",IF(Inputs!$C$13,SUMPRODUCT(($AH9&gt;=INDEX('Methodology &amp; Sources'!$B$279:$J$286,0,IF(Inputs!$C$12="MFJ",1,IF(Inputs!$C$12="HoH",7,4))))*INDEX('Methodology &amp; Sources'!$B$279:$J$286,0,IF(Inputs!$C$12="MFJ",1,IF(Inputs!$C$12="HoH",7,4))+2)),SUMPRODUCT(($AH9&gt;=INDEX('Methodology &amp; Sources'!$B$269:$J$276,0,IF(Inputs!$C$12="MFJ",1,IF(Inputs!$C$12="HoH",7,4))))*INDEX('Methodology &amp; Sources'!$B$269:$J$276,0,IF(Inputs!$C$12="MFJ",1,IF(Inputs!$C$12="HoH",7,4))+2))))</f>
      </c>
      <c r="BV9" s="24">
        <f>IF($B9="","",IF($BZ9&lt;&gt;"",$BZ9,IF($CA9&lt;&gt;"",$CA9,IF($CB9&lt;&gt;"",$CB9,IF($CC9&lt;&gt;"",$CC9,0)))))</f>
      </c>
      <c r="BW9" s="7">
        <f>IF($B9="","",IF($AN9="MD",IF(OR($AU9="Married",$AU9="Head of household"),SUMPRODUCT(($AZ9&gt;INDEX('Methodology &amp; Sources'!$B$364:$J$370,0,1))*($AZ9-INDEX('Methodology &amp; Sources'!$B$364:$J$370,0,1))*INDEX('Methodology &amp; Sources'!$B$364:$J$370,0,1+2)),SUMPRODUCT(($AZ9&gt;INDEX('Methodology &amp; Sources'!$B$353:$J$359,0,7))*($AZ9-INDEX('Methodology &amp; Sources'!$B$353:$J$359,0,7))*INDEX('Methodology &amp; Sources'!$B$353:$J$359,0,7+2))),IF($AN9="MO",SUMPRODUCT(($AZ9&gt;INDEX('Methodology &amp; Sources'!$B$375:$J$382,0,1))*($AZ9-INDEX('Methodology &amp; Sources'!$B$375:$J$382,0,1))*INDEX('Methodology &amp; Sources'!$B$375:$J$382,0,1+2)),IF($AN9="MT",IF($AU9="Head of household",SUMPRODUCT(($AZ9&gt;INDEX('Methodology &amp; Sources'!$B$387:$J$389,0,1))*($AZ9-INDEX('Methodology &amp; Sources'!$B$387:$J$389,0,1))*INDEX('Methodology &amp; Sources'!$B$387:$J$389,0,1+2)),IF($AU9="Married",SUMPRODUCT(($AZ9&gt;INDEX('Methodology &amp; Sources'!$B$375:$J$382,0,7))*($AZ9-INDEX('Methodology &amp; Sources'!$B$375:$J$382,0,7))*INDEX('Methodology &amp; Sources'!$B$375:$J$382,0,7+2)),SUMPRODUCT(($AZ9&gt;INDEX('Methodology &amp; Sources'!$B$375:$J$382,0,4))*($AZ9-INDEX('Methodology &amp; Sources'!$B$375:$J$382,0,4))*INDEX('Methodology &amp; Sources'!$B$375:$J$382,0,4+2)))),IF($AN9="ND",IF($AU9="Head of household",SUMPRODUCT(($AZ9&gt;INDEX('Methodology &amp; Sources'!$B$394:$J$400,0,1))*($AZ9-INDEX('Methodology &amp; Sources'!$B$394:$J$400,0,1))*INDEX('Methodology &amp; Sources'!$B$394:$J$400,0,1+2)),IF($AU9="Married",SUMPRODUCT(($AZ9&gt;INDEX('Methodology &amp; Sources'!$B$387:$J$389,0,7))*($AZ9-INDEX('Methodology &amp; Sources'!$B$387:$J$389,0,7))*INDEX('Methodology &amp; Sources'!$B$387:$J$389,0,7+2)),SUMPRODUCT(($AZ9&gt;INDEX('Methodology &amp; Sources'!$B$387:$J$389,0,4))*($AZ9-INDEX('Methodology &amp; Sources'!$B$387:$J$389,0,4))*INDEX('Methodology &amp; Sources'!$B$387:$J$389,0,4+2)))),IF($AN9="NJ",IF(Inputs!$C$77="B",SUMPRODUCT(($AZ9&gt;INDEX('Methodology &amp; Sources'!$B$405:$J$412,0,4))*($AZ9-INDEX('Methodology &amp; Sources'!$B$405:$J$412,0,4))*INDEX('Methodology &amp; Sources'!$B$405:$J$412,0,4+2)),IF(Inputs!$C$77="C",SUMPRODUCT(($AZ9&gt;INDEX('Methodology &amp; Sources'!$B$405:$J$412,0,7))*($AZ9-INDEX('Methodology &amp; Sources'!$B$405:$J$412,0,7))*INDEX('Methodology &amp; Sources'!$B$405:$J$412,0,7+2)),IF(Inputs!$C$77="D",SUMPRODUCT(($AZ9&gt;INDEX('Methodology &amp; Sources'!$B$417:$J$429,0,1))*($AZ9-INDEX('Methodology &amp; Sources'!$B$417:$J$429,0,1))*INDEX('Methodology &amp; Sources'!$B$417:$J$429,0,1+2)),IF(Inputs!$C$77="E",SUMPRODUCT(($AZ9&gt;INDEX('Methodology &amp; Sources'!$B$417:$J$429,0,4))*($AZ9-INDEX('Methodology &amp; Sources'!$B$417:$J$429,0,4))*INDEX('Methodology &amp; Sources'!$B$417:$J$429,0,4+2)),SUMPRODUCT(($AZ9&gt;INDEX('Methodology &amp; Sources'!$B$405:$J$412,0,1))*($AZ9-INDEX('Methodology &amp; Sources'!$B$405:$J$412,0,1))*INDEX('Methodology &amp; Sources'!$B$405:$J$412,0,1+2)))))),IF($AN9="NY",IF($AU9="Married",IF($AZ9&gt;=2155350,$AZ9*IF($AZ9&gt;25000000,0.117,IF($AZ9&gt;5000000,0.111,0.1045)),SUMPRODUCT(($AZ9&gt;INDEX('Methodology &amp; Sources'!$B$434:$J$448,0,1))*($AZ9-INDEX('Methodology &amp; Sources'!$B$434:$J$448,0,1))*INDEX('Methodology &amp; Sources'!$B$434:$J$448,0,1+2))),IF($AZ9&gt;=1077550,$AZ9*IF($AZ9&gt;25000000,0.117,IF($AZ9&gt;5000000,0.111,0.1045)),SUMPRODUCT(($AZ9&gt;INDEX('Methodology &amp; Sources'!$B$417:$J$429,0,7))*($AZ9-INDEX('Methodology &amp; Sources'!$B$417:$J$429,0,7))*INDEX('Methodology &amp; Sources'!$B$417:$J$429,0,7+2)))),"")))))))</f>
      </c>
      <c r="BX9" s="7">
        <f>IF($B9="","",IF($AN9="AL",IF(OR($AU9="Married",$AU9="Head of household"),SUMPRODUCT(($AZ9&gt;INDEX('Methodology &amp; Sources'!$B$332:$J$336,0,4))*($AZ9-INDEX('Methodology &amp; Sources'!$B$332:$J$336,0,4))*INDEX('Methodology &amp; Sources'!$B$332:$J$336,0,4+2)),SUMPRODUCT(($AZ9&gt;INDEX('Methodology &amp; Sources'!$B$332:$J$336,0,1))*($AZ9-INDEX('Methodology &amp; Sources'!$B$332:$J$336,0,1))*INDEX('Methodology &amp; Sources'!$B$332:$J$336,0,1+2))),IF($AN9="KS",IF($AU9="Married",SUMPRODUCT(($AZ9&gt;INDEX('Methodology &amp; Sources'!$B$353:$J$359,0,4))*($AZ9-INDEX('Methodology &amp; Sources'!$B$353:$J$359,0,4))*INDEX('Methodology &amp; Sources'!$B$353:$J$359,0,4+2)),SUMPRODUCT(($AZ9&gt;INDEX('Methodology &amp; Sources'!$B$353:$J$359,0,1))*($AZ9-INDEX('Methodology &amp; Sources'!$B$353:$J$359,0,1))*INDEX('Methodology &amp; Sources'!$B$353:$J$359,0,1+2))),IF($AN9="MN",IF($AU9="Married",SUMPRODUCT(($AZ9&gt;INDEX('Methodology &amp; Sources'!$B$364:$J$370,0,7))*($AZ9-INDEX('Methodology &amp; Sources'!$B$364:$J$370,0,7))*INDEX('Methodology &amp; Sources'!$B$364:$J$370,0,7+2)),SUMPRODUCT(($AZ9&gt;INDEX('Methodology &amp; Sources'!$B$364:$J$370,0,4))*($AZ9-INDEX('Methodology &amp; Sources'!$B$364:$J$370,0,4))*INDEX('Methodology &amp; Sources'!$B$364:$J$370,0,4+2))),IF($AN9="NE",MAX(IF($AU9="Married",SUMPRODUCT(($AZ9&gt;INDEX('Methodology &amp; Sources'!$B$394:$J$400,0,7))*($AZ9-INDEX('Methodology &amp; Sources'!$B$394:$J$400,0,7))*INDEX('Methodology &amp; Sources'!$B$394:$J$400,0,7+2)),SUMPRODUCT(($AZ9&gt;INDEX('Methodology &amp; Sources'!$B$394:$J$400,0,4))*($AZ9-INDEX('Methodology &amp; Sources'!$B$394:$J$400,0,4))*INDEX('Methodology &amp; Sources'!$B$394:$J$400,0,4+2))),0.015*$AZ9),IF($AN9="OH",IF($B9&gt;=DATE(2026,8,1),SUMPRODUCT(($AZ9&gt;INDEX('Methodology &amp; Sources'!$B$453:$J$456,0,1))*($AZ9-INDEX('Methodology &amp; Sources'!$B$453:$J$456,0,1))*INDEX('Methodology &amp; Sources'!$B$453:$J$456,0,1+2)),SUMPRODUCT(($AZ9&gt;INDEX('Methodology &amp; Sources'!$B$434:$J$448,0,7))*($AZ9-INDEX('Methodology &amp; Sources'!$B$434:$J$448,0,7))*INDEX('Methodology &amp; Sources'!$B$434:$J$448,0,7+2))),IF($AN9="OK",IF($AU9="Married",SUMPRODUCT(($AZ9&gt;INDEX('Methodology &amp; Sources'!$B$453:$J$456,0,7))*($AZ9-INDEX('Methodology &amp; Sources'!$B$453:$J$456,0,7))*INDEX('Methodology &amp; Sources'!$B$453:$J$456,0,7+2)),SUMPRODUCT(($AZ9&gt;INDEX('Methodology &amp; Sources'!$B$453:$J$456,0,4))*($AZ9-INDEX('Methodology &amp; Sources'!$B$453:$J$456,0,4))*INDEX('Methodology &amp; Sources'!$B$453:$J$456,0,4+2))),IF($AN9="RI",SUMPRODUCT(($AZ9&gt;INDEX('Methodology &amp; Sources'!$B$461:$J$464,0,7))*($AZ9-INDEX('Methodology &amp; Sources'!$B$461:$J$464,0,7))*INDEX('Methodology &amp; Sources'!$B$461:$J$464,0,7+2)),IF($AN9="VT",IF($AU9="Married",SUMPRODUCT(($AZ9&gt;INDEX('Methodology &amp; Sources'!$B$478:$J$482,0,1))*($AZ9-INDEX('Methodology &amp; Sources'!$B$478:$J$482,0,1))*INDEX('Methodology &amp; Sources'!$B$478:$J$482,0,1+2)),SUMPRODUCT(($AZ9&gt;INDEX('Methodology &amp; Sources'!$B$469:$J$473,0,7))*($AZ9-INDEX('Methodology &amp; Sources'!$B$469:$J$473,0,7))*INDEX('Methodology &amp; Sources'!$B$469:$J$473,0,7+2))),IF($AN9="WV",IF($AU9="Married",SUMPRODUCT(($AZ9&gt;INDEX('Methodology &amp; Sources'!$B$487:$J$491,0,7))*($AZ9-INDEX('Methodology &amp; Sources'!$B$487:$J$491,0,7))*INDEX('Methodology &amp; Sources'!$B$487:$J$491,0,7+2)),SUMPRODUCT(($AZ9&gt;INDEX('Methodology &amp; Sources'!$B$478:$J$482,0,7))*($AZ9-INDEX('Methodology &amp; Sources'!$B$478:$J$482,0,7))*INDEX('Methodology &amp; Sources'!$B$478:$J$482,0,7+2))),""))))))))))</f>
      </c>
      <c r="BY9" s="7">
        <f>IF($B9="","",IF($AN9="AR",SUMPRODUCT(($AZ9&gt;INDEX('Methodology &amp; Sources'!$B$332:$J$336,0,7))*($AZ9-INDEX('Methodology &amp; Sources'!$B$332:$J$336,0,7))*INDEX('Methodology &amp; Sources'!$B$332:$J$336,0,7+2)),IF($AN9="DE",SUMPRODUCT(($AZ9&gt;INDEX('Methodology &amp; Sources'!$B$341:$J$348,0,1))*($AZ9-INDEX('Methodology &amp; Sources'!$B$341:$J$348,0,1))*INDEX('Methodology &amp; Sources'!$B$341:$J$348,0,1+2)),IF($AN9="HI",IF($AU9="Married",SUMPRODUCT(($AZ9&gt;INDEX('Methodology &amp; Sources'!$B$341:$J$348,0,7))*($AZ9-INDEX('Methodology &amp; Sources'!$B$341:$J$348,0,7))*INDEX('Methodology &amp; Sources'!$B$341:$J$348,0,7+2)),SUMPRODUCT(($AZ9&gt;INDEX('Methodology &amp; Sources'!$B$341:$J$348,0,4))*($AZ9-INDEX('Methodology &amp; Sources'!$B$341:$J$348,0,4))*INDEX('Methodology &amp; Sources'!$B$341:$J$348,0,4+2))),IF($AN9="SC",SUMPRODUCT(($AZ9&gt;INDEX('Methodology &amp; Sources'!$B$469:$J$473,0,1))*($AZ9-INDEX('Methodology &amp; Sources'!$B$469:$J$473,0,1))*INDEX('Methodology &amp; Sources'!$B$469:$J$473,0,1+2)),IF($AN9="VA",SUMPRODUCT(($AZ9&gt;INDEX('Methodology &amp; Sources'!$B$469:$J$473,0,4))*($AZ9-INDEX('Methodology &amp; Sources'!$B$469:$J$473,0,4))*INDEX('Methodology &amp; Sources'!$B$469:$J$473,0,4+2)),IF($AN9="WI",SUMPRODUCT(($AZ9&gt;INDEX('Methodology &amp; Sources'!$B$478:$J$482,0,4))*($AZ9-INDEX('Methodology &amp; Sources'!$B$478:$J$482,0,4))*INDEX('Methodology &amp; Sources'!$B$478:$J$482,0,4+2)),"")))))))</f>
      </c>
      <c r="BZ9" s="24">
        <f>IF($B9="","",IF($AN9="NJ",IF(Inputs!$C$77="B",SUMPRODUCT(($AZ9&gt;=INDEX('Methodology &amp; Sources'!$B$405:$J$412,0,4))*INDEX('Methodology &amp; Sources'!$B$405:$J$412,0,4+2)),IF(Inputs!$C$77="C",SUMPRODUCT(($AZ9&gt;=INDEX('Methodology &amp; Sources'!$B$405:$J$412,0,7))*INDEX('Methodology &amp; Sources'!$B$405:$J$412,0,7+2)),IF(Inputs!$C$77="D",SUMPRODUCT(($AZ9&gt;=INDEX('Methodology &amp; Sources'!$B$417:$J$429,0,1))*INDEX('Methodology &amp; Sources'!$B$417:$J$429,0,1+2)),IF(Inputs!$C$77="E",SUMPRODUCT(($AZ9&gt;=INDEX('Methodology &amp; Sources'!$B$417:$J$429,0,4))*INDEX('Methodology &amp; Sources'!$B$417:$J$429,0,4+2)),SUMPRODUCT(($AZ9&gt;=INDEX('Methodology &amp; Sources'!$B$405:$J$412,0,1))*INDEX('Methodology &amp; Sources'!$B$405:$J$412,0,1+2)))))),IF($AN9="OR",IF(OR($AU9="Married",AND($AU9="Single",$AS9&gt;=3)),SUMPRODUCT((MAX(0,$AY9-MIN(($P9-'Methodology &amp; Sources'!$C$260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Sources'!$B$461:$J$464,0,4))*INDEX('Methodology &amp; Sources'!$B$461:$J$464,0,4+2)),SUMPRODUCT((MAX(0,$AY9-MIN(($P9-'Methodology &amp; Sources'!$C$260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Sources'!$B$461:$J$464,0,1))*INDEX('Methodology &amp; Sources'!$B$461:$J$464,0,1+2)))*IF(($P9-'Methodology &amp; Sources'!$C$260*$D9)*Inputs!$C$8&gt;=IF(OR($AU9="Married",AND($AU9="Single",$AS9&gt;=3)),IF($AY9&lt;250000,8750,IF($AY9&lt;260000,7000,IF($AY9&lt;270000,5250,IF($AY9&lt;280000,3500,IF($AY9&lt;290000,1750,0))))),IF($AY9&lt;125000,8750,IF($AY9&lt;130000,7000,IF($AY9&lt;135000,5250,IF($AY9&lt;140000,3500,IF($AY9&lt;145000,1750,0)))))),1,1-IF(Inputs!$C$13,SUMPRODUCT(($AH9&gt;=INDEX('Methodology &amp; Sources'!$B$279:$J$286,0,IF(Inputs!$C$12="MFJ",1,IF(Inputs!$C$12="HoH",7,4))))*INDEX('Methodology &amp; Sources'!$B$279:$J$286,0,IF(Inputs!$C$12="MFJ",1,IF(Inputs!$C$12="HoH",7,4))+2)),SUMPRODUCT(($AH9&gt;=INDEX('Methodology &amp; Sources'!$B$269:$J$276,0,IF(Inputs!$C$12="MFJ",1,IF(Inputs!$C$12="HoH",7,4))))*INDEX('Methodology &amp; Sources'!$B$269:$J$276,0,IF(Inputs!$C$12="MFJ",1,IF(Inputs!$C$12="HoH",7,4))+2)))),IF($AN9="MI",IF($AY9&gt;5900*$AS9,0.0425,0),""))))</f>
      </c>
      <c r="CA9" s="24">
        <f>IF($B9="","",IF($AN9="AL",IF(OR($AU9="Married",$AU9="Head of household"),SUMPRODUCT(($AZ9&gt;=INDEX('Methodology &amp; Sources'!$B$332:$J$336,0,4))*INDEX('Methodology &amp; Sources'!$B$332:$J$336,0,4+2)),SUMPRODUCT(($AZ9&gt;=INDEX('Methodology &amp; Sources'!$B$332:$J$336,0,1))*INDEX('Methodology &amp; Sources'!$B$332:$J$336,0,1+2)))*(1-IF(Inputs!$C$13,SUMPRODUCT(($AH9&gt;=INDEX('Methodology &amp; Sources'!$B$279:$J$286,0,IF(Inputs!$C$12="MFJ",1,IF(Inputs!$C$12="HoH",7,4))))*INDEX('Methodology &amp; Sources'!$B$279:$J$286,0,IF(Inputs!$C$12="MFJ",1,IF(Inputs!$C$12="HoH",7,4))+2)),SUMPRODUCT(($AH9&gt;=INDEX('Methodology &amp; Sources'!$B$269:$J$276,0,IF(Inputs!$C$12="MFJ",1,IF(Inputs!$C$12="HoH",7,4))))*INDEX('Methodology &amp; Sources'!$B$269:$J$276,0,IF(Inputs!$C$12="MFJ",1,IF(Inputs!$C$12="HoH",7,4))+2)))),IF($AN9="KS",IF($AU9="Married",SUMPRODUCT(($AZ9&gt;=INDEX('Methodology &amp; Sources'!$B$353:$J$359,0,4))*INDEX('Methodology &amp; Sources'!$B$353:$J$359,0,4+2)),SUMPRODUCT(($AZ9&gt;=INDEX('Methodology &amp; Sources'!$B$353:$J$359,0,1))*INDEX('Methodology &amp; Sources'!$B$353:$J$359,0,1+2))),IF($AN9="MD",IF(OR($AU9="Married",$AU9="Head of household"),SUMPRODUCT(($AZ9&gt;=INDEX('Methodology &amp; Sources'!$B$364:$J$370,0,1))*INDEX('Methodology &amp; Sources'!$B$364:$J$370,0,1+2)),SUMPRODUCT(($AZ9&gt;=INDEX('Methodology &amp; Sources'!$B$353:$J$359,0,7))*INDEX('Methodology &amp; Sources'!$B$353:$J$359,0,7+2)))+Inputs!$C$74,IF($AN9="MT",IF($AU9="Head of household",SUMPRODUCT(($AZ9&gt;=INDEX('Methodology &amp; Sources'!$B$387:$J$389,0,1))*INDEX('Methodology &amp; Sources'!$B$387:$J$389,0,1+2)),IF($AU9="Married",SUMPRODUCT(($AZ9&gt;=INDEX('Methodology &amp; Sources'!$B$375:$J$382,0,7))*INDEX('Methodology &amp; Sources'!$B$375:$J$382,0,7+2)),SUMPRODUCT(($AZ9&gt;=INDEX('Methodology &amp; Sources'!$B$375:$J$382,0,4))*INDEX('Methodology &amp; Sources'!$B$375:$J$382,0,4+2)))),IF($AN9="ND",IF($AU9="Head of household",SUMPRODUCT(($AZ9&gt;=INDEX('Methodology &amp; Sources'!$B$394:$J$400,0,1))*INDEX('Methodology &amp; Sources'!$B$394:$J$400,0,1+2)),IF($AU9="Married",SUMPRODUCT(($AZ9&gt;=INDEX('Methodology &amp; Sources'!$B$387:$J$389,0,7))*INDEX('Methodology &amp; Sources'!$B$387:$J$389,0,7+2)),SUMPRODUCT(($AZ9&gt;=INDEX('Methodology &amp; Sources'!$B$387:$J$389,0,4))*INDEX('Methodology &amp; Sources'!$B$387:$J$389,0,4+2)))),IF($AN9="NY",IF($AU9="Married",IF($AZ9&gt;=2155350,IF($AZ9&gt;25000000,0.117,IF($AZ9&gt;5000000,0.111,0.1045)),SUMPRODUCT(($AZ9&gt;=INDEX('Methodology &amp; Sources'!$B$434:$J$448,0,1))*INDEX('Methodology &amp; Sources'!$B$434:$J$448,0,1+2))),IF($AZ9&gt;=1077550,IF($AZ9&gt;25000000,0.117,IF($AZ9&gt;5000000,0.111,0.1045)),SUMPRODUCT(($AZ9&gt;=INDEX('Methodology &amp; Sources'!$B$417:$J$429,0,7))*INDEX('Methodology &amp; Sources'!$B$417:$J$429,0,7+2)))),"")))))))</f>
      </c>
      <c r="CB9" s="24">
        <f>IF($B9="","",IF($AN9="CA",SUMPRODUCT(($AJ9&gt;=INDEX('Methodology &amp; Sources'!$B$289:$J$298,0,IF($AU9="Married",4,IF($AU9="Head of household",7,1))))*INDEX('Methodology &amp; Sources'!$B$289:$J$298,0,IF($AU9="Married",4,IF($AU9="Head of household",7,1))+2)),IF($AN9="HI",IF($AU9="Married",SUMPRODUCT(($AZ9&gt;=INDEX('Methodology &amp; Sources'!$B$341:$J$348,0,7))*INDEX('Methodology &amp; Sources'!$B$341:$J$348,0,7+2)),SUMPRODUCT(($AZ9&gt;=INDEX('Methodology &amp; Sources'!$B$341:$J$348,0,4))*INDEX('Methodology &amp; Sources'!$B$341:$J$348,0,4+2))),IF($AN9="MN",IF($AU9="Married",SUMPRODUCT(($AZ9&gt;=INDEX('Methodology &amp; Sources'!$B$364:$J$370,0,7))*INDEX('Methodology &amp; Sources'!$B$364:$J$370,0,7+2)),SUMPRODUCT(($AZ9&gt;=INDEX('Methodology &amp; Sources'!$B$364:$J$370,0,4))*INDEX('Methodology &amp; Sources'!$B$364:$J$370,0,4+2))),IF($AN9="MO",SUMPRODUCT(($AZ9&gt;=INDEX('Methodology &amp; Sources'!$B$375:$J$382,0,1))*INDEX('Methodology &amp; Sources'!$B$375:$J$382,0,1+2)),IF($AN9="NE",MAX(IF($AU9="Married",SUMPRODUCT(($AZ9&gt;=INDEX('Methodology &amp; Sources'!$B$394:$J$400,0,7))*INDEX('Methodology &amp; Sources'!$B$394:$J$400,0,7+2)),SUMPRODUCT(($AZ9&gt;=INDEX('Methodology &amp; Sources'!$B$394:$J$400,0,4))*INDEX('Methodology &amp; Sources'!$B$394:$J$400,0,4+2))),0.015),IF($AN9="OH",IF($B9&gt;=DATE(2026,8,1),SUMPRODUCT(($AZ9&gt;=INDEX('Methodology &amp; Sources'!$B$453:$J$456,0,1))*INDEX('Methodology &amp; Sources'!$B$453:$J$456,0,1+2)),SUMPRODUCT(($AZ9&gt;=INDEX('Methodology &amp; Sources'!$B$434:$J$448,0,7))*INDEX('Methodology &amp; Sources'!$B$434:$J$448,0,7+2))),IF($AN9="OK",IF($AU9="Married",SUMPRODUCT(($AZ9&gt;=INDEX('Methodology &amp; Sources'!$B$453:$J$456,0,7))*INDEX('Methodology &amp; Sources'!$B$453:$J$456,0,7+2)),SUMPRODUCT(($AZ9&gt;=INDEX('Methodology &amp; Sources'!$B$453:$J$456,0,4))*INDEX('Methodology &amp; Sources'!$B$453:$J$456,0,4+2))),IF($AN9="RI",SUMPRODUCT(($AZ9&gt;=INDEX('Methodology &amp; Sources'!$B$461:$J$464,0,7))*INDEX('Methodology &amp; Sources'!$B$461:$J$464,0,7+2)),IF($AN9="SC",SUMPRODUCT(($AZ9&gt;=INDEX('Methodology &amp; Sources'!$B$469:$J$473,0,1))*INDEX('Methodology &amp; Sources'!$B$469:$J$473,0,1+2)),IF($AN9="VT",IF($AU9="Married",SUMPRODUCT(($AZ9&gt;=INDEX('Methodology &amp; Sources'!$B$478:$J$482,0,1))*INDEX('Methodology &amp; Sources'!$B$478:$J$482,0,1+2)),SUMPRODUCT(($AZ9&gt;=INDEX('Methodology &amp; Sources'!$B$469:$J$473,0,7))*INDEX('Methodology &amp; Sources'!$B$469:$J$473,0,7+2))),IF($AN9="WV",IF($AU9="Married",SUMPRODUCT(($AZ9&gt;=INDEX('Methodology &amp; Sources'!$B$487:$J$491,0,7))*INDEX('Methodology &amp; Sources'!$B$487:$J$491,0,7+2)),SUMPRODUCT(($AZ9&gt;=INDEX('Methodology &amp; Sources'!$B$478:$J$482,0,7))*INDEX('Methodology &amp; Sources'!$B$478:$J$482,0,7+2))),IF($AN9="IN",(0.0295+Inputs!$C$76),"")))))))))))))</f>
      </c>
      <c r="CC9" s="24">
        <f>IF($B9="","",IF($AN9="AR",SUMPRODUCT(($AZ9&gt;=INDEX('Methodology &amp; Sources'!$B$332:$J$336,0,7))*INDEX('Methodology &amp; Sources'!$B$332:$J$336,0,7+2)),IF($AN9="DE",SUMPRODUCT(($AZ9&gt;=INDEX('Methodology &amp; Sources'!$B$341:$J$348,0,1))*INDEX('Methodology &amp; Sources'!$B$341:$J$348,0,1+2)),IF($AN9="VA",SUMPRODUCT(($AZ9&gt;=INDEX('Methodology &amp; Sources'!$B$469:$J$473,0,4))*INDEX('Methodology &amp; Sources'!$B$469:$J$473,0,4+2)),IF($AN9="WI",SUMPRODUCT(($AZ9&gt;=INDEX('Methodology &amp; Sources'!$B$478:$J$482,0,4))*INDEX('Methodology &amp; Sources'!$B$478:$J$482,0,4+2)),IF($AN9="AZ",Inputs!$C$82,IF($AN9="CO",IF($AY9&gt;IF($AU9="Married",10000,5000),0.044,0),IF($AN9="IA",IF($AY9&gt;IF($AU9="Head of household",19500,IF($AU9="Married",26000,13000)),0.038,0),IF($AN9="ID",IF($AY9&gt;IF($AU9="Married",32000,16094),0.053,0),IF($AN9="IL",IF($AY9&gt;(2925*$AS9+1000*$AT9),0.0495,0),IF($AN9="KY",IF($AI9&gt;3360,0.035,0),IF($AN9="LA",0.0309,IF($AN9="MA",IF(MAX(0,$AY9-MIN(($BD8+$Q9+$R9+$S9),2000)-IF($AS9=0,0,IF($AS9=1,4400,1000*$AS9+3400)))&gt;=1107750,0.09,0.05),IF($AN9="MS",IF($AI9-IF($AU9="Head of household",3400,IF($AU9="Married",4600,2300))-Inputs!$C$85&gt;10000,0.04,0),IF($AN9="PA",0.0307,"")))))))))))))))</f>
      </c>
      <c r="CD9" s="21">
        <f>IF(YEAR(IF(Inputs!$C$7="Weekly",Inputs!$C$9+7*(($BE8+1)-1),IF(Inputs!$C$7="Biweekly",Inputs!$C$9+14*(($BE8+1)-1),IF(Inputs!$C$7="Semimonthly",DATE(YEAR(Inputs!$C$9),MONTH(Inputs!$C$9)+INT((($BE8+1)-1)/2),MIN(DAY(Inputs!$C$9),DAY(EOMONTH(DATE(YEAR(Inputs!$C$9),MONTH(Inputs!$C$9)+INT((($BE8+1)-1)/2),1),0))))+IF(MOD(($BE8+1)-1,2)=1,15,0),EDATE(Inputs!$C$9,($BE8+1)-1)))))&lt;&gt;2026,"",IF(Inputs!$C$7="Weekly",Inputs!$C$9+7*(($BE8+1)-1),IF(Inputs!$C$7="Biweekly",Inputs!$C$9+14*(($BE8+1)-1),IF(Inputs!$C$7="Semimonthly",DATE(YEAR(Inputs!$C$9),MONTH(Inputs!$C$9)+INT((($BE8+1)-1)/2),MIN(DAY(Inputs!$C$9),DAY(EOMONTH(DATE(YEAR(Inputs!$C$9),MONTH(Inputs!$C$9)+INT((($BE8+1)-1)/2),1),0))))+IF(MOD(($BE8+1)-1,2)=1,15,0),EDATE(Inputs!$C$9,($BE8+1)-1)))))</f>
      </c>
      <c r="CE9" s="21">
        <f>IF(SUMPRODUCT(MIN(IF((Inputs!$C$58:$C$67&gt;MAX($B$6:$B8))*(Inputs!$C$58:$C$67&gt;=DATE(2026,1,1))*(Inputs!$C$58:$C$67&lt;=DATE(2026,12,31)),Inputs!$C$58:$C$67,999999)))=999999,"",SUMPRODUCT(MIN(IF((Inputs!$C$58:$C$67&gt;MAX($B$6:$B8))*(Inputs!$C$58:$C$67&gt;=DATE(2026,1,1))*(Inputs!$C$58:$C$67&lt;=DATE(2026,12,31)),Inputs!$C$58:$C$67,999999))))</f>
      </c>
    </row>
    <row r="10">
      <c r="A10" t="n">
        <v>5</v>
      </c>
      <c r="B10" s="21">
        <f>IF(AND($CD10="",$CE10=""),"",IF($CE10="",$CD10,IF($CD10="",$CE10,MIN($CD10,$CE10))))</f>
      </c>
      <c r="C10" s="7">
        <f>IF($B10="","",IF($BF10=0,0,IF(Inputs!$C$4="Annual salary",ROUND($AK10/IF(AND(Inputs!$C$88="Actual paydays",MONTH(Inputs!$C$9)=1),MAX(1,MAX($BE$6:$BE$68)),Inputs!$C$8),2),$AK10)))</f>
      </c>
      <c r="D10" s="7">
        <f>IF($B10="","",SUMIF(Inputs!$C$58:$C$67,$B10,Inputs!$D$58:$D$67))</f>
      </c>
      <c r="E10" s="7">
        <f>IF($B10="","",ROUND(MAX(0,MIN(IF($AL10="Percent",$AM10*($C10+$D10),$AM10),MAX(0,Inputs!$C$91-$AC9))),2))</f>
      </c>
      <c r="F10" s="7">
        <f>IF($B10="","",ROUND(MAX(0,MIN(IF(Inputs!$C$32="Percent",Inputs!$D$32*($C10+$D10),Inputs!$D$32),MAX(0,Inputs!$C$91-$AC9-$E10))),2))</f>
      </c>
      <c r="G10" s="7">
        <f>IF($B10="","",IF($BF10=0,0,ROUND(MAX(0,MIN($BL10,Inputs!$C$92-Inputs!$C$54-$BI9)),2)))</f>
      </c>
      <c r="H10" s="7">
        <f>IF($B10="","",IF(OR($BF10=0,$BQ10=1),0,ROUND(MAX(0,MIN(IF($BS10=1,ROUND(MAX(0,MIN($BJ10,'Methodology &amp; Sources'!$C$263)-$BG9)/MAX(1,MAX($BE$6:$BE$68)-($BE9)),2),ROUND(MIN($BJ10,'Methodology &amp; Sources'!$C$263)/Inputs!$C$8,2)),MIN($BJ10,'Methodology &amp; Sources'!$C$263)-$BG9)),2)))</f>
      </c>
      <c r="I10" s="7">
        <f>IF($B10="","",IF(OR($BF10=0,$BR10=1),0,ROUND(MAX(0,MIN(IF($BT10=1,ROUND(MAX(0,MIN($BK10,IF(Inputs!$C$12="MFJ",'Methodology &amp; Sources'!$C$264,'Methodology &amp; Sources'!$C$265))-$BH9)/MAX(1,MAX($BE$6:$BE$68)-($BE9)),2),ROUND(MIN($BK10,IF(Inputs!$C$12="MFJ",'Methodology &amp; Sources'!$C$264,'Methodology &amp; Sources'!$C$265))/Inputs!$C$8,2)),MIN($BK10,IF(Inputs!$C$12="MFJ",'Methodology &amp; Sources'!$C$264,'Methodology &amp; Sources'!$C$265))-$BH9)),2)))</f>
      </c>
      <c r="J10" s="7">
        <f>IF($B10="","",IF($BF10=0,0,$BM10))</f>
      </c>
      <c r="K10" s="7">
        <f>IF($B10="","",IF($BF10=0,0,$BN10+$BO10))</f>
      </c>
      <c r="L10" s="7">
        <f>IF($B10="","",IF($BF10=0,0,Inputs!$D$46))</f>
      </c>
      <c r="M10" s="7">
        <f>IF($B10="","",$C10+$D10+$L10-$E10-$G10-$H10-$I10-$J10-$K10)</f>
      </c>
      <c r="N10" s="7">
        <f>IF($B10="","",$C10+$D10+$L10-$G10-$H10-$I10-$J10-$K10)</f>
      </c>
      <c r="O10" s="7">
        <f>IF($B10="","",$C10+$D10+$L10-$E10-$H10-$I10-$J10-$K10-IF(OR($AN10="CA",$AN10="NJ"),0,$G10))</f>
      </c>
      <c r="P10" s="7">
        <f>IF($B10="","",IF(Inputs!$C$18,0,ROUND(MAX(0,IF(Inputs!$C$13,SUMPRODUCT(($AH10&gt;INDEX('Methodology &amp; Sources'!$B$279:$J$286,0,IF(Inputs!$C$12="MFJ",1,IF(Inputs!$C$12="HoH",7,4))))*($AH10-INDEX('Methodology &amp; Sources'!$B$279:$J$286,0,IF(Inputs!$C$12="MFJ",1,IF(Inputs!$C$12="HoH",7,4))))*INDEX('Methodology &amp; Sources'!$B$279:$J$286,0,IF(Inputs!$C$12="MFJ",1,IF(Inputs!$C$12="HoH",7,4))+2)),SUMPRODUCT(($AH10&gt;INDEX('Methodology &amp; Sources'!$B$269:$J$276,0,IF(Inputs!$C$12="MFJ",1,IF(Inputs!$C$12="HoH",7,4))))*($AH10-INDEX('Methodology &amp; Sources'!$B$269:$J$276,0,IF(Inputs!$C$12="MFJ",1,IF(Inputs!$C$12="HoH",7,4))))*INDEX('Methodology &amp; Sources'!$B$269:$J$276,0,IF(Inputs!$C$12="MFJ",1,IF(Inputs!$C$12="HoH",7,4))+2)))/Inputs!$C$8-$AO10/Inputs!$C$8)+$AR10+IF(Inputs!$C$89="Aggregate",MAX(0,IF(Inputs!$C$13,SUMPRODUCT((($AH10+$D10)&gt;INDEX('Methodology &amp; Sources'!$B$279:$J$286,0,IF(Inputs!$C$12="MFJ",1,IF(Inputs!$C$12="HoH",7,4))))*(($AH10+$D10)-INDEX('Methodology &amp; Sources'!$B$279:$J$286,0,IF(Inputs!$C$12="MFJ",1,IF(Inputs!$C$12="HoH",7,4))))*INDEX('Methodology &amp; Sources'!$B$279:$J$286,0,IF(Inputs!$C$12="MFJ",1,IF(Inputs!$C$12="HoH",7,4))+2)),SUMPRODUCT((($AH10+$D10)&gt;INDEX('Methodology &amp; Sources'!$B$269:$J$276,0,IF(Inputs!$C$12="MFJ",1,IF(Inputs!$C$12="HoH",7,4))))*(($AH10+$D10)-INDEX('Methodology &amp; Sources'!$B$269:$J$276,0,IF(Inputs!$C$12="MFJ",1,IF(Inputs!$C$12="HoH",7,4))))*INDEX('Methodology &amp; Sources'!$B$269:$J$276,0,IF(Inputs!$C$12="MFJ",1,IF(Inputs!$C$12="HoH",7,4))+2)))-IF(Inputs!$C$13,SUMPRODUCT(($AH10&gt;INDEX('Methodology &amp; Sources'!$B$279:$J$286,0,IF(Inputs!$C$12="MFJ",1,IF(Inputs!$C$12="HoH",7,4))))*($AH10-INDEX('Methodology &amp; Sources'!$B$279:$J$286,0,IF(Inputs!$C$12="MFJ",1,IF(Inputs!$C$12="HoH",7,4))))*INDEX('Methodology &amp; Sources'!$B$279:$J$286,0,IF(Inputs!$C$12="MFJ",1,IF(Inputs!$C$12="HoH",7,4))+2)),SUMPRODUCT(($AH10&gt;INDEX('Methodology &amp; Sources'!$B$269:$J$276,0,IF(Inputs!$C$12="MFJ",1,IF(Inputs!$C$12="HoH",7,4))))*($AH10-INDEX('Methodology &amp; Sources'!$B$269:$J$276,0,IF(Inputs!$C$12="MFJ",1,IF(Inputs!$C$12="HoH",7,4))))*INDEX('Methodology &amp; Sources'!$B$269:$J$276,0,IF(Inputs!$C$12="MFJ",1,IF(Inputs!$C$12="HoH",7,4))+2)))),'Methodology &amp; Sources'!$C$260*$D10),2)))</f>
      </c>
      <c r="Q10" s="7">
        <f>IF($B10="","",ROUND('Methodology &amp; Sources'!$C$254*MIN($N10,MAX(0,'Methodology &amp; Sources'!$C$253-($AX10+$AB9-$AW10))),2))</f>
      </c>
      <c r="R10" s="7">
        <f>IF($B10="","",ROUND('Methodology &amp; Sources'!$C$255*$N10,2))</f>
      </c>
      <c r="S10" s="7">
        <f>IF($B10="","",ROUND('Methodology &amp; Sources'!$C$256*MAX(0,MIN($N10,$AG9+$N10-'Methodology &amp; Sources'!$C$257)),2))</f>
      </c>
      <c r="T10" s="7">
        <f>IF($B10="","",IF(Inputs!$C$26,0,IF($AN10="CA",ROUND(IF($AI10&lt;=IF(($AS10+$AT10)&gt;=2,VLOOKUP($AN10,'StateTables 2026'!$A$6:$AB$56,10,FALSE),VLOOKUP($AN10,'StateTables 2026'!$A$6:$AB$56,9,FALSE)),0,MAX(0,SUMPRODUCT(($AJ10&gt;INDEX('Methodology &amp; Sources'!$B$289:$J$298,0,IF($AU10="Married",4,IF($AU10="Head of household",7,1))))*($AJ10-INDEX('Methodology &amp; Sources'!$B$289:$J$298,0,IF($AU10="Married",4,IF($AU10="Head of household",7,1))))*INDEX('Methodology &amp; Sources'!$B$289:$J$298,0,IF($AU10="Married",4,IF($AU10="Head of household",7,1))+2))-VLOOKUP($AN10,'StateTables 2026'!$A$6:$AB$56,11,FALSE)*$AS10)/Inputs!$C$8)+Inputs!$C$25+VLOOKUP($AN10,'StateTables 2026'!$A$6:$AB$56,13,FALSE)*$D10,2),IF(VLOOKUP($AN10,'StateTables 2026'!$A$6:$AB$56,4,FALSE)="None",0,IF(ISNUMBER(SEARCH("MANUAL",VLOOKUP($AN10,'StateTables 2026'!$A$6:$AB$56,5,FALSE))),Inputs!$C$28,ROUND(MAX(0,$BA10+$BB10)/Inputs!$C$8+Inputs!$C$25+$BC10,2))))))</f>
      </c>
      <c r="U10" s="7">
        <f>IF($B10="","",IF(VLOOKUP($AN10,'StateTables 2026'!$A$6:$AB$56,24,FALSE)="flatq",IF(OR(MONTH($B10)=1,MONTH($B10)=4,MONTH($B10)=7,MONTH($B10)=10),VLOOKUP($AN10,'StateTables 2026'!$A$6:$AB$56,25,FALSE),0),IF(VLOOKUP($AN10,'StateTables 2026'!$A$6:$AB$56,24,FALSE)="dbl",MIN(ROUND(0.005*$N10,2),ROUND(0.6*52/Inputs!$C$8,2)),IF(OR(VLOOKUP($AN10,'StateTables 2026'!$A$6:$AB$56,15,FALSE)="",VLOOKUP($AN10,'StateTables 2026'!$A$6:$AB$56,15,FALSE)=0),0,ROUND(VLOOKUP($AN10,'StateTables 2026'!$A$6:$AB$56,15,FALSE)*IF(OR(VLOOKUP($AN10,'StateTables 2026'!$A$6:$AB$56,16,FALSE)="",VLOOKUP($AN10,'StateTables 2026'!$A$6:$AB$56,16,FALSE)=0),$N10,MIN($N10,MAX(0,VLOOKUP($AN10,'StateTables 2026'!$A$6:$AB$56,16,FALSE)-($AX10+$AB9-$AW10)))),2))))+IF(VLOOKUP($AN10,'StateTables 2026'!$A$6:$AB$56,27,FALSE)="flatq",IF(OR(MONTH($B10)=1,MONTH($B10)=4,MONTH($B10)=7,MONTH($B10)=10),VLOOKUP($AN10,'StateTables 2026'!$A$6:$AB$56,28,FALSE),0),IF(VLOOKUP($AN10,'StateTables 2026'!$A$6:$AB$56,27,FALSE)="dbl",MIN(ROUND(0.005*$N10,2),ROUND(0.6*52/Inputs!$C$8,2)),IF(OR(VLOOKUP($AN10,'StateTables 2026'!$A$6:$AB$56,18,FALSE)="",VLOOKUP($AN10,'StateTables 2026'!$A$6:$AB$56,18,FALSE)=0),0,ROUND(VLOOKUP($AN10,'StateTables 2026'!$A$6:$AB$56,18,FALSE)*IF(OR(VLOOKUP($AN10,'StateTables 2026'!$A$6:$AB$56,19,FALSE)="",VLOOKUP($AN10,'StateTables 2026'!$A$6:$AB$56,19,FALSE)=0),$N10,MIN($N10,MAX(0,VLOOKUP($AN10,'StateTables 2026'!$A$6:$AB$56,19,FALSE)-($AX10+$AB9-$AW10)))),2)))))</f>
      </c>
      <c r="V10" s="7">
        <f>IF($B10="","",IF($AN10="NY",IF(Inputs!$C$78,ROUND(SUMPRODUCT((MAX(0,($O10-$D10)*Inputs!$C$8-(IF($AU10="Married",5500,5000)+1000*$AS10))&gt;INDEX('Methodology &amp; Sources'!$B$434:$J$448,0,4))*(MAX(0,($O10-$D10)*Inputs!$C$8-(IF($AU10="Married",5500,5000)+1000*$AS10))-INDEX('Methodology &amp; Sources'!$B$434:$J$448,0,4))*INDEX('Methodology &amp; Sources'!$B$434:$J$448,0,4+2))/Inputs!$C$8+0.0425*$D10,2),0)+IF(Inputs!$C$79="Resident",ROUND(0.1675*$T10,2),IF(Inputs!$C$79="Nonresident",ROUND(0.005*MAX(0,($O10-$D10)-(IF($AU10="Married",7950,7400)+1000*$AS10)/Inputs!$C$8),2),0)),IF($AN10="PA",IF(Inputs!$C$80="None",Inputs!$C$27+ROUND(Inputs!$C$81*($C10+$D10),2),ROUND(IF(Inputs!$C$80="Resident",IF($B10&lt;DATE(2026,7,1),0.0374,0.03735),IF($B10&lt;DATE(2026,7,1),0.0343,0.03425))*($C10+$D10),2)),IF($BF10=0,ROUND(Inputs!$C$81*($C10+$D10),2),Inputs!$C$27+ROUND(Inputs!$C$81*($C10+$D10),2)))))</f>
      </c>
      <c r="W10" s="7">
        <f>IF($B10="","",IF($BF10=0,0,$BP10))</f>
      </c>
      <c r="X10" s="7">
        <f>IF($B10="","",SUM($E10:$K10)+$P10+$Q10+$R10+$S10+$T10+$U10+$V10+$W10)</f>
      </c>
      <c r="Y10" s="22">
        <f>IF($B10="","",$C10+$D10-$X10)</f>
      </c>
      <c r="Z10" s="7">
        <f>IF($B10="","",$Z9+$C10+$D10)</f>
      </c>
      <c r="AA10" s="7">
        <f>IF($B10="","",$AA9+$Y10)</f>
      </c>
      <c r="AB10" s="7">
        <f>IF($B10="","",$AB9+MIN($N10,MAX(0,'Methodology &amp; Sources'!$C$253-($AX10+$AB9-$AW10))))</f>
      </c>
      <c r="AC10" s="7">
        <f>IF($B10="","",$AC9+$E10+$F10)</f>
      </c>
      <c r="AD10" s="3">
        <f>IF($B10="","",IF(AND($AB9&lt;'Methodology &amp; Sources'!$C$253,$AB10&gt;='Methodology &amp; Sources'!$C$253),"★ Social Security maxed on this check — from the next check your net rises by about $"&amp;TEXT(ROUND('Methodology &amp; Sources'!$C$254*$N10,2),"#,##0.00")&amp;". ","")&amp;IF(AND($AC9&lt;Inputs!$C$91,$AC10&gt;=Inputs!$C$91),"★ 401(k) reaches the $"&amp;TEXT(Inputs!$C$91,"#,##0")&amp;" cap on this check — deferrals stop and net pay rises. ","")&amp;IF(AND($AG9&lt;'Methodology &amp; Sources'!$C$257,$AG10&gt;='Methodology &amp; Sources'!$C$257),"★ Wages pass $200,000 — the 0.9% Additional Medicare Tax starts here. ","")&amp;IF(AND($BJ10&gt;0,$H10&gt;0,$BG9&lt;MIN($BJ10,'Methodology &amp; Sources'!$C$263),$BG9+$H10&gt;=MIN($BJ10,'Methodology &amp; Sources'!$C$263)),"★ Health FSA election is now fully deferred for the year. ",""))</f>
      </c>
      <c r="AE10" s="41" t="n"/>
      <c r="AF10" s="7">
        <f>IF(OR($B10="",$AE10=""),"",$AE10-$Y10)</f>
      </c>
      <c r="AG10" s="7">
        <f>IF($B10="","",$AG9+$N10)</f>
      </c>
      <c r="AH10" s="7">
        <f>IF($B10="","",MAX(0,($M10-$D10)*Inputs!$C$8+$AP10-$AQ10-IF(Inputs!$C$13,0,IF(Inputs!$C$12="MFJ",'Methodology &amp; Sources'!$C$258,'Methodology &amp; Sources'!$C$259))))</f>
      </c>
      <c r="AI10" s="7">
        <f>IF($B10="","",$O10*Inputs!$C$8)</f>
      </c>
      <c r="AJ10" s="7">
        <f>IF($B10="","",MAX(0,$AI10-VLOOKUP($AN10,'StateTables 2026'!$A$6:$AB$56,12,FALSE)*$AT10-IF(($AS10+$AT10)&gt;=2,VLOOKUP($AN10,'StateTables 2026'!$A$6:$AB$56,8,FALSE),VLOOKUP($AN10,'StateTables 2026'!$A$6:$AB$56,7,FALSE))))</f>
      </c>
      <c r="AK10" s="7">
        <f>IF($B10="","",IFERROR(LOOKUP(2,1/((Events!$C$6:$C$17="Salary change")*(Events!$B$6:$B$17&lt;=$B10)*(Events!$B$6:$B$17&lt;&gt;"")),Events!$D$6:$D$17),IF(Inputs!$C$4="Annual salary",Inputs!$C$5,Inputs!$C$6)))</f>
      </c>
      <c r="AL10">
        <f>IF($B10="","",IFERROR(LOOKUP(2,1/((Events!$C$6:$C$17="401(k) change")*(Events!$B$6:$B$17&lt;=$B10)*(Events!$B$6:$B$17&lt;&gt;"")),Events!$D$6:$D$17),Inputs!$C$30))</f>
      </c>
      <c r="AM10" s="7">
        <f>IF($B10="","",IFERROR(LOOKUP(2,1/((Events!$C$6:$C$17="401(k) change")*(Events!$B$6:$B$17&lt;=$B10)*(Events!$B$6:$B$17&lt;&gt;"")),Events!$E$6:$E$17),Inputs!$D$30))</f>
      </c>
      <c r="AN10">
        <f>IF($B10="","",IFERROR(LOOKUP(2,1/((Events!$C$6:$C$17="State move")*(Events!$B$6:$B$17&lt;=$B10)*(Events!$B$6:$B$17&lt;&gt;"")),Events!$D$6:$D$17),Inputs!$C$21))</f>
      </c>
      <c r="AO10" s="7">
        <f>IF($B10="","",IFERROR(LOOKUP(2,1/((Events!$C$6:$C$17="W-4 change")*(Events!$B$6:$B$17&lt;=$B10)*(Events!$B$6:$B$17&lt;&gt;"")),Events!$D$6:$D$17),Inputs!$C$14))</f>
      </c>
      <c r="AP10" s="7">
        <f>IF($B10="","",IFERROR(LOOKUP(2,1/((Events!$C$6:$C$17="W-4 change")*(Events!$B$6:$B$17&lt;=$B10)*(Events!$B$6:$B$17&lt;&gt;"")),Events!$E$6:$E$17),Inputs!$C$15))</f>
      </c>
      <c r="AQ10" s="7">
        <f>IF($B10="","",IFERROR(LOOKUP(2,1/((Events!$C$6:$C$17="W-4 change")*(Events!$B$6:$B$17&lt;=$B10)*(Events!$B$6:$B$17&lt;&gt;"")),Events!$F$6:$F$17),Inputs!$C$16))</f>
      </c>
      <c r="AR10" s="7">
        <f>IF($B10="","",IFERROR(LOOKUP(2,1/((Events!$C$6:$C$17="W-4 change")*(Events!$B$6:$B$17&lt;=$B10)*(Events!$B$6:$B$17&lt;&gt;"")),Events!$G$6:$G$17),Inputs!$C$17))</f>
      </c>
      <c r="AS10" s="6">
        <f>IF($B10="","",IFERROR(LOOKUP(2,1/(((Events!$C$6:$C$17="State move")+(Events!$C$6:$C$17="State cert change"))*(Events!$B$6:$B$17&lt;=$B10)*(Events!$B$6:$B$17&lt;&gt;"")),Events!$F$6:$F$17),Inputs!$C$23))</f>
      </c>
      <c r="AT10" s="6">
        <f>IF($B10="","",IFERROR(LOOKUP(2,1/(((Events!$C$6:$C$17="State move")+(Events!$C$6:$C$17="State cert change"))*(Events!$B$6:$B$17&lt;=$B10)*(Events!$B$6:$B$17&lt;&gt;"")),Events!$G$6:$G$17),Inputs!$C$24))</f>
      </c>
      <c r="AU10">
        <f>IF($B10="","",IFERROR(LOOKUP(2,1/((Events!$C$6:$C$17="State move")*(Events!$B$6:$B$17&lt;=$B10)*(Events!$B$6:$B$17&lt;&gt;"")),Events!$E$6:$E$17),Inputs!$C$22))</f>
      </c>
      <c r="AV10" s="6">
        <f>IF($B10="","",1+COUNTIFS(Events!$C$6:$C$17,"Employer change",Events!$B$6:$B$17,"&lt;="&amp;$B10,Events!$B$6:$B$17,"&lt;&gt;"))</f>
      </c>
      <c r="AW10" s="7">
        <f>IF($B10="","",IF($AV10=1,Inputs!$C$49,IF(IFERROR(MATCH(IFERROR(LOOKUP(2,1/((Events!$C$6:$C$17="Employer change")*(Events!$B$6:$B$17&lt;=$B10)*(Events!$B$6:$B$17&lt;&gt;"")),Events!$B$6:$B$17),""),$B$6:$B$68,1),1)&lt;=1,Inputs!$C$49,INDEX($AB$6:$AB$68,MATCH(IFERROR(LOOKUP(2,1/((Events!$C$6:$C$17="Employer change")*(Events!$B$6:$B$17&lt;=$B10)*(Events!$B$6:$B$17&lt;&gt;"")),Events!$B$6:$B$17),""),$B$6:$B$68,1)-1))))</f>
      </c>
      <c r="AX10" s="7">
        <f>IF($B10="","",IF($AV10=1,Inputs!$C$49,IFERROR(LOOKUP(2,1/((Events!$C$6:$C$17="Employer change")*(Events!$B$6:$B$17&lt;=$B10)*(Events!$B$6:$B$17&lt;&gt;"")),Events!$D$6:$D$17),0)))</f>
      </c>
      <c r="AY10" s="7">
        <f>IF($B10="","",($O10-$D10)*Inputs!$C$8)</f>
      </c>
      <c r="AZ10" s="7">
        <f>IF($B10="","",IF($AN10="AL",MAX(0,$AY10-IF($AU10="Married",IF($AY10&lt;=25999,8500,MAX(5000,8500-175*CEILING(($AY10-25999)/500,1))),IF($AU10="Head of household",IF($AY10&lt;=25999,5200,MAX(2500,5200-135*CEILING(($AY10-25999)/500,1))),IF($AY10&lt;=25999,3000,MAX(2500,3000-25*CEILING(($AY10-25999)/500,1)))))-($P10-'Methodology &amp; Sources'!$C$260*$D10)*Inputs!$C$8-IF(OR($AU10="Married",$AU10="Head of household"),3000,1500)-$AT10*IF($AY10&lt;=50000,1000,IF($AY10&lt;=100000,500,300))),IF($AN10="AR",IF(MAX(0,$AY10-2470)&lt;97701,INT(MAX(0,$AY10-2470)/100)*100+50,MAX(0,$AY10-2470)),IF($AN10="DE",MAX(0,$AI10-3250),IF($AN10="HI",MAX(0,$AI10-1144*$AS10-4350),IF($AN10="KS",MAX(0,$AI10-(9160*IF($AU10="Married",2,1)+2320*$AT10+IF($AU10="Head of household",2320,0))),IF($AN10="MD",MAX(0,$AI10-3400-3200*$AS10),IF($AN10="MN",MAX(0,$AY10-5300*$AS10),IF($AN10="MO",MAX(0,$AI10-IF($AU10="Head of household",24150,IF($AU10="Married",IF(Inputs!$C$83,16100,32200),16100))),IF($AN10="MT",$AY10,IF($AN10="ND",($C10+$L10)*Inputs!$C$8,IF($AN10="NE",MAX(0,$AY10-2440*$AS10),IF($AN10="NJ",MAX(0,$AY10-1000*$AS10),IF($AN10="NY",MAX(0,$AY10-(IF($AU10="Married",7950,7400)+1000*$AS10)),IF($AN10="OH",MAX(0,$AY10-650*$AS10),IF($AN10="OK",MAX(0,$AY10-1000*$AS10),IF($AN10="RI",MAX(0,$AI10-1000*$AS10),IF($AN10="SC",MAX(0,$AI10-5000*$AS10-IF($AS10=0,0,MIN(0.1*$AI10,7500))),IF($AN10="VA",MAX(0,$AI10-IF($AU10="Married",17500,8750)-930*$AS10-800*$AT10),IF($AN10="VT",MAX(0,$AI10-5400*$AS10),IF($AN10="WI",MAX(0,$AI10-MAX(0,IF($AU10="Married",9461-0.2*MAX(0,$AI10-25727),6702-0.12*MAX(0,$AI10-17780)))-400*$AS10),IF($AN10="WV",MAX(0,$AI10-2000*$AS10),$AI10))))))))))))))))))))))</f>
      </c>
      <c r="BA10" s="7">
        <f>IF($B10="","",IF($BW10&lt;&gt;"",$BW10,IF($BX10&lt;&gt;"",$BX10,IF($BY10&lt;&gt;"",$BY10,0))))</f>
      </c>
      <c r="BB10" s="7">
        <f>IF($B10="","",IF($AN10="AR",-29*$AS10,IF($AN10="DE",-110*$AS10,IF($AN10="MD",$AZ10*Inputs!$C$74,IF($AN10="AZ",Inputs!$C$82*($M10-$D10)*Inputs!$C$8,IF($AN10="CO",0.044*MAX(0,$AY10-IF($AU10="Married",10000,5000)),IF($AN10="IA",MAX(0,0.038*MAX(0,$AY10-IF($AU10="Head of household",19500,IF($AU10="Married",26000,13000)))-40*$AS10),IF($AN10="ID",0.053*MAX(0,$AY10-IF($AU10="Married",32000,16094)),IF($AN10="IL",0.0495*MAX(0,$AY10-(2925*$AS10+1000*$AT10)),IF($AN10="IN",(0.0295+Inputs!$C$76)*MAX(0,$AY10-(1000*$AS10+1500*$AT10+3000*Inputs!$C$86)),IF($AN10="KY",0.035*MAX(0,$AI10-3360),IF($AN10="LA",IF(Inputs!$C$84="0",0.0309*$AI10,0.0309*MAX(0,$AI10-IF(Inputs!$C$84="2",25750,12875))),IF($AN10="MA",0.05*MIN(MAX(0,$AY10-MIN(($BD9+$Q10+$R10+$S10),2000)-IF($AS10=0,0,IF($AS10=1,4400,1000*$AS10+3400))),1107750)+0.09*MAX(0,MAX(0,$AY10-MIN(($BD9+$Q10+$R10+$S10),2000)-IF($AS10=0,0,IF($AS10=1,4400,1000*$AS10+3400)))-1107750)-IF($AU10="Head of household",120,0)-110*Inputs!$C$75,IF($AN10="MI",0.0425*MAX(0,$AY10-5900*$AS10),IF($AN10="MS",0.04*MAX(0,$AI10-IF($AU10="Head of household",3400,IF($AU10="Married",4600,2300))-Inputs!$C$85-10000),IF($AN10="OR",IF(OR($AU10="Married",AND($AU10="Single",$AS10&gt;=3)),SUMPRODUCT((MAX(0,$AY10-MIN(($P10-'Methodology &amp; Sources'!$C$260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Sources'!$B$461:$J$464,0,4))*(MAX(0,$AY10-MIN(($P10-'Methodology &amp; Sources'!$C$260*$D10)*Inputs!$C$8,IF(OR($AU10="Married",AND($AU10="Single",$AS10&gt;=3)),IF($AY10&lt;250000,8750,IF($AY10&lt;260000,7000,IF($AY10&lt;270000,5250,IF($AY10&lt;280000,3500,IF($AY10&lt;290000,1750,0))))),IF($AY10&lt;125000,8750,IF($AY10&lt;130000,7000,IF($AY10&lt;135000,5250,IF($AY10&lt;140000,3500,IF($AY10&lt;145000,1750,0)))))))-IF(OR($AU10="Married",AND($AU10="Single",$AS10&gt;=3)),5820,2910))-INDEX('Methodology &amp; Sources'!$B$461:$J$464,0,4))*INDEX('Methodology &amp; Sources'!$B$461:$J$464,0,4+2)),SUMPRODUCT((MAX(0,$AY10-MIN(($P10-'Methodology &amp; Sources'!$C$260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Sources'!$B$461:$J$464,0,1))*(MAX(0,$AY10-MIN(($P10-'Methodology &amp; Sources'!$C$260*$D10)*Inputs!$C$8,IF(OR($AU10="Married",AND($AU10="Single",$AS10&gt;=3)),IF($AY10&lt;250000,8750,IF($AY10&lt;260000,7000,IF($AY10&lt;270000,5250,IF($AY10&lt;280000,3500,IF($AY10&lt;290000,1750,0))))),IF($AY10&lt;125000,8750,IF($AY10&lt;130000,7000,IF($AY10&lt;135000,5250,IF($AY10&lt;140000,3500,IF($AY10&lt;145000,1750,0)))))))-IF(OR($AU10="Married",AND($AU10="Single",$AS10&gt;=3)),5820,2910))-INDEX('Methodology &amp; Sources'!$B$461:$J$464,0,1))*INDEX('Methodology &amp; Sources'!$B$461:$J$464,0,1+2)))+263-263*IF(IF($AU10="Married",$AY10&gt;200000,$AY10&gt;100000),0,$AS10),IF($AN10="PA",0.0307*(($O10+$E10+$G10)*Inputs!$C$8),IF($AN10="NY",IF($AU10="Married",IF($AZ10&gt;=2155350,0,IF($AZ10&gt;=1077550,0.48,IF($AZ10&gt;=373200,1.21,IF($AZ10&gt;=323200,0.21,IF($AZ10&gt;=211550,-0.19,IF($AZ10&gt;=157650,-2.8,IF($AZ10&gt;=107650,-0.8,IF($AZ10&gt;=96800,0.05,IF($AZ10&gt;=80650,-0.1,IF($AZ10&gt;=13900,0.4,IF($AZ10&gt;=11700,-0.3,IF($AZ10&gt;=8500,0.5,0)))))))))))),IF($AZ10&gt;=1077550,0,IF($AZ10&gt;=265400,4.29,IF($AZ10&gt;=215400,2.29,IF($AZ10&gt;=157650,2.29,IF($AZ10&gt;=107650,0.29,IF($AZ10&gt;=96800,0.05,IF($AZ10&gt;=80650,-0.1,IF($AZ10&gt;=13900,0.4,IF($AZ10&gt;=11700,-0.3,IF($AZ10&gt;=8500,0.5,0))))))))))),0))))))))))))))))))</f>
      </c>
      <c r="BC10" s="7">
        <f>IF($B10="","",IF($AN10="AL",0.05*$D10,IF($AN10="AR",0.039*$D10,IF($AN10="ID",0.053*$D10,IF($AN10="IN",(0.0295+Inputs!$C$76)*$D10,IF($AN10="KS",0.05*$D10,IF($AN10="MA",0.09*MIN($D10,MAX(0,MAX(0,$AY10-MIN(($BD9+$Q10+$R10+$S10),2000)-IF($AS10=0,0,IF($AS10=1,4400,1000*$AS10+3400)))+$D10-1107750))+0.05*($D10-MIN($D10,MAX(0,MAX(0,$AY10-MIN(($BD9+$Q10+$R10+$S10),2000)-IF($AS10=0,0,IF($AS10=1,4400,1000*$AS10+3400)))+$D10-1107750))),IF($AN10="MD",(0.065+Inputs!$C$74)*$D10,IF($AN10="MI",0.0425*$D10,IF($AN10="MN",0.0625*$D10,IF($AN10="MO",0.047*$D10,IF($AN10="MT",0.05*$D10,IF($AN10="ND",0.015*$D10,IF($AN10="NE",0.035*$D10,IF($AN10="NJ",IF(Inputs!$C$77="B",SUMPRODUCT(($D10*Inputs!$C$8&gt;INDEX('Methodology &amp; Sources'!$B$405:$J$412,0,4))*($D10*Inputs!$C$8-INDEX('Methodology &amp; Sources'!$B$405:$J$412,0,4))*INDEX('Methodology &amp; Sources'!$B$405:$J$412,0,4+2)),IF(Inputs!$C$77="C",SUMPRODUCT(($D10*Inputs!$C$8&gt;INDEX('Methodology &amp; Sources'!$B$405:$J$412,0,7))*($D10*Inputs!$C$8-INDEX('Methodology &amp; Sources'!$B$405:$J$412,0,7))*INDEX('Methodology &amp; Sources'!$B$405:$J$412,0,7+2)),IF(Inputs!$C$77="D",SUMPRODUCT(($D10*Inputs!$C$8&gt;INDEX('Methodology &amp; Sources'!$B$417:$J$429,0,1))*($D10*Inputs!$C$8-INDEX('Methodology &amp; Sources'!$B$417:$J$429,0,1))*INDEX('Methodology &amp; Sources'!$B$417:$J$429,0,1+2)),IF(Inputs!$C$77="E",SUMPRODUCT(($D10*Inputs!$C$8&gt;INDEX('Methodology &amp; Sources'!$B$417:$J$429,0,4))*($D10*Inputs!$C$8-INDEX('Methodology &amp; Sources'!$B$417:$J$429,0,4))*INDEX('Methodology &amp; Sources'!$B$417:$J$429,0,4+2)),SUMPRODUCT(($D10*Inputs!$C$8&gt;INDEX('Methodology &amp; Sources'!$B$405:$J$412,0,1))*($D10*Inputs!$C$8-INDEX('Methodology &amp; Sources'!$B$405:$J$412,0,1))*INDEX('Methodology &amp; Sources'!$B$405:$J$412,0,1+2))))))/Inputs!$C$8,IF($AN10="NY",0.117*$D10,IF($AN10="OH",0.0275*$D10,IF($AN10="OK",0.045*$D10,IF($AN10="OR",0.08*$D10,IF($AN10="WI",IF($AY10&lt;12760,0.0354,IF($AY10&lt;25520,0.0465,IF($AY10&lt;280950,0.053,0.0765)))*$D10,0))))))))))))))))))))</f>
      </c>
      <c r="BD10" s="7">
        <f>IF($B10="","",$BD9+$Q10+$R10+$S10)</f>
      </c>
      <c r="BE10" s="6">
        <f>IF($B10="",$BE9,$BE9+$BF10)</f>
      </c>
      <c r="BF10" s="6">
        <f>IF($B10="","",IF(AND(IF(YEAR(IF(Inputs!$C$7="Weekly",Inputs!$C$9+7*(($BE9+1)-1),IF(Inputs!$C$7="Biweekly",Inputs!$C$9+14*(($BE9+1)-1),IF(Inputs!$C$7="Semimonthly",DATE(YEAR(Inputs!$C$9),MONTH(Inputs!$C$9)+INT((($BE9+1)-1)/2),MIN(DAY(Inputs!$C$9),DAY(EOMONTH(DATE(YEAR(Inputs!$C$9),MONTH(Inputs!$C$9)+INT((($BE9+1)-1)/2),1),0))))+IF(MOD(($BE9+1)-1,2)=1,15,0),EDATE(Inputs!$C$9,($BE9+1)-1)))))&lt;&gt;2026,"",IF(Inputs!$C$7="Weekly",Inputs!$C$9+7*(($BE9+1)-1),IF(Inputs!$C$7="Biweekly",Inputs!$C$9+14*(($BE9+1)-1),IF(Inputs!$C$7="Semimonthly",DATE(YEAR(Inputs!$C$9),MONTH(Inputs!$C$9)+INT((($BE9+1)-1)/2),MIN(DAY(Inputs!$C$9),DAY(EOMONTH(DATE(YEAR(Inputs!$C$9),MONTH(Inputs!$C$9)+INT((($BE9+1)-1)/2),1),0))))+IF(MOD(($BE9+1)-1,2)=1,15,0),EDATE(Inputs!$C$9,($BE9+1)-1)))))&lt;&gt;"",$B10=IF(YEAR(IF(Inputs!$C$7="Weekly",Inputs!$C$9+7*(($BE9+1)-1),IF(Inputs!$C$7="Biweekly",Inputs!$C$9+14*(($BE9+1)-1),IF(Inputs!$C$7="Semimonthly",DATE(YEAR(Inputs!$C$9),MONTH(Inputs!$C$9)+INT((($BE9+1)-1)/2),MIN(DAY(Inputs!$C$9),DAY(EOMONTH(DATE(YEAR(Inputs!$C$9),MONTH(Inputs!$C$9)+INT((($BE9+1)-1)/2),1),0))))+IF(MOD(($BE9+1)-1,2)=1,15,0),EDATE(Inputs!$C$9,($BE9+1)-1)))))&lt;&gt;2026,"",IF(Inputs!$C$7="Weekly",Inputs!$C$9+7*(($BE9+1)-1),IF(Inputs!$C$7="Biweekly",Inputs!$C$9+14*(($BE9+1)-1),IF(Inputs!$C$7="Semimonthly",DATE(YEAR(Inputs!$C$9),MONTH(Inputs!$C$9)+INT((($BE9+1)-1)/2),MIN(DAY(Inputs!$C$9),DAY(EOMONTH(DATE(YEAR(Inputs!$C$9),MONTH(Inputs!$C$9)+INT((($BE9+1)-1)/2),1),0))))+IF(MOD(($BE9+1)-1,2)=1,15,0),EDATE(Inputs!$C$9,($BE9+1)-1)))))),1,0))</f>
      </c>
      <c r="BG10" s="7">
        <f>IF($B10="","",$BG9+$H10)</f>
      </c>
      <c r="BH10" s="7">
        <f>IF($B10="","",$BH9+$I10)</f>
      </c>
      <c r="BI10" s="7">
        <f>IF($B10="","",$BI9+$G10)</f>
      </c>
      <c r="BJ10" s="7">
        <f>IF($B10="","",IFERROR(LOOKUP(2,1/((((Events!$C$6:$C$17="Deduction start"))*(Events!$D$6:$D$17="Health FSA"))*(Events!$B$6:$B$17&lt;=$B10)*(Events!$B$6:$B$17&lt;&gt;"")),Events!$E$6:$E$17),Inputs!$D$38))</f>
      </c>
      <c r="BK10" s="7">
        <f>IF($B10="","",IFERROR(LOOKUP(2,1/((((Events!$C$6:$C$17="Deduction start"))*(Events!$D$6:$D$17="Dependent-care FSA"))*(Events!$B$6:$B$17&lt;=$B10)*(Events!$B$6:$B$17&lt;&gt;"")),Events!$E$6:$E$17),Inputs!$D$39))</f>
      </c>
      <c r="BL10" s="7">
        <f>IF($B10="","",IFERROR(LOOKUP(2,1/((((Events!$C$6:$C$17="Deduction start")+(Events!$C$6:$C$17="Deduction stop"))*(Events!$D$6:$D$17="HSA"))*(Events!$B$6:$B$17&lt;=$B10)*(Events!$B$6:$B$17&lt;&gt;"")),Events!$I$6:$I$17),Inputs!$D$35))</f>
      </c>
      <c r="BM10" s="7">
        <f>IF($B10="","",IFERROR(LOOKUP(2,1/((((Events!$C$6:$C$17="Deduction start")+(Events!$C$6:$C$17="Deduction stop"))*(Events!$D$6:$D$17="Premiums"))*(Events!$B$6:$B$17&lt;=$B10)*(Events!$B$6:$B$17&lt;&gt;"")),Events!$I$6:$I$17),Inputs!$D$40+Inputs!$D$41+Inputs!$D$42))</f>
      </c>
      <c r="BN10" s="7">
        <f>IF($B10="","",IFERROR(LOOKUP(2,1/((((Events!$C$6:$C$17="Deduction start")+(Events!$C$6:$C$17="Deduction stop"))*(Events!$D$6:$D$17="Commuter"))*(Events!$B$6:$B$17&lt;=$B10)*(Events!$B$6:$B$17&lt;&gt;"")),Events!$I$6:$I$17),Inputs!$D$43))</f>
      </c>
      <c r="BO10" s="7">
        <f>IF($B10="","",IFERROR(LOOKUP(2,1/((((Events!$C$6:$C$17="Deduction start")+(Events!$C$6:$C$17="Deduction stop"))*(Events!$D$6:$D$17="Other pre-tax"))*(Events!$B$6:$B$17&lt;=$B10)*(Events!$B$6:$B$17&lt;&gt;"")),Events!$I$6:$I$17),Inputs!$D$44))</f>
      </c>
      <c r="BP10" s="7">
        <f>IF($B10="","",IFERROR(LOOKUP(2,1/((((Events!$C$6:$C$17="Deduction start")+(Events!$C$6:$C$17="Deduction stop"))*(Events!$D$6:$D$17="Other post-tax"))*(Events!$B$6:$B$17&lt;=$B10)*(Events!$B$6:$B$17&lt;&gt;"")),Events!$I$6:$I$17),Inputs!$D$45))</f>
      </c>
      <c r="BQ10" s="6">
        <f>IF($B10="","",IFERROR(LOOKUP(2,1/((((Events!$C$6:$C$17="Deduction start")+(Events!$C$6:$C$17="Deduction stop"))*(Events!$D$6:$D$17="Health FSA"))*(Events!$B$6:$B$17&lt;=$B10)*(Events!$B$6:$B$17&lt;&gt;"")),Events!$J$6:$J$17),0))</f>
      </c>
      <c r="BR10" s="6">
        <f>IF($B10="","",IFERROR(LOOKUP(2,1/((((Events!$C$6:$C$17="Deduction start")+(Events!$C$6:$C$17="Deduction stop"))*(Events!$D$6:$D$17="Dependent-care FSA"))*(Events!$B$6:$B$17&lt;=$B10)*(Events!$B$6:$B$17&lt;&gt;"")),Events!$J$6:$J$17),0))</f>
      </c>
      <c r="BS10" s="6">
        <f>IF($B10="","",IF(SUMPRODUCT((Events!$C$6:$C$17="Deduction start")*(Events!$B$6:$B$17&lt;=$B10)*(Events!$B$6:$B$17&lt;&gt;"")*(Events!$D$6:$D$17="Health FSA"))&gt;0,1,0))</f>
      </c>
      <c r="BT10" s="6">
        <f>IF($B10="","",IF(SUMPRODUCT((Events!$C$6:$C$17="Deduction start")*(Events!$B$6:$B$17&lt;=$B10)*(Events!$B$6:$B$17&lt;&gt;"")*(Events!$D$6:$D$17="Dependent-care FSA"))&gt;0,1,0))</f>
      </c>
      <c r="BU10" s="24">
        <f>IF($B10="","",IF(Inputs!$C$13,SUMPRODUCT(($AH10&gt;=INDEX('Methodology &amp; Sources'!$B$279:$J$286,0,IF(Inputs!$C$12="MFJ",1,IF(Inputs!$C$12="HoH",7,4))))*INDEX('Methodology &amp; Sources'!$B$279:$J$286,0,IF(Inputs!$C$12="MFJ",1,IF(Inputs!$C$12="HoH",7,4))+2)),SUMPRODUCT(($AH10&gt;=INDEX('Methodology &amp; Sources'!$B$269:$J$276,0,IF(Inputs!$C$12="MFJ",1,IF(Inputs!$C$12="HoH",7,4))))*INDEX('Methodology &amp; Sources'!$B$269:$J$276,0,IF(Inputs!$C$12="MFJ",1,IF(Inputs!$C$12="HoH",7,4))+2))))</f>
      </c>
      <c r="BV10" s="24">
        <f>IF($B10="","",IF($BZ10&lt;&gt;"",$BZ10,IF($CA10&lt;&gt;"",$CA10,IF($CB10&lt;&gt;"",$CB10,IF($CC10&lt;&gt;"",$CC10,0)))))</f>
      </c>
      <c r="BW10" s="7">
        <f>IF($B10="","",IF($AN10="MD",IF(OR($AU10="Married",$AU10="Head of household"),SUMPRODUCT(($AZ10&gt;INDEX('Methodology &amp; Sources'!$B$364:$J$370,0,1))*($AZ10-INDEX('Methodology &amp; Sources'!$B$364:$J$370,0,1))*INDEX('Methodology &amp; Sources'!$B$364:$J$370,0,1+2)),SUMPRODUCT(($AZ10&gt;INDEX('Methodology &amp; Sources'!$B$353:$J$359,0,7))*($AZ10-INDEX('Methodology &amp; Sources'!$B$353:$J$359,0,7))*INDEX('Methodology &amp; Sources'!$B$353:$J$359,0,7+2))),IF($AN10="MO",SUMPRODUCT(($AZ10&gt;INDEX('Methodology &amp; Sources'!$B$375:$J$382,0,1))*($AZ10-INDEX('Methodology &amp; Sources'!$B$375:$J$382,0,1))*INDEX('Methodology &amp; Sources'!$B$375:$J$382,0,1+2)),IF($AN10="MT",IF($AU10="Head of household",SUMPRODUCT(($AZ10&gt;INDEX('Methodology &amp; Sources'!$B$387:$J$389,0,1))*($AZ10-INDEX('Methodology &amp; Sources'!$B$387:$J$389,0,1))*INDEX('Methodology &amp; Sources'!$B$387:$J$389,0,1+2)),IF($AU10="Married",SUMPRODUCT(($AZ10&gt;INDEX('Methodology &amp; Sources'!$B$375:$J$382,0,7))*($AZ10-INDEX('Methodology &amp; Sources'!$B$375:$J$382,0,7))*INDEX('Methodology &amp; Sources'!$B$375:$J$382,0,7+2)),SUMPRODUCT(($AZ10&gt;INDEX('Methodology &amp; Sources'!$B$375:$J$382,0,4))*($AZ10-INDEX('Methodology &amp; Sources'!$B$375:$J$382,0,4))*INDEX('Methodology &amp; Sources'!$B$375:$J$382,0,4+2)))),IF($AN10="ND",IF($AU10="Head of household",SUMPRODUCT(($AZ10&gt;INDEX('Methodology &amp; Sources'!$B$394:$J$400,0,1))*($AZ10-INDEX('Methodology &amp; Sources'!$B$394:$J$400,0,1))*INDEX('Methodology &amp; Sources'!$B$394:$J$400,0,1+2)),IF($AU10="Married",SUMPRODUCT(($AZ10&gt;INDEX('Methodology &amp; Sources'!$B$387:$J$389,0,7))*($AZ10-INDEX('Methodology &amp; Sources'!$B$387:$J$389,0,7))*INDEX('Methodology &amp; Sources'!$B$387:$J$389,0,7+2)),SUMPRODUCT(($AZ10&gt;INDEX('Methodology &amp; Sources'!$B$387:$J$389,0,4))*($AZ10-INDEX('Methodology &amp; Sources'!$B$387:$J$389,0,4))*INDEX('Methodology &amp; Sources'!$B$387:$J$389,0,4+2)))),IF($AN10="NJ",IF(Inputs!$C$77="B",SUMPRODUCT(($AZ10&gt;INDEX('Methodology &amp; Sources'!$B$405:$J$412,0,4))*($AZ10-INDEX('Methodology &amp; Sources'!$B$405:$J$412,0,4))*INDEX('Methodology &amp; Sources'!$B$405:$J$412,0,4+2)),IF(Inputs!$C$77="C",SUMPRODUCT(($AZ10&gt;INDEX('Methodology &amp; Sources'!$B$405:$J$412,0,7))*($AZ10-INDEX('Methodology &amp; Sources'!$B$405:$J$412,0,7))*INDEX('Methodology &amp; Sources'!$B$405:$J$412,0,7+2)),IF(Inputs!$C$77="D",SUMPRODUCT(($AZ10&gt;INDEX('Methodology &amp; Sources'!$B$417:$J$429,0,1))*($AZ10-INDEX('Methodology &amp; Sources'!$B$417:$J$429,0,1))*INDEX('Methodology &amp; Sources'!$B$417:$J$429,0,1+2)),IF(Inputs!$C$77="E",SUMPRODUCT(($AZ10&gt;INDEX('Methodology &amp; Sources'!$B$417:$J$429,0,4))*($AZ10-INDEX('Methodology &amp; Sources'!$B$417:$J$429,0,4))*INDEX('Methodology &amp; Sources'!$B$417:$J$429,0,4+2)),SUMPRODUCT(($AZ10&gt;INDEX('Methodology &amp; Sources'!$B$405:$J$412,0,1))*($AZ10-INDEX('Methodology &amp; Sources'!$B$405:$J$412,0,1))*INDEX('Methodology &amp; Sources'!$B$405:$J$412,0,1+2)))))),IF($AN10="NY",IF($AU10="Married",IF($AZ10&gt;=2155350,$AZ10*IF($AZ10&gt;25000000,0.117,IF($AZ10&gt;5000000,0.111,0.1045)),SUMPRODUCT(($AZ10&gt;INDEX('Methodology &amp; Sources'!$B$434:$J$448,0,1))*($AZ10-INDEX('Methodology &amp; Sources'!$B$434:$J$448,0,1))*INDEX('Methodology &amp; Sources'!$B$434:$J$448,0,1+2))),IF($AZ10&gt;=1077550,$AZ10*IF($AZ10&gt;25000000,0.117,IF($AZ10&gt;5000000,0.111,0.1045)),SUMPRODUCT(($AZ10&gt;INDEX('Methodology &amp; Sources'!$B$417:$J$429,0,7))*($AZ10-INDEX('Methodology &amp; Sources'!$B$417:$J$429,0,7))*INDEX('Methodology &amp; Sources'!$B$417:$J$429,0,7+2)))),"")))))))</f>
      </c>
      <c r="BX10" s="7">
        <f>IF($B10="","",IF($AN10="AL",IF(OR($AU10="Married",$AU10="Head of household"),SUMPRODUCT(($AZ10&gt;INDEX('Methodology &amp; Sources'!$B$332:$J$336,0,4))*($AZ10-INDEX('Methodology &amp; Sources'!$B$332:$J$336,0,4))*INDEX('Methodology &amp; Sources'!$B$332:$J$336,0,4+2)),SUMPRODUCT(($AZ10&gt;INDEX('Methodology &amp; Sources'!$B$332:$J$336,0,1))*($AZ10-INDEX('Methodology &amp; Sources'!$B$332:$J$336,0,1))*INDEX('Methodology &amp; Sources'!$B$332:$J$336,0,1+2))),IF($AN10="KS",IF($AU10="Married",SUMPRODUCT(($AZ10&gt;INDEX('Methodology &amp; Sources'!$B$353:$J$359,0,4))*($AZ10-INDEX('Methodology &amp; Sources'!$B$353:$J$359,0,4))*INDEX('Methodology &amp; Sources'!$B$353:$J$359,0,4+2)),SUMPRODUCT(($AZ10&gt;INDEX('Methodology &amp; Sources'!$B$353:$J$359,0,1))*($AZ10-INDEX('Methodology &amp; Sources'!$B$353:$J$359,0,1))*INDEX('Methodology &amp; Sources'!$B$353:$J$359,0,1+2))),IF($AN10="MN",IF($AU10="Married",SUMPRODUCT(($AZ10&gt;INDEX('Methodology &amp; Sources'!$B$364:$J$370,0,7))*($AZ10-INDEX('Methodology &amp; Sources'!$B$364:$J$370,0,7))*INDEX('Methodology &amp; Sources'!$B$364:$J$370,0,7+2)),SUMPRODUCT(($AZ10&gt;INDEX('Methodology &amp; Sources'!$B$364:$J$370,0,4))*($AZ10-INDEX('Methodology &amp; Sources'!$B$364:$J$370,0,4))*INDEX('Methodology &amp; Sources'!$B$364:$J$370,0,4+2))),IF($AN10="NE",MAX(IF($AU10="Married",SUMPRODUCT(($AZ10&gt;INDEX('Methodology &amp; Sources'!$B$394:$J$400,0,7))*($AZ10-INDEX('Methodology &amp; Sources'!$B$394:$J$400,0,7))*INDEX('Methodology &amp; Sources'!$B$394:$J$400,0,7+2)),SUMPRODUCT(($AZ10&gt;INDEX('Methodology &amp; Sources'!$B$394:$J$400,0,4))*($AZ10-INDEX('Methodology &amp; Sources'!$B$394:$J$400,0,4))*INDEX('Methodology &amp; Sources'!$B$394:$J$400,0,4+2))),0.015*$AZ10),IF($AN10="OH",IF($B10&gt;=DATE(2026,8,1),SUMPRODUCT(($AZ10&gt;INDEX('Methodology &amp; Sources'!$B$453:$J$456,0,1))*($AZ10-INDEX('Methodology &amp; Sources'!$B$453:$J$456,0,1))*INDEX('Methodology &amp; Sources'!$B$453:$J$456,0,1+2)),SUMPRODUCT(($AZ10&gt;INDEX('Methodology &amp; Sources'!$B$434:$J$448,0,7))*($AZ10-INDEX('Methodology &amp; Sources'!$B$434:$J$448,0,7))*INDEX('Methodology &amp; Sources'!$B$434:$J$448,0,7+2))),IF($AN10="OK",IF($AU10="Married",SUMPRODUCT(($AZ10&gt;INDEX('Methodology &amp; Sources'!$B$453:$J$456,0,7))*($AZ10-INDEX('Methodology &amp; Sources'!$B$453:$J$456,0,7))*INDEX('Methodology &amp; Sources'!$B$453:$J$456,0,7+2)),SUMPRODUCT(($AZ10&gt;INDEX('Methodology &amp; Sources'!$B$453:$J$456,0,4))*($AZ10-INDEX('Methodology &amp; Sources'!$B$453:$J$456,0,4))*INDEX('Methodology &amp; Sources'!$B$453:$J$456,0,4+2))),IF($AN10="RI",SUMPRODUCT(($AZ10&gt;INDEX('Methodology &amp; Sources'!$B$461:$J$464,0,7))*($AZ10-INDEX('Methodology &amp; Sources'!$B$461:$J$464,0,7))*INDEX('Methodology &amp; Sources'!$B$461:$J$464,0,7+2)),IF($AN10="VT",IF($AU10="Married",SUMPRODUCT(($AZ10&gt;INDEX('Methodology &amp; Sources'!$B$478:$J$482,0,1))*($AZ10-INDEX('Methodology &amp; Sources'!$B$478:$J$482,0,1))*INDEX('Methodology &amp; Sources'!$B$478:$J$482,0,1+2)),SUMPRODUCT(($AZ10&gt;INDEX('Methodology &amp; Sources'!$B$469:$J$473,0,7))*($AZ10-INDEX('Methodology &amp; Sources'!$B$469:$J$473,0,7))*INDEX('Methodology &amp; Sources'!$B$469:$J$473,0,7+2))),IF($AN10="WV",IF($AU10="Married",SUMPRODUCT(($AZ10&gt;INDEX('Methodology &amp; Sources'!$B$487:$J$491,0,7))*($AZ10-INDEX('Methodology &amp; Sources'!$B$487:$J$491,0,7))*INDEX('Methodology &amp; Sources'!$B$487:$J$491,0,7+2)),SUMPRODUCT(($AZ10&gt;INDEX('Methodology &amp; Sources'!$B$478:$J$482,0,7))*($AZ10-INDEX('Methodology &amp; Sources'!$B$478:$J$482,0,7))*INDEX('Methodology &amp; Sources'!$B$478:$J$482,0,7+2))),""))))))))))</f>
      </c>
      <c r="BY10" s="7">
        <f>IF($B10="","",IF($AN10="AR",SUMPRODUCT(($AZ10&gt;INDEX('Methodology &amp; Sources'!$B$332:$J$336,0,7))*($AZ10-INDEX('Methodology &amp; Sources'!$B$332:$J$336,0,7))*INDEX('Methodology &amp; Sources'!$B$332:$J$336,0,7+2)),IF($AN10="DE",SUMPRODUCT(($AZ10&gt;INDEX('Methodology &amp; Sources'!$B$341:$J$348,0,1))*($AZ10-INDEX('Methodology &amp; Sources'!$B$341:$J$348,0,1))*INDEX('Methodology &amp; Sources'!$B$341:$J$348,0,1+2)),IF($AN10="HI",IF($AU10="Married",SUMPRODUCT(($AZ10&gt;INDEX('Methodology &amp; Sources'!$B$341:$J$348,0,7))*($AZ10-INDEX('Methodology &amp; Sources'!$B$341:$J$348,0,7))*INDEX('Methodology &amp; Sources'!$B$341:$J$348,0,7+2)),SUMPRODUCT(($AZ10&gt;INDEX('Methodology &amp; Sources'!$B$341:$J$348,0,4))*($AZ10-INDEX('Methodology &amp; Sources'!$B$341:$J$348,0,4))*INDEX('Methodology &amp; Sources'!$B$341:$J$348,0,4+2))),IF($AN10="SC",SUMPRODUCT(($AZ10&gt;INDEX('Methodology &amp; Sources'!$B$469:$J$473,0,1))*($AZ10-INDEX('Methodology &amp; Sources'!$B$469:$J$473,0,1))*INDEX('Methodology &amp; Sources'!$B$469:$J$473,0,1+2)),IF($AN10="VA",SUMPRODUCT(($AZ10&gt;INDEX('Methodology &amp; Sources'!$B$469:$J$473,0,4))*($AZ10-INDEX('Methodology &amp; Sources'!$B$469:$J$473,0,4))*INDEX('Methodology &amp; Sources'!$B$469:$J$473,0,4+2)),IF($AN10="WI",SUMPRODUCT(($AZ10&gt;INDEX('Methodology &amp; Sources'!$B$478:$J$482,0,4))*($AZ10-INDEX('Methodology &amp; Sources'!$B$478:$J$482,0,4))*INDEX('Methodology &amp; Sources'!$B$478:$J$482,0,4+2)),"")))))))</f>
      </c>
      <c r="BZ10" s="24">
        <f>IF($B10="","",IF($AN10="NJ",IF(Inputs!$C$77="B",SUMPRODUCT(($AZ10&gt;=INDEX('Methodology &amp; Sources'!$B$405:$J$412,0,4))*INDEX('Methodology &amp; Sources'!$B$405:$J$412,0,4+2)),IF(Inputs!$C$77="C",SUMPRODUCT(($AZ10&gt;=INDEX('Methodology &amp; Sources'!$B$405:$J$412,0,7))*INDEX('Methodology &amp; Sources'!$B$405:$J$412,0,7+2)),IF(Inputs!$C$77="D",SUMPRODUCT(($AZ10&gt;=INDEX('Methodology &amp; Sources'!$B$417:$J$429,0,1))*INDEX('Methodology &amp; Sources'!$B$417:$J$429,0,1+2)),IF(Inputs!$C$77="E",SUMPRODUCT(($AZ10&gt;=INDEX('Methodology &amp; Sources'!$B$417:$J$429,0,4))*INDEX('Methodology &amp; Sources'!$B$417:$J$429,0,4+2)),SUMPRODUCT(($AZ10&gt;=INDEX('Methodology &amp; Sources'!$B$405:$J$412,0,1))*INDEX('Methodology &amp; Sources'!$B$405:$J$412,0,1+2)))))),IF($AN10="OR",IF(OR($AU10="Married",AND($AU10="Single",$AS10&gt;=3)),SUMPRODUCT((MAX(0,$AY10-MIN(($P10-'Methodology &amp; Sources'!$C$260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Sources'!$B$461:$J$464,0,4))*INDEX('Methodology &amp; Sources'!$B$461:$J$464,0,4+2)),SUMPRODUCT((MAX(0,$AY10-MIN(($P10-'Methodology &amp; Sources'!$C$260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Sources'!$B$461:$J$464,0,1))*INDEX('Methodology &amp; Sources'!$B$461:$J$464,0,1+2)))*IF(($P10-'Methodology &amp; Sources'!$C$260*$D10)*Inputs!$C$8&gt;=IF(OR($AU10="Married",AND($AU10="Single",$AS10&gt;=3)),IF($AY10&lt;250000,8750,IF($AY10&lt;260000,7000,IF($AY10&lt;270000,5250,IF($AY10&lt;280000,3500,IF($AY10&lt;290000,1750,0))))),IF($AY10&lt;125000,8750,IF($AY10&lt;130000,7000,IF($AY10&lt;135000,5250,IF($AY10&lt;140000,3500,IF($AY10&lt;145000,1750,0)))))),1,1-IF(Inputs!$C$13,SUMPRODUCT(($AH10&gt;=INDEX('Methodology &amp; Sources'!$B$279:$J$286,0,IF(Inputs!$C$12="MFJ",1,IF(Inputs!$C$12="HoH",7,4))))*INDEX('Methodology &amp; Sources'!$B$279:$J$286,0,IF(Inputs!$C$12="MFJ",1,IF(Inputs!$C$12="HoH",7,4))+2)),SUMPRODUCT(($AH10&gt;=INDEX('Methodology &amp; Sources'!$B$269:$J$276,0,IF(Inputs!$C$12="MFJ",1,IF(Inputs!$C$12="HoH",7,4))))*INDEX('Methodology &amp; Sources'!$B$269:$J$276,0,IF(Inputs!$C$12="MFJ",1,IF(Inputs!$C$12="HoH",7,4))+2)))),IF($AN10="MI",IF($AY10&gt;5900*$AS10,0.0425,0),""))))</f>
      </c>
      <c r="CA10" s="24">
        <f>IF($B10="","",IF($AN10="AL",IF(OR($AU10="Married",$AU10="Head of household"),SUMPRODUCT(($AZ10&gt;=INDEX('Methodology &amp; Sources'!$B$332:$J$336,0,4))*INDEX('Methodology &amp; Sources'!$B$332:$J$336,0,4+2)),SUMPRODUCT(($AZ10&gt;=INDEX('Methodology &amp; Sources'!$B$332:$J$336,0,1))*INDEX('Methodology &amp; Sources'!$B$332:$J$336,0,1+2)))*(1-IF(Inputs!$C$13,SUMPRODUCT(($AH10&gt;=INDEX('Methodology &amp; Sources'!$B$279:$J$286,0,IF(Inputs!$C$12="MFJ",1,IF(Inputs!$C$12="HoH",7,4))))*INDEX('Methodology &amp; Sources'!$B$279:$J$286,0,IF(Inputs!$C$12="MFJ",1,IF(Inputs!$C$12="HoH",7,4))+2)),SUMPRODUCT(($AH10&gt;=INDEX('Methodology &amp; Sources'!$B$269:$J$276,0,IF(Inputs!$C$12="MFJ",1,IF(Inputs!$C$12="HoH",7,4))))*INDEX('Methodology &amp; Sources'!$B$269:$J$276,0,IF(Inputs!$C$12="MFJ",1,IF(Inputs!$C$12="HoH",7,4))+2)))),IF($AN10="KS",IF($AU10="Married",SUMPRODUCT(($AZ10&gt;=INDEX('Methodology &amp; Sources'!$B$353:$J$359,0,4))*INDEX('Methodology &amp; Sources'!$B$353:$J$359,0,4+2)),SUMPRODUCT(($AZ10&gt;=INDEX('Methodology &amp; Sources'!$B$353:$J$359,0,1))*INDEX('Methodology &amp; Sources'!$B$353:$J$359,0,1+2))),IF($AN10="MD",IF(OR($AU10="Married",$AU10="Head of household"),SUMPRODUCT(($AZ10&gt;=INDEX('Methodology &amp; Sources'!$B$364:$J$370,0,1))*INDEX('Methodology &amp; Sources'!$B$364:$J$370,0,1+2)),SUMPRODUCT(($AZ10&gt;=INDEX('Methodology &amp; Sources'!$B$353:$J$359,0,7))*INDEX('Methodology &amp; Sources'!$B$353:$J$359,0,7+2)))+Inputs!$C$74,IF($AN10="MT",IF($AU10="Head of household",SUMPRODUCT(($AZ10&gt;=INDEX('Methodology &amp; Sources'!$B$387:$J$389,0,1))*INDEX('Methodology &amp; Sources'!$B$387:$J$389,0,1+2)),IF($AU10="Married",SUMPRODUCT(($AZ10&gt;=INDEX('Methodology &amp; Sources'!$B$375:$J$382,0,7))*INDEX('Methodology &amp; Sources'!$B$375:$J$382,0,7+2)),SUMPRODUCT(($AZ10&gt;=INDEX('Methodology &amp; Sources'!$B$375:$J$382,0,4))*INDEX('Methodology &amp; Sources'!$B$375:$J$382,0,4+2)))),IF($AN10="ND",IF($AU10="Head of household",SUMPRODUCT(($AZ10&gt;=INDEX('Methodology &amp; Sources'!$B$394:$J$400,0,1))*INDEX('Methodology &amp; Sources'!$B$394:$J$400,0,1+2)),IF($AU10="Married",SUMPRODUCT(($AZ10&gt;=INDEX('Methodology &amp; Sources'!$B$387:$J$389,0,7))*INDEX('Methodology &amp; Sources'!$B$387:$J$389,0,7+2)),SUMPRODUCT(($AZ10&gt;=INDEX('Methodology &amp; Sources'!$B$387:$J$389,0,4))*INDEX('Methodology &amp; Sources'!$B$387:$J$389,0,4+2)))),IF($AN10="NY",IF($AU10="Married",IF($AZ10&gt;=2155350,IF($AZ10&gt;25000000,0.117,IF($AZ10&gt;5000000,0.111,0.1045)),SUMPRODUCT(($AZ10&gt;=INDEX('Methodology &amp; Sources'!$B$434:$J$448,0,1))*INDEX('Methodology &amp; Sources'!$B$434:$J$448,0,1+2))),IF($AZ10&gt;=1077550,IF($AZ10&gt;25000000,0.117,IF($AZ10&gt;5000000,0.111,0.1045)),SUMPRODUCT(($AZ10&gt;=INDEX('Methodology &amp; Sources'!$B$417:$J$429,0,7))*INDEX('Methodology &amp; Sources'!$B$417:$J$429,0,7+2)))),"")))))))</f>
      </c>
      <c r="CB10" s="24">
        <f>IF($B10="","",IF($AN10="CA",SUMPRODUCT(($AJ10&gt;=INDEX('Methodology &amp; Sources'!$B$289:$J$298,0,IF($AU10="Married",4,IF($AU10="Head of household",7,1))))*INDEX('Methodology &amp; Sources'!$B$289:$J$298,0,IF($AU10="Married",4,IF($AU10="Head of household",7,1))+2)),IF($AN10="HI",IF($AU10="Married",SUMPRODUCT(($AZ10&gt;=INDEX('Methodology &amp; Sources'!$B$341:$J$348,0,7))*INDEX('Methodology &amp; Sources'!$B$341:$J$348,0,7+2)),SUMPRODUCT(($AZ10&gt;=INDEX('Methodology &amp; Sources'!$B$341:$J$348,0,4))*INDEX('Methodology &amp; Sources'!$B$341:$J$348,0,4+2))),IF($AN10="MN",IF($AU10="Married",SUMPRODUCT(($AZ10&gt;=INDEX('Methodology &amp; Sources'!$B$364:$J$370,0,7))*INDEX('Methodology &amp; Sources'!$B$364:$J$370,0,7+2)),SUMPRODUCT(($AZ10&gt;=INDEX('Methodology &amp; Sources'!$B$364:$J$370,0,4))*INDEX('Methodology &amp; Sources'!$B$364:$J$370,0,4+2))),IF($AN10="MO",SUMPRODUCT(($AZ10&gt;=INDEX('Methodology &amp; Sources'!$B$375:$J$382,0,1))*INDEX('Methodology &amp; Sources'!$B$375:$J$382,0,1+2)),IF($AN10="NE",MAX(IF($AU10="Married",SUMPRODUCT(($AZ10&gt;=INDEX('Methodology &amp; Sources'!$B$394:$J$400,0,7))*INDEX('Methodology &amp; Sources'!$B$394:$J$400,0,7+2)),SUMPRODUCT(($AZ10&gt;=INDEX('Methodology &amp; Sources'!$B$394:$J$400,0,4))*INDEX('Methodology &amp; Sources'!$B$394:$J$400,0,4+2))),0.015),IF($AN10="OH",IF($B10&gt;=DATE(2026,8,1),SUMPRODUCT(($AZ10&gt;=INDEX('Methodology &amp; Sources'!$B$453:$J$456,0,1))*INDEX('Methodology &amp; Sources'!$B$453:$J$456,0,1+2)),SUMPRODUCT(($AZ10&gt;=INDEX('Methodology &amp; Sources'!$B$434:$J$448,0,7))*INDEX('Methodology &amp; Sources'!$B$434:$J$448,0,7+2))),IF($AN10="OK",IF($AU10="Married",SUMPRODUCT(($AZ10&gt;=INDEX('Methodology &amp; Sources'!$B$453:$J$456,0,7))*INDEX('Methodology &amp; Sources'!$B$453:$J$456,0,7+2)),SUMPRODUCT(($AZ10&gt;=INDEX('Methodology &amp; Sources'!$B$453:$J$456,0,4))*INDEX('Methodology &amp; Sources'!$B$453:$J$456,0,4+2))),IF($AN10="RI",SUMPRODUCT(($AZ10&gt;=INDEX('Methodology &amp; Sources'!$B$461:$J$464,0,7))*INDEX('Methodology &amp; Sources'!$B$461:$J$464,0,7+2)),IF($AN10="SC",SUMPRODUCT(($AZ10&gt;=INDEX('Methodology &amp; Sources'!$B$469:$J$473,0,1))*INDEX('Methodology &amp; Sources'!$B$469:$J$473,0,1+2)),IF($AN10="VT",IF($AU10="Married",SUMPRODUCT(($AZ10&gt;=INDEX('Methodology &amp; Sources'!$B$478:$J$482,0,1))*INDEX('Methodology &amp; Sources'!$B$478:$J$482,0,1+2)),SUMPRODUCT(($AZ10&gt;=INDEX('Methodology &amp; Sources'!$B$469:$J$473,0,7))*INDEX('Methodology &amp; Sources'!$B$469:$J$473,0,7+2))),IF($AN10="WV",IF($AU10="Married",SUMPRODUCT(($AZ10&gt;=INDEX('Methodology &amp; Sources'!$B$487:$J$491,0,7))*INDEX('Methodology &amp; Sources'!$B$487:$J$491,0,7+2)),SUMPRODUCT(($AZ10&gt;=INDEX('Methodology &amp; Sources'!$B$478:$J$482,0,7))*INDEX('Methodology &amp; Sources'!$B$478:$J$482,0,7+2))),IF($AN10="IN",(0.0295+Inputs!$C$76),"")))))))))))))</f>
      </c>
      <c r="CC10" s="24">
        <f>IF($B10="","",IF($AN10="AR",SUMPRODUCT(($AZ10&gt;=INDEX('Methodology &amp; Sources'!$B$332:$J$336,0,7))*INDEX('Methodology &amp; Sources'!$B$332:$J$336,0,7+2)),IF($AN10="DE",SUMPRODUCT(($AZ10&gt;=INDEX('Methodology &amp; Sources'!$B$341:$J$348,0,1))*INDEX('Methodology &amp; Sources'!$B$341:$J$348,0,1+2)),IF($AN10="VA",SUMPRODUCT(($AZ10&gt;=INDEX('Methodology &amp; Sources'!$B$469:$J$473,0,4))*INDEX('Methodology &amp; Sources'!$B$469:$J$473,0,4+2)),IF($AN10="WI",SUMPRODUCT(($AZ10&gt;=INDEX('Methodology &amp; Sources'!$B$478:$J$482,0,4))*INDEX('Methodology &amp; Sources'!$B$478:$J$482,0,4+2)),IF($AN10="AZ",Inputs!$C$82,IF($AN10="CO",IF($AY10&gt;IF($AU10="Married",10000,5000),0.044,0),IF($AN10="IA",IF($AY10&gt;IF($AU10="Head of household",19500,IF($AU10="Married",26000,13000)),0.038,0),IF($AN10="ID",IF($AY10&gt;IF($AU10="Married",32000,16094),0.053,0),IF($AN10="IL",IF($AY10&gt;(2925*$AS10+1000*$AT10),0.0495,0),IF($AN10="KY",IF($AI10&gt;3360,0.035,0),IF($AN10="LA",0.0309,IF($AN10="MA",IF(MAX(0,$AY10-MIN(($BD9+$Q10+$R10+$S10),2000)-IF($AS10=0,0,IF($AS10=1,4400,1000*$AS10+3400)))&gt;=1107750,0.09,0.05),IF($AN10="MS",IF($AI10-IF($AU10="Head of household",3400,IF($AU10="Married",4600,2300))-Inputs!$C$85&gt;10000,0.04,0),IF($AN10="PA",0.0307,"")))))))))))))))</f>
      </c>
      <c r="CD10" s="21">
        <f>IF(YEAR(IF(Inputs!$C$7="Weekly",Inputs!$C$9+7*(($BE9+1)-1),IF(Inputs!$C$7="Biweekly",Inputs!$C$9+14*(($BE9+1)-1),IF(Inputs!$C$7="Semimonthly",DATE(YEAR(Inputs!$C$9),MONTH(Inputs!$C$9)+INT((($BE9+1)-1)/2),MIN(DAY(Inputs!$C$9),DAY(EOMONTH(DATE(YEAR(Inputs!$C$9),MONTH(Inputs!$C$9)+INT((($BE9+1)-1)/2),1),0))))+IF(MOD(($BE9+1)-1,2)=1,15,0),EDATE(Inputs!$C$9,($BE9+1)-1)))))&lt;&gt;2026,"",IF(Inputs!$C$7="Weekly",Inputs!$C$9+7*(($BE9+1)-1),IF(Inputs!$C$7="Biweekly",Inputs!$C$9+14*(($BE9+1)-1),IF(Inputs!$C$7="Semimonthly",DATE(YEAR(Inputs!$C$9),MONTH(Inputs!$C$9)+INT((($BE9+1)-1)/2),MIN(DAY(Inputs!$C$9),DAY(EOMONTH(DATE(YEAR(Inputs!$C$9),MONTH(Inputs!$C$9)+INT((($BE9+1)-1)/2),1),0))))+IF(MOD(($BE9+1)-1,2)=1,15,0),EDATE(Inputs!$C$9,($BE9+1)-1)))))</f>
      </c>
      <c r="CE10" s="21">
        <f>IF(SUMPRODUCT(MIN(IF((Inputs!$C$58:$C$67&gt;MAX($B$6:$B9))*(Inputs!$C$58:$C$67&gt;=DATE(2026,1,1))*(Inputs!$C$58:$C$67&lt;=DATE(2026,12,31)),Inputs!$C$58:$C$67,999999)))=999999,"",SUMPRODUCT(MIN(IF((Inputs!$C$58:$C$67&gt;MAX($B$6:$B9))*(Inputs!$C$58:$C$67&gt;=DATE(2026,1,1))*(Inputs!$C$58:$C$67&lt;=DATE(2026,12,31)),Inputs!$C$58:$C$67,999999))))</f>
      </c>
    </row>
    <row r="11">
      <c r="A11" t="n">
        <v>6</v>
      </c>
      <c r="B11" s="21">
        <f>IF(AND($CD11="",$CE11=""),"",IF($CE11="",$CD11,IF($CD11="",$CE11,MIN($CD11,$CE11))))</f>
      </c>
      <c r="C11" s="7">
        <f>IF($B11="","",IF($BF11=0,0,IF(Inputs!$C$4="Annual salary",ROUND($AK11/IF(AND(Inputs!$C$88="Actual paydays",MONTH(Inputs!$C$9)=1),MAX(1,MAX($BE$6:$BE$68)),Inputs!$C$8),2),$AK11)))</f>
      </c>
      <c r="D11" s="7">
        <f>IF($B11="","",SUMIF(Inputs!$C$58:$C$67,$B11,Inputs!$D$58:$D$67))</f>
      </c>
      <c r="E11" s="7">
        <f>IF($B11="","",ROUND(MAX(0,MIN(IF($AL11="Percent",$AM11*($C11+$D11),$AM11),MAX(0,Inputs!$C$91-$AC10))),2))</f>
      </c>
      <c r="F11" s="7">
        <f>IF($B11="","",ROUND(MAX(0,MIN(IF(Inputs!$C$32="Percent",Inputs!$D$32*($C11+$D11),Inputs!$D$32),MAX(0,Inputs!$C$91-$AC10-$E11))),2))</f>
      </c>
      <c r="G11" s="7">
        <f>IF($B11="","",IF($BF11=0,0,ROUND(MAX(0,MIN($BL11,Inputs!$C$92-Inputs!$C$54-$BI10)),2)))</f>
      </c>
      <c r="H11" s="7">
        <f>IF($B11="","",IF(OR($BF11=0,$BQ11=1),0,ROUND(MAX(0,MIN(IF($BS11=1,ROUND(MAX(0,MIN($BJ11,'Methodology &amp; Sources'!$C$263)-$BG10)/MAX(1,MAX($BE$6:$BE$68)-($BE10)),2),ROUND(MIN($BJ11,'Methodology &amp; Sources'!$C$263)/Inputs!$C$8,2)),MIN($BJ11,'Methodology &amp; Sources'!$C$263)-$BG10)),2)))</f>
      </c>
      <c r="I11" s="7">
        <f>IF($B11="","",IF(OR($BF11=0,$BR11=1),0,ROUND(MAX(0,MIN(IF($BT11=1,ROUND(MAX(0,MIN($BK11,IF(Inputs!$C$12="MFJ",'Methodology &amp; Sources'!$C$264,'Methodology &amp; Sources'!$C$265))-$BH10)/MAX(1,MAX($BE$6:$BE$68)-($BE10)),2),ROUND(MIN($BK11,IF(Inputs!$C$12="MFJ",'Methodology &amp; Sources'!$C$264,'Methodology &amp; Sources'!$C$265))/Inputs!$C$8,2)),MIN($BK11,IF(Inputs!$C$12="MFJ",'Methodology &amp; Sources'!$C$264,'Methodology &amp; Sources'!$C$265))-$BH10)),2)))</f>
      </c>
      <c r="J11" s="7">
        <f>IF($B11="","",IF($BF11=0,0,$BM11))</f>
      </c>
      <c r="K11" s="7">
        <f>IF($B11="","",IF($BF11=0,0,$BN11+$BO11))</f>
      </c>
      <c r="L11" s="7">
        <f>IF($B11="","",IF($BF11=0,0,Inputs!$D$46))</f>
      </c>
      <c r="M11" s="7">
        <f>IF($B11="","",$C11+$D11+$L11-$E11-$G11-$H11-$I11-$J11-$K11)</f>
      </c>
      <c r="N11" s="7">
        <f>IF($B11="","",$C11+$D11+$L11-$G11-$H11-$I11-$J11-$K11)</f>
      </c>
      <c r="O11" s="7">
        <f>IF($B11="","",$C11+$D11+$L11-$E11-$H11-$I11-$J11-$K11-IF(OR($AN11="CA",$AN11="NJ"),0,$G11))</f>
      </c>
      <c r="P11" s="7">
        <f>IF($B11="","",IF(Inputs!$C$18,0,ROUND(MAX(0,IF(Inputs!$C$13,SUMPRODUCT(($AH11&gt;INDEX('Methodology &amp; Sources'!$B$279:$J$286,0,IF(Inputs!$C$12="MFJ",1,IF(Inputs!$C$12="HoH",7,4))))*($AH11-INDEX('Methodology &amp; Sources'!$B$279:$J$286,0,IF(Inputs!$C$12="MFJ",1,IF(Inputs!$C$12="HoH",7,4))))*INDEX('Methodology &amp; Sources'!$B$279:$J$286,0,IF(Inputs!$C$12="MFJ",1,IF(Inputs!$C$12="HoH",7,4))+2)),SUMPRODUCT(($AH11&gt;INDEX('Methodology &amp; Sources'!$B$269:$J$276,0,IF(Inputs!$C$12="MFJ",1,IF(Inputs!$C$12="HoH",7,4))))*($AH11-INDEX('Methodology &amp; Sources'!$B$269:$J$276,0,IF(Inputs!$C$12="MFJ",1,IF(Inputs!$C$12="HoH",7,4))))*INDEX('Methodology &amp; Sources'!$B$269:$J$276,0,IF(Inputs!$C$12="MFJ",1,IF(Inputs!$C$12="HoH",7,4))+2)))/Inputs!$C$8-$AO11/Inputs!$C$8)+$AR11+IF(Inputs!$C$89="Aggregate",MAX(0,IF(Inputs!$C$13,SUMPRODUCT((($AH11+$D11)&gt;INDEX('Methodology &amp; Sources'!$B$279:$J$286,0,IF(Inputs!$C$12="MFJ",1,IF(Inputs!$C$12="HoH",7,4))))*(($AH11+$D11)-INDEX('Methodology &amp; Sources'!$B$279:$J$286,0,IF(Inputs!$C$12="MFJ",1,IF(Inputs!$C$12="HoH",7,4))))*INDEX('Methodology &amp; Sources'!$B$279:$J$286,0,IF(Inputs!$C$12="MFJ",1,IF(Inputs!$C$12="HoH",7,4))+2)),SUMPRODUCT((($AH11+$D11)&gt;INDEX('Methodology &amp; Sources'!$B$269:$J$276,0,IF(Inputs!$C$12="MFJ",1,IF(Inputs!$C$12="HoH",7,4))))*(($AH11+$D11)-INDEX('Methodology &amp; Sources'!$B$269:$J$276,0,IF(Inputs!$C$12="MFJ",1,IF(Inputs!$C$12="HoH",7,4))))*INDEX('Methodology &amp; Sources'!$B$269:$J$276,0,IF(Inputs!$C$12="MFJ",1,IF(Inputs!$C$12="HoH",7,4))+2)))-IF(Inputs!$C$13,SUMPRODUCT(($AH11&gt;INDEX('Methodology &amp; Sources'!$B$279:$J$286,0,IF(Inputs!$C$12="MFJ",1,IF(Inputs!$C$12="HoH",7,4))))*($AH11-INDEX('Methodology &amp; Sources'!$B$279:$J$286,0,IF(Inputs!$C$12="MFJ",1,IF(Inputs!$C$12="HoH",7,4))))*INDEX('Methodology &amp; Sources'!$B$279:$J$286,0,IF(Inputs!$C$12="MFJ",1,IF(Inputs!$C$12="HoH",7,4))+2)),SUMPRODUCT(($AH11&gt;INDEX('Methodology &amp; Sources'!$B$269:$J$276,0,IF(Inputs!$C$12="MFJ",1,IF(Inputs!$C$12="HoH",7,4))))*($AH11-INDEX('Methodology &amp; Sources'!$B$269:$J$276,0,IF(Inputs!$C$12="MFJ",1,IF(Inputs!$C$12="HoH",7,4))))*INDEX('Methodology &amp; Sources'!$B$269:$J$276,0,IF(Inputs!$C$12="MFJ",1,IF(Inputs!$C$12="HoH",7,4))+2)))),'Methodology &amp; Sources'!$C$260*$D11),2)))</f>
      </c>
      <c r="Q11" s="7">
        <f>IF($B11="","",ROUND('Methodology &amp; Sources'!$C$254*MIN($N11,MAX(0,'Methodology &amp; Sources'!$C$253-($AX11+$AB10-$AW11))),2))</f>
      </c>
      <c r="R11" s="7">
        <f>IF($B11="","",ROUND('Methodology &amp; Sources'!$C$255*$N11,2))</f>
      </c>
      <c r="S11" s="7">
        <f>IF($B11="","",ROUND('Methodology &amp; Sources'!$C$256*MAX(0,MIN($N11,$AG10+$N11-'Methodology &amp; Sources'!$C$257)),2))</f>
      </c>
      <c r="T11" s="7">
        <f>IF($B11="","",IF(Inputs!$C$26,0,IF($AN11="CA",ROUND(IF($AI11&lt;=IF(($AS11+$AT11)&gt;=2,VLOOKUP($AN11,'StateTables 2026'!$A$6:$AB$56,10,FALSE),VLOOKUP($AN11,'StateTables 2026'!$A$6:$AB$56,9,FALSE)),0,MAX(0,SUMPRODUCT(($AJ11&gt;INDEX('Methodology &amp; Sources'!$B$289:$J$298,0,IF($AU11="Married",4,IF($AU11="Head of household",7,1))))*($AJ11-INDEX('Methodology &amp; Sources'!$B$289:$J$298,0,IF($AU11="Married",4,IF($AU11="Head of household",7,1))))*INDEX('Methodology &amp; Sources'!$B$289:$J$298,0,IF($AU11="Married",4,IF($AU11="Head of household",7,1))+2))-VLOOKUP($AN11,'StateTables 2026'!$A$6:$AB$56,11,FALSE)*$AS11)/Inputs!$C$8)+Inputs!$C$25+VLOOKUP($AN11,'StateTables 2026'!$A$6:$AB$56,13,FALSE)*$D11,2),IF(VLOOKUP($AN11,'StateTables 2026'!$A$6:$AB$56,4,FALSE)="None",0,IF(ISNUMBER(SEARCH("MANUAL",VLOOKUP($AN11,'StateTables 2026'!$A$6:$AB$56,5,FALSE))),Inputs!$C$28,ROUND(MAX(0,$BA11+$BB11)/Inputs!$C$8+Inputs!$C$25+$BC11,2))))))</f>
      </c>
      <c r="U11" s="7">
        <f>IF($B11="","",IF(VLOOKUP($AN11,'StateTables 2026'!$A$6:$AB$56,24,FALSE)="flatq",IF(OR(MONTH($B11)=1,MONTH($B11)=4,MONTH($B11)=7,MONTH($B11)=10),VLOOKUP($AN11,'StateTables 2026'!$A$6:$AB$56,25,FALSE),0),IF(VLOOKUP($AN11,'StateTables 2026'!$A$6:$AB$56,24,FALSE)="dbl",MIN(ROUND(0.005*$N11,2),ROUND(0.6*52/Inputs!$C$8,2)),IF(OR(VLOOKUP($AN11,'StateTables 2026'!$A$6:$AB$56,15,FALSE)="",VLOOKUP($AN11,'StateTables 2026'!$A$6:$AB$56,15,FALSE)=0),0,ROUND(VLOOKUP($AN11,'StateTables 2026'!$A$6:$AB$56,15,FALSE)*IF(OR(VLOOKUP($AN11,'StateTables 2026'!$A$6:$AB$56,16,FALSE)="",VLOOKUP($AN11,'StateTables 2026'!$A$6:$AB$56,16,FALSE)=0),$N11,MIN($N11,MAX(0,VLOOKUP($AN11,'StateTables 2026'!$A$6:$AB$56,16,FALSE)-($AX11+$AB10-$AW11)))),2))))+IF(VLOOKUP($AN11,'StateTables 2026'!$A$6:$AB$56,27,FALSE)="flatq",IF(OR(MONTH($B11)=1,MONTH($B11)=4,MONTH($B11)=7,MONTH($B11)=10),VLOOKUP($AN11,'StateTables 2026'!$A$6:$AB$56,28,FALSE),0),IF(VLOOKUP($AN11,'StateTables 2026'!$A$6:$AB$56,27,FALSE)="dbl",MIN(ROUND(0.005*$N11,2),ROUND(0.6*52/Inputs!$C$8,2)),IF(OR(VLOOKUP($AN11,'StateTables 2026'!$A$6:$AB$56,18,FALSE)="",VLOOKUP($AN11,'StateTables 2026'!$A$6:$AB$56,18,FALSE)=0),0,ROUND(VLOOKUP($AN11,'StateTables 2026'!$A$6:$AB$56,18,FALSE)*IF(OR(VLOOKUP($AN11,'StateTables 2026'!$A$6:$AB$56,19,FALSE)="",VLOOKUP($AN11,'StateTables 2026'!$A$6:$AB$56,19,FALSE)=0),$N11,MIN($N11,MAX(0,VLOOKUP($AN11,'StateTables 2026'!$A$6:$AB$56,19,FALSE)-($AX11+$AB10-$AW11)))),2)))))</f>
      </c>
      <c r="V11" s="7">
        <f>IF($B11="","",IF($AN11="NY",IF(Inputs!$C$78,ROUND(SUMPRODUCT((MAX(0,($O11-$D11)*Inputs!$C$8-(IF($AU11="Married",5500,5000)+1000*$AS11))&gt;INDEX('Methodology &amp; Sources'!$B$434:$J$448,0,4))*(MAX(0,($O11-$D11)*Inputs!$C$8-(IF($AU11="Married",5500,5000)+1000*$AS11))-INDEX('Methodology &amp; Sources'!$B$434:$J$448,0,4))*INDEX('Methodology &amp; Sources'!$B$434:$J$448,0,4+2))/Inputs!$C$8+0.0425*$D11,2),0)+IF(Inputs!$C$79="Resident",ROUND(0.1675*$T11,2),IF(Inputs!$C$79="Nonresident",ROUND(0.005*MAX(0,($O11-$D11)-(IF($AU11="Married",7950,7400)+1000*$AS11)/Inputs!$C$8),2),0)),IF($AN11="PA",IF(Inputs!$C$80="None",Inputs!$C$27+ROUND(Inputs!$C$81*($C11+$D11),2),ROUND(IF(Inputs!$C$80="Resident",IF($B11&lt;DATE(2026,7,1),0.0374,0.03735),IF($B11&lt;DATE(2026,7,1),0.0343,0.03425))*($C11+$D11),2)),IF($BF11=0,ROUND(Inputs!$C$81*($C11+$D11),2),Inputs!$C$27+ROUND(Inputs!$C$81*($C11+$D11),2)))))</f>
      </c>
      <c r="W11" s="7">
        <f>IF($B11="","",IF($BF11=0,0,$BP11))</f>
      </c>
      <c r="X11" s="7">
        <f>IF($B11="","",SUM($E11:$K11)+$P11+$Q11+$R11+$S11+$T11+$U11+$V11+$W11)</f>
      </c>
      <c r="Y11" s="22">
        <f>IF($B11="","",$C11+$D11-$X11)</f>
      </c>
      <c r="Z11" s="7">
        <f>IF($B11="","",$Z10+$C11+$D11)</f>
      </c>
      <c r="AA11" s="7">
        <f>IF($B11="","",$AA10+$Y11)</f>
      </c>
      <c r="AB11" s="7">
        <f>IF($B11="","",$AB10+MIN($N11,MAX(0,'Methodology &amp; Sources'!$C$253-($AX11+$AB10-$AW11))))</f>
      </c>
      <c r="AC11" s="7">
        <f>IF($B11="","",$AC10+$E11+$F11)</f>
      </c>
      <c r="AD11" s="3">
        <f>IF($B11="","",IF(AND($AB10&lt;'Methodology &amp; Sources'!$C$253,$AB11&gt;='Methodology &amp; Sources'!$C$253),"★ Social Security maxed on this check — from the next check your net rises by about $"&amp;TEXT(ROUND('Methodology &amp; Sources'!$C$254*$N11,2),"#,##0.00")&amp;". ","")&amp;IF(AND($AC10&lt;Inputs!$C$91,$AC11&gt;=Inputs!$C$91),"★ 401(k) reaches the $"&amp;TEXT(Inputs!$C$91,"#,##0")&amp;" cap on this check — deferrals stop and net pay rises. ","")&amp;IF(AND($AG10&lt;'Methodology &amp; Sources'!$C$257,$AG11&gt;='Methodology &amp; Sources'!$C$257),"★ Wages pass $200,000 — the 0.9% Additional Medicare Tax starts here. ","")&amp;IF(AND($BJ11&gt;0,$H11&gt;0,$BG10&lt;MIN($BJ11,'Methodology &amp; Sources'!$C$263),$BG10+$H11&gt;=MIN($BJ11,'Methodology &amp; Sources'!$C$263)),"★ Health FSA election is now fully deferred for the year. ",""))</f>
      </c>
      <c r="AE11" s="41" t="n"/>
      <c r="AF11" s="7">
        <f>IF(OR($B11="",$AE11=""),"",$AE11-$Y11)</f>
      </c>
      <c r="AG11" s="7">
        <f>IF($B11="","",$AG10+$N11)</f>
      </c>
      <c r="AH11" s="7">
        <f>IF($B11="","",MAX(0,($M11-$D11)*Inputs!$C$8+$AP11-$AQ11-IF(Inputs!$C$13,0,IF(Inputs!$C$12="MFJ",'Methodology &amp; Sources'!$C$258,'Methodology &amp; Sources'!$C$259))))</f>
      </c>
      <c r="AI11" s="7">
        <f>IF($B11="","",$O11*Inputs!$C$8)</f>
      </c>
      <c r="AJ11" s="7">
        <f>IF($B11="","",MAX(0,$AI11-VLOOKUP($AN11,'StateTables 2026'!$A$6:$AB$56,12,FALSE)*$AT11-IF(($AS11+$AT11)&gt;=2,VLOOKUP($AN11,'StateTables 2026'!$A$6:$AB$56,8,FALSE),VLOOKUP($AN11,'StateTables 2026'!$A$6:$AB$56,7,FALSE))))</f>
      </c>
      <c r="AK11" s="7">
        <f>IF($B11="","",IFERROR(LOOKUP(2,1/((Events!$C$6:$C$17="Salary change")*(Events!$B$6:$B$17&lt;=$B11)*(Events!$B$6:$B$17&lt;&gt;"")),Events!$D$6:$D$17),IF(Inputs!$C$4="Annual salary",Inputs!$C$5,Inputs!$C$6)))</f>
      </c>
      <c r="AL11">
        <f>IF($B11="","",IFERROR(LOOKUP(2,1/((Events!$C$6:$C$17="401(k) change")*(Events!$B$6:$B$17&lt;=$B11)*(Events!$B$6:$B$17&lt;&gt;"")),Events!$D$6:$D$17),Inputs!$C$30))</f>
      </c>
      <c r="AM11" s="7">
        <f>IF($B11="","",IFERROR(LOOKUP(2,1/((Events!$C$6:$C$17="401(k) change")*(Events!$B$6:$B$17&lt;=$B11)*(Events!$B$6:$B$17&lt;&gt;"")),Events!$E$6:$E$17),Inputs!$D$30))</f>
      </c>
      <c r="AN11">
        <f>IF($B11="","",IFERROR(LOOKUP(2,1/((Events!$C$6:$C$17="State move")*(Events!$B$6:$B$17&lt;=$B11)*(Events!$B$6:$B$17&lt;&gt;"")),Events!$D$6:$D$17),Inputs!$C$21))</f>
      </c>
      <c r="AO11" s="7">
        <f>IF($B11="","",IFERROR(LOOKUP(2,1/((Events!$C$6:$C$17="W-4 change")*(Events!$B$6:$B$17&lt;=$B11)*(Events!$B$6:$B$17&lt;&gt;"")),Events!$D$6:$D$17),Inputs!$C$14))</f>
      </c>
      <c r="AP11" s="7">
        <f>IF($B11="","",IFERROR(LOOKUP(2,1/((Events!$C$6:$C$17="W-4 change")*(Events!$B$6:$B$17&lt;=$B11)*(Events!$B$6:$B$17&lt;&gt;"")),Events!$E$6:$E$17),Inputs!$C$15))</f>
      </c>
      <c r="AQ11" s="7">
        <f>IF($B11="","",IFERROR(LOOKUP(2,1/((Events!$C$6:$C$17="W-4 change")*(Events!$B$6:$B$17&lt;=$B11)*(Events!$B$6:$B$17&lt;&gt;"")),Events!$F$6:$F$17),Inputs!$C$16))</f>
      </c>
      <c r="AR11" s="7">
        <f>IF($B11="","",IFERROR(LOOKUP(2,1/((Events!$C$6:$C$17="W-4 change")*(Events!$B$6:$B$17&lt;=$B11)*(Events!$B$6:$B$17&lt;&gt;"")),Events!$G$6:$G$17),Inputs!$C$17))</f>
      </c>
      <c r="AS11" s="6">
        <f>IF($B11="","",IFERROR(LOOKUP(2,1/(((Events!$C$6:$C$17="State move")+(Events!$C$6:$C$17="State cert change"))*(Events!$B$6:$B$17&lt;=$B11)*(Events!$B$6:$B$17&lt;&gt;"")),Events!$F$6:$F$17),Inputs!$C$23))</f>
      </c>
      <c r="AT11" s="6">
        <f>IF($B11="","",IFERROR(LOOKUP(2,1/(((Events!$C$6:$C$17="State move")+(Events!$C$6:$C$17="State cert change"))*(Events!$B$6:$B$17&lt;=$B11)*(Events!$B$6:$B$17&lt;&gt;"")),Events!$G$6:$G$17),Inputs!$C$24))</f>
      </c>
      <c r="AU11">
        <f>IF($B11="","",IFERROR(LOOKUP(2,1/((Events!$C$6:$C$17="State move")*(Events!$B$6:$B$17&lt;=$B11)*(Events!$B$6:$B$17&lt;&gt;"")),Events!$E$6:$E$17),Inputs!$C$22))</f>
      </c>
      <c r="AV11" s="6">
        <f>IF($B11="","",1+COUNTIFS(Events!$C$6:$C$17,"Employer change",Events!$B$6:$B$17,"&lt;="&amp;$B11,Events!$B$6:$B$17,"&lt;&gt;"))</f>
      </c>
      <c r="AW11" s="7">
        <f>IF($B11="","",IF($AV11=1,Inputs!$C$49,IF(IFERROR(MATCH(IFERROR(LOOKUP(2,1/((Events!$C$6:$C$17="Employer change")*(Events!$B$6:$B$17&lt;=$B11)*(Events!$B$6:$B$17&lt;&gt;"")),Events!$B$6:$B$17),""),$B$6:$B$68,1),1)&lt;=1,Inputs!$C$49,INDEX($AB$6:$AB$68,MATCH(IFERROR(LOOKUP(2,1/((Events!$C$6:$C$17="Employer change")*(Events!$B$6:$B$17&lt;=$B11)*(Events!$B$6:$B$17&lt;&gt;"")),Events!$B$6:$B$17),""),$B$6:$B$68,1)-1))))</f>
      </c>
      <c r="AX11" s="7">
        <f>IF($B11="","",IF($AV11=1,Inputs!$C$49,IFERROR(LOOKUP(2,1/((Events!$C$6:$C$17="Employer change")*(Events!$B$6:$B$17&lt;=$B11)*(Events!$B$6:$B$17&lt;&gt;"")),Events!$D$6:$D$17),0)))</f>
      </c>
      <c r="AY11" s="7">
        <f>IF($B11="","",($O11-$D11)*Inputs!$C$8)</f>
      </c>
      <c r="AZ11" s="7">
        <f>IF($B11="","",IF($AN11="AL",MAX(0,$AY11-IF($AU11="Married",IF($AY11&lt;=25999,8500,MAX(5000,8500-175*CEILING(($AY11-25999)/500,1))),IF($AU11="Head of household",IF($AY11&lt;=25999,5200,MAX(2500,5200-135*CEILING(($AY11-25999)/500,1))),IF($AY11&lt;=25999,3000,MAX(2500,3000-25*CEILING(($AY11-25999)/500,1)))))-($P11-'Methodology &amp; Sources'!$C$260*$D11)*Inputs!$C$8-IF(OR($AU11="Married",$AU11="Head of household"),3000,1500)-$AT11*IF($AY11&lt;=50000,1000,IF($AY11&lt;=100000,500,300))),IF($AN11="AR",IF(MAX(0,$AY11-2470)&lt;97701,INT(MAX(0,$AY11-2470)/100)*100+50,MAX(0,$AY11-2470)),IF($AN11="DE",MAX(0,$AI11-3250),IF($AN11="HI",MAX(0,$AI11-1144*$AS11-4350),IF($AN11="KS",MAX(0,$AI11-(9160*IF($AU11="Married",2,1)+2320*$AT11+IF($AU11="Head of household",2320,0))),IF($AN11="MD",MAX(0,$AI11-3400-3200*$AS11),IF($AN11="MN",MAX(0,$AY11-5300*$AS11),IF($AN11="MO",MAX(0,$AI11-IF($AU11="Head of household",24150,IF($AU11="Married",IF(Inputs!$C$83,16100,32200),16100))),IF($AN11="MT",$AY11,IF($AN11="ND",($C11+$L11)*Inputs!$C$8,IF($AN11="NE",MAX(0,$AY11-2440*$AS11),IF($AN11="NJ",MAX(0,$AY11-1000*$AS11),IF($AN11="NY",MAX(0,$AY11-(IF($AU11="Married",7950,7400)+1000*$AS11)),IF($AN11="OH",MAX(0,$AY11-650*$AS11),IF($AN11="OK",MAX(0,$AY11-1000*$AS11),IF($AN11="RI",MAX(0,$AI11-1000*$AS11),IF($AN11="SC",MAX(0,$AI11-5000*$AS11-IF($AS11=0,0,MIN(0.1*$AI11,7500))),IF($AN11="VA",MAX(0,$AI11-IF($AU11="Married",17500,8750)-930*$AS11-800*$AT11),IF($AN11="VT",MAX(0,$AI11-5400*$AS11),IF($AN11="WI",MAX(0,$AI11-MAX(0,IF($AU11="Married",9461-0.2*MAX(0,$AI11-25727),6702-0.12*MAX(0,$AI11-17780)))-400*$AS11),IF($AN11="WV",MAX(0,$AI11-2000*$AS11),$AI11))))))))))))))))))))))</f>
      </c>
      <c r="BA11" s="7">
        <f>IF($B11="","",IF($BW11&lt;&gt;"",$BW11,IF($BX11&lt;&gt;"",$BX11,IF($BY11&lt;&gt;"",$BY11,0))))</f>
      </c>
      <c r="BB11" s="7">
        <f>IF($B11="","",IF($AN11="AR",-29*$AS11,IF($AN11="DE",-110*$AS11,IF($AN11="MD",$AZ11*Inputs!$C$74,IF($AN11="AZ",Inputs!$C$82*($M11-$D11)*Inputs!$C$8,IF($AN11="CO",0.044*MAX(0,$AY11-IF($AU11="Married",10000,5000)),IF($AN11="IA",MAX(0,0.038*MAX(0,$AY11-IF($AU11="Head of household",19500,IF($AU11="Married",26000,13000)))-40*$AS11),IF($AN11="ID",0.053*MAX(0,$AY11-IF($AU11="Married",32000,16094)),IF($AN11="IL",0.0495*MAX(0,$AY11-(2925*$AS11+1000*$AT11)),IF($AN11="IN",(0.0295+Inputs!$C$76)*MAX(0,$AY11-(1000*$AS11+1500*$AT11+3000*Inputs!$C$86)),IF($AN11="KY",0.035*MAX(0,$AI11-3360),IF($AN11="LA",IF(Inputs!$C$84="0",0.0309*$AI11,0.0309*MAX(0,$AI11-IF(Inputs!$C$84="2",25750,12875))),IF($AN11="MA",0.05*MIN(MAX(0,$AY11-MIN(($BD10+$Q11+$R11+$S11),2000)-IF($AS11=0,0,IF($AS11=1,4400,1000*$AS11+3400))),1107750)+0.09*MAX(0,MAX(0,$AY11-MIN(($BD10+$Q11+$R11+$S11),2000)-IF($AS11=0,0,IF($AS11=1,4400,1000*$AS11+3400)))-1107750)-IF($AU11="Head of household",120,0)-110*Inputs!$C$75,IF($AN11="MI",0.0425*MAX(0,$AY11-5900*$AS11),IF($AN11="MS",0.04*MAX(0,$AI11-IF($AU11="Head of household",3400,IF($AU11="Married",4600,2300))-Inputs!$C$85-10000),IF($AN11="OR",IF(OR($AU11="Married",AND($AU11="Single",$AS11&gt;=3)),SUMPRODUCT((MAX(0,$AY11-MIN(($P11-'Methodology &amp; Sources'!$C$260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Sources'!$B$461:$J$464,0,4))*(MAX(0,$AY11-MIN(($P11-'Methodology &amp; Sources'!$C$260*$D11)*Inputs!$C$8,IF(OR($AU11="Married",AND($AU11="Single",$AS11&gt;=3)),IF($AY11&lt;250000,8750,IF($AY11&lt;260000,7000,IF($AY11&lt;270000,5250,IF($AY11&lt;280000,3500,IF($AY11&lt;290000,1750,0))))),IF($AY11&lt;125000,8750,IF($AY11&lt;130000,7000,IF($AY11&lt;135000,5250,IF($AY11&lt;140000,3500,IF($AY11&lt;145000,1750,0)))))))-IF(OR($AU11="Married",AND($AU11="Single",$AS11&gt;=3)),5820,2910))-INDEX('Methodology &amp; Sources'!$B$461:$J$464,0,4))*INDEX('Methodology &amp; Sources'!$B$461:$J$464,0,4+2)),SUMPRODUCT((MAX(0,$AY11-MIN(($P11-'Methodology &amp; Sources'!$C$260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Sources'!$B$461:$J$464,0,1))*(MAX(0,$AY11-MIN(($P11-'Methodology &amp; Sources'!$C$260*$D11)*Inputs!$C$8,IF(OR($AU11="Married",AND($AU11="Single",$AS11&gt;=3)),IF($AY11&lt;250000,8750,IF($AY11&lt;260000,7000,IF($AY11&lt;270000,5250,IF($AY11&lt;280000,3500,IF($AY11&lt;290000,1750,0))))),IF($AY11&lt;125000,8750,IF($AY11&lt;130000,7000,IF($AY11&lt;135000,5250,IF($AY11&lt;140000,3500,IF($AY11&lt;145000,1750,0)))))))-IF(OR($AU11="Married",AND($AU11="Single",$AS11&gt;=3)),5820,2910))-INDEX('Methodology &amp; Sources'!$B$461:$J$464,0,1))*INDEX('Methodology &amp; Sources'!$B$461:$J$464,0,1+2)))+263-263*IF(IF($AU11="Married",$AY11&gt;200000,$AY11&gt;100000),0,$AS11),IF($AN11="PA",0.0307*(($O11+$E11+$G11)*Inputs!$C$8),IF($AN11="NY",IF($AU11="Married",IF($AZ11&gt;=2155350,0,IF($AZ11&gt;=1077550,0.48,IF($AZ11&gt;=373200,1.21,IF($AZ11&gt;=323200,0.21,IF($AZ11&gt;=211550,-0.19,IF($AZ11&gt;=157650,-2.8,IF($AZ11&gt;=107650,-0.8,IF($AZ11&gt;=96800,0.05,IF($AZ11&gt;=80650,-0.1,IF($AZ11&gt;=13900,0.4,IF($AZ11&gt;=11700,-0.3,IF($AZ11&gt;=8500,0.5,0)))))))))))),IF($AZ11&gt;=1077550,0,IF($AZ11&gt;=265400,4.29,IF($AZ11&gt;=215400,2.29,IF($AZ11&gt;=157650,2.29,IF($AZ11&gt;=107650,0.29,IF($AZ11&gt;=96800,0.05,IF($AZ11&gt;=80650,-0.1,IF($AZ11&gt;=13900,0.4,IF($AZ11&gt;=11700,-0.3,IF($AZ11&gt;=8500,0.5,0))))))))))),0))))))))))))))))))</f>
      </c>
      <c r="BC11" s="7">
        <f>IF($B11="","",IF($AN11="AL",0.05*$D11,IF($AN11="AR",0.039*$D11,IF($AN11="ID",0.053*$D11,IF($AN11="IN",(0.0295+Inputs!$C$76)*$D11,IF($AN11="KS",0.05*$D11,IF($AN11="MA",0.09*MIN($D11,MAX(0,MAX(0,$AY11-MIN(($BD10+$Q11+$R11+$S11),2000)-IF($AS11=0,0,IF($AS11=1,4400,1000*$AS11+3400)))+$D11-1107750))+0.05*($D11-MIN($D11,MAX(0,MAX(0,$AY11-MIN(($BD10+$Q11+$R11+$S11),2000)-IF($AS11=0,0,IF($AS11=1,4400,1000*$AS11+3400)))+$D11-1107750))),IF($AN11="MD",(0.065+Inputs!$C$74)*$D11,IF($AN11="MI",0.0425*$D11,IF($AN11="MN",0.0625*$D11,IF($AN11="MO",0.047*$D11,IF($AN11="MT",0.05*$D11,IF($AN11="ND",0.015*$D11,IF($AN11="NE",0.035*$D11,IF($AN11="NJ",IF(Inputs!$C$77="B",SUMPRODUCT(($D11*Inputs!$C$8&gt;INDEX('Methodology &amp; Sources'!$B$405:$J$412,0,4))*($D11*Inputs!$C$8-INDEX('Methodology &amp; Sources'!$B$405:$J$412,0,4))*INDEX('Methodology &amp; Sources'!$B$405:$J$412,0,4+2)),IF(Inputs!$C$77="C",SUMPRODUCT(($D11*Inputs!$C$8&gt;INDEX('Methodology &amp; Sources'!$B$405:$J$412,0,7))*($D11*Inputs!$C$8-INDEX('Methodology &amp; Sources'!$B$405:$J$412,0,7))*INDEX('Methodology &amp; Sources'!$B$405:$J$412,0,7+2)),IF(Inputs!$C$77="D",SUMPRODUCT(($D11*Inputs!$C$8&gt;INDEX('Methodology &amp; Sources'!$B$417:$J$429,0,1))*($D11*Inputs!$C$8-INDEX('Methodology &amp; Sources'!$B$417:$J$429,0,1))*INDEX('Methodology &amp; Sources'!$B$417:$J$429,0,1+2)),IF(Inputs!$C$77="E",SUMPRODUCT(($D11*Inputs!$C$8&gt;INDEX('Methodology &amp; Sources'!$B$417:$J$429,0,4))*($D11*Inputs!$C$8-INDEX('Methodology &amp; Sources'!$B$417:$J$429,0,4))*INDEX('Methodology &amp; Sources'!$B$417:$J$429,0,4+2)),SUMPRODUCT(($D11*Inputs!$C$8&gt;INDEX('Methodology &amp; Sources'!$B$405:$J$412,0,1))*($D11*Inputs!$C$8-INDEX('Methodology &amp; Sources'!$B$405:$J$412,0,1))*INDEX('Methodology &amp; Sources'!$B$405:$J$412,0,1+2))))))/Inputs!$C$8,IF($AN11="NY",0.117*$D11,IF($AN11="OH",0.0275*$D11,IF($AN11="OK",0.045*$D11,IF($AN11="OR",0.08*$D11,IF($AN11="WI",IF($AY11&lt;12760,0.0354,IF($AY11&lt;25520,0.0465,IF($AY11&lt;280950,0.053,0.0765)))*$D11,0))))))))))))))))))))</f>
      </c>
      <c r="BD11" s="7">
        <f>IF($B11="","",$BD10+$Q11+$R11+$S11)</f>
      </c>
      <c r="BE11" s="6">
        <f>IF($B11="",$BE10,$BE10+$BF11)</f>
      </c>
      <c r="BF11" s="6">
        <f>IF($B11="","",IF(AND(IF(YEAR(IF(Inputs!$C$7="Weekly",Inputs!$C$9+7*(($BE10+1)-1),IF(Inputs!$C$7="Biweekly",Inputs!$C$9+14*(($BE10+1)-1),IF(Inputs!$C$7="Semimonthly",DATE(YEAR(Inputs!$C$9),MONTH(Inputs!$C$9)+INT((($BE10+1)-1)/2),MIN(DAY(Inputs!$C$9),DAY(EOMONTH(DATE(YEAR(Inputs!$C$9),MONTH(Inputs!$C$9)+INT((($BE10+1)-1)/2),1),0))))+IF(MOD(($BE10+1)-1,2)=1,15,0),EDATE(Inputs!$C$9,($BE10+1)-1)))))&lt;&gt;2026,"",IF(Inputs!$C$7="Weekly",Inputs!$C$9+7*(($BE10+1)-1),IF(Inputs!$C$7="Biweekly",Inputs!$C$9+14*(($BE10+1)-1),IF(Inputs!$C$7="Semimonthly",DATE(YEAR(Inputs!$C$9),MONTH(Inputs!$C$9)+INT((($BE10+1)-1)/2),MIN(DAY(Inputs!$C$9),DAY(EOMONTH(DATE(YEAR(Inputs!$C$9),MONTH(Inputs!$C$9)+INT((($BE10+1)-1)/2),1),0))))+IF(MOD(($BE10+1)-1,2)=1,15,0),EDATE(Inputs!$C$9,($BE10+1)-1)))))&lt;&gt;"",$B11=IF(YEAR(IF(Inputs!$C$7="Weekly",Inputs!$C$9+7*(($BE10+1)-1),IF(Inputs!$C$7="Biweekly",Inputs!$C$9+14*(($BE10+1)-1),IF(Inputs!$C$7="Semimonthly",DATE(YEAR(Inputs!$C$9),MONTH(Inputs!$C$9)+INT((($BE10+1)-1)/2),MIN(DAY(Inputs!$C$9),DAY(EOMONTH(DATE(YEAR(Inputs!$C$9),MONTH(Inputs!$C$9)+INT((($BE10+1)-1)/2),1),0))))+IF(MOD(($BE10+1)-1,2)=1,15,0),EDATE(Inputs!$C$9,($BE10+1)-1)))))&lt;&gt;2026,"",IF(Inputs!$C$7="Weekly",Inputs!$C$9+7*(($BE10+1)-1),IF(Inputs!$C$7="Biweekly",Inputs!$C$9+14*(($BE10+1)-1),IF(Inputs!$C$7="Semimonthly",DATE(YEAR(Inputs!$C$9),MONTH(Inputs!$C$9)+INT((($BE10+1)-1)/2),MIN(DAY(Inputs!$C$9),DAY(EOMONTH(DATE(YEAR(Inputs!$C$9),MONTH(Inputs!$C$9)+INT((($BE10+1)-1)/2),1),0))))+IF(MOD(($BE10+1)-1,2)=1,15,0),EDATE(Inputs!$C$9,($BE10+1)-1)))))),1,0))</f>
      </c>
      <c r="BG11" s="7">
        <f>IF($B11="","",$BG10+$H11)</f>
      </c>
      <c r="BH11" s="7">
        <f>IF($B11="","",$BH10+$I11)</f>
      </c>
      <c r="BI11" s="7">
        <f>IF($B11="","",$BI10+$G11)</f>
      </c>
      <c r="BJ11" s="7">
        <f>IF($B11="","",IFERROR(LOOKUP(2,1/((((Events!$C$6:$C$17="Deduction start"))*(Events!$D$6:$D$17="Health FSA"))*(Events!$B$6:$B$17&lt;=$B11)*(Events!$B$6:$B$17&lt;&gt;"")),Events!$E$6:$E$17),Inputs!$D$38))</f>
      </c>
      <c r="BK11" s="7">
        <f>IF($B11="","",IFERROR(LOOKUP(2,1/((((Events!$C$6:$C$17="Deduction start"))*(Events!$D$6:$D$17="Dependent-care FSA"))*(Events!$B$6:$B$17&lt;=$B11)*(Events!$B$6:$B$17&lt;&gt;"")),Events!$E$6:$E$17),Inputs!$D$39))</f>
      </c>
      <c r="BL11" s="7">
        <f>IF($B11="","",IFERROR(LOOKUP(2,1/((((Events!$C$6:$C$17="Deduction start")+(Events!$C$6:$C$17="Deduction stop"))*(Events!$D$6:$D$17="HSA"))*(Events!$B$6:$B$17&lt;=$B11)*(Events!$B$6:$B$17&lt;&gt;"")),Events!$I$6:$I$17),Inputs!$D$35))</f>
      </c>
      <c r="BM11" s="7">
        <f>IF($B11="","",IFERROR(LOOKUP(2,1/((((Events!$C$6:$C$17="Deduction start")+(Events!$C$6:$C$17="Deduction stop"))*(Events!$D$6:$D$17="Premiums"))*(Events!$B$6:$B$17&lt;=$B11)*(Events!$B$6:$B$17&lt;&gt;"")),Events!$I$6:$I$17),Inputs!$D$40+Inputs!$D$41+Inputs!$D$42))</f>
      </c>
      <c r="BN11" s="7">
        <f>IF($B11="","",IFERROR(LOOKUP(2,1/((((Events!$C$6:$C$17="Deduction start")+(Events!$C$6:$C$17="Deduction stop"))*(Events!$D$6:$D$17="Commuter"))*(Events!$B$6:$B$17&lt;=$B11)*(Events!$B$6:$B$17&lt;&gt;"")),Events!$I$6:$I$17),Inputs!$D$43))</f>
      </c>
      <c r="BO11" s="7">
        <f>IF($B11="","",IFERROR(LOOKUP(2,1/((((Events!$C$6:$C$17="Deduction start")+(Events!$C$6:$C$17="Deduction stop"))*(Events!$D$6:$D$17="Other pre-tax"))*(Events!$B$6:$B$17&lt;=$B11)*(Events!$B$6:$B$17&lt;&gt;"")),Events!$I$6:$I$17),Inputs!$D$44))</f>
      </c>
      <c r="BP11" s="7">
        <f>IF($B11="","",IFERROR(LOOKUP(2,1/((((Events!$C$6:$C$17="Deduction start")+(Events!$C$6:$C$17="Deduction stop"))*(Events!$D$6:$D$17="Other post-tax"))*(Events!$B$6:$B$17&lt;=$B11)*(Events!$B$6:$B$17&lt;&gt;"")),Events!$I$6:$I$17),Inputs!$D$45))</f>
      </c>
      <c r="BQ11" s="6">
        <f>IF($B11="","",IFERROR(LOOKUP(2,1/((((Events!$C$6:$C$17="Deduction start")+(Events!$C$6:$C$17="Deduction stop"))*(Events!$D$6:$D$17="Health FSA"))*(Events!$B$6:$B$17&lt;=$B11)*(Events!$B$6:$B$17&lt;&gt;"")),Events!$J$6:$J$17),0))</f>
      </c>
      <c r="BR11" s="6">
        <f>IF($B11="","",IFERROR(LOOKUP(2,1/((((Events!$C$6:$C$17="Deduction start")+(Events!$C$6:$C$17="Deduction stop"))*(Events!$D$6:$D$17="Dependent-care FSA"))*(Events!$B$6:$B$17&lt;=$B11)*(Events!$B$6:$B$17&lt;&gt;"")),Events!$J$6:$J$17),0))</f>
      </c>
      <c r="BS11" s="6">
        <f>IF($B11="","",IF(SUMPRODUCT((Events!$C$6:$C$17="Deduction start")*(Events!$B$6:$B$17&lt;=$B11)*(Events!$B$6:$B$17&lt;&gt;"")*(Events!$D$6:$D$17="Health FSA"))&gt;0,1,0))</f>
      </c>
      <c r="BT11" s="6">
        <f>IF($B11="","",IF(SUMPRODUCT((Events!$C$6:$C$17="Deduction start")*(Events!$B$6:$B$17&lt;=$B11)*(Events!$B$6:$B$17&lt;&gt;"")*(Events!$D$6:$D$17="Dependent-care FSA"))&gt;0,1,0))</f>
      </c>
      <c r="BU11" s="24">
        <f>IF($B11="","",IF(Inputs!$C$13,SUMPRODUCT(($AH11&gt;=INDEX('Methodology &amp; Sources'!$B$279:$J$286,0,IF(Inputs!$C$12="MFJ",1,IF(Inputs!$C$12="HoH",7,4))))*INDEX('Methodology &amp; Sources'!$B$279:$J$286,0,IF(Inputs!$C$12="MFJ",1,IF(Inputs!$C$12="HoH",7,4))+2)),SUMPRODUCT(($AH11&gt;=INDEX('Methodology &amp; Sources'!$B$269:$J$276,0,IF(Inputs!$C$12="MFJ",1,IF(Inputs!$C$12="HoH",7,4))))*INDEX('Methodology &amp; Sources'!$B$269:$J$276,0,IF(Inputs!$C$12="MFJ",1,IF(Inputs!$C$12="HoH",7,4))+2))))</f>
      </c>
      <c r="BV11" s="24">
        <f>IF($B11="","",IF($BZ11&lt;&gt;"",$BZ11,IF($CA11&lt;&gt;"",$CA11,IF($CB11&lt;&gt;"",$CB11,IF($CC11&lt;&gt;"",$CC11,0)))))</f>
      </c>
      <c r="BW11" s="7">
        <f>IF($B11="","",IF($AN11="MD",IF(OR($AU11="Married",$AU11="Head of household"),SUMPRODUCT(($AZ11&gt;INDEX('Methodology &amp; Sources'!$B$364:$J$370,0,1))*($AZ11-INDEX('Methodology &amp; Sources'!$B$364:$J$370,0,1))*INDEX('Methodology &amp; Sources'!$B$364:$J$370,0,1+2)),SUMPRODUCT(($AZ11&gt;INDEX('Methodology &amp; Sources'!$B$353:$J$359,0,7))*($AZ11-INDEX('Methodology &amp; Sources'!$B$353:$J$359,0,7))*INDEX('Methodology &amp; Sources'!$B$353:$J$359,0,7+2))),IF($AN11="MO",SUMPRODUCT(($AZ11&gt;INDEX('Methodology &amp; Sources'!$B$375:$J$382,0,1))*($AZ11-INDEX('Methodology &amp; Sources'!$B$375:$J$382,0,1))*INDEX('Methodology &amp; Sources'!$B$375:$J$382,0,1+2)),IF($AN11="MT",IF($AU11="Head of household",SUMPRODUCT(($AZ11&gt;INDEX('Methodology &amp; Sources'!$B$387:$J$389,0,1))*($AZ11-INDEX('Methodology &amp; Sources'!$B$387:$J$389,0,1))*INDEX('Methodology &amp; Sources'!$B$387:$J$389,0,1+2)),IF($AU11="Married",SUMPRODUCT(($AZ11&gt;INDEX('Methodology &amp; Sources'!$B$375:$J$382,0,7))*($AZ11-INDEX('Methodology &amp; Sources'!$B$375:$J$382,0,7))*INDEX('Methodology &amp; Sources'!$B$375:$J$382,0,7+2)),SUMPRODUCT(($AZ11&gt;INDEX('Methodology &amp; Sources'!$B$375:$J$382,0,4))*($AZ11-INDEX('Methodology &amp; Sources'!$B$375:$J$382,0,4))*INDEX('Methodology &amp; Sources'!$B$375:$J$382,0,4+2)))),IF($AN11="ND",IF($AU11="Head of household",SUMPRODUCT(($AZ11&gt;INDEX('Methodology &amp; Sources'!$B$394:$J$400,0,1))*($AZ11-INDEX('Methodology &amp; Sources'!$B$394:$J$400,0,1))*INDEX('Methodology &amp; Sources'!$B$394:$J$400,0,1+2)),IF($AU11="Married",SUMPRODUCT(($AZ11&gt;INDEX('Methodology &amp; Sources'!$B$387:$J$389,0,7))*($AZ11-INDEX('Methodology &amp; Sources'!$B$387:$J$389,0,7))*INDEX('Methodology &amp; Sources'!$B$387:$J$389,0,7+2)),SUMPRODUCT(($AZ11&gt;INDEX('Methodology &amp; Sources'!$B$387:$J$389,0,4))*($AZ11-INDEX('Methodology &amp; Sources'!$B$387:$J$389,0,4))*INDEX('Methodology &amp; Sources'!$B$387:$J$389,0,4+2)))),IF($AN11="NJ",IF(Inputs!$C$77="B",SUMPRODUCT(($AZ11&gt;INDEX('Methodology &amp; Sources'!$B$405:$J$412,0,4))*($AZ11-INDEX('Methodology &amp; Sources'!$B$405:$J$412,0,4))*INDEX('Methodology &amp; Sources'!$B$405:$J$412,0,4+2)),IF(Inputs!$C$77="C",SUMPRODUCT(($AZ11&gt;INDEX('Methodology &amp; Sources'!$B$405:$J$412,0,7))*($AZ11-INDEX('Methodology &amp; Sources'!$B$405:$J$412,0,7))*INDEX('Methodology &amp; Sources'!$B$405:$J$412,0,7+2)),IF(Inputs!$C$77="D",SUMPRODUCT(($AZ11&gt;INDEX('Methodology &amp; Sources'!$B$417:$J$429,0,1))*($AZ11-INDEX('Methodology &amp; Sources'!$B$417:$J$429,0,1))*INDEX('Methodology &amp; Sources'!$B$417:$J$429,0,1+2)),IF(Inputs!$C$77="E",SUMPRODUCT(($AZ11&gt;INDEX('Methodology &amp; Sources'!$B$417:$J$429,0,4))*($AZ11-INDEX('Methodology &amp; Sources'!$B$417:$J$429,0,4))*INDEX('Methodology &amp; Sources'!$B$417:$J$429,0,4+2)),SUMPRODUCT(($AZ11&gt;INDEX('Methodology &amp; Sources'!$B$405:$J$412,0,1))*($AZ11-INDEX('Methodology &amp; Sources'!$B$405:$J$412,0,1))*INDEX('Methodology &amp; Sources'!$B$405:$J$412,0,1+2)))))),IF($AN11="NY",IF($AU11="Married",IF($AZ11&gt;=2155350,$AZ11*IF($AZ11&gt;25000000,0.117,IF($AZ11&gt;5000000,0.111,0.1045)),SUMPRODUCT(($AZ11&gt;INDEX('Methodology &amp; Sources'!$B$434:$J$448,0,1))*($AZ11-INDEX('Methodology &amp; Sources'!$B$434:$J$448,0,1))*INDEX('Methodology &amp; Sources'!$B$434:$J$448,0,1+2))),IF($AZ11&gt;=1077550,$AZ11*IF($AZ11&gt;25000000,0.117,IF($AZ11&gt;5000000,0.111,0.1045)),SUMPRODUCT(($AZ11&gt;INDEX('Methodology &amp; Sources'!$B$417:$J$429,0,7))*($AZ11-INDEX('Methodology &amp; Sources'!$B$417:$J$429,0,7))*INDEX('Methodology &amp; Sources'!$B$417:$J$429,0,7+2)))),"")))))))</f>
      </c>
      <c r="BX11" s="7">
        <f>IF($B11="","",IF($AN11="AL",IF(OR($AU11="Married",$AU11="Head of household"),SUMPRODUCT(($AZ11&gt;INDEX('Methodology &amp; Sources'!$B$332:$J$336,0,4))*($AZ11-INDEX('Methodology &amp; Sources'!$B$332:$J$336,0,4))*INDEX('Methodology &amp; Sources'!$B$332:$J$336,0,4+2)),SUMPRODUCT(($AZ11&gt;INDEX('Methodology &amp; Sources'!$B$332:$J$336,0,1))*($AZ11-INDEX('Methodology &amp; Sources'!$B$332:$J$336,0,1))*INDEX('Methodology &amp; Sources'!$B$332:$J$336,0,1+2))),IF($AN11="KS",IF($AU11="Married",SUMPRODUCT(($AZ11&gt;INDEX('Methodology &amp; Sources'!$B$353:$J$359,0,4))*($AZ11-INDEX('Methodology &amp; Sources'!$B$353:$J$359,0,4))*INDEX('Methodology &amp; Sources'!$B$353:$J$359,0,4+2)),SUMPRODUCT(($AZ11&gt;INDEX('Methodology &amp; Sources'!$B$353:$J$359,0,1))*($AZ11-INDEX('Methodology &amp; Sources'!$B$353:$J$359,0,1))*INDEX('Methodology &amp; Sources'!$B$353:$J$359,0,1+2))),IF($AN11="MN",IF($AU11="Married",SUMPRODUCT(($AZ11&gt;INDEX('Methodology &amp; Sources'!$B$364:$J$370,0,7))*($AZ11-INDEX('Methodology &amp; Sources'!$B$364:$J$370,0,7))*INDEX('Methodology &amp; Sources'!$B$364:$J$370,0,7+2)),SUMPRODUCT(($AZ11&gt;INDEX('Methodology &amp; Sources'!$B$364:$J$370,0,4))*($AZ11-INDEX('Methodology &amp; Sources'!$B$364:$J$370,0,4))*INDEX('Methodology &amp; Sources'!$B$364:$J$370,0,4+2))),IF($AN11="NE",MAX(IF($AU11="Married",SUMPRODUCT(($AZ11&gt;INDEX('Methodology &amp; Sources'!$B$394:$J$400,0,7))*($AZ11-INDEX('Methodology &amp; Sources'!$B$394:$J$400,0,7))*INDEX('Methodology &amp; Sources'!$B$394:$J$400,0,7+2)),SUMPRODUCT(($AZ11&gt;INDEX('Methodology &amp; Sources'!$B$394:$J$400,0,4))*($AZ11-INDEX('Methodology &amp; Sources'!$B$394:$J$400,0,4))*INDEX('Methodology &amp; Sources'!$B$394:$J$400,0,4+2))),0.015*$AZ11),IF($AN11="OH",IF($B11&gt;=DATE(2026,8,1),SUMPRODUCT(($AZ11&gt;INDEX('Methodology &amp; Sources'!$B$453:$J$456,0,1))*($AZ11-INDEX('Methodology &amp; Sources'!$B$453:$J$456,0,1))*INDEX('Methodology &amp; Sources'!$B$453:$J$456,0,1+2)),SUMPRODUCT(($AZ11&gt;INDEX('Methodology &amp; Sources'!$B$434:$J$448,0,7))*($AZ11-INDEX('Methodology &amp; Sources'!$B$434:$J$448,0,7))*INDEX('Methodology &amp; Sources'!$B$434:$J$448,0,7+2))),IF($AN11="OK",IF($AU11="Married",SUMPRODUCT(($AZ11&gt;INDEX('Methodology &amp; Sources'!$B$453:$J$456,0,7))*($AZ11-INDEX('Methodology &amp; Sources'!$B$453:$J$456,0,7))*INDEX('Methodology &amp; Sources'!$B$453:$J$456,0,7+2)),SUMPRODUCT(($AZ11&gt;INDEX('Methodology &amp; Sources'!$B$453:$J$456,0,4))*($AZ11-INDEX('Methodology &amp; Sources'!$B$453:$J$456,0,4))*INDEX('Methodology &amp; Sources'!$B$453:$J$456,0,4+2))),IF($AN11="RI",SUMPRODUCT(($AZ11&gt;INDEX('Methodology &amp; Sources'!$B$461:$J$464,0,7))*($AZ11-INDEX('Methodology &amp; Sources'!$B$461:$J$464,0,7))*INDEX('Methodology &amp; Sources'!$B$461:$J$464,0,7+2)),IF($AN11="VT",IF($AU11="Married",SUMPRODUCT(($AZ11&gt;INDEX('Methodology &amp; Sources'!$B$478:$J$482,0,1))*($AZ11-INDEX('Methodology &amp; Sources'!$B$478:$J$482,0,1))*INDEX('Methodology &amp; Sources'!$B$478:$J$482,0,1+2)),SUMPRODUCT(($AZ11&gt;INDEX('Methodology &amp; Sources'!$B$469:$J$473,0,7))*($AZ11-INDEX('Methodology &amp; Sources'!$B$469:$J$473,0,7))*INDEX('Methodology &amp; Sources'!$B$469:$J$473,0,7+2))),IF($AN11="WV",IF($AU11="Married",SUMPRODUCT(($AZ11&gt;INDEX('Methodology &amp; Sources'!$B$487:$J$491,0,7))*($AZ11-INDEX('Methodology &amp; Sources'!$B$487:$J$491,0,7))*INDEX('Methodology &amp; Sources'!$B$487:$J$491,0,7+2)),SUMPRODUCT(($AZ11&gt;INDEX('Methodology &amp; Sources'!$B$478:$J$482,0,7))*($AZ11-INDEX('Methodology &amp; Sources'!$B$478:$J$482,0,7))*INDEX('Methodology &amp; Sources'!$B$478:$J$482,0,7+2))),""))))))))))</f>
      </c>
      <c r="BY11" s="7">
        <f>IF($B11="","",IF($AN11="AR",SUMPRODUCT(($AZ11&gt;INDEX('Methodology &amp; Sources'!$B$332:$J$336,0,7))*($AZ11-INDEX('Methodology &amp; Sources'!$B$332:$J$336,0,7))*INDEX('Methodology &amp; Sources'!$B$332:$J$336,0,7+2)),IF($AN11="DE",SUMPRODUCT(($AZ11&gt;INDEX('Methodology &amp; Sources'!$B$341:$J$348,0,1))*($AZ11-INDEX('Methodology &amp; Sources'!$B$341:$J$348,0,1))*INDEX('Methodology &amp; Sources'!$B$341:$J$348,0,1+2)),IF($AN11="HI",IF($AU11="Married",SUMPRODUCT(($AZ11&gt;INDEX('Methodology &amp; Sources'!$B$341:$J$348,0,7))*($AZ11-INDEX('Methodology &amp; Sources'!$B$341:$J$348,0,7))*INDEX('Methodology &amp; Sources'!$B$341:$J$348,0,7+2)),SUMPRODUCT(($AZ11&gt;INDEX('Methodology &amp; Sources'!$B$341:$J$348,0,4))*($AZ11-INDEX('Methodology &amp; Sources'!$B$341:$J$348,0,4))*INDEX('Methodology &amp; Sources'!$B$341:$J$348,0,4+2))),IF($AN11="SC",SUMPRODUCT(($AZ11&gt;INDEX('Methodology &amp; Sources'!$B$469:$J$473,0,1))*($AZ11-INDEX('Methodology &amp; Sources'!$B$469:$J$473,0,1))*INDEX('Methodology &amp; Sources'!$B$469:$J$473,0,1+2)),IF($AN11="VA",SUMPRODUCT(($AZ11&gt;INDEX('Methodology &amp; Sources'!$B$469:$J$473,0,4))*($AZ11-INDEX('Methodology &amp; Sources'!$B$469:$J$473,0,4))*INDEX('Methodology &amp; Sources'!$B$469:$J$473,0,4+2)),IF($AN11="WI",SUMPRODUCT(($AZ11&gt;INDEX('Methodology &amp; Sources'!$B$478:$J$482,0,4))*($AZ11-INDEX('Methodology &amp; Sources'!$B$478:$J$482,0,4))*INDEX('Methodology &amp; Sources'!$B$478:$J$482,0,4+2)),"")))))))</f>
      </c>
      <c r="BZ11" s="24">
        <f>IF($B11="","",IF($AN11="NJ",IF(Inputs!$C$77="B",SUMPRODUCT(($AZ11&gt;=INDEX('Methodology &amp; Sources'!$B$405:$J$412,0,4))*INDEX('Methodology &amp; Sources'!$B$405:$J$412,0,4+2)),IF(Inputs!$C$77="C",SUMPRODUCT(($AZ11&gt;=INDEX('Methodology &amp; Sources'!$B$405:$J$412,0,7))*INDEX('Methodology &amp; Sources'!$B$405:$J$412,0,7+2)),IF(Inputs!$C$77="D",SUMPRODUCT(($AZ11&gt;=INDEX('Methodology &amp; Sources'!$B$417:$J$429,0,1))*INDEX('Methodology &amp; Sources'!$B$417:$J$429,0,1+2)),IF(Inputs!$C$77="E",SUMPRODUCT(($AZ11&gt;=INDEX('Methodology &amp; Sources'!$B$417:$J$429,0,4))*INDEX('Methodology &amp; Sources'!$B$417:$J$429,0,4+2)),SUMPRODUCT(($AZ11&gt;=INDEX('Methodology &amp; Sources'!$B$405:$J$412,0,1))*INDEX('Methodology &amp; Sources'!$B$405:$J$412,0,1+2)))))),IF($AN11="OR",IF(OR($AU11="Married",AND($AU11="Single",$AS11&gt;=3)),SUMPRODUCT((MAX(0,$AY11-MIN(($P11-'Methodology &amp; Sources'!$C$260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Sources'!$B$461:$J$464,0,4))*INDEX('Methodology &amp; Sources'!$B$461:$J$464,0,4+2)),SUMPRODUCT((MAX(0,$AY11-MIN(($P11-'Methodology &amp; Sources'!$C$260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Sources'!$B$461:$J$464,0,1))*INDEX('Methodology &amp; Sources'!$B$461:$J$464,0,1+2)))*IF(($P11-'Methodology &amp; Sources'!$C$260*$D11)*Inputs!$C$8&gt;=IF(OR($AU11="Married",AND($AU11="Single",$AS11&gt;=3)),IF($AY11&lt;250000,8750,IF($AY11&lt;260000,7000,IF($AY11&lt;270000,5250,IF($AY11&lt;280000,3500,IF($AY11&lt;290000,1750,0))))),IF($AY11&lt;125000,8750,IF($AY11&lt;130000,7000,IF($AY11&lt;135000,5250,IF($AY11&lt;140000,3500,IF($AY11&lt;145000,1750,0)))))),1,1-IF(Inputs!$C$13,SUMPRODUCT(($AH11&gt;=INDEX('Methodology &amp; Sources'!$B$279:$J$286,0,IF(Inputs!$C$12="MFJ",1,IF(Inputs!$C$12="HoH",7,4))))*INDEX('Methodology &amp; Sources'!$B$279:$J$286,0,IF(Inputs!$C$12="MFJ",1,IF(Inputs!$C$12="HoH",7,4))+2)),SUMPRODUCT(($AH11&gt;=INDEX('Methodology &amp; Sources'!$B$269:$J$276,0,IF(Inputs!$C$12="MFJ",1,IF(Inputs!$C$12="HoH",7,4))))*INDEX('Methodology &amp; Sources'!$B$269:$J$276,0,IF(Inputs!$C$12="MFJ",1,IF(Inputs!$C$12="HoH",7,4))+2)))),IF($AN11="MI",IF($AY11&gt;5900*$AS11,0.0425,0),""))))</f>
      </c>
      <c r="CA11" s="24">
        <f>IF($B11="","",IF($AN11="AL",IF(OR($AU11="Married",$AU11="Head of household"),SUMPRODUCT(($AZ11&gt;=INDEX('Methodology &amp; Sources'!$B$332:$J$336,0,4))*INDEX('Methodology &amp; Sources'!$B$332:$J$336,0,4+2)),SUMPRODUCT(($AZ11&gt;=INDEX('Methodology &amp; Sources'!$B$332:$J$336,0,1))*INDEX('Methodology &amp; Sources'!$B$332:$J$336,0,1+2)))*(1-IF(Inputs!$C$13,SUMPRODUCT(($AH11&gt;=INDEX('Methodology &amp; Sources'!$B$279:$J$286,0,IF(Inputs!$C$12="MFJ",1,IF(Inputs!$C$12="HoH",7,4))))*INDEX('Methodology &amp; Sources'!$B$279:$J$286,0,IF(Inputs!$C$12="MFJ",1,IF(Inputs!$C$12="HoH",7,4))+2)),SUMPRODUCT(($AH11&gt;=INDEX('Methodology &amp; Sources'!$B$269:$J$276,0,IF(Inputs!$C$12="MFJ",1,IF(Inputs!$C$12="HoH",7,4))))*INDEX('Methodology &amp; Sources'!$B$269:$J$276,0,IF(Inputs!$C$12="MFJ",1,IF(Inputs!$C$12="HoH",7,4))+2)))),IF($AN11="KS",IF($AU11="Married",SUMPRODUCT(($AZ11&gt;=INDEX('Methodology &amp; Sources'!$B$353:$J$359,0,4))*INDEX('Methodology &amp; Sources'!$B$353:$J$359,0,4+2)),SUMPRODUCT(($AZ11&gt;=INDEX('Methodology &amp; Sources'!$B$353:$J$359,0,1))*INDEX('Methodology &amp; Sources'!$B$353:$J$359,0,1+2))),IF($AN11="MD",IF(OR($AU11="Married",$AU11="Head of household"),SUMPRODUCT(($AZ11&gt;=INDEX('Methodology &amp; Sources'!$B$364:$J$370,0,1))*INDEX('Methodology &amp; Sources'!$B$364:$J$370,0,1+2)),SUMPRODUCT(($AZ11&gt;=INDEX('Methodology &amp; Sources'!$B$353:$J$359,0,7))*INDEX('Methodology &amp; Sources'!$B$353:$J$359,0,7+2)))+Inputs!$C$74,IF($AN11="MT",IF($AU11="Head of household",SUMPRODUCT(($AZ11&gt;=INDEX('Methodology &amp; Sources'!$B$387:$J$389,0,1))*INDEX('Methodology &amp; Sources'!$B$387:$J$389,0,1+2)),IF($AU11="Married",SUMPRODUCT(($AZ11&gt;=INDEX('Methodology &amp; Sources'!$B$375:$J$382,0,7))*INDEX('Methodology &amp; Sources'!$B$375:$J$382,0,7+2)),SUMPRODUCT(($AZ11&gt;=INDEX('Methodology &amp; Sources'!$B$375:$J$382,0,4))*INDEX('Methodology &amp; Sources'!$B$375:$J$382,0,4+2)))),IF($AN11="ND",IF($AU11="Head of household",SUMPRODUCT(($AZ11&gt;=INDEX('Methodology &amp; Sources'!$B$394:$J$400,0,1))*INDEX('Methodology &amp; Sources'!$B$394:$J$400,0,1+2)),IF($AU11="Married",SUMPRODUCT(($AZ11&gt;=INDEX('Methodology &amp; Sources'!$B$387:$J$389,0,7))*INDEX('Methodology &amp; Sources'!$B$387:$J$389,0,7+2)),SUMPRODUCT(($AZ11&gt;=INDEX('Methodology &amp; Sources'!$B$387:$J$389,0,4))*INDEX('Methodology &amp; Sources'!$B$387:$J$389,0,4+2)))),IF($AN11="NY",IF($AU11="Married",IF($AZ11&gt;=2155350,IF($AZ11&gt;25000000,0.117,IF($AZ11&gt;5000000,0.111,0.1045)),SUMPRODUCT(($AZ11&gt;=INDEX('Methodology &amp; Sources'!$B$434:$J$448,0,1))*INDEX('Methodology &amp; Sources'!$B$434:$J$448,0,1+2))),IF($AZ11&gt;=1077550,IF($AZ11&gt;25000000,0.117,IF($AZ11&gt;5000000,0.111,0.1045)),SUMPRODUCT(($AZ11&gt;=INDEX('Methodology &amp; Sources'!$B$417:$J$429,0,7))*INDEX('Methodology &amp; Sources'!$B$417:$J$429,0,7+2)))),"")))))))</f>
      </c>
      <c r="CB11" s="24">
        <f>IF($B11="","",IF($AN11="CA",SUMPRODUCT(($AJ11&gt;=INDEX('Methodology &amp; Sources'!$B$289:$J$298,0,IF($AU11="Married",4,IF($AU11="Head of household",7,1))))*INDEX('Methodology &amp; Sources'!$B$289:$J$298,0,IF($AU11="Married",4,IF($AU11="Head of household",7,1))+2)),IF($AN11="HI",IF($AU11="Married",SUMPRODUCT(($AZ11&gt;=INDEX('Methodology &amp; Sources'!$B$341:$J$348,0,7))*INDEX('Methodology &amp; Sources'!$B$341:$J$348,0,7+2)),SUMPRODUCT(($AZ11&gt;=INDEX('Methodology &amp; Sources'!$B$341:$J$348,0,4))*INDEX('Methodology &amp; Sources'!$B$341:$J$348,0,4+2))),IF($AN11="MN",IF($AU11="Married",SUMPRODUCT(($AZ11&gt;=INDEX('Methodology &amp; Sources'!$B$364:$J$370,0,7))*INDEX('Methodology &amp; Sources'!$B$364:$J$370,0,7+2)),SUMPRODUCT(($AZ11&gt;=INDEX('Methodology &amp; Sources'!$B$364:$J$370,0,4))*INDEX('Methodology &amp; Sources'!$B$364:$J$370,0,4+2))),IF($AN11="MO",SUMPRODUCT(($AZ11&gt;=INDEX('Methodology &amp; Sources'!$B$375:$J$382,0,1))*INDEX('Methodology &amp; Sources'!$B$375:$J$382,0,1+2)),IF($AN11="NE",MAX(IF($AU11="Married",SUMPRODUCT(($AZ11&gt;=INDEX('Methodology &amp; Sources'!$B$394:$J$400,0,7))*INDEX('Methodology &amp; Sources'!$B$394:$J$400,0,7+2)),SUMPRODUCT(($AZ11&gt;=INDEX('Methodology &amp; Sources'!$B$394:$J$400,0,4))*INDEX('Methodology &amp; Sources'!$B$394:$J$400,0,4+2))),0.015),IF($AN11="OH",IF($B11&gt;=DATE(2026,8,1),SUMPRODUCT(($AZ11&gt;=INDEX('Methodology &amp; Sources'!$B$453:$J$456,0,1))*INDEX('Methodology &amp; Sources'!$B$453:$J$456,0,1+2)),SUMPRODUCT(($AZ11&gt;=INDEX('Methodology &amp; Sources'!$B$434:$J$448,0,7))*INDEX('Methodology &amp; Sources'!$B$434:$J$448,0,7+2))),IF($AN11="OK",IF($AU11="Married",SUMPRODUCT(($AZ11&gt;=INDEX('Methodology &amp; Sources'!$B$453:$J$456,0,7))*INDEX('Methodology &amp; Sources'!$B$453:$J$456,0,7+2)),SUMPRODUCT(($AZ11&gt;=INDEX('Methodology &amp; Sources'!$B$453:$J$456,0,4))*INDEX('Methodology &amp; Sources'!$B$453:$J$456,0,4+2))),IF($AN11="RI",SUMPRODUCT(($AZ11&gt;=INDEX('Methodology &amp; Sources'!$B$461:$J$464,0,7))*INDEX('Methodology &amp; Sources'!$B$461:$J$464,0,7+2)),IF($AN11="SC",SUMPRODUCT(($AZ11&gt;=INDEX('Methodology &amp; Sources'!$B$469:$J$473,0,1))*INDEX('Methodology &amp; Sources'!$B$469:$J$473,0,1+2)),IF($AN11="VT",IF($AU11="Married",SUMPRODUCT(($AZ11&gt;=INDEX('Methodology &amp; Sources'!$B$478:$J$482,0,1))*INDEX('Methodology &amp; Sources'!$B$478:$J$482,0,1+2)),SUMPRODUCT(($AZ11&gt;=INDEX('Methodology &amp; Sources'!$B$469:$J$473,0,7))*INDEX('Methodology &amp; Sources'!$B$469:$J$473,0,7+2))),IF($AN11="WV",IF($AU11="Married",SUMPRODUCT(($AZ11&gt;=INDEX('Methodology &amp; Sources'!$B$487:$J$491,0,7))*INDEX('Methodology &amp; Sources'!$B$487:$J$491,0,7+2)),SUMPRODUCT(($AZ11&gt;=INDEX('Methodology &amp; Sources'!$B$478:$J$482,0,7))*INDEX('Methodology &amp; Sources'!$B$478:$J$482,0,7+2))),IF($AN11="IN",(0.0295+Inputs!$C$76),"")))))))))))))</f>
      </c>
      <c r="CC11" s="24">
        <f>IF($B11="","",IF($AN11="AR",SUMPRODUCT(($AZ11&gt;=INDEX('Methodology &amp; Sources'!$B$332:$J$336,0,7))*INDEX('Methodology &amp; Sources'!$B$332:$J$336,0,7+2)),IF($AN11="DE",SUMPRODUCT(($AZ11&gt;=INDEX('Methodology &amp; Sources'!$B$341:$J$348,0,1))*INDEX('Methodology &amp; Sources'!$B$341:$J$348,0,1+2)),IF($AN11="VA",SUMPRODUCT(($AZ11&gt;=INDEX('Methodology &amp; Sources'!$B$469:$J$473,0,4))*INDEX('Methodology &amp; Sources'!$B$469:$J$473,0,4+2)),IF($AN11="WI",SUMPRODUCT(($AZ11&gt;=INDEX('Methodology &amp; Sources'!$B$478:$J$482,0,4))*INDEX('Methodology &amp; Sources'!$B$478:$J$482,0,4+2)),IF($AN11="AZ",Inputs!$C$82,IF($AN11="CO",IF($AY11&gt;IF($AU11="Married",10000,5000),0.044,0),IF($AN11="IA",IF($AY11&gt;IF($AU11="Head of household",19500,IF($AU11="Married",26000,13000)),0.038,0),IF($AN11="ID",IF($AY11&gt;IF($AU11="Married",32000,16094),0.053,0),IF($AN11="IL",IF($AY11&gt;(2925*$AS11+1000*$AT11),0.0495,0),IF($AN11="KY",IF($AI11&gt;3360,0.035,0),IF($AN11="LA",0.0309,IF($AN11="MA",IF(MAX(0,$AY11-MIN(($BD10+$Q11+$R11+$S11),2000)-IF($AS11=0,0,IF($AS11=1,4400,1000*$AS11+3400)))&gt;=1107750,0.09,0.05),IF($AN11="MS",IF($AI11-IF($AU11="Head of household",3400,IF($AU11="Married",4600,2300))-Inputs!$C$85&gt;10000,0.04,0),IF($AN11="PA",0.0307,"")))))))))))))))</f>
      </c>
      <c r="CD11" s="21">
        <f>IF(YEAR(IF(Inputs!$C$7="Weekly",Inputs!$C$9+7*(($BE10+1)-1),IF(Inputs!$C$7="Biweekly",Inputs!$C$9+14*(($BE10+1)-1),IF(Inputs!$C$7="Semimonthly",DATE(YEAR(Inputs!$C$9),MONTH(Inputs!$C$9)+INT((($BE10+1)-1)/2),MIN(DAY(Inputs!$C$9),DAY(EOMONTH(DATE(YEAR(Inputs!$C$9),MONTH(Inputs!$C$9)+INT((($BE10+1)-1)/2),1),0))))+IF(MOD(($BE10+1)-1,2)=1,15,0),EDATE(Inputs!$C$9,($BE10+1)-1)))))&lt;&gt;2026,"",IF(Inputs!$C$7="Weekly",Inputs!$C$9+7*(($BE10+1)-1),IF(Inputs!$C$7="Biweekly",Inputs!$C$9+14*(($BE10+1)-1),IF(Inputs!$C$7="Semimonthly",DATE(YEAR(Inputs!$C$9),MONTH(Inputs!$C$9)+INT((($BE10+1)-1)/2),MIN(DAY(Inputs!$C$9),DAY(EOMONTH(DATE(YEAR(Inputs!$C$9),MONTH(Inputs!$C$9)+INT((($BE10+1)-1)/2),1),0))))+IF(MOD(($BE10+1)-1,2)=1,15,0),EDATE(Inputs!$C$9,($BE10+1)-1)))))</f>
      </c>
      <c r="CE11" s="21">
        <f>IF(SUMPRODUCT(MIN(IF((Inputs!$C$58:$C$67&gt;MAX($B$6:$B10))*(Inputs!$C$58:$C$67&gt;=DATE(2026,1,1))*(Inputs!$C$58:$C$67&lt;=DATE(2026,12,31)),Inputs!$C$58:$C$67,999999)))=999999,"",SUMPRODUCT(MIN(IF((Inputs!$C$58:$C$67&gt;MAX($B$6:$B10))*(Inputs!$C$58:$C$67&gt;=DATE(2026,1,1))*(Inputs!$C$58:$C$67&lt;=DATE(2026,12,31)),Inputs!$C$58:$C$67,999999))))</f>
      </c>
    </row>
    <row r="12">
      <c r="A12" t="n">
        <v>7</v>
      </c>
      <c r="B12" s="21">
        <f>IF(AND($CD12="",$CE12=""),"",IF($CE12="",$CD12,IF($CD12="",$CE12,MIN($CD12,$CE12))))</f>
      </c>
      <c r="C12" s="7">
        <f>IF($B12="","",IF($BF12=0,0,IF(Inputs!$C$4="Annual salary",ROUND($AK12/IF(AND(Inputs!$C$88="Actual paydays",MONTH(Inputs!$C$9)=1),MAX(1,MAX($BE$6:$BE$68)),Inputs!$C$8),2),$AK12)))</f>
      </c>
      <c r="D12" s="7">
        <f>IF($B12="","",SUMIF(Inputs!$C$58:$C$67,$B12,Inputs!$D$58:$D$67))</f>
      </c>
      <c r="E12" s="7">
        <f>IF($B12="","",ROUND(MAX(0,MIN(IF($AL12="Percent",$AM12*($C12+$D12),$AM12),MAX(0,Inputs!$C$91-$AC11))),2))</f>
      </c>
      <c r="F12" s="7">
        <f>IF($B12="","",ROUND(MAX(0,MIN(IF(Inputs!$C$32="Percent",Inputs!$D$32*($C12+$D12),Inputs!$D$32),MAX(0,Inputs!$C$91-$AC11-$E12))),2))</f>
      </c>
      <c r="G12" s="7">
        <f>IF($B12="","",IF($BF12=0,0,ROUND(MAX(0,MIN($BL12,Inputs!$C$92-Inputs!$C$54-$BI11)),2)))</f>
      </c>
      <c r="H12" s="7">
        <f>IF($B12="","",IF(OR($BF12=0,$BQ12=1),0,ROUND(MAX(0,MIN(IF($BS12=1,ROUND(MAX(0,MIN($BJ12,'Methodology &amp; Sources'!$C$263)-$BG11)/MAX(1,MAX($BE$6:$BE$68)-($BE11)),2),ROUND(MIN($BJ12,'Methodology &amp; Sources'!$C$263)/Inputs!$C$8,2)),MIN($BJ12,'Methodology &amp; Sources'!$C$263)-$BG11)),2)))</f>
      </c>
      <c r="I12" s="7">
        <f>IF($B12="","",IF(OR($BF12=0,$BR12=1),0,ROUND(MAX(0,MIN(IF($BT12=1,ROUND(MAX(0,MIN($BK12,IF(Inputs!$C$12="MFJ",'Methodology &amp; Sources'!$C$264,'Methodology &amp; Sources'!$C$265))-$BH11)/MAX(1,MAX($BE$6:$BE$68)-($BE11)),2),ROUND(MIN($BK12,IF(Inputs!$C$12="MFJ",'Methodology &amp; Sources'!$C$264,'Methodology &amp; Sources'!$C$265))/Inputs!$C$8,2)),MIN($BK12,IF(Inputs!$C$12="MFJ",'Methodology &amp; Sources'!$C$264,'Methodology &amp; Sources'!$C$265))-$BH11)),2)))</f>
      </c>
      <c r="J12" s="7">
        <f>IF($B12="","",IF($BF12=0,0,$BM12))</f>
      </c>
      <c r="K12" s="7">
        <f>IF($B12="","",IF($BF12=0,0,$BN12+$BO12))</f>
      </c>
      <c r="L12" s="7">
        <f>IF($B12="","",IF($BF12=0,0,Inputs!$D$46))</f>
      </c>
      <c r="M12" s="7">
        <f>IF($B12="","",$C12+$D12+$L12-$E12-$G12-$H12-$I12-$J12-$K12)</f>
      </c>
      <c r="N12" s="7">
        <f>IF($B12="","",$C12+$D12+$L12-$G12-$H12-$I12-$J12-$K12)</f>
      </c>
      <c r="O12" s="7">
        <f>IF($B12="","",$C12+$D12+$L12-$E12-$H12-$I12-$J12-$K12-IF(OR($AN12="CA",$AN12="NJ"),0,$G12))</f>
      </c>
      <c r="P12" s="7">
        <f>IF($B12="","",IF(Inputs!$C$18,0,ROUND(MAX(0,IF(Inputs!$C$13,SUMPRODUCT(($AH12&gt;INDEX('Methodology &amp; Sources'!$B$279:$J$286,0,IF(Inputs!$C$12="MFJ",1,IF(Inputs!$C$12="HoH",7,4))))*($AH12-INDEX('Methodology &amp; Sources'!$B$279:$J$286,0,IF(Inputs!$C$12="MFJ",1,IF(Inputs!$C$12="HoH",7,4))))*INDEX('Methodology &amp; Sources'!$B$279:$J$286,0,IF(Inputs!$C$12="MFJ",1,IF(Inputs!$C$12="HoH",7,4))+2)),SUMPRODUCT(($AH12&gt;INDEX('Methodology &amp; Sources'!$B$269:$J$276,0,IF(Inputs!$C$12="MFJ",1,IF(Inputs!$C$12="HoH",7,4))))*($AH12-INDEX('Methodology &amp; Sources'!$B$269:$J$276,0,IF(Inputs!$C$12="MFJ",1,IF(Inputs!$C$12="HoH",7,4))))*INDEX('Methodology &amp; Sources'!$B$269:$J$276,0,IF(Inputs!$C$12="MFJ",1,IF(Inputs!$C$12="HoH",7,4))+2)))/Inputs!$C$8-$AO12/Inputs!$C$8)+$AR12+IF(Inputs!$C$89="Aggregate",MAX(0,IF(Inputs!$C$13,SUMPRODUCT((($AH12+$D12)&gt;INDEX('Methodology &amp; Sources'!$B$279:$J$286,0,IF(Inputs!$C$12="MFJ",1,IF(Inputs!$C$12="HoH",7,4))))*(($AH12+$D12)-INDEX('Methodology &amp; Sources'!$B$279:$J$286,0,IF(Inputs!$C$12="MFJ",1,IF(Inputs!$C$12="HoH",7,4))))*INDEX('Methodology &amp; Sources'!$B$279:$J$286,0,IF(Inputs!$C$12="MFJ",1,IF(Inputs!$C$12="HoH",7,4))+2)),SUMPRODUCT((($AH12+$D12)&gt;INDEX('Methodology &amp; Sources'!$B$269:$J$276,0,IF(Inputs!$C$12="MFJ",1,IF(Inputs!$C$12="HoH",7,4))))*(($AH12+$D12)-INDEX('Methodology &amp; Sources'!$B$269:$J$276,0,IF(Inputs!$C$12="MFJ",1,IF(Inputs!$C$12="HoH",7,4))))*INDEX('Methodology &amp; Sources'!$B$269:$J$276,0,IF(Inputs!$C$12="MFJ",1,IF(Inputs!$C$12="HoH",7,4))+2)))-IF(Inputs!$C$13,SUMPRODUCT(($AH12&gt;INDEX('Methodology &amp; Sources'!$B$279:$J$286,0,IF(Inputs!$C$12="MFJ",1,IF(Inputs!$C$12="HoH",7,4))))*($AH12-INDEX('Methodology &amp; Sources'!$B$279:$J$286,0,IF(Inputs!$C$12="MFJ",1,IF(Inputs!$C$12="HoH",7,4))))*INDEX('Methodology &amp; Sources'!$B$279:$J$286,0,IF(Inputs!$C$12="MFJ",1,IF(Inputs!$C$12="HoH",7,4))+2)),SUMPRODUCT(($AH12&gt;INDEX('Methodology &amp; Sources'!$B$269:$J$276,0,IF(Inputs!$C$12="MFJ",1,IF(Inputs!$C$12="HoH",7,4))))*($AH12-INDEX('Methodology &amp; Sources'!$B$269:$J$276,0,IF(Inputs!$C$12="MFJ",1,IF(Inputs!$C$12="HoH",7,4))))*INDEX('Methodology &amp; Sources'!$B$269:$J$276,0,IF(Inputs!$C$12="MFJ",1,IF(Inputs!$C$12="HoH",7,4))+2)))),'Methodology &amp; Sources'!$C$260*$D12),2)))</f>
      </c>
      <c r="Q12" s="7">
        <f>IF($B12="","",ROUND('Methodology &amp; Sources'!$C$254*MIN($N12,MAX(0,'Methodology &amp; Sources'!$C$253-($AX12+$AB11-$AW12))),2))</f>
      </c>
      <c r="R12" s="7">
        <f>IF($B12="","",ROUND('Methodology &amp; Sources'!$C$255*$N12,2))</f>
      </c>
      <c r="S12" s="7">
        <f>IF($B12="","",ROUND('Methodology &amp; Sources'!$C$256*MAX(0,MIN($N12,$AG11+$N12-'Methodology &amp; Sources'!$C$257)),2))</f>
      </c>
      <c r="T12" s="7">
        <f>IF($B12="","",IF(Inputs!$C$26,0,IF($AN12="CA",ROUND(IF($AI12&lt;=IF(($AS12+$AT12)&gt;=2,VLOOKUP($AN12,'StateTables 2026'!$A$6:$AB$56,10,FALSE),VLOOKUP($AN12,'StateTables 2026'!$A$6:$AB$56,9,FALSE)),0,MAX(0,SUMPRODUCT(($AJ12&gt;INDEX('Methodology &amp; Sources'!$B$289:$J$298,0,IF($AU12="Married",4,IF($AU12="Head of household",7,1))))*($AJ12-INDEX('Methodology &amp; Sources'!$B$289:$J$298,0,IF($AU12="Married",4,IF($AU12="Head of household",7,1))))*INDEX('Methodology &amp; Sources'!$B$289:$J$298,0,IF($AU12="Married",4,IF($AU12="Head of household",7,1))+2))-VLOOKUP($AN12,'StateTables 2026'!$A$6:$AB$56,11,FALSE)*$AS12)/Inputs!$C$8)+Inputs!$C$25+VLOOKUP($AN12,'StateTables 2026'!$A$6:$AB$56,13,FALSE)*$D12,2),IF(VLOOKUP($AN12,'StateTables 2026'!$A$6:$AB$56,4,FALSE)="None",0,IF(ISNUMBER(SEARCH("MANUAL",VLOOKUP($AN12,'StateTables 2026'!$A$6:$AB$56,5,FALSE))),Inputs!$C$28,ROUND(MAX(0,$BA12+$BB12)/Inputs!$C$8+Inputs!$C$25+$BC12,2))))))</f>
      </c>
      <c r="U12" s="7">
        <f>IF($B12="","",IF(VLOOKUP($AN12,'StateTables 2026'!$A$6:$AB$56,24,FALSE)="flatq",IF(OR(MONTH($B12)=1,MONTH($B12)=4,MONTH($B12)=7,MONTH($B12)=10),VLOOKUP($AN12,'StateTables 2026'!$A$6:$AB$56,25,FALSE),0),IF(VLOOKUP($AN12,'StateTables 2026'!$A$6:$AB$56,24,FALSE)="dbl",MIN(ROUND(0.005*$N12,2),ROUND(0.6*52/Inputs!$C$8,2)),IF(OR(VLOOKUP($AN12,'StateTables 2026'!$A$6:$AB$56,15,FALSE)="",VLOOKUP($AN12,'StateTables 2026'!$A$6:$AB$56,15,FALSE)=0),0,ROUND(VLOOKUP($AN12,'StateTables 2026'!$A$6:$AB$56,15,FALSE)*IF(OR(VLOOKUP($AN12,'StateTables 2026'!$A$6:$AB$56,16,FALSE)="",VLOOKUP($AN12,'StateTables 2026'!$A$6:$AB$56,16,FALSE)=0),$N12,MIN($N12,MAX(0,VLOOKUP($AN12,'StateTables 2026'!$A$6:$AB$56,16,FALSE)-($AX12+$AB11-$AW12)))),2))))+IF(VLOOKUP($AN12,'StateTables 2026'!$A$6:$AB$56,27,FALSE)="flatq",IF(OR(MONTH($B12)=1,MONTH($B12)=4,MONTH($B12)=7,MONTH($B12)=10),VLOOKUP($AN12,'StateTables 2026'!$A$6:$AB$56,28,FALSE),0),IF(VLOOKUP($AN12,'StateTables 2026'!$A$6:$AB$56,27,FALSE)="dbl",MIN(ROUND(0.005*$N12,2),ROUND(0.6*52/Inputs!$C$8,2)),IF(OR(VLOOKUP($AN12,'StateTables 2026'!$A$6:$AB$56,18,FALSE)="",VLOOKUP($AN12,'StateTables 2026'!$A$6:$AB$56,18,FALSE)=0),0,ROUND(VLOOKUP($AN12,'StateTables 2026'!$A$6:$AB$56,18,FALSE)*IF(OR(VLOOKUP($AN12,'StateTables 2026'!$A$6:$AB$56,19,FALSE)="",VLOOKUP($AN12,'StateTables 2026'!$A$6:$AB$56,19,FALSE)=0),$N12,MIN($N12,MAX(0,VLOOKUP($AN12,'StateTables 2026'!$A$6:$AB$56,19,FALSE)-($AX12+$AB11-$AW12)))),2)))))</f>
      </c>
      <c r="V12" s="7">
        <f>IF($B12="","",IF($AN12="NY",IF(Inputs!$C$78,ROUND(SUMPRODUCT((MAX(0,($O12-$D12)*Inputs!$C$8-(IF($AU12="Married",5500,5000)+1000*$AS12))&gt;INDEX('Methodology &amp; Sources'!$B$434:$J$448,0,4))*(MAX(0,($O12-$D12)*Inputs!$C$8-(IF($AU12="Married",5500,5000)+1000*$AS12))-INDEX('Methodology &amp; Sources'!$B$434:$J$448,0,4))*INDEX('Methodology &amp; Sources'!$B$434:$J$448,0,4+2))/Inputs!$C$8+0.0425*$D12,2),0)+IF(Inputs!$C$79="Resident",ROUND(0.1675*$T12,2),IF(Inputs!$C$79="Nonresident",ROUND(0.005*MAX(0,($O12-$D12)-(IF($AU12="Married",7950,7400)+1000*$AS12)/Inputs!$C$8),2),0)),IF($AN12="PA",IF(Inputs!$C$80="None",Inputs!$C$27+ROUND(Inputs!$C$81*($C12+$D12),2),ROUND(IF(Inputs!$C$80="Resident",IF($B12&lt;DATE(2026,7,1),0.0374,0.03735),IF($B12&lt;DATE(2026,7,1),0.0343,0.03425))*($C12+$D12),2)),IF($BF12=0,ROUND(Inputs!$C$81*($C12+$D12),2),Inputs!$C$27+ROUND(Inputs!$C$81*($C12+$D12),2)))))</f>
      </c>
      <c r="W12" s="7">
        <f>IF($B12="","",IF($BF12=0,0,$BP12))</f>
      </c>
      <c r="X12" s="7">
        <f>IF($B12="","",SUM($E12:$K12)+$P12+$Q12+$R12+$S12+$T12+$U12+$V12+$W12)</f>
      </c>
      <c r="Y12" s="22">
        <f>IF($B12="","",$C12+$D12-$X12)</f>
      </c>
      <c r="Z12" s="7">
        <f>IF($B12="","",$Z11+$C12+$D12)</f>
      </c>
      <c r="AA12" s="7">
        <f>IF($B12="","",$AA11+$Y12)</f>
      </c>
      <c r="AB12" s="7">
        <f>IF($B12="","",$AB11+MIN($N12,MAX(0,'Methodology &amp; Sources'!$C$253-($AX12+$AB11-$AW12))))</f>
      </c>
      <c r="AC12" s="7">
        <f>IF($B12="","",$AC11+$E12+$F12)</f>
      </c>
      <c r="AD12" s="3">
        <f>IF($B12="","",IF(AND($AB11&lt;'Methodology &amp; Sources'!$C$253,$AB12&gt;='Methodology &amp; Sources'!$C$253),"★ Social Security maxed on this check — from the next check your net rises by about $"&amp;TEXT(ROUND('Methodology &amp; Sources'!$C$254*$N12,2),"#,##0.00")&amp;". ","")&amp;IF(AND($AC11&lt;Inputs!$C$91,$AC12&gt;=Inputs!$C$91),"★ 401(k) reaches the $"&amp;TEXT(Inputs!$C$91,"#,##0")&amp;" cap on this check — deferrals stop and net pay rises. ","")&amp;IF(AND($AG11&lt;'Methodology &amp; Sources'!$C$257,$AG12&gt;='Methodology &amp; Sources'!$C$257),"★ Wages pass $200,000 — the 0.9% Additional Medicare Tax starts here. ","")&amp;IF(AND($BJ12&gt;0,$H12&gt;0,$BG11&lt;MIN($BJ12,'Methodology &amp; Sources'!$C$263),$BG11+$H12&gt;=MIN($BJ12,'Methodology &amp; Sources'!$C$263)),"★ Health FSA election is now fully deferred for the year. ",""))</f>
      </c>
      <c r="AE12" s="41" t="n"/>
      <c r="AF12" s="7">
        <f>IF(OR($B12="",$AE12=""),"",$AE12-$Y12)</f>
      </c>
      <c r="AG12" s="7">
        <f>IF($B12="","",$AG11+$N12)</f>
      </c>
      <c r="AH12" s="7">
        <f>IF($B12="","",MAX(0,($M12-$D12)*Inputs!$C$8+$AP12-$AQ12-IF(Inputs!$C$13,0,IF(Inputs!$C$12="MFJ",'Methodology &amp; Sources'!$C$258,'Methodology &amp; Sources'!$C$259))))</f>
      </c>
      <c r="AI12" s="7">
        <f>IF($B12="","",$O12*Inputs!$C$8)</f>
      </c>
      <c r="AJ12" s="7">
        <f>IF($B12="","",MAX(0,$AI12-VLOOKUP($AN12,'StateTables 2026'!$A$6:$AB$56,12,FALSE)*$AT12-IF(($AS12+$AT12)&gt;=2,VLOOKUP($AN12,'StateTables 2026'!$A$6:$AB$56,8,FALSE),VLOOKUP($AN12,'StateTables 2026'!$A$6:$AB$56,7,FALSE))))</f>
      </c>
      <c r="AK12" s="7">
        <f>IF($B12="","",IFERROR(LOOKUP(2,1/((Events!$C$6:$C$17="Salary change")*(Events!$B$6:$B$17&lt;=$B12)*(Events!$B$6:$B$17&lt;&gt;"")),Events!$D$6:$D$17),IF(Inputs!$C$4="Annual salary",Inputs!$C$5,Inputs!$C$6)))</f>
      </c>
      <c r="AL12">
        <f>IF($B12="","",IFERROR(LOOKUP(2,1/((Events!$C$6:$C$17="401(k) change")*(Events!$B$6:$B$17&lt;=$B12)*(Events!$B$6:$B$17&lt;&gt;"")),Events!$D$6:$D$17),Inputs!$C$30))</f>
      </c>
      <c r="AM12" s="7">
        <f>IF($B12="","",IFERROR(LOOKUP(2,1/((Events!$C$6:$C$17="401(k) change")*(Events!$B$6:$B$17&lt;=$B12)*(Events!$B$6:$B$17&lt;&gt;"")),Events!$E$6:$E$17),Inputs!$D$30))</f>
      </c>
      <c r="AN12">
        <f>IF($B12="","",IFERROR(LOOKUP(2,1/((Events!$C$6:$C$17="State move")*(Events!$B$6:$B$17&lt;=$B12)*(Events!$B$6:$B$17&lt;&gt;"")),Events!$D$6:$D$17),Inputs!$C$21))</f>
      </c>
      <c r="AO12" s="7">
        <f>IF($B12="","",IFERROR(LOOKUP(2,1/((Events!$C$6:$C$17="W-4 change")*(Events!$B$6:$B$17&lt;=$B12)*(Events!$B$6:$B$17&lt;&gt;"")),Events!$D$6:$D$17),Inputs!$C$14))</f>
      </c>
      <c r="AP12" s="7">
        <f>IF($B12="","",IFERROR(LOOKUP(2,1/((Events!$C$6:$C$17="W-4 change")*(Events!$B$6:$B$17&lt;=$B12)*(Events!$B$6:$B$17&lt;&gt;"")),Events!$E$6:$E$17),Inputs!$C$15))</f>
      </c>
      <c r="AQ12" s="7">
        <f>IF($B12="","",IFERROR(LOOKUP(2,1/((Events!$C$6:$C$17="W-4 change")*(Events!$B$6:$B$17&lt;=$B12)*(Events!$B$6:$B$17&lt;&gt;"")),Events!$F$6:$F$17),Inputs!$C$16))</f>
      </c>
      <c r="AR12" s="7">
        <f>IF($B12="","",IFERROR(LOOKUP(2,1/((Events!$C$6:$C$17="W-4 change")*(Events!$B$6:$B$17&lt;=$B12)*(Events!$B$6:$B$17&lt;&gt;"")),Events!$G$6:$G$17),Inputs!$C$17))</f>
      </c>
      <c r="AS12" s="6">
        <f>IF($B12="","",IFERROR(LOOKUP(2,1/(((Events!$C$6:$C$17="State move")+(Events!$C$6:$C$17="State cert change"))*(Events!$B$6:$B$17&lt;=$B12)*(Events!$B$6:$B$17&lt;&gt;"")),Events!$F$6:$F$17),Inputs!$C$23))</f>
      </c>
      <c r="AT12" s="6">
        <f>IF($B12="","",IFERROR(LOOKUP(2,1/(((Events!$C$6:$C$17="State move")+(Events!$C$6:$C$17="State cert change"))*(Events!$B$6:$B$17&lt;=$B12)*(Events!$B$6:$B$17&lt;&gt;"")),Events!$G$6:$G$17),Inputs!$C$24))</f>
      </c>
      <c r="AU12">
        <f>IF($B12="","",IFERROR(LOOKUP(2,1/((Events!$C$6:$C$17="State move")*(Events!$B$6:$B$17&lt;=$B12)*(Events!$B$6:$B$17&lt;&gt;"")),Events!$E$6:$E$17),Inputs!$C$22))</f>
      </c>
      <c r="AV12" s="6">
        <f>IF($B12="","",1+COUNTIFS(Events!$C$6:$C$17,"Employer change",Events!$B$6:$B$17,"&lt;="&amp;$B12,Events!$B$6:$B$17,"&lt;&gt;"))</f>
      </c>
      <c r="AW12" s="7">
        <f>IF($B12="","",IF($AV12=1,Inputs!$C$49,IF(IFERROR(MATCH(IFERROR(LOOKUP(2,1/((Events!$C$6:$C$17="Employer change")*(Events!$B$6:$B$17&lt;=$B12)*(Events!$B$6:$B$17&lt;&gt;"")),Events!$B$6:$B$17),""),$B$6:$B$68,1),1)&lt;=1,Inputs!$C$49,INDEX($AB$6:$AB$68,MATCH(IFERROR(LOOKUP(2,1/((Events!$C$6:$C$17="Employer change")*(Events!$B$6:$B$17&lt;=$B12)*(Events!$B$6:$B$17&lt;&gt;"")),Events!$B$6:$B$17),""),$B$6:$B$68,1)-1))))</f>
      </c>
      <c r="AX12" s="7">
        <f>IF($B12="","",IF($AV12=1,Inputs!$C$49,IFERROR(LOOKUP(2,1/((Events!$C$6:$C$17="Employer change")*(Events!$B$6:$B$17&lt;=$B12)*(Events!$B$6:$B$17&lt;&gt;"")),Events!$D$6:$D$17),0)))</f>
      </c>
      <c r="AY12" s="7">
        <f>IF($B12="","",($O12-$D12)*Inputs!$C$8)</f>
      </c>
      <c r="AZ12" s="7">
        <f>IF($B12="","",IF($AN12="AL",MAX(0,$AY12-IF($AU12="Married",IF($AY12&lt;=25999,8500,MAX(5000,8500-175*CEILING(($AY12-25999)/500,1))),IF($AU12="Head of household",IF($AY12&lt;=25999,5200,MAX(2500,5200-135*CEILING(($AY12-25999)/500,1))),IF($AY12&lt;=25999,3000,MAX(2500,3000-25*CEILING(($AY12-25999)/500,1)))))-($P12-'Methodology &amp; Sources'!$C$260*$D12)*Inputs!$C$8-IF(OR($AU12="Married",$AU12="Head of household"),3000,1500)-$AT12*IF($AY12&lt;=50000,1000,IF($AY12&lt;=100000,500,300))),IF($AN12="AR",IF(MAX(0,$AY12-2470)&lt;97701,INT(MAX(0,$AY12-2470)/100)*100+50,MAX(0,$AY12-2470)),IF($AN12="DE",MAX(0,$AI12-3250),IF($AN12="HI",MAX(0,$AI12-1144*$AS12-4350),IF($AN12="KS",MAX(0,$AI12-(9160*IF($AU12="Married",2,1)+2320*$AT12+IF($AU12="Head of household",2320,0))),IF($AN12="MD",MAX(0,$AI12-3400-3200*$AS12),IF($AN12="MN",MAX(0,$AY12-5300*$AS12),IF($AN12="MO",MAX(0,$AI12-IF($AU12="Head of household",24150,IF($AU12="Married",IF(Inputs!$C$83,16100,32200),16100))),IF($AN12="MT",$AY12,IF($AN12="ND",($C12+$L12)*Inputs!$C$8,IF($AN12="NE",MAX(0,$AY12-2440*$AS12),IF($AN12="NJ",MAX(0,$AY12-1000*$AS12),IF($AN12="NY",MAX(0,$AY12-(IF($AU12="Married",7950,7400)+1000*$AS12)),IF($AN12="OH",MAX(0,$AY12-650*$AS12),IF($AN12="OK",MAX(0,$AY12-1000*$AS12),IF($AN12="RI",MAX(0,$AI12-1000*$AS12),IF($AN12="SC",MAX(0,$AI12-5000*$AS12-IF($AS12=0,0,MIN(0.1*$AI12,7500))),IF($AN12="VA",MAX(0,$AI12-IF($AU12="Married",17500,8750)-930*$AS12-800*$AT12),IF($AN12="VT",MAX(0,$AI12-5400*$AS12),IF($AN12="WI",MAX(0,$AI12-MAX(0,IF($AU12="Married",9461-0.2*MAX(0,$AI12-25727),6702-0.12*MAX(0,$AI12-17780)))-400*$AS12),IF($AN12="WV",MAX(0,$AI12-2000*$AS12),$AI12))))))))))))))))))))))</f>
      </c>
      <c r="BA12" s="7">
        <f>IF($B12="","",IF($BW12&lt;&gt;"",$BW12,IF($BX12&lt;&gt;"",$BX12,IF($BY12&lt;&gt;"",$BY12,0))))</f>
      </c>
      <c r="BB12" s="7">
        <f>IF($B12="","",IF($AN12="AR",-29*$AS12,IF($AN12="DE",-110*$AS12,IF($AN12="MD",$AZ12*Inputs!$C$74,IF($AN12="AZ",Inputs!$C$82*($M12-$D12)*Inputs!$C$8,IF($AN12="CO",0.044*MAX(0,$AY12-IF($AU12="Married",10000,5000)),IF($AN12="IA",MAX(0,0.038*MAX(0,$AY12-IF($AU12="Head of household",19500,IF($AU12="Married",26000,13000)))-40*$AS12),IF($AN12="ID",0.053*MAX(0,$AY12-IF($AU12="Married",32000,16094)),IF($AN12="IL",0.0495*MAX(0,$AY12-(2925*$AS12+1000*$AT12)),IF($AN12="IN",(0.0295+Inputs!$C$76)*MAX(0,$AY12-(1000*$AS12+1500*$AT12+3000*Inputs!$C$86)),IF($AN12="KY",0.035*MAX(0,$AI12-3360),IF($AN12="LA",IF(Inputs!$C$84="0",0.0309*$AI12,0.0309*MAX(0,$AI12-IF(Inputs!$C$84="2",25750,12875))),IF($AN12="MA",0.05*MIN(MAX(0,$AY12-MIN(($BD11+$Q12+$R12+$S12),2000)-IF($AS12=0,0,IF($AS12=1,4400,1000*$AS12+3400))),1107750)+0.09*MAX(0,MAX(0,$AY12-MIN(($BD11+$Q12+$R12+$S12),2000)-IF($AS12=0,0,IF($AS12=1,4400,1000*$AS12+3400)))-1107750)-IF($AU12="Head of household",120,0)-110*Inputs!$C$75,IF($AN12="MI",0.0425*MAX(0,$AY12-5900*$AS12),IF($AN12="MS",0.04*MAX(0,$AI12-IF($AU12="Head of household",3400,IF($AU12="Married",4600,2300))-Inputs!$C$85-10000),IF($AN12="OR",IF(OR($AU12="Married",AND($AU12="Single",$AS12&gt;=3)),SUMPRODUCT((MAX(0,$AY12-MIN(($P12-'Methodology &amp; Sources'!$C$260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Sources'!$B$461:$J$464,0,4))*(MAX(0,$AY12-MIN(($P12-'Methodology &amp; Sources'!$C$260*$D12)*Inputs!$C$8,IF(OR($AU12="Married",AND($AU12="Single",$AS12&gt;=3)),IF($AY12&lt;250000,8750,IF($AY12&lt;260000,7000,IF($AY12&lt;270000,5250,IF($AY12&lt;280000,3500,IF($AY12&lt;290000,1750,0))))),IF($AY12&lt;125000,8750,IF($AY12&lt;130000,7000,IF($AY12&lt;135000,5250,IF($AY12&lt;140000,3500,IF($AY12&lt;145000,1750,0)))))))-IF(OR($AU12="Married",AND($AU12="Single",$AS12&gt;=3)),5820,2910))-INDEX('Methodology &amp; Sources'!$B$461:$J$464,0,4))*INDEX('Methodology &amp; Sources'!$B$461:$J$464,0,4+2)),SUMPRODUCT((MAX(0,$AY12-MIN(($P12-'Methodology &amp; Sources'!$C$260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Sources'!$B$461:$J$464,0,1))*(MAX(0,$AY12-MIN(($P12-'Methodology &amp; Sources'!$C$260*$D12)*Inputs!$C$8,IF(OR($AU12="Married",AND($AU12="Single",$AS12&gt;=3)),IF($AY12&lt;250000,8750,IF($AY12&lt;260000,7000,IF($AY12&lt;270000,5250,IF($AY12&lt;280000,3500,IF($AY12&lt;290000,1750,0))))),IF($AY12&lt;125000,8750,IF($AY12&lt;130000,7000,IF($AY12&lt;135000,5250,IF($AY12&lt;140000,3500,IF($AY12&lt;145000,1750,0)))))))-IF(OR($AU12="Married",AND($AU12="Single",$AS12&gt;=3)),5820,2910))-INDEX('Methodology &amp; Sources'!$B$461:$J$464,0,1))*INDEX('Methodology &amp; Sources'!$B$461:$J$464,0,1+2)))+263-263*IF(IF($AU12="Married",$AY12&gt;200000,$AY12&gt;100000),0,$AS12),IF($AN12="PA",0.0307*(($O12+$E12+$G12)*Inputs!$C$8),IF($AN12="NY",IF($AU12="Married",IF($AZ12&gt;=2155350,0,IF($AZ12&gt;=1077550,0.48,IF($AZ12&gt;=373200,1.21,IF($AZ12&gt;=323200,0.21,IF($AZ12&gt;=211550,-0.19,IF($AZ12&gt;=157650,-2.8,IF($AZ12&gt;=107650,-0.8,IF($AZ12&gt;=96800,0.05,IF($AZ12&gt;=80650,-0.1,IF($AZ12&gt;=13900,0.4,IF($AZ12&gt;=11700,-0.3,IF($AZ12&gt;=8500,0.5,0)))))))))))),IF($AZ12&gt;=1077550,0,IF($AZ12&gt;=265400,4.29,IF($AZ12&gt;=215400,2.29,IF($AZ12&gt;=157650,2.29,IF($AZ12&gt;=107650,0.29,IF($AZ12&gt;=96800,0.05,IF($AZ12&gt;=80650,-0.1,IF($AZ12&gt;=13900,0.4,IF($AZ12&gt;=11700,-0.3,IF($AZ12&gt;=8500,0.5,0))))))))))),0))))))))))))))))))</f>
      </c>
      <c r="BC12" s="7">
        <f>IF($B12="","",IF($AN12="AL",0.05*$D12,IF($AN12="AR",0.039*$D12,IF($AN12="ID",0.053*$D12,IF($AN12="IN",(0.0295+Inputs!$C$76)*$D12,IF($AN12="KS",0.05*$D12,IF($AN12="MA",0.09*MIN($D12,MAX(0,MAX(0,$AY12-MIN(($BD11+$Q12+$R12+$S12),2000)-IF($AS12=0,0,IF($AS12=1,4400,1000*$AS12+3400)))+$D12-1107750))+0.05*($D12-MIN($D12,MAX(0,MAX(0,$AY12-MIN(($BD11+$Q12+$R12+$S12),2000)-IF($AS12=0,0,IF($AS12=1,4400,1000*$AS12+3400)))+$D12-1107750))),IF($AN12="MD",(0.065+Inputs!$C$74)*$D12,IF($AN12="MI",0.0425*$D12,IF($AN12="MN",0.0625*$D12,IF($AN12="MO",0.047*$D12,IF($AN12="MT",0.05*$D12,IF($AN12="ND",0.015*$D12,IF($AN12="NE",0.035*$D12,IF($AN12="NJ",IF(Inputs!$C$77="B",SUMPRODUCT(($D12*Inputs!$C$8&gt;INDEX('Methodology &amp; Sources'!$B$405:$J$412,0,4))*($D12*Inputs!$C$8-INDEX('Methodology &amp; Sources'!$B$405:$J$412,0,4))*INDEX('Methodology &amp; Sources'!$B$405:$J$412,0,4+2)),IF(Inputs!$C$77="C",SUMPRODUCT(($D12*Inputs!$C$8&gt;INDEX('Methodology &amp; Sources'!$B$405:$J$412,0,7))*($D12*Inputs!$C$8-INDEX('Methodology &amp; Sources'!$B$405:$J$412,0,7))*INDEX('Methodology &amp; Sources'!$B$405:$J$412,0,7+2)),IF(Inputs!$C$77="D",SUMPRODUCT(($D12*Inputs!$C$8&gt;INDEX('Methodology &amp; Sources'!$B$417:$J$429,0,1))*($D12*Inputs!$C$8-INDEX('Methodology &amp; Sources'!$B$417:$J$429,0,1))*INDEX('Methodology &amp; Sources'!$B$417:$J$429,0,1+2)),IF(Inputs!$C$77="E",SUMPRODUCT(($D12*Inputs!$C$8&gt;INDEX('Methodology &amp; Sources'!$B$417:$J$429,0,4))*($D12*Inputs!$C$8-INDEX('Methodology &amp; Sources'!$B$417:$J$429,0,4))*INDEX('Methodology &amp; Sources'!$B$417:$J$429,0,4+2)),SUMPRODUCT(($D12*Inputs!$C$8&gt;INDEX('Methodology &amp; Sources'!$B$405:$J$412,0,1))*($D12*Inputs!$C$8-INDEX('Methodology &amp; Sources'!$B$405:$J$412,0,1))*INDEX('Methodology &amp; Sources'!$B$405:$J$412,0,1+2))))))/Inputs!$C$8,IF($AN12="NY",0.117*$D12,IF($AN12="OH",0.0275*$D12,IF($AN12="OK",0.045*$D12,IF($AN12="OR",0.08*$D12,IF($AN12="WI",IF($AY12&lt;12760,0.0354,IF($AY12&lt;25520,0.0465,IF($AY12&lt;280950,0.053,0.0765)))*$D12,0))))))))))))))))))))</f>
      </c>
      <c r="BD12" s="7">
        <f>IF($B12="","",$BD11+$Q12+$R12+$S12)</f>
      </c>
      <c r="BE12" s="6">
        <f>IF($B12="",$BE11,$BE11+$BF12)</f>
      </c>
      <c r="BF12" s="6">
        <f>IF($B12="","",IF(AND(IF(YEAR(IF(Inputs!$C$7="Weekly",Inputs!$C$9+7*(($BE11+1)-1),IF(Inputs!$C$7="Biweekly",Inputs!$C$9+14*(($BE11+1)-1),IF(Inputs!$C$7="Semimonthly",DATE(YEAR(Inputs!$C$9),MONTH(Inputs!$C$9)+INT((($BE11+1)-1)/2),MIN(DAY(Inputs!$C$9),DAY(EOMONTH(DATE(YEAR(Inputs!$C$9),MONTH(Inputs!$C$9)+INT((($BE11+1)-1)/2),1),0))))+IF(MOD(($BE11+1)-1,2)=1,15,0),EDATE(Inputs!$C$9,($BE11+1)-1)))))&lt;&gt;2026,"",IF(Inputs!$C$7="Weekly",Inputs!$C$9+7*(($BE11+1)-1),IF(Inputs!$C$7="Biweekly",Inputs!$C$9+14*(($BE11+1)-1),IF(Inputs!$C$7="Semimonthly",DATE(YEAR(Inputs!$C$9),MONTH(Inputs!$C$9)+INT((($BE11+1)-1)/2),MIN(DAY(Inputs!$C$9),DAY(EOMONTH(DATE(YEAR(Inputs!$C$9),MONTH(Inputs!$C$9)+INT((($BE11+1)-1)/2),1),0))))+IF(MOD(($BE11+1)-1,2)=1,15,0),EDATE(Inputs!$C$9,($BE11+1)-1)))))&lt;&gt;"",$B12=IF(YEAR(IF(Inputs!$C$7="Weekly",Inputs!$C$9+7*(($BE11+1)-1),IF(Inputs!$C$7="Biweekly",Inputs!$C$9+14*(($BE11+1)-1),IF(Inputs!$C$7="Semimonthly",DATE(YEAR(Inputs!$C$9),MONTH(Inputs!$C$9)+INT((($BE11+1)-1)/2),MIN(DAY(Inputs!$C$9),DAY(EOMONTH(DATE(YEAR(Inputs!$C$9),MONTH(Inputs!$C$9)+INT((($BE11+1)-1)/2),1),0))))+IF(MOD(($BE11+1)-1,2)=1,15,0),EDATE(Inputs!$C$9,($BE11+1)-1)))))&lt;&gt;2026,"",IF(Inputs!$C$7="Weekly",Inputs!$C$9+7*(($BE11+1)-1),IF(Inputs!$C$7="Biweekly",Inputs!$C$9+14*(($BE11+1)-1),IF(Inputs!$C$7="Semimonthly",DATE(YEAR(Inputs!$C$9),MONTH(Inputs!$C$9)+INT((($BE11+1)-1)/2),MIN(DAY(Inputs!$C$9),DAY(EOMONTH(DATE(YEAR(Inputs!$C$9),MONTH(Inputs!$C$9)+INT((($BE11+1)-1)/2),1),0))))+IF(MOD(($BE11+1)-1,2)=1,15,0),EDATE(Inputs!$C$9,($BE11+1)-1)))))),1,0))</f>
      </c>
      <c r="BG12" s="7">
        <f>IF($B12="","",$BG11+$H12)</f>
      </c>
      <c r="BH12" s="7">
        <f>IF($B12="","",$BH11+$I12)</f>
      </c>
      <c r="BI12" s="7">
        <f>IF($B12="","",$BI11+$G12)</f>
      </c>
      <c r="BJ12" s="7">
        <f>IF($B12="","",IFERROR(LOOKUP(2,1/((((Events!$C$6:$C$17="Deduction start"))*(Events!$D$6:$D$17="Health FSA"))*(Events!$B$6:$B$17&lt;=$B12)*(Events!$B$6:$B$17&lt;&gt;"")),Events!$E$6:$E$17),Inputs!$D$38))</f>
      </c>
      <c r="BK12" s="7">
        <f>IF($B12="","",IFERROR(LOOKUP(2,1/((((Events!$C$6:$C$17="Deduction start"))*(Events!$D$6:$D$17="Dependent-care FSA"))*(Events!$B$6:$B$17&lt;=$B12)*(Events!$B$6:$B$17&lt;&gt;"")),Events!$E$6:$E$17),Inputs!$D$39))</f>
      </c>
      <c r="BL12" s="7">
        <f>IF($B12="","",IFERROR(LOOKUP(2,1/((((Events!$C$6:$C$17="Deduction start")+(Events!$C$6:$C$17="Deduction stop"))*(Events!$D$6:$D$17="HSA"))*(Events!$B$6:$B$17&lt;=$B12)*(Events!$B$6:$B$17&lt;&gt;"")),Events!$I$6:$I$17),Inputs!$D$35))</f>
      </c>
      <c r="BM12" s="7">
        <f>IF($B12="","",IFERROR(LOOKUP(2,1/((((Events!$C$6:$C$17="Deduction start")+(Events!$C$6:$C$17="Deduction stop"))*(Events!$D$6:$D$17="Premiums"))*(Events!$B$6:$B$17&lt;=$B12)*(Events!$B$6:$B$17&lt;&gt;"")),Events!$I$6:$I$17),Inputs!$D$40+Inputs!$D$41+Inputs!$D$42))</f>
      </c>
      <c r="BN12" s="7">
        <f>IF($B12="","",IFERROR(LOOKUP(2,1/((((Events!$C$6:$C$17="Deduction start")+(Events!$C$6:$C$17="Deduction stop"))*(Events!$D$6:$D$17="Commuter"))*(Events!$B$6:$B$17&lt;=$B12)*(Events!$B$6:$B$17&lt;&gt;"")),Events!$I$6:$I$17),Inputs!$D$43))</f>
      </c>
      <c r="BO12" s="7">
        <f>IF($B12="","",IFERROR(LOOKUP(2,1/((((Events!$C$6:$C$17="Deduction start")+(Events!$C$6:$C$17="Deduction stop"))*(Events!$D$6:$D$17="Other pre-tax"))*(Events!$B$6:$B$17&lt;=$B12)*(Events!$B$6:$B$17&lt;&gt;"")),Events!$I$6:$I$17),Inputs!$D$44))</f>
      </c>
      <c r="BP12" s="7">
        <f>IF($B12="","",IFERROR(LOOKUP(2,1/((((Events!$C$6:$C$17="Deduction start")+(Events!$C$6:$C$17="Deduction stop"))*(Events!$D$6:$D$17="Other post-tax"))*(Events!$B$6:$B$17&lt;=$B12)*(Events!$B$6:$B$17&lt;&gt;"")),Events!$I$6:$I$17),Inputs!$D$45))</f>
      </c>
      <c r="BQ12" s="6">
        <f>IF($B12="","",IFERROR(LOOKUP(2,1/((((Events!$C$6:$C$17="Deduction start")+(Events!$C$6:$C$17="Deduction stop"))*(Events!$D$6:$D$17="Health FSA"))*(Events!$B$6:$B$17&lt;=$B12)*(Events!$B$6:$B$17&lt;&gt;"")),Events!$J$6:$J$17),0))</f>
      </c>
      <c r="BR12" s="6">
        <f>IF($B12="","",IFERROR(LOOKUP(2,1/((((Events!$C$6:$C$17="Deduction start")+(Events!$C$6:$C$17="Deduction stop"))*(Events!$D$6:$D$17="Dependent-care FSA"))*(Events!$B$6:$B$17&lt;=$B12)*(Events!$B$6:$B$17&lt;&gt;"")),Events!$J$6:$J$17),0))</f>
      </c>
      <c r="BS12" s="6">
        <f>IF($B12="","",IF(SUMPRODUCT((Events!$C$6:$C$17="Deduction start")*(Events!$B$6:$B$17&lt;=$B12)*(Events!$B$6:$B$17&lt;&gt;"")*(Events!$D$6:$D$17="Health FSA"))&gt;0,1,0))</f>
      </c>
      <c r="BT12" s="6">
        <f>IF($B12="","",IF(SUMPRODUCT((Events!$C$6:$C$17="Deduction start")*(Events!$B$6:$B$17&lt;=$B12)*(Events!$B$6:$B$17&lt;&gt;"")*(Events!$D$6:$D$17="Dependent-care FSA"))&gt;0,1,0))</f>
      </c>
      <c r="BU12" s="24">
        <f>IF($B12="","",IF(Inputs!$C$13,SUMPRODUCT(($AH12&gt;=INDEX('Methodology &amp; Sources'!$B$279:$J$286,0,IF(Inputs!$C$12="MFJ",1,IF(Inputs!$C$12="HoH",7,4))))*INDEX('Methodology &amp; Sources'!$B$279:$J$286,0,IF(Inputs!$C$12="MFJ",1,IF(Inputs!$C$12="HoH",7,4))+2)),SUMPRODUCT(($AH12&gt;=INDEX('Methodology &amp; Sources'!$B$269:$J$276,0,IF(Inputs!$C$12="MFJ",1,IF(Inputs!$C$12="HoH",7,4))))*INDEX('Methodology &amp; Sources'!$B$269:$J$276,0,IF(Inputs!$C$12="MFJ",1,IF(Inputs!$C$12="HoH",7,4))+2))))</f>
      </c>
      <c r="BV12" s="24">
        <f>IF($B12="","",IF($BZ12&lt;&gt;"",$BZ12,IF($CA12&lt;&gt;"",$CA12,IF($CB12&lt;&gt;"",$CB12,IF($CC12&lt;&gt;"",$CC12,0)))))</f>
      </c>
      <c r="BW12" s="7">
        <f>IF($B12="","",IF($AN12="MD",IF(OR($AU12="Married",$AU12="Head of household"),SUMPRODUCT(($AZ12&gt;INDEX('Methodology &amp; Sources'!$B$364:$J$370,0,1))*($AZ12-INDEX('Methodology &amp; Sources'!$B$364:$J$370,0,1))*INDEX('Methodology &amp; Sources'!$B$364:$J$370,0,1+2)),SUMPRODUCT(($AZ12&gt;INDEX('Methodology &amp; Sources'!$B$353:$J$359,0,7))*($AZ12-INDEX('Methodology &amp; Sources'!$B$353:$J$359,0,7))*INDEX('Methodology &amp; Sources'!$B$353:$J$359,0,7+2))),IF($AN12="MO",SUMPRODUCT(($AZ12&gt;INDEX('Methodology &amp; Sources'!$B$375:$J$382,0,1))*($AZ12-INDEX('Methodology &amp; Sources'!$B$375:$J$382,0,1))*INDEX('Methodology &amp; Sources'!$B$375:$J$382,0,1+2)),IF($AN12="MT",IF($AU12="Head of household",SUMPRODUCT(($AZ12&gt;INDEX('Methodology &amp; Sources'!$B$387:$J$389,0,1))*($AZ12-INDEX('Methodology &amp; Sources'!$B$387:$J$389,0,1))*INDEX('Methodology &amp; Sources'!$B$387:$J$389,0,1+2)),IF($AU12="Married",SUMPRODUCT(($AZ12&gt;INDEX('Methodology &amp; Sources'!$B$375:$J$382,0,7))*($AZ12-INDEX('Methodology &amp; Sources'!$B$375:$J$382,0,7))*INDEX('Methodology &amp; Sources'!$B$375:$J$382,0,7+2)),SUMPRODUCT(($AZ12&gt;INDEX('Methodology &amp; Sources'!$B$375:$J$382,0,4))*($AZ12-INDEX('Methodology &amp; Sources'!$B$375:$J$382,0,4))*INDEX('Methodology &amp; Sources'!$B$375:$J$382,0,4+2)))),IF($AN12="ND",IF($AU12="Head of household",SUMPRODUCT(($AZ12&gt;INDEX('Methodology &amp; Sources'!$B$394:$J$400,0,1))*($AZ12-INDEX('Methodology &amp; Sources'!$B$394:$J$400,0,1))*INDEX('Methodology &amp; Sources'!$B$394:$J$400,0,1+2)),IF($AU12="Married",SUMPRODUCT(($AZ12&gt;INDEX('Methodology &amp; Sources'!$B$387:$J$389,0,7))*($AZ12-INDEX('Methodology &amp; Sources'!$B$387:$J$389,0,7))*INDEX('Methodology &amp; Sources'!$B$387:$J$389,0,7+2)),SUMPRODUCT(($AZ12&gt;INDEX('Methodology &amp; Sources'!$B$387:$J$389,0,4))*($AZ12-INDEX('Methodology &amp; Sources'!$B$387:$J$389,0,4))*INDEX('Methodology &amp; Sources'!$B$387:$J$389,0,4+2)))),IF($AN12="NJ",IF(Inputs!$C$77="B",SUMPRODUCT(($AZ12&gt;INDEX('Methodology &amp; Sources'!$B$405:$J$412,0,4))*($AZ12-INDEX('Methodology &amp; Sources'!$B$405:$J$412,0,4))*INDEX('Methodology &amp; Sources'!$B$405:$J$412,0,4+2)),IF(Inputs!$C$77="C",SUMPRODUCT(($AZ12&gt;INDEX('Methodology &amp; Sources'!$B$405:$J$412,0,7))*($AZ12-INDEX('Methodology &amp; Sources'!$B$405:$J$412,0,7))*INDEX('Methodology &amp; Sources'!$B$405:$J$412,0,7+2)),IF(Inputs!$C$77="D",SUMPRODUCT(($AZ12&gt;INDEX('Methodology &amp; Sources'!$B$417:$J$429,0,1))*($AZ12-INDEX('Methodology &amp; Sources'!$B$417:$J$429,0,1))*INDEX('Methodology &amp; Sources'!$B$417:$J$429,0,1+2)),IF(Inputs!$C$77="E",SUMPRODUCT(($AZ12&gt;INDEX('Methodology &amp; Sources'!$B$417:$J$429,0,4))*($AZ12-INDEX('Methodology &amp; Sources'!$B$417:$J$429,0,4))*INDEX('Methodology &amp; Sources'!$B$417:$J$429,0,4+2)),SUMPRODUCT(($AZ12&gt;INDEX('Methodology &amp; Sources'!$B$405:$J$412,0,1))*($AZ12-INDEX('Methodology &amp; Sources'!$B$405:$J$412,0,1))*INDEX('Methodology &amp; Sources'!$B$405:$J$412,0,1+2)))))),IF($AN12="NY",IF($AU12="Married",IF($AZ12&gt;=2155350,$AZ12*IF($AZ12&gt;25000000,0.117,IF($AZ12&gt;5000000,0.111,0.1045)),SUMPRODUCT(($AZ12&gt;INDEX('Methodology &amp; Sources'!$B$434:$J$448,0,1))*($AZ12-INDEX('Methodology &amp; Sources'!$B$434:$J$448,0,1))*INDEX('Methodology &amp; Sources'!$B$434:$J$448,0,1+2))),IF($AZ12&gt;=1077550,$AZ12*IF($AZ12&gt;25000000,0.117,IF($AZ12&gt;5000000,0.111,0.1045)),SUMPRODUCT(($AZ12&gt;INDEX('Methodology &amp; Sources'!$B$417:$J$429,0,7))*($AZ12-INDEX('Methodology &amp; Sources'!$B$417:$J$429,0,7))*INDEX('Methodology &amp; Sources'!$B$417:$J$429,0,7+2)))),"")))))))</f>
      </c>
      <c r="BX12" s="7">
        <f>IF($B12="","",IF($AN12="AL",IF(OR($AU12="Married",$AU12="Head of household"),SUMPRODUCT(($AZ12&gt;INDEX('Methodology &amp; Sources'!$B$332:$J$336,0,4))*($AZ12-INDEX('Methodology &amp; Sources'!$B$332:$J$336,0,4))*INDEX('Methodology &amp; Sources'!$B$332:$J$336,0,4+2)),SUMPRODUCT(($AZ12&gt;INDEX('Methodology &amp; Sources'!$B$332:$J$336,0,1))*($AZ12-INDEX('Methodology &amp; Sources'!$B$332:$J$336,0,1))*INDEX('Methodology &amp; Sources'!$B$332:$J$336,0,1+2))),IF($AN12="KS",IF($AU12="Married",SUMPRODUCT(($AZ12&gt;INDEX('Methodology &amp; Sources'!$B$353:$J$359,0,4))*($AZ12-INDEX('Methodology &amp; Sources'!$B$353:$J$359,0,4))*INDEX('Methodology &amp; Sources'!$B$353:$J$359,0,4+2)),SUMPRODUCT(($AZ12&gt;INDEX('Methodology &amp; Sources'!$B$353:$J$359,0,1))*($AZ12-INDEX('Methodology &amp; Sources'!$B$353:$J$359,0,1))*INDEX('Methodology &amp; Sources'!$B$353:$J$359,0,1+2))),IF($AN12="MN",IF($AU12="Married",SUMPRODUCT(($AZ12&gt;INDEX('Methodology &amp; Sources'!$B$364:$J$370,0,7))*($AZ12-INDEX('Methodology &amp; Sources'!$B$364:$J$370,0,7))*INDEX('Methodology &amp; Sources'!$B$364:$J$370,0,7+2)),SUMPRODUCT(($AZ12&gt;INDEX('Methodology &amp; Sources'!$B$364:$J$370,0,4))*($AZ12-INDEX('Methodology &amp; Sources'!$B$364:$J$370,0,4))*INDEX('Methodology &amp; Sources'!$B$364:$J$370,0,4+2))),IF($AN12="NE",MAX(IF($AU12="Married",SUMPRODUCT(($AZ12&gt;INDEX('Methodology &amp; Sources'!$B$394:$J$400,0,7))*($AZ12-INDEX('Methodology &amp; Sources'!$B$394:$J$400,0,7))*INDEX('Methodology &amp; Sources'!$B$394:$J$400,0,7+2)),SUMPRODUCT(($AZ12&gt;INDEX('Methodology &amp; Sources'!$B$394:$J$400,0,4))*($AZ12-INDEX('Methodology &amp; Sources'!$B$394:$J$400,0,4))*INDEX('Methodology &amp; Sources'!$B$394:$J$400,0,4+2))),0.015*$AZ12),IF($AN12="OH",IF($B12&gt;=DATE(2026,8,1),SUMPRODUCT(($AZ12&gt;INDEX('Methodology &amp; Sources'!$B$453:$J$456,0,1))*($AZ12-INDEX('Methodology &amp; Sources'!$B$453:$J$456,0,1))*INDEX('Methodology &amp; Sources'!$B$453:$J$456,0,1+2)),SUMPRODUCT(($AZ12&gt;INDEX('Methodology &amp; Sources'!$B$434:$J$448,0,7))*($AZ12-INDEX('Methodology &amp; Sources'!$B$434:$J$448,0,7))*INDEX('Methodology &amp; Sources'!$B$434:$J$448,0,7+2))),IF($AN12="OK",IF($AU12="Married",SUMPRODUCT(($AZ12&gt;INDEX('Methodology &amp; Sources'!$B$453:$J$456,0,7))*($AZ12-INDEX('Methodology &amp; Sources'!$B$453:$J$456,0,7))*INDEX('Methodology &amp; Sources'!$B$453:$J$456,0,7+2)),SUMPRODUCT(($AZ12&gt;INDEX('Methodology &amp; Sources'!$B$453:$J$456,0,4))*($AZ12-INDEX('Methodology &amp; Sources'!$B$453:$J$456,0,4))*INDEX('Methodology &amp; Sources'!$B$453:$J$456,0,4+2))),IF($AN12="RI",SUMPRODUCT(($AZ12&gt;INDEX('Methodology &amp; Sources'!$B$461:$J$464,0,7))*($AZ12-INDEX('Methodology &amp; Sources'!$B$461:$J$464,0,7))*INDEX('Methodology &amp; Sources'!$B$461:$J$464,0,7+2)),IF($AN12="VT",IF($AU12="Married",SUMPRODUCT(($AZ12&gt;INDEX('Methodology &amp; Sources'!$B$478:$J$482,0,1))*($AZ12-INDEX('Methodology &amp; Sources'!$B$478:$J$482,0,1))*INDEX('Methodology &amp; Sources'!$B$478:$J$482,0,1+2)),SUMPRODUCT(($AZ12&gt;INDEX('Methodology &amp; Sources'!$B$469:$J$473,0,7))*($AZ12-INDEX('Methodology &amp; Sources'!$B$469:$J$473,0,7))*INDEX('Methodology &amp; Sources'!$B$469:$J$473,0,7+2))),IF($AN12="WV",IF($AU12="Married",SUMPRODUCT(($AZ12&gt;INDEX('Methodology &amp; Sources'!$B$487:$J$491,0,7))*($AZ12-INDEX('Methodology &amp; Sources'!$B$487:$J$491,0,7))*INDEX('Methodology &amp; Sources'!$B$487:$J$491,0,7+2)),SUMPRODUCT(($AZ12&gt;INDEX('Methodology &amp; Sources'!$B$478:$J$482,0,7))*($AZ12-INDEX('Methodology &amp; Sources'!$B$478:$J$482,0,7))*INDEX('Methodology &amp; Sources'!$B$478:$J$482,0,7+2))),""))))))))))</f>
      </c>
      <c r="BY12" s="7">
        <f>IF($B12="","",IF($AN12="AR",SUMPRODUCT(($AZ12&gt;INDEX('Methodology &amp; Sources'!$B$332:$J$336,0,7))*($AZ12-INDEX('Methodology &amp; Sources'!$B$332:$J$336,0,7))*INDEX('Methodology &amp; Sources'!$B$332:$J$336,0,7+2)),IF($AN12="DE",SUMPRODUCT(($AZ12&gt;INDEX('Methodology &amp; Sources'!$B$341:$J$348,0,1))*($AZ12-INDEX('Methodology &amp; Sources'!$B$341:$J$348,0,1))*INDEX('Methodology &amp; Sources'!$B$341:$J$348,0,1+2)),IF($AN12="HI",IF($AU12="Married",SUMPRODUCT(($AZ12&gt;INDEX('Methodology &amp; Sources'!$B$341:$J$348,0,7))*($AZ12-INDEX('Methodology &amp; Sources'!$B$341:$J$348,0,7))*INDEX('Methodology &amp; Sources'!$B$341:$J$348,0,7+2)),SUMPRODUCT(($AZ12&gt;INDEX('Methodology &amp; Sources'!$B$341:$J$348,0,4))*($AZ12-INDEX('Methodology &amp; Sources'!$B$341:$J$348,0,4))*INDEX('Methodology &amp; Sources'!$B$341:$J$348,0,4+2))),IF($AN12="SC",SUMPRODUCT(($AZ12&gt;INDEX('Methodology &amp; Sources'!$B$469:$J$473,0,1))*($AZ12-INDEX('Methodology &amp; Sources'!$B$469:$J$473,0,1))*INDEX('Methodology &amp; Sources'!$B$469:$J$473,0,1+2)),IF($AN12="VA",SUMPRODUCT(($AZ12&gt;INDEX('Methodology &amp; Sources'!$B$469:$J$473,0,4))*($AZ12-INDEX('Methodology &amp; Sources'!$B$469:$J$473,0,4))*INDEX('Methodology &amp; Sources'!$B$469:$J$473,0,4+2)),IF($AN12="WI",SUMPRODUCT(($AZ12&gt;INDEX('Methodology &amp; Sources'!$B$478:$J$482,0,4))*($AZ12-INDEX('Methodology &amp; Sources'!$B$478:$J$482,0,4))*INDEX('Methodology &amp; Sources'!$B$478:$J$482,0,4+2)),"")))))))</f>
      </c>
      <c r="BZ12" s="24">
        <f>IF($B12="","",IF($AN12="NJ",IF(Inputs!$C$77="B",SUMPRODUCT(($AZ12&gt;=INDEX('Methodology &amp; Sources'!$B$405:$J$412,0,4))*INDEX('Methodology &amp; Sources'!$B$405:$J$412,0,4+2)),IF(Inputs!$C$77="C",SUMPRODUCT(($AZ12&gt;=INDEX('Methodology &amp; Sources'!$B$405:$J$412,0,7))*INDEX('Methodology &amp; Sources'!$B$405:$J$412,0,7+2)),IF(Inputs!$C$77="D",SUMPRODUCT(($AZ12&gt;=INDEX('Methodology &amp; Sources'!$B$417:$J$429,0,1))*INDEX('Methodology &amp; Sources'!$B$417:$J$429,0,1+2)),IF(Inputs!$C$77="E",SUMPRODUCT(($AZ12&gt;=INDEX('Methodology &amp; Sources'!$B$417:$J$429,0,4))*INDEX('Methodology &amp; Sources'!$B$417:$J$429,0,4+2)),SUMPRODUCT(($AZ12&gt;=INDEX('Methodology &amp; Sources'!$B$405:$J$412,0,1))*INDEX('Methodology &amp; Sources'!$B$405:$J$412,0,1+2)))))),IF($AN12="OR",IF(OR($AU12="Married",AND($AU12="Single",$AS12&gt;=3)),SUMPRODUCT((MAX(0,$AY12-MIN(($P12-'Methodology &amp; Sources'!$C$260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Sources'!$B$461:$J$464,0,4))*INDEX('Methodology &amp; Sources'!$B$461:$J$464,0,4+2)),SUMPRODUCT((MAX(0,$AY12-MIN(($P12-'Methodology &amp; Sources'!$C$260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Sources'!$B$461:$J$464,0,1))*INDEX('Methodology &amp; Sources'!$B$461:$J$464,0,1+2)))*IF(($P12-'Methodology &amp; Sources'!$C$260*$D12)*Inputs!$C$8&gt;=IF(OR($AU12="Married",AND($AU12="Single",$AS12&gt;=3)),IF($AY12&lt;250000,8750,IF($AY12&lt;260000,7000,IF($AY12&lt;270000,5250,IF($AY12&lt;280000,3500,IF($AY12&lt;290000,1750,0))))),IF($AY12&lt;125000,8750,IF($AY12&lt;130000,7000,IF($AY12&lt;135000,5250,IF($AY12&lt;140000,3500,IF($AY12&lt;145000,1750,0)))))),1,1-IF(Inputs!$C$13,SUMPRODUCT(($AH12&gt;=INDEX('Methodology &amp; Sources'!$B$279:$J$286,0,IF(Inputs!$C$12="MFJ",1,IF(Inputs!$C$12="HoH",7,4))))*INDEX('Methodology &amp; Sources'!$B$279:$J$286,0,IF(Inputs!$C$12="MFJ",1,IF(Inputs!$C$12="HoH",7,4))+2)),SUMPRODUCT(($AH12&gt;=INDEX('Methodology &amp; Sources'!$B$269:$J$276,0,IF(Inputs!$C$12="MFJ",1,IF(Inputs!$C$12="HoH",7,4))))*INDEX('Methodology &amp; Sources'!$B$269:$J$276,0,IF(Inputs!$C$12="MFJ",1,IF(Inputs!$C$12="HoH",7,4))+2)))),IF($AN12="MI",IF($AY12&gt;5900*$AS12,0.0425,0),""))))</f>
      </c>
      <c r="CA12" s="24">
        <f>IF($B12="","",IF($AN12="AL",IF(OR($AU12="Married",$AU12="Head of household"),SUMPRODUCT(($AZ12&gt;=INDEX('Methodology &amp; Sources'!$B$332:$J$336,0,4))*INDEX('Methodology &amp; Sources'!$B$332:$J$336,0,4+2)),SUMPRODUCT(($AZ12&gt;=INDEX('Methodology &amp; Sources'!$B$332:$J$336,0,1))*INDEX('Methodology &amp; Sources'!$B$332:$J$336,0,1+2)))*(1-IF(Inputs!$C$13,SUMPRODUCT(($AH12&gt;=INDEX('Methodology &amp; Sources'!$B$279:$J$286,0,IF(Inputs!$C$12="MFJ",1,IF(Inputs!$C$12="HoH",7,4))))*INDEX('Methodology &amp; Sources'!$B$279:$J$286,0,IF(Inputs!$C$12="MFJ",1,IF(Inputs!$C$12="HoH",7,4))+2)),SUMPRODUCT(($AH12&gt;=INDEX('Methodology &amp; Sources'!$B$269:$J$276,0,IF(Inputs!$C$12="MFJ",1,IF(Inputs!$C$12="HoH",7,4))))*INDEX('Methodology &amp; Sources'!$B$269:$J$276,0,IF(Inputs!$C$12="MFJ",1,IF(Inputs!$C$12="HoH",7,4))+2)))),IF($AN12="KS",IF($AU12="Married",SUMPRODUCT(($AZ12&gt;=INDEX('Methodology &amp; Sources'!$B$353:$J$359,0,4))*INDEX('Methodology &amp; Sources'!$B$353:$J$359,0,4+2)),SUMPRODUCT(($AZ12&gt;=INDEX('Methodology &amp; Sources'!$B$353:$J$359,0,1))*INDEX('Methodology &amp; Sources'!$B$353:$J$359,0,1+2))),IF($AN12="MD",IF(OR($AU12="Married",$AU12="Head of household"),SUMPRODUCT(($AZ12&gt;=INDEX('Methodology &amp; Sources'!$B$364:$J$370,0,1))*INDEX('Methodology &amp; Sources'!$B$364:$J$370,0,1+2)),SUMPRODUCT(($AZ12&gt;=INDEX('Methodology &amp; Sources'!$B$353:$J$359,0,7))*INDEX('Methodology &amp; Sources'!$B$353:$J$359,0,7+2)))+Inputs!$C$74,IF($AN12="MT",IF($AU12="Head of household",SUMPRODUCT(($AZ12&gt;=INDEX('Methodology &amp; Sources'!$B$387:$J$389,0,1))*INDEX('Methodology &amp; Sources'!$B$387:$J$389,0,1+2)),IF($AU12="Married",SUMPRODUCT(($AZ12&gt;=INDEX('Methodology &amp; Sources'!$B$375:$J$382,0,7))*INDEX('Methodology &amp; Sources'!$B$375:$J$382,0,7+2)),SUMPRODUCT(($AZ12&gt;=INDEX('Methodology &amp; Sources'!$B$375:$J$382,0,4))*INDEX('Methodology &amp; Sources'!$B$375:$J$382,0,4+2)))),IF($AN12="ND",IF($AU12="Head of household",SUMPRODUCT(($AZ12&gt;=INDEX('Methodology &amp; Sources'!$B$394:$J$400,0,1))*INDEX('Methodology &amp; Sources'!$B$394:$J$400,0,1+2)),IF($AU12="Married",SUMPRODUCT(($AZ12&gt;=INDEX('Methodology &amp; Sources'!$B$387:$J$389,0,7))*INDEX('Methodology &amp; Sources'!$B$387:$J$389,0,7+2)),SUMPRODUCT(($AZ12&gt;=INDEX('Methodology &amp; Sources'!$B$387:$J$389,0,4))*INDEX('Methodology &amp; Sources'!$B$387:$J$389,0,4+2)))),IF($AN12="NY",IF($AU12="Married",IF($AZ12&gt;=2155350,IF($AZ12&gt;25000000,0.117,IF($AZ12&gt;5000000,0.111,0.1045)),SUMPRODUCT(($AZ12&gt;=INDEX('Methodology &amp; Sources'!$B$434:$J$448,0,1))*INDEX('Methodology &amp; Sources'!$B$434:$J$448,0,1+2))),IF($AZ12&gt;=1077550,IF($AZ12&gt;25000000,0.117,IF($AZ12&gt;5000000,0.111,0.1045)),SUMPRODUCT(($AZ12&gt;=INDEX('Methodology &amp; Sources'!$B$417:$J$429,0,7))*INDEX('Methodology &amp; Sources'!$B$417:$J$429,0,7+2)))),"")))))))</f>
      </c>
      <c r="CB12" s="24">
        <f>IF($B12="","",IF($AN12="CA",SUMPRODUCT(($AJ12&gt;=INDEX('Methodology &amp; Sources'!$B$289:$J$298,0,IF($AU12="Married",4,IF($AU12="Head of household",7,1))))*INDEX('Methodology &amp; Sources'!$B$289:$J$298,0,IF($AU12="Married",4,IF($AU12="Head of household",7,1))+2)),IF($AN12="HI",IF($AU12="Married",SUMPRODUCT(($AZ12&gt;=INDEX('Methodology &amp; Sources'!$B$341:$J$348,0,7))*INDEX('Methodology &amp; Sources'!$B$341:$J$348,0,7+2)),SUMPRODUCT(($AZ12&gt;=INDEX('Methodology &amp; Sources'!$B$341:$J$348,0,4))*INDEX('Methodology &amp; Sources'!$B$341:$J$348,0,4+2))),IF($AN12="MN",IF($AU12="Married",SUMPRODUCT(($AZ12&gt;=INDEX('Methodology &amp; Sources'!$B$364:$J$370,0,7))*INDEX('Methodology &amp; Sources'!$B$364:$J$370,0,7+2)),SUMPRODUCT(($AZ12&gt;=INDEX('Methodology &amp; Sources'!$B$364:$J$370,0,4))*INDEX('Methodology &amp; Sources'!$B$364:$J$370,0,4+2))),IF($AN12="MO",SUMPRODUCT(($AZ12&gt;=INDEX('Methodology &amp; Sources'!$B$375:$J$382,0,1))*INDEX('Methodology &amp; Sources'!$B$375:$J$382,0,1+2)),IF($AN12="NE",MAX(IF($AU12="Married",SUMPRODUCT(($AZ12&gt;=INDEX('Methodology &amp; Sources'!$B$394:$J$400,0,7))*INDEX('Methodology &amp; Sources'!$B$394:$J$400,0,7+2)),SUMPRODUCT(($AZ12&gt;=INDEX('Methodology &amp; Sources'!$B$394:$J$400,0,4))*INDEX('Methodology &amp; Sources'!$B$394:$J$400,0,4+2))),0.015),IF($AN12="OH",IF($B12&gt;=DATE(2026,8,1),SUMPRODUCT(($AZ12&gt;=INDEX('Methodology &amp; Sources'!$B$453:$J$456,0,1))*INDEX('Methodology &amp; Sources'!$B$453:$J$456,0,1+2)),SUMPRODUCT(($AZ12&gt;=INDEX('Methodology &amp; Sources'!$B$434:$J$448,0,7))*INDEX('Methodology &amp; Sources'!$B$434:$J$448,0,7+2))),IF($AN12="OK",IF($AU12="Married",SUMPRODUCT(($AZ12&gt;=INDEX('Methodology &amp; Sources'!$B$453:$J$456,0,7))*INDEX('Methodology &amp; Sources'!$B$453:$J$456,0,7+2)),SUMPRODUCT(($AZ12&gt;=INDEX('Methodology &amp; Sources'!$B$453:$J$456,0,4))*INDEX('Methodology &amp; Sources'!$B$453:$J$456,0,4+2))),IF($AN12="RI",SUMPRODUCT(($AZ12&gt;=INDEX('Methodology &amp; Sources'!$B$461:$J$464,0,7))*INDEX('Methodology &amp; Sources'!$B$461:$J$464,0,7+2)),IF($AN12="SC",SUMPRODUCT(($AZ12&gt;=INDEX('Methodology &amp; Sources'!$B$469:$J$473,0,1))*INDEX('Methodology &amp; Sources'!$B$469:$J$473,0,1+2)),IF($AN12="VT",IF($AU12="Married",SUMPRODUCT(($AZ12&gt;=INDEX('Methodology &amp; Sources'!$B$478:$J$482,0,1))*INDEX('Methodology &amp; Sources'!$B$478:$J$482,0,1+2)),SUMPRODUCT(($AZ12&gt;=INDEX('Methodology &amp; Sources'!$B$469:$J$473,0,7))*INDEX('Methodology &amp; Sources'!$B$469:$J$473,0,7+2))),IF($AN12="WV",IF($AU12="Married",SUMPRODUCT(($AZ12&gt;=INDEX('Methodology &amp; Sources'!$B$487:$J$491,0,7))*INDEX('Methodology &amp; Sources'!$B$487:$J$491,0,7+2)),SUMPRODUCT(($AZ12&gt;=INDEX('Methodology &amp; Sources'!$B$478:$J$482,0,7))*INDEX('Methodology &amp; Sources'!$B$478:$J$482,0,7+2))),IF($AN12="IN",(0.0295+Inputs!$C$76),"")))))))))))))</f>
      </c>
      <c r="CC12" s="24">
        <f>IF($B12="","",IF($AN12="AR",SUMPRODUCT(($AZ12&gt;=INDEX('Methodology &amp; Sources'!$B$332:$J$336,0,7))*INDEX('Methodology &amp; Sources'!$B$332:$J$336,0,7+2)),IF($AN12="DE",SUMPRODUCT(($AZ12&gt;=INDEX('Methodology &amp; Sources'!$B$341:$J$348,0,1))*INDEX('Methodology &amp; Sources'!$B$341:$J$348,0,1+2)),IF($AN12="VA",SUMPRODUCT(($AZ12&gt;=INDEX('Methodology &amp; Sources'!$B$469:$J$473,0,4))*INDEX('Methodology &amp; Sources'!$B$469:$J$473,0,4+2)),IF($AN12="WI",SUMPRODUCT(($AZ12&gt;=INDEX('Methodology &amp; Sources'!$B$478:$J$482,0,4))*INDEX('Methodology &amp; Sources'!$B$478:$J$482,0,4+2)),IF($AN12="AZ",Inputs!$C$82,IF($AN12="CO",IF($AY12&gt;IF($AU12="Married",10000,5000),0.044,0),IF($AN12="IA",IF($AY12&gt;IF($AU12="Head of household",19500,IF($AU12="Married",26000,13000)),0.038,0),IF($AN12="ID",IF($AY12&gt;IF($AU12="Married",32000,16094),0.053,0),IF($AN12="IL",IF($AY12&gt;(2925*$AS12+1000*$AT12),0.0495,0),IF($AN12="KY",IF($AI12&gt;3360,0.035,0),IF($AN12="LA",0.0309,IF($AN12="MA",IF(MAX(0,$AY12-MIN(($BD11+$Q12+$R12+$S12),2000)-IF($AS12=0,0,IF($AS12=1,4400,1000*$AS12+3400)))&gt;=1107750,0.09,0.05),IF($AN12="MS",IF($AI12-IF($AU12="Head of household",3400,IF($AU12="Married",4600,2300))-Inputs!$C$85&gt;10000,0.04,0),IF($AN12="PA",0.0307,"")))))))))))))))</f>
      </c>
      <c r="CD12" s="21">
        <f>IF(YEAR(IF(Inputs!$C$7="Weekly",Inputs!$C$9+7*(($BE11+1)-1),IF(Inputs!$C$7="Biweekly",Inputs!$C$9+14*(($BE11+1)-1),IF(Inputs!$C$7="Semimonthly",DATE(YEAR(Inputs!$C$9),MONTH(Inputs!$C$9)+INT((($BE11+1)-1)/2),MIN(DAY(Inputs!$C$9),DAY(EOMONTH(DATE(YEAR(Inputs!$C$9),MONTH(Inputs!$C$9)+INT((($BE11+1)-1)/2),1),0))))+IF(MOD(($BE11+1)-1,2)=1,15,0),EDATE(Inputs!$C$9,($BE11+1)-1)))))&lt;&gt;2026,"",IF(Inputs!$C$7="Weekly",Inputs!$C$9+7*(($BE11+1)-1),IF(Inputs!$C$7="Biweekly",Inputs!$C$9+14*(($BE11+1)-1),IF(Inputs!$C$7="Semimonthly",DATE(YEAR(Inputs!$C$9),MONTH(Inputs!$C$9)+INT((($BE11+1)-1)/2),MIN(DAY(Inputs!$C$9),DAY(EOMONTH(DATE(YEAR(Inputs!$C$9),MONTH(Inputs!$C$9)+INT((($BE11+1)-1)/2),1),0))))+IF(MOD(($BE11+1)-1,2)=1,15,0),EDATE(Inputs!$C$9,($BE11+1)-1)))))</f>
      </c>
      <c r="CE12" s="21">
        <f>IF(SUMPRODUCT(MIN(IF((Inputs!$C$58:$C$67&gt;MAX($B$6:$B11))*(Inputs!$C$58:$C$67&gt;=DATE(2026,1,1))*(Inputs!$C$58:$C$67&lt;=DATE(2026,12,31)),Inputs!$C$58:$C$67,999999)))=999999,"",SUMPRODUCT(MIN(IF((Inputs!$C$58:$C$67&gt;MAX($B$6:$B11))*(Inputs!$C$58:$C$67&gt;=DATE(2026,1,1))*(Inputs!$C$58:$C$67&lt;=DATE(2026,12,31)),Inputs!$C$58:$C$67,999999))))</f>
      </c>
    </row>
    <row r="13">
      <c r="A13" t="n">
        <v>8</v>
      </c>
      <c r="B13" s="21">
        <f>IF(AND($CD13="",$CE13=""),"",IF($CE13="",$CD13,IF($CD13="",$CE13,MIN($CD13,$CE13))))</f>
      </c>
      <c r="C13" s="7">
        <f>IF($B13="","",IF($BF13=0,0,IF(Inputs!$C$4="Annual salary",ROUND($AK13/IF(AND(Inputs!$C$88="Actual paydays",MONTH(Inputs!$C$9)=1),MAX(1,MAX($BE$6:$BE$68)),Inputs!$C$8),2),$AK13)))</f>
      </c>
      <c r="D13" s="7">
        <f>IF($B13="","",SUMIF(Inputs!$C$58:$C$67,$B13,Inputs!$D$58:$D$67))</f>
      </c>
      <c r="E13" s="7">
        <f>IF($B13="","",ROUND(MAX(0,MIN(IF($AL13="Percent",$AM13*($C13+$D13),$AM13),MAX(0,Inputs!$C$91-$AC12))),2))</f>
      </c>
      <c r="F13" s="7">
        <f>IF($B13="","",ROUND(MAX(0,MIN(IF(Inputs!$C$32="Percent",Inputs!$D$32*($C13+$D13),Inputs!$D$32),MAX(0,Inputs!$C$91-$AC12-$E13))),2))</f>
      </c>
      <c r="G13" s="7">
        <f>IF($B13="","",IF($BF13=0,0,ROUND(MAX(0,MIN($BL13,Inputs!$C$92-Inputs!$C$54-$BI12)),2)))</f>
      </c>
      <c r="H13" s="7">
        <f>IF($B13="","",IF(OR($BF13=0,$BQ13=1),0,ROUND(MAX(0,MIN(IF($BS13=1,ROUND(MAX(0,MIN($BJ13,'Methodology &amp; Sources'!$C$263)-$BG12)/MAX(1,MAX($BE$6:$BE$68)-($BE12)),2),ROUND(MIN($BJ13,'Methodology &amp; Sources'!$C$263)/Inputs!$C$8,2)),MIN($BJ13,'Methodology &amp; Sources'!$C$263)-$BG12)),2)))</f>
      </c>
      <c r="I13" s="7">
        <f>IF($B13="","",IF(OR($BF13=0,$BR13=1),0,ROUND(MAX(0,MIN(IF($BT13=1,ROUND(MAX(0,MIN($BK13,IF(Inputs!$C$12="MFJ",'Methodology &amp; Sources'!$C$264,'Methodology &amp; Sources'!$C$265))-$BH12)/MAX(1,MAX($BE$6:$BE$68)-($BE12)),2),ROUND(MIN($BK13,IF(Inputs!$C$12="MFJ",'Methodology &amp; Sources'!$C$264,'Methodology &amp; Sources'!$C$265))/Inputs!$C$8,2)),MIN($BK13,IF(Inputs!$C$12="MFJ",'Methodology &amp; Sources'!$C$264,'Methodology &amp; Sources'!$C$265))-$BH12)),2)))</f>
      </c>
      <c r="J13" s="7">
        <f>IF($B13="","",IF($BF13=0,0,$BM13))</f>
      </c>
      <c r="K13" s="7">
        <f>IF($B13="","",IF($BF13=0,0,$BN13+$BO13))</f>
      </c>
      <c r="L13" s="7">
        <f>IF($B13="","",IF($BF13=0,0,Inputs!$D$46))</f>
      </c>
      <c r="M13" s="7">
        <f>IF($B13="","",$C13+$D13+$L13-$E13-$G13-$H13-$I13-$J13-$K13)</f>
      </c>
      <c r="N13" s="7">
        <f>IF($B13="","",$C13+$D13+$L13-$G13-$H13-$I13-$J13-$K13)</f>
      </c>
      <c r="O13" s="7">
        <f>IF($B13="","",$C13+$D13+$L13-$E13-$H13-$I13-$J13-$K13-IF(OR($AN13="CA",$AN13="NJ"),0,$G13))</f>
      </c>
      <c r="P13" s="7">
        <f>IF($B13="","",IF(Inputs!$C$18,0,ROUND(MAX(0,IF(Inputs!$C$13,SUMPRODUCT(($AH13&gt;INDEX('Methodology &amp; Sources'!$B$279:$J$286,0,IF(Inputs!$C$12="MFJ",1,IF(Inputs!$C$12="HoH",7,4))))*($AH13-INDEX('Methodology &amp; Sources'!$B$279:$J$286,0,IF(Inputs!$C$12="MFJ",1,IF(Inputs!$C$12="HoH",7,4))))*INDEX('Methodology &amp; Sources'!$B$279:$J$286,0,IF(Inputs!$C$12="MFJ",1,IF(Inputs!$C$12="HoH",7,4))+2)),SUMPRODUCT(($AH13&gt;INDEX('Methodology &amp; Sources'!$B$269:$J$276,0,IF(Inputs!$C$12="MFJ",1,IF(Inputs!$C$12="HoH",7,4))))*($AH13-INDEX('Methodology &amp; Sources'!$B$269:$J$276,0,IF(Inputs!$C$12="MFJ",1,IF(Inputs!$C$12="HoH",7,4))))*INDEX('Methodology &amp; Sources'!$B$269:$J$276,0,IF(Inputs!$C$12="MFJ",1,IF(Inputs!$C$12="HoH",7,4))+2)))/Inputs!$C$8-$AO13/Inputs!$C$8)+$AR13+IF(Inputs!$C$89="Aggregate",MAX(0,IF(Inputs!$C$13,SUMPRODUCT((($AH13+$D13)&gt;INDEX('Methodology &amp; Sources'!$B$279:$J$286,0,IF(Inputs!$C$12="MFJ",1,IF(Inputs!$C$12="HoH",7,4))))*(($AH13+$D13)-INDEX('Methodology &amp; Sources'!$B$279:$J$286,0,IF(Inputs!$C$12="MFJ",1,IF(Inputs!$C$12="HoH",7,4))))*INDEX('Methodology &amp; Sources'!$B$279:$J$286,0,IF(Inputs!$C$12="MFJ",1,IF(Inputs!$C$12="HoH",7,4))+2)),SUMPRODUCT((($AH13+$D13)&gt;INDEX('Methodology &amp; Sources'!$B$269:$J$276,0,IF(Inputs!$C$12="MFJ",1,IF(Inputs!$C$12="HoH",7,4))))*(($AH13+$D13)-INDEX('Methodology &amp; Sources'!$B$269:$J$276,0,IF(Inputs!$C$12="MFJ",1,IF(Inputs!$C$12="HoH",7,4))))*INDEX('Methodology &amp; Sources'!$B$269:$J$276,0,IF(Inputs!$C$12="MFJ",1,IF(Inputs!$C$12="HoH",7,4))+2)))-IF(Inputs!$C$13,SUMPRODUCT(($AH13&gt;INDEX('Methodology &amp; Sources'!$B$279:$J$286,0,IF(Inputs!$C$12="MFJ",1,IF(Inputs!$C$12="HoH",7,4))))*($AH13-INDEX('Methodology &amp; Sources'!$B$279:$J$286,0,IF(Inputs!$C$12="MFJ",1,IF(Inputs!$C$12="HoH",7,4))))*INDEX('Methodology &amp; Sources'!$B$279:$J$286,0,IF(Inputs!$C$12="MFJ",1,IF(Inputs!$C$12="HoH",7,4))+2)),SUMPRODUCT(($AH13&gt;INDEX('Methodology &amp; Sources'!$B$269:$J$276,0,IF(Inputs!$C$12="MFJ",1,IF(Inputs!$C$12="HoH",7,4))))*($AH13-INDEX('Methodology &amp; Sources'!$B$269:$J$276,0,IF(Inputs!$C$12="MFJ",1,IF(Inputs!$C$12="HoH",7,4))))*INDEX('Methodology &amp; Sources'!$B$269:$J$276,0,IF(Inputs!$C$12="MFJ",1,IF(Inputs!$C$12="HoH",7,4))+2)))),'Methodology &amp; Sources'!$C$260*$D13),2)))</f>
      </c>
      <c r="Q13" s="7">
        <f>IF($B13="","",ROUND('Methodology &amp; Sources'!$C$254*MIN($N13,MAX(0,'Methodology &amp; Sources'!$C$253-($AX13+$AB12-$AW13))),2))</f>
      </c>
      <c r="R13" s="7">
        <f>IF($B13="","",ROUND('Methodology &amp; Sources'!$C$255*$N13,2))</f>
      </c>
      <c r="S13" s="7">
        <f>IF($B13="","",ROUND('Methodology &amp; Sources'!$C$256*MAX(0,MIN($N13,$AG12+$N13-'Methodology &amp; Sources'!$C$257)),2))</f>
      </c>
      <c r="T13" s="7">
        <f>IF($B13="","",IF(Inputs!$C$26,0,IF($AN13="CA",ROUND(IF($AI13&lt;=IF(($AS13+$AT13)&gt;=2,VLOOKUP($AN13,'StateTables 2026'!$A$6:$AB$56,10,FALSE),VLOOKUP($AN13,'StateTables 2026'!$A$6:$AB$56,9,FALSE)),0,MAX(0,SUMPRODUCT(($AJ13&gt;INDEX('Methodology &amp; Sources'!$B$289:$J$298,0,IF($AU13="Married",4,IF($AU13="Head of household",7,1))))*($AJ13-INDEX('Methodology &amp; Sources'!$B$289:$J$298,0,IF($AU13="Married",4,IF($AU13="Head of household",7,1))))*INDEX('Methodology &amp; Sources'!$B$289:$J$298,0,IF($AU13="Married",4,IF($AU13="Head of household",7,1))+2))-VLOOKUP($AN13,'StateTables 2026'!$A$6:$AB$56,11,FALSE)*$AS13)/Inputs!$C$8)+Inputs!$C$25+VLOOKUP($AN13,'StateTables 2026'!$A$6:$AB$56,13,FALSE)*$D13,2),IF(VLOOKUP($AN13,'StateTables 2026'!$A$6:$AB$56,4,FALSE)="None",0,IF(ISNUMBER(SEARCH("MANUAL",VLOOKUP($AN13,'StateTables 2026'!$A$6:$AB$56,5,FALSE))),Inputs!$C$28,ROUND(MAX(0,$BA13+$BB13)/Inputs!$C$8+Inputs!$C$25+$BC13,2))))))</f>
      </c>
      <c r="U13" s="7">
        <f>IF($B13="","",IF(VLOOKUP($AN13,'StateTables 2026'!$A$6:$AB$56,24,FALSE)="flatq",IF(OR(MONTH($B13)=1,MONTH($B13)=4,MONTH($B13)=7,MONTH($B13)=10),VLOOKUP($AN13,'StateTables 2026'!$A$6:$AB$56,25,FALSE),0),IF(VLOOKUP($AN13,'StateTables 2026'!$A$6:$AB$56,24,FALSE)="dbl",MIN(ROUND(0.005*$N13,2),ROUND(0.6*52/Inputs!$C$8,2)),IF(OR(VLOOKUP($AN13,'StateTables 2026'!$A$6:$AB$56,15,FALSE)="",VLOOKUP($AN13,'StateTables 2026'!$A$6:$AB$56,15,FALSE)=0),0,ROUND(VLOOKUP($AN13,'StateTables 2026'!$A$6:$AB$56,15,FALSE)*IF(OR(VLOOKUP($AN13,'StateTables 2026'!$A$6:$AB$56,16,FALSE)="",VLOOKUP($AN13,'StateTables 2026'!$A$6:$AB$56,16,FALSE)=0),$N13,MIN($N13,MAX(0,VLOOKUP($AN13,'StateTables 2026'!$A$6:$AB$56,16,FALSE)-($AX13+$AB12-$AW13)))),2))))+IF(VLOOKUP($AN13,'StateTables 2026'!$A$6:$AB$56,27,FALSE)="flatq",IF(OR(MONTH($B13)=1,MONTH($B13)=4,MONTH($B13)=7,MONTH($B13)=10),VLOOKUP($AN13,'StateTables 2026'!$A$6:$AB$56,28,FALSE),0),IF(VLOOKUP($AN13,'StateTables 2026'!$A$6:$AB$56,27,FALSE)="dbl",MIN(ROUND(0.005*$N13,2),ROUND(0.6*52/Inputs!$C$8,2)),IF(OR(VLOOKUP($AN13,'StateTables 2026'!$A$6:$AB$56,18,FALSE)="",VLOOKUP($AN13,'StateTables 2026'!$A$6:$AB$56,18,FALSE)=0),0,ROUND(VLOOKUP($AN13,'StateTables 2026'!$A$6:$AB$56,18,FALSE)*IF(OR(VLOOKUP($AN13,'StateTables 2026'!$A$6:$AB$56,19,FALSE)="",VLOOKUP($AN13,'StateTables 2026'!$A$6:$AB$56,19,FALSE)=0),$N13,MIN($N13,MAX(0,VLOOKUP($AN13,'StateTables 2026'!$A$6:$AB$56,19,FALSE)-($AX13+$AB12-$AW13)))),2)))))</f>
      </c>
      <c r="V13" s="7">
        <f>IF($B13="","",IF($AN13="NY",IF(Inputs!$C$78,ROUND(SUMPRODUCT((MAX(0,($O13-$D13)*Inputs!$C$8-(IF($AU13="Married",5500,5000)+1000*$AS13))&gt;INDEX('Methodology &amp; Sources'!$B$434:$J$448,0,4))*(MAX(0,($O13-$D13)*Inputs!$C$8-(IF($AU13="Married",5500,5000)+1000*$AS13))-INDEX('Methodology &amp; Sources'!$B$434:$J$448,0,4))*INDEX('Methodology &amp; Sources'!$B$434:$J$448,0,4+2))/Inputs!$C$8+0.0425*$D13,2),0)+IF(Inputs!$C$79="Resident",ROUND(0.1675*$T13,2),IF(Inputs!$C$79="Nonresident",ROUND(0.005*MAX(0,($O13-$D13)-(IF($AU13="Married",7950,7400)+1000*$AS13)/Inputs!$C$8),2),0)),IF($AN13="PA",IF(Inputs!$C$80="None",Inputs!$C$27+ROUND(Inputs!$C$81*($C13+$D13),2),ROUND(IF(Inputs!$C$80="Resident",IF($B13&lt;DATE(2026,7,1),0.0374,0.03735),IF($B13&lt;DATE(2026,7,1),0.0343,0.03425))*($C13+$D13),2)),IF($BF13=0,ROUND(Inputs!$C$81*($C13+$D13),2),Inputs!$C$27+ROUND(Inputs!$C$81*($C13+$D13),2)))))</f>
      </c>
      <c r="W13" s="7">
        <f>IF($B13="","",IF($BF13=0,0,$BP13))</f>
      </c>
      <c r="X13" s="7">
        <f>IF($B13="","",SUM($E13:$K13)+$P13+$Q13+$R13+$S13+$T13+$U13+$V13+$W13)</f>
      </c>
      <c r="Y13" s="22">
        <f>IF($B13="","",$C13+$D13-$X13)</f>
      </c>
      <c r="Z13" s="7">
        <f>IF($B13="","",$Z12+$C13+$D13)</f>
      </c>
      <c r="AA13" s="7">
        <f>IF($B13="","",$AA12+$Y13)</f>
      </c>
      <c r="AB13" s="7">
        <f>IF($B13="","",$AB12+MIN($N13,MAX(0,'Methodology &amp; Sources'!$C$253-($AX13+$AB12-$AW13))))</f>
      </c>
      <c r="AC13" s="7">
        <f>IF($B13="","",$AC12+$E13+$F13)</f>
      </c>
      <c r="AD13" s="3">
        <f>IF($B13="","",IF(AND($AB12&lt;'Methodology &amp; Sources'!$C$253,$AB13&gt;='Methodology &amp; Sources'!$C$253),"★ Social Security maxed on this check — from the next check your net rises by about $"&amp;TEXT(ROUND('Methodology &amp; Sources'!$C$254*$N13,2),"#,##0.00")&amp;". ","")&amp;IF(AND($AC12&lt;Inputs!$C$91,$AC13&gt;=Inputs!$C$91),"★ 401(k) reaches the $"&amp;TEXT(Inputs!$C$91,"#,##0")&amp;" cap on this check — deferrals stop and net pay rises. ","")&amp;IF(AND($AG12&lt;'Methodology &amp; Sources'!$C$257,$AG13&gt;='Methodology &amp; Sources'!$C$257),"★ Wages pass $200,000 — the 0.9% Additional Medicare Tax starts here. ","")&amp;IF(AND($BJ13&gt;0,$H13&gt;0,$BG12&lt;MIN($BJ13,'Methodology &amp; Sources'!$C$263),$BG12+$H13&gt;=MIN($BJ13,'Methodology &amp; Sources'!$C$263)),"★ Health FSA election is now fully deferred for the year. ",""))</f>
      </c>
      <c r="AE13" s="41" t="n"/>
      <c r="AF13" s="7">
        <f>IF(OR($B13="",$AE13=""),"",$AE13-$Y13)</f>
      </c>
      <c r="AG13" s="7">
        <f>IF($B13="","",$AG12+$N13)</f>
      </c>
      <c r="AH13" s="7">
        <f>IF($B13="","",MAX(0,($M13-$D13)*Inputs!$C$8+$AP13-$AQ13-IF(Inputs!$C$13,0,IF(Inputs!$C$12="MFJ",'Methodology &amp; Sources'!$C$258,'Methodology &amp; Sources'!$C$259))))</f>
      </c>
      <c r="AI13" s="7">
        <f>IF($B13="","",$O13*Inputs!$C$8)</f>
      </c>
      <c r="AJ13" s="7">
        <f>IF($B13="","",MAX(0,$AI13-VLOOKUP($AN13,'StateTables 2026'!$A$6:$AB$56,12,FALSE)*$AT13-IF(($AS13+$AT13)&gt;=2,VLOOKUP($AN13,'StateTables 2026'!$A$6:$AB$56,8,FALSE),VLOOKUP($AN13,'StateTables 2026'!$A$6:$AB$56,7,FALSE))))</f>
      </c>
      <c r="AK13" s="7">
        <f>IF($B13="","",IFERROR(LOOKUP(2,1/((Events!$C$6:$C$17="Salary change")*(Events!$B$6:$B$17&lt;=$B13)*(Events!$B$6:$B$17&lt;&gt;"")),Events!$D$6:$D$17),IF(Inputs!$C$4="Annual salary",Inputs!$C$5,Inputs!$C$6)))</f>
      </c>
      <c r="AL13">
        <f>IF($B13="","",IFERROR(LOOKUP(2,1/((Events!$C$6:$C$17="401(k) change")*(Events!$B$6:$B$17&lt;=$B13)*(Events!$B$6:$B$17&lt;&gt;"")),Events!$D$6:$D$17),Inputs!$C$30))</f>
      </c>
      <c r="AM13" s="7">
        <f>IF($B13="","",IFERROR(LOOKUP(2,1/((Events!$C$6:$C$17="401(k) change")*(Events!$B$6:$B$17&lt;=$B13)*(Events!$B$6:$B$17&lt;&gt;"")),Events!$E$6:$E$17),Inputs!$D$30))</f>
      </c>
      <c r="AN13">
        <f>IF($B13="","",IFERROR(LOOKUP(2,1/((Events!$C$6:$C$17="State move")*(Events!$B$6:$B$17&lt;=$B13)*(Events!$B$6:$B$17&lt;&gt;"")),Events!$D$6:$D$17),Inputs!$C$21))</f>
      </c>
      <c r="AO13" s="7">
        <f>IF($B13="","",IFERROR(LOOKUP(2,1/((Events!$C$6:$C$17="W-4 change")*(Events!$B$6:$B$17&lt;=$B13)*(Events!$B$6:$B$17&lt;&gt;"")),Events!$D$6:$D$17),Inputs!$C$14))</f>
      </c>
      <c r="AP13" s="7">
        <f>IF($B13="","",IFERROR(LOOKUP(2,1/((Events!$C$6:$C$17="W-4 change")*(Events!$B$6:$B$17&lt;=$B13)*(Events!$B$6:$B$17&lt;&gt;"")),Events!$E$6:$E$17),Inputs!$C$15))</f>
      </c>
      <c r="AQ13" s="7">
        <f>IF($B13="","",IFERROR(LOOKUP(2,1/((Events!$C$6:$C$17="W-4 change")*(Events!$B$6:$B$17&lt;=$B13)*(Events!$B$6:$B$17&lt;&gt;"")),Events!$F$6:$F$17),Inputs!$C$16))</f>
      </c>
      <c r="AR13" s="7">
        <f>IF($B13="","",IFERROR(LOOKUP(2,1/((Events!$C$6:$C$17="W-4 change")*(Events!$B$6:$B$17&lt;=$B13)*(Events!$B$6:$B$17&lt;&gt;"")),Events!$G$6:$G$17),Inputs!$C$17))</f>
      </c>
      <c r="AS13" s="6">
        <f>IF($B13="","",IFERROR(LOOKUP(2,1/(((Events!$C$6:$C$17="State move")+(Events!$C$6:$C$17="State cert change"))*(Events!$B$6:$B$17&lt;=$B13)*(Events!$B$6:$B$17&lt;&gt;"")),Events!$F$6:$F$17),Inputs!$C$23))</f>
      </c>
      <c r="AT13" s="6">
        <f>IF($B13="","",IFERROR(LOOKUP(2,1/(((Events!$C$6:$C$17="State move")+(Events!$C$6:$C$17="State cert change"))*(Events!$B$6:$B$17&lt;=$B13)*(Events!$B$6:$B$17&lt;&gt;"")),Events!$G$6:$G$17),Inputs!$C$24))</f>
      </c>
      <c r="AU13">
        <f>IF($B13="","",IFERROR(LOOKUP(2,1/((Events!$C$6:$C$17="State move")*(Events!$B$6:$B$17&lt;=$B13)*(Events!$B$6:$B$17&lt;&gt;"")),Events!$E$6:$E$17),Inputs!$C$22))</f>
      </c>
      <c r="AV13" s="6">
        <f>IF($B13="","",1+COUNTIFS(Events!$C$6:$C$17,"Employer change",Events!$B$6:$B$17,"&lt;="&amp;$B13,Events!$B$6:$B$17,"&lt;&gt;"))</f>
      </c>
      <c r="AW13" s="7">
        <f>IF($B13="","",IF($AV13=1,Inputs!$C$49,IF(IFERROR(MATCH(IFERROR(LOOKUP(2,1/((Events!$C$6:$C$17="Employer change")*(Events!$B$6:$B$17&lt;=$B13)*(Events!$B$6:$B$17&lt;&gt;"")),Events!$B$6:$B$17),""),$B$6:$B$68,1),1)&lt;=1,Inputs!$C$49,INDEX($AB$6:$AB$68,MATCH(IFERROR(LOOKUP(2,1/((Events!$C$6:$C$17="Employer change")*(Events!$B$6:$B$17&lt;=$B13)*(Events!$B$6:$B$17&lt;&gt;"")),Events!$B$6:$B$17),""),$B$6:$B$68,1)-1))))</f>
      </c>
      <c r="AX13" s="7">
        <f>IF($B13="","",IF($AV13=1,Inputs!$C$49,IFERROR(LOOKUP(2,1/((Events!$C$6:$C$17="Employer change")*(Events!$B$6:$B$17&lt;=$B13)*(Events!$B$6:$B$17&lt;&gt;"")),Events!$D$6:$D$17),0)))</f>
      </c>
      <c r="AY13" s="7">
        <f>IF($B13="","",($O13-$D13)*Inputs!$C$8)</f>
      </c>
      <c r="AZ13" s="7">
        <f>IF($B13="","",IF($AN13="AL",MAX(0,$AY13-IF($AU13="Married",IF($AY13&lt;=25999,8500,MAX(5000,8500-175*CEILING(($AY13-25999)/500,1))),IF($AU13="Head of household",IF($AY13&lt;=25999,5200,MAX(2500,5200-135*CEILING(($AY13-25999)/500,1))),IF($AY13&lt;=25999,3000,MAX(2500,3000-25*CEILING(($AY13-25999)/500,1)))))-($P13-'Methodology &amp; Sources'!$C$260*$D13)*Inputs!$C$8-IF(OR($AU13="Married",$AU13="Head of household"),3000,1500)-$AT13*IF($AY13&lt;=50000,1000,IF($AY13&lt;=100000,500,300))),IF($AN13="AR",IF(MAX(0,$AY13-2470)&lt;97701,INT(MAX(0,$AY13-2470)/100)*100+50,MAX(0,$AY13-2470)),IF($AN13="DE",MAX(0,$AI13-3250),IF($AN13="HI",MAX(0,$AI13-1144*$AS13-4350),IF($AN13="KS",MAX(0,$AI13-(9160*IF($AU13="Married",2,1)+2320*$AT13+IF($AU13="Head of household",2320,0))),IF($AN13="MD",MAX(0,$AI13-3400-3200*$AS13),IF($AN13="MN",MAX(0,$AY13-5300*$AS13),IF($AN13="MO",MAX(0,$AI13-IF($AU13="Head of household",24150,IF($AU13="Married",IF(Inputs!$C$83,16100,32200),16100))),IF($AN13="MT",$AY13,IF($AN13="ND",($C13+$L13)*Inputs!$C$8,IF($AN13="NE",MAX(0,$AY13-2440*$AS13),IF($AN13="NJ",MAX(0,$AY13-1000*$AS13),IF($AN13="NY",MAX(0,$AY13-(IF($AU13="Married",7950,7400)+1000*$AS13)),IF($AN13="OH",MAX(0,$AY13-650*$AS13),IF($AN13="OK",MAX(0,$AY13-1000*$AS13),IF($AN13="RI",MAX(0,$AI13-1000*$AS13),IF($AN13="SC",MAX(0,$AI13-5000*$AS13-IF($AS13=0,0,MIN(0.1*$AI13,7500))),IF($AN13="VA",MAX(0,$AI13-IF($AU13="Married",17500,8750)-930*$AS13-800*$AT13),IF($AN13="VT",MAX(0,$AI13-5400*$AS13),IF($AN13="WI",MAX(0,$AI13-MAX(0,IF($AU13="Married",9461-0.2*MAX(0,$AI13-25727),6702-0.12*MAX(0,$AI13-17780)))-400*$AS13),IF($AN13="WV",MAX(0,$AI13-2000*$AS13),$AI13))))))))))))))))))))))</f>
      </c>
      <c r="BA13" s="7">
        <f>IF($B13="","",IF($BW13&lt;&gt;"",$BW13,IF($BX13&lt;&gt;"",$BX13,IF($BY13&lt;&gt;"",$BY13,0))))</f>
      </c>
      <c r="BB13" s="7">
        <f>IF($B13="","",IF($AN13="AR",-29*$AS13,IF($AN13="DE",-110*$AS13,IF($AN13="MD",$AZ13*Inputs!$C$74,IF($AN13="AZ",Inputs!$C$82*($M13-$D13)*Inputs!$C$8,IF($AN13="CO",0.044*MAX(0,$AY13-IF($AU13="Married",10000,5000)),IF($AN13="IA",MAX(0,0.038*MAX(0,$AY13-IF($AU13="Head of household",19500,IF($AU13="Married",26000,13000)))-40*$AS13),IF($AN13="ID",0.053*MAX(0,$AY13-IF($AU13="Married",32000,16094)),IF($AN13="IL",0.0495*MAX(0,$AY13-(2925*$AS13+1000*$AT13)),IF($AN13="IN",(0.0295+Inputs!$C$76)*MAX(0,$AY13-(1000*$AS13+1500*$AT13+3000*Inputs!$C$86)),IF($AN13="KY",0.035*MAX(0,$AI13-3360),IF($AN13="LA",IF(Inputs!$C$84="0",0.0309*$AI13,0.0309*MAX(0,$AI13-IF(Inputs!$C$84="2",25750,12875))),IF($AN13="MA",0.05*MIN(MAX(0,$AY13-MIN(($BD12+$Q13+$R13+$S13),2000)-IF($AS13=0,0,IF($AS13=1,4400,1000*$AS13+3400))),1107750)+0.09*MAX(0,MAX(0,$AY13-MIN(($BD12+$Q13+$R13+$S13),2000)-IF($AS13=0,0,IF($AS13=1,4400,1000*$AS13+3400)))-1107750)-IF($AU13="Head of household",120,0)-110*Inputs!$C$75,IF($AN13="MI",0.0425*MAX(0,$AY13-5900*$AS13),IF($AN13="MS",0.04*MAX(0,$AI13-IF($AU13="Head of household",3400,IF($AU13="Married",4600,2300))-Inputs!$C$85-10000),IF($AN13="OR",IF(OR($AU13="Married",AND($AU13="Single",$AS13&gt;=3)),SUMPRODUCT((MAX(0,$AY13-MIN(($P13-'Methodology &amp; Sources'!$C$260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Sources'!$B$461:$J$464,0,4))*(MAX(0,$AY13-MIN(($P13-'Methodology &amp; Sources'!$C$260*$D13)*Inputs!$C$8,IF(OR($AU13="Married",AND($AU13="Single",$AS13&gt;=3)),IF($AY13&lt;250000,8750,IF($AY13&lt;260000,7000,IF($AY13&lt;270000,5250,IF($AY13&lt;280000,3500,IF($AY13&lt;290000,1750,0))))),IF($AY13&lt;125000,8750,IF($AY13&lt;130000,7000,IF($AY13&lt;135000,5250,IF($AY13&lt;140000,3500,IF($AY13&lt;145000,1750,0)))))))-IF(OR($AU13="Married",AND($AU13="Single",$AS13&gt;=3)),5820,2910))-INDEX('Methodology &amp; Sources'!$B$461:$J$464,0,4))*INDEX('Methodology &amp; Sources'!$B$461:$J$464,0,4+2)),SUMPRODUCT((MAX(0,$AY13-MIN(($P13-'Methodology &amp; Sources'!$C$260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Sources'!$B$461:$J$464,0,1))*(MAX(0,$AY13-MIN(($P13-'Methodology &amp; Sources'!$C$260*$D13)*Inputs!$C$8,IF(OR($AU13="Married",AND($AU13="Single",$AS13&gt;=3)),IF($AY13&lt;250000,8750,IF($AY13&lt;260000,7000,IF($AY13&lt;270000,5250,IF($AY13&lt;280000,3500,IF($AY13&lt;290000,1750,0))))),IF($AY13&lt;125000,8750,IF($AY13&lt;130000,7000,IF($AY13&lt;135000,5250,IF($AY13&lt;140000,3500,IF($AY13&lt;145000,1750,0)))))))-IF(OR($AU13="Married",AND($AU13="Single",$AS13&gt;=3)),5820,2910))-INDEX('Methodology &amp; Sources'!$B$461:$J$464,0,1))*INDEX('Methodology &amp; Sources'!$B$461:$J$464,0,1+2)))+263-263*IF(IF($AU13="Married",$AY13&gt;200000,$AY13&gt;100000),0,$AS13),IF($AN13="PA",0.0307*(($O13+$E13+$G13)*Inputs!$C$8),IF($AN13="NY",IF($AU13="Married",IF($AZ13&gt;=2155350,0,IF($AZ13&gt;=1077550,0.48,IF($AZ13&gt;=373200,1.21,IF($AZ13&gt;=323200,0.21,IF($AZ13&gt;=211550,-0.19,IF($AZ13&gt;=157650,-2.8,IF($AZ13&gt;=107650,-0.8,IF($AZ13&gt;=96800,0.05,IF($AZ13&gt;=80650,-0.1,IF($AZ13&gt;=13900,0.4,IF($AZ13&gt;=11700,-0.3,IF($AZ13&gt;=8500,0.5,0)))))))))))),IF($AZ13&gt;=1077550,0,IF($AZ13&gt;=265400,4.29,IF($AZ13&gt;=215400,2.29,IF($AZ13&gt;=157650,2.29,IF($AZ13&gt;=107650,0.29,IF($AZ13&gt;=96800,0.05,IF($AZ13&gt;=80650,-0.1,IF($AZ13&gt;=13900,0.4,IF($AZ13&gt;=11700,-0.3,IF($AZ13&gt;=8500,0.5,0))))))))))),0))))))))))))))))))</f>
      </c>
      <c r="BC13" s="7">
        <f>IF($B13="","",IF($AN13="AL",0.05*$D13,IF($AN13="AR",0.039*$D13,IF($AN13="ID",0.053*$D13,IF($AN13="IN",(0.0295+Inputs!$C$76)*$D13,IF($AN13="KS",0.05*$D13,IF($AN13="MA",0.09*MIN($D13,MAX(0,MAX(0,$AY13-MIN(($BD12+$Q13+$R13+$S13),2000)-IF($AS13=0,0,IF($AS13=1,4400,1000*$AS13+3400)))+$D13-1107750))+0.05*($D13-MIN($D13,MAX(0,MAX(0,$AY13-MIN(($BD12+$Q13+$R13+$S13),2000)-IF($AS13=0,0,IF($AS13=1,4400,1000*$AS13+3400)))+$D13-1107750))),IF($AN13="MD",(0.065+Inputs!$C$74)*$D13,IF($AN13="MI",0.0425*$D13,IF($AN13="MN",0.0625*$D13,IF($AN13="MO",0.047*$D13,IF($AN13="MT",0.05*$D13,IF($AN13="ND",0.015*$D13,IF($AN13="NE",0.035*$D13,IF($AN13="NJ",IF(Inputs!$C$77="B",SUMPRODUCT(($D13*Inputs!$C$8&gt;INDEX('Methodology &amp; Sources'!$B$405:$J$412,0,4))*($D13*Inputs!$C$8-INDEX('Methodology &amp; Sources'!$B$405:$J$412,0,4))*INDEX('Methodology &amp; Sources'!$B$405:$J$412,0,4+2)),IF(Inputs!$C$77="C",SUMPRODUCT(($D13*Inputs!$C$8&gt;INDEX('Methodology &amp; Sources'!$B$405:$J$412,0,7))*($D13*Inputs!$C$8-INDEX('Methodology &amp; Sources'!$B$405:$J$412,0,7))*INDEX('Methodology &amp; Sources'!$B$405:$J$412,0,7+2)),IF(Inputs!$C$77="D",SUMPRODUCT(($D13*Inputs!$C$8&gt;INDEX('Methodology &amp; Sources'!$B$417:$J$429,0,1))*($D13*Inputs!$C$8-INDEX('Methodology &amp; Sources'!$B$417:$J$429,0,1))*INDEX('Methodology &amp; Sources'!$B$417:$J$429,0,1+2)),IF(Inputs!$C$77="E",SUMPRODUCT(($D13*Inputs!$C$8&gt;INDEX('Methodology &amp; Sources'!$B$417:$J$429,0,4))*($D13*Inputs!$C$8-INDEX('Methodology &amp; Sources'!$B$417:$J$429,0,4))*INDEX('Methodology &amp; Sources'!$B$417:$J$429,0,4+2)),SUMPRODUCT(($D13*Inputs!$C$8&gt;INDEX('Methodology &amp; Sources'!$B$405:$J$412,0,1))*($D13*Inputs!$C$8-INDEX('Methodology &amp; Sources'!$B$405:$J$412,0,1))*INDEX('Methodology &amp; Sources'!$B$405:$J$412,0,1+2))))))/Inputs!$C$8,IF($AN13="NY",0.117*$D13,IF($AN13="OH",0.0275*$D13,IF($AN13="OK",0.045*$D13,IF($AN13="OR",0.08*$D13,IF($AN13="WI",IF($AY13&lt;12760,0.0354,IF($AY13&lt;25520,0.0465,IF($AY13&lt;280950,0.053,0.0765)))*$D13,0))))))))))))))))))))</f>
      </c>
      <c r="BD13" s="7">
        <f>IF($B13="","",$BD12+$Q13+$R13+$S13)</f>
      </c>
      <c r="BE13" s="6">
        <f>IF($B13="",$BE12,$BE12+$BF13)</f>
      </c>
      <c r="BF13" s="6">
        <f>IF($B13="","",IF(AND(IF(YEAR(IF(Inputs!$C$7="Weekly",Inputs!$C$9+7*(($BE12+1)-1),IF(Inputs!$C$7="Biweekly",Inputs!$C$9+14*(($BE12+1)-1),IF(Inputs!$C$7="Semimonthly",DATE(YEAR(Inputs!$C$9),MONTH(Inputs!$C$9)+INT((($BE12+1)-1)/2),MIN(DAY(Inputs!$C$9),DAY(EOMONTH(DATE(YEAR(Inputs!$C$9),MONTH(Inputs!$C$9)+INT((($BE12+1)-1)/2),1),0))))+IF(MOD(($BE12+1)-1,2)=1,15,0),EDATE(Inputs!$C$9,($BE12+1)-1)))))&lt;&gt;2026,"",IF(Inputs!$C$7="Weekly",Inputs!$C$9+7*(($BE12+1)-1),IF(Inputs!$C$7="Biweekly",Inputs!$C$9+14*(($BE12+1)-1),IF(Inputs!$C$7="Semimonthly",DATE(YEAR(Inputs!$C$9),MONTH(Inputs!$C$9)+INT((($BE12+1)-1)/2),MIN(DAY(Inputs!$C$9),DAY(EOMONTH(DATE(YEAR(Inputs!$C$9),MONTH(Inputs!$C$9)+INT((($BE12+1)-1)/2),1),0))))+IF(MOD(($BE12+1)-1,2)=1,15,0),EDATE(Inputs!$C$9,($BE12+1)-1)))))&lt;&gt;"",$B13=IF(YEAR(IF(Inputs!$C$7="Weekly",Inputs!$C$9+7*(($BE12+1)-1),IF(Inputs!$C$7="Biweekly",Inputs!$C$9+14*(($BE12+1)-1),IF(Inputs!$C$7="Semimonthly",DATE(YEAR(Inputs!$C$9),MONTH(Inputs!$C$9)+INT((($BE12+1)-1)/2),MIN(DAY(Inputs!$C$9),DAY(EOMONTH(DATE(YEAR(Inputs!$C$9),MONTH(Inputs!$C$9)+INT((($BE12+1)-1)/2),1),0))))+IF(MOD(($BE12+1)-1,2)=1,15,0),EDATE(Inputs!$C$9,($BE12+1)-1)))))&lt;&gt;2026,"",IF(Inputs!$C$7="Weekly",Inputs!$C$9+7*(($BE12+1)-1),IF(Inputs!$C$7="Biweekly",Inputs!$C$9+14*(($BE12+1)-1),IF(Inputs!$C$7="Semimonthly",DATE(YEAR(Inputs!$C$9),MONTH(Inputs!$C$9)+INT((($BE12+1)-1)/2),MIN(DAY(Inputs!$C$9),DAY(EOMONTH(DATE(YEAR(Inputs!$C$9),MONTH(Inputs!$C$9)+INT((($BE12+1)-1)/2),1),0))))+IF(MOD(($BE12+1)-1,2)=1,15,0),EDATE(Inputs!$C$9,($BE12+1)-1)))))),1,0))</f>
      </c>
      <c r="BG13" s="7">
        <f>IF($B13="","",$BG12+$H13)</f>
      </c>
      <c r="BH13" s="7">
        <f>IF($B13="","",$BH12+$I13)</f>
      </c>
      <c r="BI13" s="7">
        <f>IF($B13="","",$BI12+$G13)</f>
      </c>
      <c r="BJ13" s="7">
        <f>IF($B13="","",IFERROR(LOOKUP(2,1/((((Events!$C$6:$C$17="Deduction start"))*(Events!$D$6:$D$17="Health FSA"))*(Events!$B$6:$B$17&lt;=$B13)*(Events!$B$6:$B$17&lt;&gt;"")),Events!$E$6:$E$17),Inputs!$D$38))</f>
      </c>
      <c r="BK13" s="7">
        <f>IF($B13="","",IFERROR(LOOKUP(2,1/((((Events!$C$6:$C$17="Deduction start"))*(Events!$D$6:$D$17="Dependent-care FSA"))*(Events!$B$6:$B$17&lt;=$B13)*(Events!$B$6:$B$17&lt;&gt;"")),Events!$E$6:$E$17),Inputs!$D$39))</f>
      </c>
      <c r="BL13" s="7">
        <f>IF($B13="","",IFERROR(LOOKUP(2,1/((((Events!$C$6:$C$17="Deduction start")+(Events!$C$6:$C$17="Deduction stop"))*(Events!$D$6:$D$17="HSA"))*(Events!$B$6:$B$17&lt;=$B13)*(Events!$B$6:$B$17&lt;&gt;"")),Events!$I$6:$I$17),Inputs!$D$35))</f>
      </c>
      <c r="BM13" s="7">
        <f>IF($B13="","",IFERROR(LOOKUP(2,1/((((Events!$C$6:$C$17="Deduction start")+(Events!$C$6:$C$17="Deduction stop"))*(Events!$D$6:$D$17="Premiums"))*(Events!$B$6:$B$17&lt;=$B13)*(Events!$B$6:$B$17&lt;&gt;"")),Events!$I$6:$I$17),Inputs!$D$40+Inputs!$D$41+Inputs!$D$42))</f>
      </c>
      <c r="BN13" s="7">
        <f>IF($B13="","",IFERROR(LOOKUP(2,1/((((Events!$C$6:$C$17="Deduction start")+(Events!$C$6:$C$17="Deduction stop"))*(Events!$D$6:$D$17="Commuter"))*(Events!$B$6:$B$17&lt;=$B13)*(Events!$B$6:$B$17&lt;&gt;"")),Events!$I$6:$I$17),Inputs!$D$43))</f>
      </c>
      <c r="BO13" s="7">
        <f>IF($B13="","",IFERROR(LOOKUP(2,1/((((Events!$C$6:$C$17="Deduction start")+(Events!$C$6:$C$17="Deduction stop"))*(Events!$D$6:$D$17="Other pre-tax"))*(Events!$B$6:$B$17&lt;=$B13)*(Events!$B$6:$B$17&lt;&gt;"")),Events!$I$6:$I$17),Inputs!$D$44))</f>
      </c>
      <c r="BP13" s="7">
        <f>IF($B13="","",IFERROR(LOOKUP(2,1/((((Events!$C$6:$C$17="Deduction start")+(Events!$C$6:$C$17="Deduction stop"))*(Events!$D$6:$D$17="Other post-tax"))*(Events!$B$6:$B$17&lt;=$B13)*(Events!$B$6:$B$17&lt;&gt;"")),Events!$I$6:$I$17),Inputs!$D$45))</f>
      </c>
      <c r="BQ13" s="6">
        <f>IF($B13="","",IFERROR(LOOKUP(2,1/((((Events!$C$6:$C$17="Deduction start")+(Events!$C$6:$C$17="Deduction stop"))*(Events!$D$6:$D$17="Health FSA"))*(Events!$B$6:$B$17&lt;=$B13)*(Events!$B$6:$B$17&lt;&gt;"")),Events!$J$6:$J$17),0))</f>
      </c>
      <c r="BR13" s="6">
        <f>IF($B13="","",IFERROR(LOOKUP(2,1/((((Events!$C$6:$C$17="Deduction start")+(Events!$C$6:$C$17="Deduction stop"))*(Events!$D$6:$D$17="Dependent-care FSA"))*(Events!$B$6:$B$17&lt;=$B13)*(Events!$B$6:$B$17&lt;&gt;"")),Events!$J$6:$J$17),0))</f>
      </c>
      <c r="BS13" s="6">
        <f>IF($B13="","",IF(SUMPRODUCT((Events!$C$6:$C$17="Deduction start")*(Events!$B$6:$B$17&lt;=$B13)*(Events!$B$6:$B$17&lt;&gt;"")*(Events!$D$6:$D$17="Health FSA"))&gt;0,1,0))</f>
      </c>
      <c r="BT13" s="6">
        <f>IF($B13="","",IF(SUMPRODUCT((Events!$C$6:$C$17="Deduction start")*(Events!$B$6:$B$17&lt;=$B13)*(Events!$B$6:$B$17&lt;&gt;"")*(Events!$D$6:$D$17="Dependent-care FSA"))&gt;0,1,0))</f>
      </c>
      <c r="BU13" s="24">
        <f>IF($B13="","",IF(Inputs!$C$13,SUMPRODUCT(($AH13&gt;=INDEX('Methodology &amp; Sources'!$B$279:$J$286,0,IF(Inputs!$C$12="MFJ",1,IF(Inputs!$C$12="HoH",7,4))))*INDEX('Methodology &amp; Sources'!$B$279:$J$286,0,IF(Inputs!$C$12="MFJ",1,IF(Inputs!$C$12="HoH",7,4))+2)),SUMPRODUCT(($AH13&gt;=INDEX('Methodology &amp; Sources'!$B$269:$J$276,0,IF(Inputs!$C$12="MFJ",1,IF(Inputs!$C$12="HoH",7,4))))*INDEX('Methodology &amp; Sources'!$B$269:$J$276,0,IF(Inputs!$C$12="MFJ",1,IF(Inputs!$C$12="HoH",7,4))+2))))</f>
      </c>
      <c r="BV13" s="24">
        <f>IF($B13="","",IF($BZ13&lt;&gt;"",$BZ13,IF($CA13&lt;&gt;"",$CA13,IF($CB13&lt;&gt;"",$CB13,IF($CC13&lt;&gt;"",$CC13,0)))))</f>
      </c>
      <c r="BW13" s="7">
        <f>IF($B13="","",IF($AN13="MD",IF(OR($AU13="Married",$AU13="Head of household"),SUMPRODUCT(($AZ13&gt;INDEX('Methodology &amp; Sources'!$B$364:$J$370,0,1))*($AZ13-INDEX('Methodology &amp; Sources'!$B$364:$J$370,0,1))*INDEX('Methodology &amp; Sources'!$B$364:$J$370,0,1+2)),SUMPRODUCT(($AZ13&gt;INDEX('Methodology &amp; Sources'!$B$353:$J$359,0,7))*($AZ13-INDEX('Methodology &amp; Sources'!$B$353:$J$359,0,7))*INDEX('Methodology &amp; Sources'!$B$353:$J$359,0,7+2))),IF($AN13="MO",SUMPRODUCT(($AZ13&gt;INDEX('Methodology &amp; Sources'!$B$375:$J$382,0,1))*($AZ13-INDEX('Methodology &amp; Sources'!$B$375:$J$382,0,1))*INDEX('Methodology &amp; Sources'!$B$375:$J$382,0,1+2)),IF($AN13="MT",IF($AU13="Head of household",SUMPRODUCT(($AZ13&gt;INDEX('Methodology &amp; Sources'!$B$387:$J$389,0,1))*($AZ13-INDEX('Methodology &amp; Sources'!$B$387:$J$389,0,1))*INDEX('Methodology &amp; Sources'!$B$387:$J$389,0,1+2)),IF($AU13="Married",SUMPRODUCT(($AZ13&gt;INDEX('Methodology &amp; Sources'!$B$375:$J$382,0,7))*($AZ13-INDEX('Methodology &amp; Sources'!$B$375:$J$382,0,7))*INDEX('Methodology &amp; Sources'!$B$375:$J$382,0,7+2)),SUMPRODUCT(($AZ13&gt;INDEX('Methodology &amp; Sources'!$B$375:$J$382,0,4))*($AZ13-INDEX('Methodology &amp; Sources'!$B$375:$J$382,0,4))*INDEX('Methodology &amp; Sources'!$B$375:$J$382,0,4+2)))),IF($AN13="ND",IF($AU13="Head of household",SUMPRODUCT(($AZ13&gt;INDEX('Methodology &amp; Sources'!$B$394:$J$400,0,1))*($AZ13-INDEX('Methodology &amp; Sources'!$B$394:$J$400,0,1))*INDEX('Methodology &amp; Sources'!$B$394:$J$400,0,1+2)),IF($AU13="Married",SUMPRODUCT(($AZ13&gt;INDEX('Methodology &amp; Sources'!$B$387:$J$389,0,7))*($AZ13-INDEX('Methodology &amp; Sources'!$B$387:$J$389,0,7))*INDEX('Methodology &amp; Sources'!$B$387:$J$389,0,7+2)),SUMPRODUCT(($AZ13&gt;INDEX('Methodology &amp; Sources'!$B$387:$J$389,0,4))*($AZ13-INDEX('Methodology &amp; Sources'!$B$387:$J$389,0,4))*INDEX('Methodology &amp; Sources'!$B$387:$J$389,0,4+2)))),IF($AN13="NJ",IF(Inputs!$C$77="B",SUMPRODUCT(($AZ13&gt;INDEX('Methodology &amp; Sources'!$B$405:$J$412,0,4))*($AZ13-INDEX('Methodology &amp; Sources'!$B$405:$J$412,0,4))*INDEX('Methodology &amp; Sources'!$B$405:$J$412,0,4+2)),IF(Inputs!$C$77="C",SUMPRODUCT(($AZ13&gt;INDEX('Methodology &amp; Sources'!$B$405:$J$412,0,7))*($AZ13-INDEX('Methodology &amp; Sources'!$B$405:$J$412,0,7))*INDEX('Methodology &amp; Sources'!$B$405:$J$412,0,7+2)),IF(Inputs!$C$77="D",SUMPRODUCT(($AZ13&gt;INDEX('Methodology &amp; Sources'!$B$417:$J$429,0,1))*($AZ13-INDEX('Methodology &amp; Sources'!$B$417:$J$429,0,1))*INDEX('Methodology &amp; Sources'!$B$417:$J$429,0,1+2)),IF(Inputs!$C$77="E",SUMPRODUCT(($AZ13&gt;INDEX('Methodology &amp; Sources'!$B$417:$J$429,0,4))*($AZ13-INDEX('Methodology &amp; Sources'!$B$417:$J$429,0,4))*INDEX('Methodology &amp; Sources'!$B$417:$J$429,0,4+2)),SUMPRODUCT(($AZ13&gt;INDEX('Methodology &amp; Sources'!$B$405:$J$412,0,1))*($AZ13-INDEX('Methodology &amp; Sources'!$B$405:$J$412,0,1))*INDEX('Methodology &amp; Sources'!$B$405:$J$412,0,1+2)))))),IF($AN13="NY",IF($AU13="Married",IF($AZ13&gt;=2155350,$AZ13*IF($AZ13&gt;25000000,0.117,IF($AZ13&gt;5000000,0.111,0.1045)),SUMPRODUCT(($AZ13&gt;INDEX('Methodology &amp; Sources'!$B$434:$J$448,0,1))*($AZ13-INDEX('Methodology &amp; Sources'!$B$434:$J$448,0,1))*INDEX('Methodology &amp; Sources'!$B$434:$J$448,0,1+2))),IF($AZ13&gt;=1077550,$AZ13*IF($AZ13&gt;25000000,0.117,IF($AZ13&gt;5000000,0.111,0.1045)),SUMPRODUCT(($AZ13&gt;INDEX('Methodology &amp; Sources'!$B$417:$J$429,0,7))*($AZ13-INDEX('Methodology &amp; Sources'!$B$417:$J$429,0,7))*INDEX('Methodology &amp; Sources'!$B$417:$J$429,0,7+2)))),"")))))))</f>
      </c>
      <c r="BX13" s="7">
        <f>IF($B13="","",IF($AN13="AL",IF(OR($AU13="Married",$AU13="Head of household"),SUMPRODUCT(($AZ13&gt;INDEX('Methodology &amp; Sources'!$B$332:$J$336,0,4))*($AZ13-INDEX('Methodology &amp; Sources'!$B$332:$J$336,0,4))*INDEX('Methodology &amp; Sources'!$B$332:$J$336,0,4+2)),SUMPRODUCT(($AZ13&gt;INDEX('Methodology &amp; Sources'!$B$332:$J$336,0,1))*($AZ13-INDEX('Methodology &amp; Sources'!$B$332:$J$336,0,1))*INDEX('Methodology &amp; Sources'!$B$332:$J$336,0,1+2))),IF($AN13="KS",IF($AU13="Married",SUMPRODUCT(($AZ13&gt;INDEX('Methodology &amp; Sources'!$B$353:$J$359,0,4))*($AZ13-INDEX('Methodology &amp; Sources'!$B$353:$J$359,0,4))*INDEX('Methodology &amp; Sources'!$B$353:$J$359,0,4+2)),SUMPRODUCT(($AZ13&gt;INDEX('Methodology &amp; Sources'!$B$353:$J$359,0,1))*($AZ13-INDEX('Methodology &amp; Sources'!$B$353:$J$359,0,1))*INDEX('Methodology &amp; Sources'!$B$353:$J$359,0,1+2))),IF($AN13="MN",IF($AU13="Married",SUMPRODUCT(($AZ13&gt;INDEX('Methodology &amp; Sources'!$B$364:$J$370,0,7))*($AZ13-INDEX('Methodology &amp; Sources'!$B$364:$J$370,0,7))*INDEX('Methodology &amp; Sources'!$B$364:$J$370,0,7+2)),SUMPRODUCT(($AZ13&gt;INDEX('Methodology &amp; Sources'!$B$364:$J$370,0,4))*($AZ13-INDEX('Methodology &amp; Sources'!$B$364:$J$370,0,4))*INDEX('Methodology &amp; Sources'!$B$364:$J$370,0,4+2))),IF($AN13="NE",MAX(IF($AU13="Married",SUMPRODUCT(($AZ13&gt;INDEX('Methodology &amp; Sources'!$B$394:$J$400,0,7))*($AZ13-INDEX('Methodology &amp; Sources'!$B$394:$J$400,0,7))*INDEX('Methodology &amp; Sources'!$B$394:$J$400,0,7+2)),SUMPRODUCT(($AZ13&gt;INDEX('Methodology &amp; Sources'!$B$394:$J$400,0,4))*($AZ13-INDEX('Methodology &amp; Sources'!$B$394:$J$400,0,4))*INDEX('Methodology &amp; Sources'!$B$394:$J$400,0,4+2))),0.015*$AZ13),IF($AN13="OH",IF($B13&gt;=DATE(2026,8,1),SUMPRODUCT(($AZ13&gt;INDEX('Methodology &amp; Sources'!$B$453:$J$456,0,1))*($AZ13-INDEX('Methodology &amp; Sources'!$B$453:$J$456,0,1))*INDEX('Methodology &amp; Sources'!$B$453:$J$456,0,1+2)),SUMPRODUCT(($AZ13&gt;INDEX('Methodology &amp; Sources'!$B$434:$J$448,0,7))*($AZ13-INDEX('Methodology &amp; Sources'!$B$434:$J$448,0,7))*INDEX('Methodology &amp; Sources'!$B$434:$J$448,0,7+2))),IF($AN13="OK",IF($AU13="Married",SUMPRODUCT(($AZ13&gt;INDEX('Methodology &amp; Sources'!$B$453:$J$456,0,7))*($AZ13-INDEX('Methodology &amp; Sources'!$B$453:$J$456,0,7))*INDEX('Methodology &amp; Sources'!$B$453:$J$456,0,7+2)),SUMPRODUCT(($AZ13&gt;INDEX('Methodology &amp; Sources'!$B$453:$J$456,0,4))*($AZ13-INDEX('Methodology &amp; Sources'!$B$453:$J$456,0,4))*INDEX('Methodology &amp; Sources'!$B$453:$J$456,0,4+2))),IF($AN13="RI",SUMPRODUCT(($AZ13&gt;INDEX('Methodology &amp; Sources'!$B$461:$J$464,0,7))*($AZ13-INDEX('Methodology &amp; Sources'!$B$461:$J$464,0,7))*INDEX('Methodology &amp; Sources'!$B$461:$J$464,0,7+2)),IF($AN13="VT",IF($AU13="Married",SUMPRODUCT(($AZ13&gt;INDEX('Methodology &amp; Sources'!$B$478:$J$482,0,1))*($AZ13-INDEX('Methodology &amp; Sources'!$B$478:$J$482,0,1))*INDEX('Methodology &amp; Sources'!$B$478:$J$482,0,1+2)),SUMPRODUCT(($AZ13&gt;INDEX('Methodology &amp; Sources'!$B$469:$J$473,0,7))*($AZ13-INDEX('Methodology &amp; Sources'!$B$469:$J$473,0,7))*INDEX('Methodology &amp; Sources'!$B$469:$J$473,0,7+2))),IF($AN13="WV",IF($AU13="Married",SUMPRODUCT(($AZ13&gt;INDEX('Methodology &amp; Sources'!$B$487:$J$491,0,7))*($AZ13-INDEX('Methodology &amp; Sources'!$B$487:$J$491,0,7))*INDEX('Methodology &amp; Sources'!$B$487:$J$491,0,7+2)),SUMPRODUCT(($AZ13&gt;INDEX('Methodology &amp; Sources'!$B$478:$J$482,0,7))*($AZ13-INDEX('Methodology &amp; Sources'!$B$478:$J$482,0,7))*INDEX('Methodology &amp; Sources'!$B$478:$J$482,0,7+2))),""))))))))))</f>
      </c>
      <c r="BY13" s="7">
        <f>IF($B13="","",IF($AN13="AR",SUMPRODUCT(($AZ13&gt;INDEX('Methodology &amp; Sources'!$B$332:$J$336,0,7))*($AZ13-INDEX('Methodology &amp; Sources'!$B$332:$J$336,0,7))*INDEX('Methodology &amp; Sources'!$B$332:$J$336,0,7+2)),IF($AN13="DE",SUMPRODUCT(($AZ13&gt;INDEX('Methodology &amp; Sources'!$B$341:$J$348,0,1))*($AZ13-INDEX('Methodology &amp; Sources'!$B$341:$J$348,0,1))*INDEX('Methodology &amp; Sources'!$B$341:$J$348,0,1+2)),IF($AN13="HI",IF($AU13="Married",SUMPRODUCT(($AZ13&gt;INDEX('Methodology &amp; Sources'!$B$341:$J$348,0,7))*($AZ13-INDEX('Methodology &amp; Sources'!$B$341:$J$348,0,7))*INDEX('Methodology &amp; Sources'!$B$341:$J$348,0,7+2)),SUMPRODUCT(($AZ13&gt;INDEX('Methodology &amp; Sources'!$B$341:$J$348,0,4))*($AZ13-INDEX('Methodology &amp; Sources'!$B$341:$J$348,0,4))*INDEX('Methodology &amp; Sources'!$B$341:$J$348,0,4+2))),IF($AN13="SC",SUMPRODUCT(($AZ13&gt;INDEX('Methodology &amp; Sources'!$B$469:$J$473,0,1))*($AZ13-INDEX('Methodology &amp; Sources'!$B$469:$J$473,0,1))*INDEX('Methodology &amp; Sources'!$B$469:$J$473,0,1+2)),IF($AN13="VA",SUMPRODUCT(($AZ13&gt;INDEX('Methodology &amp; Sources'!$B$469:$J$473,0,4))*($AZ13-INDEX('Methodology &amp; Sources'!$B$469:$J$473,0,4))*INDEX('Methodology &amp; Sources'!$B$469:$J$473,0,4+2)),IF($AN13="WI",SUMPRODUCT(($AZ13&gt;INDEX('Methodology &amp; Sources'!$B$478:$J$482,0,4))*($AZ13-INDEX('Methodology &amp; Sources'!$B$478:$J$482,0,4))*INDEX('Methodology &amp; Sources'!$B$478:$J$482,0,4+2)),"")))))))</f>
      </c>
      <c r="BZ13" s="24">
        <f>IF($B13="","",IF($AN13="NJ",IF(Inputs!$C$77="B",SUMPRODUCT(($AZ13&gt;=INDEX('Methodology &amp; Sources'!$B$405:$J$412,0,4))*INDEX('Methodology &amp; Sources'!$B$405:$J$412,0,4+2)),IF(Inputs!$C$77="C",SUMPRODUCT(($AZ13&gt;=INDEX('Methodology &amp; Sources'!$B$405:$J$412,0,7))*INDEX('Methodology &amp; Sources'!$B$405:$J$412,0,7+2)),IF(Inputs!$C$77="D",SUMPRODUCT(($AZ13&gt;=INDEX('Methodology &amp; Sources'!$B$417:$J$429,0,1))*INDEX('Methodology &amp; Sources'!$B$417:$J$429,0,1+2)),IF(Inputs!$C$77="E",SUMPRODUCT(($AZ13&gt;=INDEX('Methodology &amp; Sources'!$B$417:$J$429,0,4))*INDEX('Methodology &amp; Sources'!$B$417:$J$429,0,4+2)),SUMPRODUCT(($AZ13&gt;=INDEX('Methodology &amp; Sources'!$B$405:$J$412,0,1))*INDEX('Methodology &amp; Sources'!$B$405:$J$412,0,1+2)))))),IF($AN13="OR",IF(OR($AU13="Married",AND($AU13="Single",$AS13&gt;=3)),SUMPRODUCT((MAX(0,$AY13-MIN(($P13-'Methodology &amp; Sources'!$C$260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Sources'!$B$461:$J$464,0,4))*INDEX('Methodology &amp; Sources'!$B$461:$J$464,0,4+2)),SUMPRODUCT((MAX(0,$AY13-MIN(($P13-'Methodology &amp; Sources'!$C$260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Sources'!$B$461:$J$464,0,1))*INDEX('Methodology &amp; Sources'!$B$461:$J$464,0,1+2)))*IF(($P13-'Methodology &amp; Sources'!$C$260*$D13)*Inputs!$C$8&gt;=IF(OR($AU13="Married",AND($AU13="Single",$AS13&gt;=3)),IF($AY13&lt;250000,8750,IF($AY13&lt;260000,7000,IF($AY13&lt;270000,5250,IF($AY13&lt;280000,3500,IF($AY13&lt;290000,1750,0))))),IF($AY13&lt;125000,8750,IF($AY13&lt;130000,7000,IF($AY13&lt;135000,5250,IF($AY13&lt;140000,3500,IF($AY13&lt;145000,1750,0)))))),1,1-IF(Inputs!$C$13,SUMPRODUCT(($AH13&gt;=INDEX('Methodology &amp; Sources'!$B$279:$J$286,0,IF(Inputs!$C$12="MFJ",1,IF(Inputs!$C$12="HoH",7,4))))*INDEX('Methodology &amp; Sources'!$B$279:$J$286,0,IF(Inputs!$C$12="MFJ",1,IF(Inputs!$C$12="HoH",7,4))+2)),SUMPRODUCT(($AH13&gt;=INDEX('Methodology &amp; Sources'!$B$269:$J$276,0,IF(Inputs!$C$12="MFJ",1,IF(Inputs!$C$12="HoH",7,4))))*INDEX('Methodology &amp; Sources'!$B$269:$J$276,0,IF(Inputs!$C$12="MFJ",1,IF(Inputs!$C$12="HoH",7,4))+2)))),IF($AN13="MI",IF($AY13&gt;5900*$AS13,0.0425,0),""))))</f>
      </c>
      <c r="CA13" s="24">
        <f>IF($B13="","",IF($AN13="AL",IF(OR($AU13="Married",$AU13="Head of household"),SUMPRODUCT(($AZ13&gt;=INDEX('Methodology &amp; Sources'!$B$332:$J$336,0,4))*INDEX('Methodology &amp; Sources'!$B$332:$J$336,0,4+2)),SUMPRODUCT(($AZ13&gt;=INDEX('Methodology &amp; Sources'!$B$332:$J$336,0,1))*INDEX('Methodology &amp; Sources'!$B$332:$J$336,0,1+2)))*(1-IF(Inputs!$C$13,SUMPRODUCT(($AH13&gt;=INDEX('Methodology &amp; Sources'!$B$279:$J$286,0,IF(Inputs!$C$12="MFJ",1,IF(Inputs!$C$12="HoH",7,4))))*INDEX('Methodology &amp; Sources'!$B$279:$J$286,0,IF(Inputs!$C$12="MFJ",1,IF(Inputs!$C$12="HoH",7,4))+2)),SUMPRODUCT(($AH13&gt;=INDEX('Methodology &amp; Sources'!$B$269:$J$276,0,IF(Inputs!$C$12="MFJ",1,IF(Inputs!$C$12="HoH",7,4))))*INDEX('Methodology &amp; Sources'!$B$269:$J$276,0,IF(Inputs!$C$12="MFJ",1,IF(Inputs!$C$12="HoH",7,4))+2)))),IF($AN13="KS",IF($AU13="Married",SUMPRODUCT(($AZ13&gt;=INDEX('Methodology &amp; Sources'!$B$353:$J$359,0,4))*INDEX('Methodology &amp; Sources'!$B$353:$J$359,0,4+2)),SUMPRODUCT(($AZ13&gt;=INDEX('Methodology &amp; Sources'!$B$353:$J$359,0,1))*INDEX('Methodology &amp; Sources'!$B$353:$J$359,0,1+2))),IF($AN13="MD",IF(OR($AU13="Married",$AU13="Head of household"),SUMPRODUCT(($AZ13&gt;=INDEX('Methodology &amp; Sources'!$B$364:$J$370,0,1))*INDEX('Methodology &amp; Sources'!$B$364:$J$370,0,1+2)),SUMPRODUCT(($AZ13&gt;=INDEX('Methodology &amp; Sources'!$B$353:$J$359,0,7))*INDEX('Methodology &amp; Sources'!$B$353:$J$359,0,7+2)))+Inputs!$C$74,IF($AN13="MT",IF($AU13="Head of household",SUMPRODUCT(($AZ13&gt;=INDEX('Methodology &amp; Sources'!$B$387:$J$389,0,1))*INDEX('Methodology &amp; Sources'!$B$387:$J$389,0,1+2)),IF($AU13="Married",SUMPRODUCT(($AZ13&gt;=INDEX('Methodology &amp; Sources'!$B$375:$J$382,0,7))*INDEX('Methodology &amp; Sources'!$B$375:$J$382,0,7+2)),SUMPRODUCT(($AZ13&gt;=INDEX('Methodology &amp; Sources'!$B$375:$J$382,0,4))*INDEX('Methodology &amp; Sources'!$B$375:$J$382,0,4+2)))),IF($AN13="ND",IF($AU13="Head of household",SUMPRODUCT(($AZ13&gt;=INDEX('Methodology &amp; Sources'!$B$394:$J$400,0,1))*INDEX('Methodology &amp; Sources'!$B$394:$J$400,0,1+2)),IF($AU13="Married",SUMPRODUCT(($AZ13&gt;=INDEX('Methodology &amp; Sources'!$B$387:$J$389,0,7))*INDEX('Methodology &amp; Sources'!$B$387:$J$389,0,7+2)),SUMPRODUCT(($AZ13&gt;=INDEX('Methodology &amp; Sources'!$B$387:$J$389,0,4))*INDEX('Methodology &amp; Sources'!$B$387:$J$389,0,4+2)))),IF($AN13="NY",IF($AU13="Married",IF($AZ13&gt;=2155350,IF($AZ13&gt;25000000,0.117,IF($AZ13&gt;5000000,0.111,0.1045)),SUMPRODUCT(($AZ13&gt;=INDEX('Methodology &amp; Sources'!$B$434:$J$448,0,1))*INDEX('Methodology &amp; Sources'!$B$434:$J$448,0,1+2))),IF($AZ13&gt;=1077550,IF($AZ13&gt;25000000,0.117,IF($AZ13&gt;5000000,0.111,0.1045)),SUMPRODUCT(($AZ13&gt;=INDEX('Methodology &amp; Sources'!$B$417:$J$429,0,7))*INDEX('Methodology &amp; Sources'!$B$417:$J$429,0,7+2)))),"")))))))</f>
      </c>
      <c r="CB13" s="24">
        <f>IF($B13="","",IF($AN13="CA",SUMPRODUCT(($AJ13&gt;=INDEX('Methodology &amp; Sources'!$B$289:$J$298,0,IF($AU13="Married",4,IF($AU13="Head of household",7,1))))*INDEX('Methodology &amp; Sources'!$B$289:$J$298,0,IF($AU13="Married",4,IF($AU13="Head of household",7,1))+2)),IF($AN13="HI",IF($AU13="Married",SUMPRODUCT(($AZ13&gt;=INDEX('Methodology &amp; Sources'!$B$341:$J$348,0,7))*INDEX('Methodology &amp; Sources'!$B$341:$J$348,0,7+2)),SUMPRODUCT(($AZ13&gt;=INDEX('Methodology &amp; Sources'!$B$341:$J$348,0,4))*INDEX('Methodology &amp; Sources'!$B$341:$J$348,0,4+2))),IF($AN13="MN",IF($AU13="Married",SUMPRODUCT(($AZ13&gt;=INDEX('Methodology &amp; Sources'!$B$364:$J$370,0,7))*INDEX('Methodology &amp; Sources'!$B$364:$J$370,0,7+2)),SUMPRODUCT(($AZ13&gt;=INDEX('Methodology &amp; Sources'!$B$364:$J$370,0,4))*INDEX('Methodology &amp; Sources'!$B$364:$J$370,0,4+2))),IF($AN13="MO",SUMPRODUCT(($AZ13&gt;=INDEX('Methodology &amp; Sources'!$B$375:$J$382,0,1))*INDEX('Methodology &amp; Sources'!$B$375:$J$382,0,1+2)),IF($AN13="NE",MAX(IF($AU13="Married",SUMPRODUCT(($AZ13&gt;=INDEX('Methodology &amp; Sources'!$B$394:$J$400,0,7))*INDEX('Methodology &amp; Sources'!$B$394:$J$400,0,7+2)),SUMPRODUCT(($AZ13&gt;=INDEX('Methodology &amp; Sources'!$B$394:$J$400,0,4))*INDEX('Methodology &amp; Sources'!$B$394:$J$400,0,4+2))),0.015),IF($AN13="OH",IF($B13&gt;=DATE(2026,8,1),SUMPRODUCT(($AZ13&gt;=INDEX('Methodology &amp; Sources'!$B$453:$J$456,0,1))*INDEX('Methodology &amp; Sources'!$B$453:$J$456,0,1+2)),SUMPRODUCT(($AZ13&gt;=INDEX('Methodology &amp; Sources'!$B$434:$J$448,0,7))*INDEX('Methodology &amp; Sources'!$B$434:$J$448,0,7+2))),IF($AN13="OK",IF($AU13="Married",SUMPRODUCT(($AZ13&gt;=INDEX('Methodology &amp; Sources'!$B$453:$J$456,0,7))*INDEX('Methodology &amp; Sources'!$B$453:$J$456,0,7+2)),SUMPRODUCT(($AZ13&gt;=INDEX('Methodology &amp; Sources'!$B$453:$J$456,0,4))*INDEX('Methodology &amp; Sources'!$B$453:$J$456,0,4+2))),IF($AN13="RI",SUMPRODUCT(($AZ13&gt;=INDEX('Methodology &amp; Sources'!$B$461:$J$464,0,7))*INDEX('Methodology &amp; Sources'!$B$461:$J$464,0,7+2)),IF($AN13="SC",SUMPRODUCT(($AZ13&gt;=INDEX('Methodology &amp; Sources'!$B$469:$J$473,0,1))*INDEX('Methodology &amp; Sources'!$B$469:$J$473,0,1+2)),IF($AN13="VT",IF($AU13="Married",SUMPRODUCT(($AZ13&gt;=INDEX('Methodology &amp; Sources'!$B$478:$J$482,0,1))*INDEX('Methodology &amp; Sources'!$B$478:$J$482,0,1+2)),SUMPRODUCT(($AZ13&gt;=INDEX('Methodology &amp; Sources'!$B$469:$J$473,0,7))*INDEX('Methodology &amp; Sources'!$B$469:$J$473,0,7+2))),IF($AN13="WV",IF($AU13="Married",SUMPRODUCT(($AZ13&gt;=INDEX('Methodology &amp; Sources'!$B$487:$J$491,0,7))*INDEX('Methodology &amp; Sources'!$B$487:$J$491,0,7+2)),SUMPRODUCT(($AZ13&gt;=INDEX('Methodology &amp; Sources'!$B$478:$J$482,0,7))*INDEX('Methodology &amp; Sources'!$B$478:$J$482,0,7+2))),IF($AN13="IN",(0.0295+Inputs!$C$76),"")))))))))))))</f>
      </c>
      <c r="CC13" s="24">
        <f>IF($B13="","",IF($AN13="AR",SUMPRODUCT(($AZ13&gt;=INDEX('Methodology &amp; Sources'!$B$332:$J$336,0,7))*INDEX('Methodology &amp; Sources'!$B$332:$J$336,0,7+2)),IF($AN13="DE",SUMPRODUCT(($AZ13&gt;=INDEX('Methodology &amp; Sources'!$B$341:$J$348,0,1))*INDEX('Methodology &amp; Sources'!$B$341:$J$348,0,1+2)),IF($AN13="VA",SUMPRODUCT(($AZ13&gt;=INDEX('Methodology &amp; Sources'!$B$469:$J$473,0,4))*INDEX('Methodology &amp; Sources'!$B$469:$J$473,0,4+2)),IF($AN13="WI",SUMPRODUCT(($AZ13&gt;=INDEX('Methodology &amp; Sources'!$B$478:$J$482,0,4))*INDEX('Methodology &amp; Sources'!$B$478:$J$482,0,4+2)),IF($AN13="AZ",Inputs!$C$82,IF($AN13="CO",IF($AY13&gt;IF($AU13="Married",10000,5000),0.044,0),IF($AN13="IA",IF($AY13&gt;IF($AU13="Head of household",19500,IF($AU13="Married",26000,13000)),0.038,0),IF($AN13="ID",IF($AY13&gt;IF($AU13="Married",32000,16094),0.053,0),IF($AN13="IL",IF($AY13&gt;(2925*$AS13+1000*$AT13),0.0495,0),IF($AN13="KY",IF($AI13&gt;3360,0.035,0),IF($AN13="LA",0.0309,IF($AN13="MA",IF(MAX(0,$AY13-MIN(($BD12+$Q13+$R13+$S13),2000)-IF($AS13=0,0,IF($AS13=1,4400,1000*$AS13+3400)))&gt;=1107750,0.09,0.05),IF($AN13="MS",IF($AI13-IF($AU13="Head of household",3400,IF($AU13="Married",4600,2300))-Inputs!$C$85&gt;10000,0.04,0),IF($AN13="PA",0.0307,"")))))))))))))))</f>
      </c>
      <c r="CD13" s="21">
        <f>IF(YEAR(IF(Inputs!$C$7="Weekly",Inputs!$C$9+7*(($BE12+1)-1),IF(Inputs!$C$7="Biweekly",Inputs!$C$9+14*(($BE12+1)-1),IF(Inputs!$C$7="Semimonthly",DATE(YEAR(Inputs!$C$9),MONTH(Inputs!$C$9)+INT((($BE12+1)-1)/2),MIN(DAY(Inputs!$C$9),DAY(EOMONTH(DATE(YEAR(Inputs!$C$9),MONTH(Inputs!$C$9)+INT((($BE12+1)-1)/2),1),0))))+IF(MOD(($BE12+1)-1,2)=1,15,0),EDATE(Inputs!$C$9,($BE12+1)-1)))))&lt;&gt;2026,"",IF(Inputs!$C$7="Weekly",Inputs!$C$9+7*(($BE12+1)-1),IF(Inputs!$C$7="Biweekly",Inputs!$C$9+14*(($BE12+1)-1),IF(Inputs!$C$7="Semimonthly",DATE(YEAR(Inputs!$C$9),MONTH(Inputs!$C$9)+INT((($BE12+1)-1)/2),MIN(DAY(Inputs!$C$9),DAY(EOMONTH(DATE(YEAR(Inputs!$C$9),MONTH(Inputs!$C$9)+INT((($BE12+1)-1)/2),1),0))))+IF(MOD(($BE12+1)-1,2)=1,15,0),EDATE(Inputs!$C$9,($BE12+1)-1)))))</f>
      </c>
      <c r="CE13" s="21">
        <f>IF(SUMPRODUCT(MIN(IF((Inputs!$C$58:$C$67&gt;MAX($B$6:$B12))*(Inputs!$C$58:$C$67&gt;=DATE(2026,1,1))*(Inputs!$C$58:$C$67&lt;=DATE(2026,12,31)),Inputs!$C$58:$C$67,999999)))=999999,"",SUMPRODUCT(MIN(IF((Inputs!$C$58:$C$67&gt;MAX($B$6:$B12))*(Inputs!$C$58:$C$67&gt;=DATE(2026,1,1))*(Inputs!$C$58:$C$67&lt;=DATE(2026,12,31)),Inputs!$C$58:$C$67,999999))))</f>
      </c>
    </row>
    <row r="14">
      <c r="A14" t="n">
        <v>9</v>
      </c>
      <c r="B14" s="21">
        <f>IF(AND($CD14="",$CE14=""),"",IF($CE14="",$CD14,IF($CD14="",$CE14,MIN($CD14,$CE14))))</f>
      </c>
      <c r="C14" s="7">
        <f>IF($B14="","",IF($BF14=0,0,IF(Inputs!$C$4="Annual salary",ROUND($AK14/IF(AND(Inputs!$C$88="Actual paydays",MONTH(Inputs!$C$9)=1),MAX(1,MAX($BE$6:$BE$68)),Inputs!$C$8),2),$AK14)))</f>
      </c>
      <c r="D14" s="7">
        <f>IF($B14="","",SUMIF(Inputs!$C$58:$C$67,$B14,Inputs!$D$58:$D$67))</f>
      </c>
      <c r="E14" s="7">
        <f>IF($B14="","",ROUND(MAX(0,MIN(IF($AL14="Percent",$AM14*($C14+$D14),$AM14),MAX(0,Inputs!$C$91-$AC13))),2))</f>
      </c>
      <c r="F14" s="7">
        <f>IF($B14="","",ROUND(MAX(0,MIN(IF(Inputs!$C$32="Percent",Inputs!$D$32*($C14+$D14),Inputs!$D$32),MAX(0,Inputs!$C$91-$AC13-$E14))),2))</f>
      </c>
      <c r="G14" s="7">
        <f>IF($B14="","",IF($BF14=0,0,ROUND(MAX(0,MIN($BL14,Inputs!$C$92-Inputs!$C$54-$BI13)),2)))</f>
      </c>
      <c r="H14" s="7">
        <f>IF($B14="","",IF(OR($BF14=0,$BQ14=1),0,ROUND(MAX(0,MIN(IF($BS14=1,ROUND(MAX(0,MIN($BJ14,'Methodology &amp; Sources'!$C$263)-$BG13)/MAX(1,MAX($BE$6:$BE$68)-($BE13)),2),ROUND(MIN($BJ14,'Methodology &amp; Sources'!$C$263)/Inputs!$C$8,2)),MIN($BJ14,'Methodology &amp; Sources'!$C$263)-$BG13)),2)))</f>
      </c>
      <c r="I14" s="7">
        <f>IF($B14="","",IF(OR($BF14=0,$BR14=1),0,ROUND(MAX(0,MIN(IF($BT14=1,ROUND(MAX(0,MIN($BK14,IF(Inputs!$C$12="MFJ",'Methodology &amp; Sources'!$C$264,'Methodology &amp; Sources'!$C$265))-$BH13)/MAX(1,MAX($BE$6:$BE$68)-($BE13)),2),ROUND(MIN($BK14,IF(Inputs!$C$12="MFJ",'Methodology &amp; Sources'!$C$264,'Methodology &amp; Sources'!$C$265))/Inputs!$C$8,2)),MIN($BK14,IF(Inputs!$C$12="MFJ",'Methodology &amp; Sources'!$C$264,'Methodology &amp; Sources'!$C$265))-$BH13)),2)))</f>
      </c>
      <c r="J14" s="7">
        <f>IF($B14="","",IF($BF14=0,0,$BM14))</f>
      </c>
      <c r="K14" s="7">
        <f>IF($B14="","",IF($BF14=0,0,$BN14+$BO14))</f>
      </c>
      <c r="L14" s="7">
        <f>IF($B14="","",IF($BF14=0,0,Inputs!$D$46))</f>
      </c>
      <c r="M14" s="7">
        <f>IF($B14="","",$C14+$D14+$L14-$E14-$G14-$H14-$I14-$J14-$K14)</f>
      </c>
      <c r="N14" s="7">
        <f>IF($B14="","",$C14+$D14+$L14-$G14-$H14-$I14-$J14-$K14)</f>
      </c>
      <c r="O14" s="7">
        <f>IF($B14="","",$C14+$D14+$L14-$E14-$H14-$I14-$J14-$K14-IF(OR($AN14="CA",$AN14="NJ"),0,$G14))</f>
      </c>
      <c r="P14" s="7">
        <f>IF($B14="","",IF(Inputs!$C$18,0,ROUND(MAX(0,IF(Inputs!$C$13,SUMPRODUCT(($AH14&gt;INDEX('Methodology &amp; Sources'!$B$279:$J$286,0,IF(Inputs!$C$12="MFJ",1,IF(Inputs!$C$12="HoH",7,4))))*($AH14-INDEX('Methodology &amp; Sources'!$B$279:$J$286,0,IF(Inputs!$C$12="MFJ",1,IF(Inputs!$C$12="HoH",7,4))))*INDEX('Methodology &amp; Sources'!$B$279:$J$286,0,IF(Inputs!$C$12="MFJ",1,IF(Inputs!$C$12="HoH",7,4))+2)),SUMPRODUCT(($AH14&gt;INDEX('Methodology &amp; Sources'!$B$269:$J$276,0,IF(Inputs!$C$12="MFJ",1,IF(Inputs!$C$12="HoH",7,4))))*($AH14-INDEX('Methodology &amp; Sources'!$B$269:$J$276,0,IF(Inputs!$C$12="MFJ",1,IF(Inputs!$C$12="HoH",7,4))))*INDEX('Methodology &amp; Sources'!$B$269:$J$276,0,IF(Inputs!$C$12="MFJ",1,IF(Inputs!$C$12="HoH",7,4))+2)))/Inputs!$C$8-$AO14/Inputs!$C$8)+$AR14+IF(Inputs!$C$89="Aggregate",MAX(0,IF(Inputs!$C$13,SUMPRODUCT((($AH14+$D14)&gt;INDEX('Methodology &amp; Sources'!$B$279:$J$286,0,IF(Inputs!$C$12="MFJ",1,IF(Inputs!$C$12="HoH",7,4))))*(($AH14+$D14)-INDEX('Methodology &amp; Sources'!$B$279:$J$286,0,IF(Inputs!$C$12="MFJ",1,IF(Inputs!$C$12="HoH",7,4))))*INDEX('Methodology &amp; Sources'!$B$279:$J$286,0,IF(Inputs!$C$12="MFJ",1,IF(Inputs!$C$12="HoH",7,4))+2)),SUMPRODUCT((($AH14+$D14)&gt;INDEX('Methodology &amp; Sources'!$B$269:$J$276,0,IF(Inputs!$C$12="MFJ",1,IF(Inputs!$C$12="HoH",7,4))))*(($AH14+$D14)-INDEX('Methodology &amp; Sources'!$B$269:$J$276,0,IF(Inputs!$C$12="MFJ",1,IF(Inputs!$C$12="HoH",7,4))))*INDEX('Methodology &amp; Sources'!$B$269:$J$276,0,IF(Inputs!$C$12="MFJ",1,IF(Inputs!$C$12="HoH",7,4))+2)))-IF(Inputs!$C$13,SUMPRODUCT(($AH14&gt;INDEX('Methodology &amp; Sources'!$B$279:$J$286,0,IF(Inputs!$C$12="MFJ",1,IF(Inputs!$C$12="HoH",7,4))))*($AH14-INDEX('Methodology &amp; Sources'!$B$279:$J$286,0,IF(Inputs!$C$12="MFJ",1,IF(Inputs!$C$12="HoH",7,4))))*INDEX('Methodology &amp; Sources'!$B$279:$J$286,0,IF(Inputs!$C$12="MFJ",1,IF(Inputs!$C$12="HoH",7,4))+2)),SUMPRODUCT(($AH14&gt;INDEX('Methodology &amp; Sources'!$B$269:$J$276,0,IF(Inputs!$C$12="MFJ",1,IF(Inputs!$C$12="HoH",7,4))))*($AH14-INDEX('Methodology &amp; Sources'!$B$269:$J$276,0,IF(Inputs!$C$12="MFJ",1,IF(Inputs!$C$12="HoH",7,4))))*INDEX('Methodology &amp; Sources'!$B$269:$J$276,0,IF(Inputs!$C$12="MFJ",1,IF(Inputs!$C$12="HoH",7,4))+2)))),'Methodology &amp; Sources'!$C$260*$D14),2)))</f>
      </c>
      <c r="Q14" s="7">
        <f>IF($B14="","",ROUND('Methodology &amp; Sources'!$C$254*MIN($N14,MAX(0,'Methodology &amp; Sources'!$C$253-($AX14+$AB13-$AW14))),2))</f>
      </c>
      <c r="R14" s="7">
        <f>IF($B14="","",ROUND('Methodology &amp; Sources'!$C$255*$N14,2))</f>
      </c>
      <c r="S14" s="7">
        <f>IF($B14="","",ROUND('Methodology &amp; Sources'!$C$256*MAX(0,MIN($N14,$AG13+$N14-'Methodology &amp; Sources'!$C$257)),2))</f>
      </c>
      <c r="T14" s="7">
        <f>IF($B14="","",IF(Inputs!$C$26,0,IF($AN14="CA",ROUND(IF($AI14&lt;=IF(($AS14+$AT14)&gt;=2,VLOOKUP($AN14,'StateTables 2026'!$A$6:$AB$56,10,FALSE),VLOOKUP($AN14,'StateTables 2026'!$A$6:$AB$56,9,FALSE)),0,MAX(0,SUMPRODUCT(($AJ14&gt;INDEX('Methodology &amp; Sources'!$B$289:$J$298,0,IF($AU14="Married",4,IF($AU14="Head of household",7,1))))*($AJ14-INDEX('Methodology &amp; Sources'!$B$289:$J$298,0,IF($AU14="Married",4,IF($AU14="Head of household",7,1))))*INDEX('Methodology &amp; Sources'!$B$289:$J$298,0,IF($AU14="Married",4,IF($AU14="Head of household",7,1))+2))-VLOOKUP($AN14,'StateTables 2026'!$A$6:$AB$56,11,FALSE)*$AS14)/Inputs!$C$8)+Inputs!$C$25+VLOOKUP($AN14,'StateTables 2026'!$A$6:$AB$56,13,FALSE)*$D14,2),IF(VLOOKUP($AN14,'StateTables 2026'!$A$6:$AB$56,4,FALSE)="None",0,IF(ISNUMBER(SEARCH("MANUAL",VLOOKUP($AN14,'StateTables 2026'!$A$6:$AB$56,5,FALSE))),Inputs!$C$28,ROUND(MAX(0,$BA14+$BB14)/Inputs!$C$8+Inputs!$C$25+$BC14,2))))))</f>
      </c>
      <c r="U14" s="7">
        <f>IF($B14="","",IF(VLOOKUP($AN14,'StateTables 2026'!$A$6:$AB$56,24,FALSE)="flatq",IF(OR(MONTH($B14)=1,MONTH($B14)=4,MONTH($B14)=7,MONTH($B14)=10),VLOOKUP($AN14,'StateTables 2026'!$A$6:$AB$56,25,FALSE),0),IF(VLOOKUP($AN14,'StateTables 2026'!$A$6:$AB$56,24,FALSE)="dbl",MIN(ROUND(0.005*$N14,2),ROUND(0.6*52/Inputs!$C$8,2)),IF(OR(VLOOKUP($AN14,'StateTables 2026'!$A$6:$AB$56,15,FALSE)="",VLOOKUP($AN14,'StateTables 2026'!$A$6:$AB$56,15,FALSE)=0),0,ROUND(VLOOKUP($AN14,'StateTables 2026'!$A$6:$AB$56,15,FALSE)*IF(OR(VLOOKUP($AN14,'StateTables 2026'!$A$6:$AB$56,16,FALSE)="",VLOOKUP($AN14,'StateTables 2026'!$A$6:$AB$56,16,FALSE)=0),$N14,MIN($N14,MAX(0,VLOOKUP($AN14,'StateTables 2026'!$A$6:$AB$56,16,FALSE)-($AX14+$AB13-$AW14)))),2))))+IF(VLOOKUP($AN14,'StateTables 2026'!$A$6:$AB$56,27,FALSE)="flatq",IF(OR(MONTH($B14)=1,MONTH($B14)=4,MONTH($B14)=7,MONTH($B14)=10),VLOOKUP($AN14,'StateTables 2026'!$A$6:$AB$56,28,FALSE),0),IF(VLOOKUP($AN14,'StateTables 2026'!$A$6:$AB$56,27,FALSE)="dbl",MIN(ROUND(0.005*$N14,2),ROUND(0.6*52/Inputs!$C$8,2)),IF(OR(VLOOKUP($AN14,'StateTables 2026'!$A$6:$AB$56,18,FALSE)="",VLOOKUP($AN14,'StateTables 2026'!$A$6:$AB$56,18,FALSE)=0),0,ROUND(VLOOKUP($AN14,'StateTables 2026'!$A$6:$AB$56,18,FALSE)*IF(OR(VLOOKUP($AN14,'StateTables 2026'!$A$6:$AB$56,19,FALSE)="",VLOOKUP($AN14,'StateTables 2026'!$A$6:$AB$56,19,FALSE)=0),$N14,MIN($N14,MAX(0,VLOOKUP($AN14,'StateTables 2026'!$A$6:$AB$56,19,FALSE)-($AX14+$AB13-$AW14)))),2)))))</f>
      </c>
      <c r="V14" s="7">
        <f>IF($B14="","",IF($AN14="NY",IF(Inputs!$C$78,ROUND(SUMPRODUCT((MAX(0,($O14-$D14)*Inputs!$C$8-(IF($AU14="Married",5500,5000)+1000*$AS14))&gt;INDEX('Methodology &amp; Sources'!$B$434:$J$448,0,4))*(MAX(0,($O14-$D14)*Inputs!$C$8-(IF($AU14="Married",5500,5000)+1000*$AS14))-INDEX('Methodology &amp; Sources'!$B$434:$J$448,0,4))*INDEX('Methodology &amp; Sources'!$B$434:$J$448,0,4+2))/Inputs!$C$8+0.0425*$D14,2),0)+IF(Inputs!$C$79="Resident",ROUND(0.1675*$T14,2),IF(Inputs!$C$79="Nonresident",ROUND(0.005*MAX(0,($O14-$D14)-(IF($AU14="Married",7950,7400)+1000*$AS14)/Inputs!$C$8),2),0)),IF($AN14="PA",IF(Inputs!$C$80="None",Inputs!$C$27+ROUND(Inputs!$C$81*($C14+$D14),2),ROUND(IF(Inputs!$C$80="Resident",IF($B14&lt;DATE(2026,7,1),0.0374,0.03735),IF($B14&lt;DATE(2026,7,1),0.0343,0.03425))*($C14+$D14),2)),IF($BF14=0,ROUND(Inputs!$C$81*($C14+$D14),2),Inputs!$C$27+ROUND(Inputs!$C$81*($C14+$D14),2)))))</f>
      </c>
      <c r="W14" s="7">
        <f>IF($B14="","",IF($BF14=0,0,$BP14))</f>
      </c>
      <c r="X14" s="7">
        <f>IF($B14="","",SUM($E14:$K14)+$P14+$Q14+$R14+$S14+$T14+$U14+$V14+$W14)</f>
      </c>
      <c r="Y14" s="22">
        <f>IF($B14="","",$C14+$D14-$X14)</f>
      </c>
      <c r="Z14" s="7">
        <f>IF($B14="","",$Z13+$C14+$D14)</f>
      </c>
      <c r="AA14" s="7">
        <f>IF($B14="","",$AA13+$Y14)</f>
      </c>
      <c r="AB14" s="7">
        <f>IF($B14="","",$AB13+MIN($N14,MAX(0,'Methodology &amp; Sources'!$C$253-($AX14+$AB13-$AW14))))</f>
      </c>
      <c r="AC14" s="7">
        <f>IF($B14="","",$AC13+$E14+$F14)</f>
      </c>
      <c r="AD14" s="3">
        <f>IF($B14="","",IF(AND($AB13&lt;'Methodology &amp; Sources'!$C$253,$AB14&gt;='Methodology &amp; Sources'!$C$253),"★ Social Security maxed on this check — from the next check your net rises by about $"&amp;TEXT(ROUND('Methodology &amp; Sources'!$C$254*$N14,2),"#,##0.00")&amp;". ","")&amp;IF(AND($AC13&lt;Inputs!$C$91,$AC14&gt;=Inputs!$C$91),"★ 401(k) reaches the $"&amp;TEXT(Inputs!$C$91,"#,##0")&amp;" cap on this check — deferrals stop and net pay rises. ","")&amp;IF(AND($AG13&lt;'Methodology &amp; Sources'!$C$257,$AG14&gt;='Methodology &amp; Sources'!$C$257),"★ Wages pass $200,000 — the 0.9% Additional Medicare Tax starts here. ","")&amp;IF(AND($BJ14&gt;0,$H14&gt;0,$BG13&lt;MIN($BJ14,'Methodology &amp; Sources'!$C$263),$BG13+$H14&gt;=MIN($BJ14,'Methodology &amp; Sources'!$C$263)),"★ Health FSA election is now fully deferred for the year. ",""))</f>
      </c>
      <c r="AE14" s="41" t="n"/>
      <c r="AF14" s="7">
        <f>IF(OR($B14="",$AE14=""),"",$AE14-$Y14)</f>
      </c>
      <c r="AG14" s="7">
        <f>IF($B14="","",$AG13+$N14)</f>
      </c>
      <c r="AH14" s="7">
        <f>IF($B14="","",MAX(0,($M14-$D14)*Inputs!$C$8+$AP14-$AQ14-IF(Inputs!$C$13,0,IF(Inputs!$C$12="MFJ",'Methodology &amp; Sources'!$C$258,'Methodology &amp; Sources'!$C$259))))</f>
      </c>
      <c r="AI14" s="7">
        <f>IF($B14="","",$O14*Inputs!$C$8)</f>
      </c>
      <c r="AJ14" s="7">
        <f>IF($B14="","",MAX(0,$AI14-VLOOKUP($AN14,'StateTables 2026'!$A$6:$AB$56,12,FALSE)*$AT14-IF(($AS14+$AT14)&gt;=2,VLOOKUP($AN14,'StateTables 2026'!$A$6:$AB$56,8,FALSE),VLOOKUP($AN14,'StateTables 2026'!$A$6:$AB$56,7,FALSE))))</f>
      </c>
      <c r="AK14" s="7">
        <f>IF($B14="","",IFERROR(LOOKUP(2,1/((Events!$C$6:$C$17="Salary change")*(Events!$B$6:$B$17&lt;=$B14)*(Events!$B$6:$B$17&lt;&gt;"")),Events!$D$6:$D$17),IF(Inputs!$C$4="Annual salary",Inputs!$C$5,Inputs!$C$6)))</f>
      </c>
      <c r="AL14">
        <f>IF($B14="","",IFERROR(LOOKUP(2,1/((Events!$C$6:$C$17="401(k) change")*(Events!$B$6:$B$17&lt;=$B14)*(Events!$B$6:$B$17&lt;&gt;"")),Events!$D$6:$D$17),Inputs!$C$30))</f>
      </c>
      <c r="AM14" s="7">
        <f>IF($B14="","",IFERROR(LOOKUP(2,1/((Events!$C$6:$C$17="401(k) change")*(Events!$B$6:$B$17&lt;=$B14)*(Events!$B$6:$B$17&lt;&gt;"")),Events!$E$6:$E$17),Inputs!$D$30))</f>
      </c>
      <c r="AN14">
        <f>IF($B14="","",IFERROR(LOOKUP(2,1/((Events!$C$6:$C$17="State move")*(Events!$B$6:$B$17&lt;=$B14)*(Events!$B$6:$B$17&lt;&gt;"")),Events!$D$6:$D$17),Inputs!$C$21))</f>
      </c>
      <c r="AO14" s="7">
        <f>IF($B14="","",IFERROR(LOOKUP(2,1/((Events!$C$6:$C$17="W-4 change")*(Events!$B$6:$B$17&lt;=$B14)*(Events!$B$6:$B$17&lt;&gt;"")),Events!$D$6:$D$17),Inputs!$C$14))</f>
      </c>
      <c r="AP14" s="7">
        <f>IF($B14="","",IFERROR(LOOKUP(2,1/((Events!$C$6:$C$17="W-4 change")*(Events!$B$6:$B$17&lt;=$B14)*(Events!$B$6:$B$17&lt;&gt;"")),Events!$E$6:$E$17),Inputs!$C$15))</f>
      </c>
      <c r="AQ14" s="7">
        <f>IF($B14="","",IFERROR(LOOKUP(2,1/((Events!$C$6:$C$17="W-4 change")*(Events!$B$6:$B$17&lt;=$B14)*(Events!$B$6:$B$17&lt;&gt;"")),Events!$F$6:$F$17),Inputs!$C$16))</f>
      </c>
      <c r="AR14" s="7">
        <f>IF($B14="","",IFERROR(LOOKUP(2,1/((Events!$C$6:$C$17="W-4 change")*(Events!$B$6:$B$17&lt;=$B14)*(Events!$B$6:$B$17&lt;&gt;"")),Events!$G$6:$G$17),Inputs!$C$17))</f>
      </c>
      <c r="AS14" s="6">
        <f>IF($B14="","",IFERROR(LOOKUP(2,1/(((Events!$C$6:$C$17="State move")+(Events!$C$6:$C$17="State cert change"))*(Events!$B$6:$B$17&lt;=$B14)*(Events!$B$6:$B$17&lt;&gt;"")),Events!$F$6:$F$17),Inputs!$C$23))</f>
      </c>
      <c r="AT14" s="6">
        <f>IF($B14="","",IFERROR(LOOKUP(2,1/(((Events!$C$6:$C$17="State move")+(Events!$C$6:$C$17="State cert change"))*(Events!$B$6:$B$17&lt;=$B14)*(Events!$B$6:$B$17&lt;&gt;"")),Events!$G$6:$G$17),Inputs!$C$24))</f>
      </c>
      <c r="AU14">
        <f>IF($B14="","",IFERROR(LOOKUP(2,1/((Events!$C$6:$C$17="State move")*(Events!$B$6:$B$17&lt;=$B14)*(Events!$B$6:$B$17&lt;&gt;"")),Events!$E$6:$E$17),Inputs!$C$22))</f>
      </c>
      <c r="AV14" s="6">
        <f>IF($B14="","",1+COUNTIFS(Events!$C$6:$C$17,"Employer change",Events!$B$6:$B$17,"&lt;="&amp;$B14,Events!$B$6:$B$17,"&lt;&gt;"))</f>
      </c>
      <c r="AW14" s="7">
        <f>IF($B14="","",IF($AV14=1,Inputs!$C$49,IF(IFERROR(MATCH(IFERROR(LOOKUP(2,1/((Events!$C$6:$C$17="Employer change")*(Events!$B$6:$B$17&lt;=$B14)*(Events!$B$6:$B$17&lt;&gt;"")),Events!$B$6:$B$17),""),$B$6:$B$68,1),1)&lt;=1,Inputs!$C$49,INDEX($AB$6:$AB$68,MATCH(IFERROR(LOOKUP(2,1/((Events!$C$6:$C$17="Employer change")*(Events!$B$6:$B$17&lt;=$B14)*(Events!$B$6:$B$17&lt;&gt;"")),Events!$B$6:$B$17),""),$B$6:$B$68,1)-1))))</f>
      </c>
      <c r="AX14" s="7">
        <f>IF($B14="","",IF($AV14=1,Inputs!$C$49,IFERROR(LOOKUP(2,1/((Events!$C$6:$C$17="Employer change")*(Events!$B$6:$B$17&lt;=$B14)*(Events!$B$6:$B$17&lt;&gt;"")),Events!$D$6:$D$17),0)))</f>
      </c>
      <c r="AY14" s="7">
        <f>IF($B14="","",($O14-$D14)*Inputs!$C$8)</f>
      </c>
      <c r="AZ14" s="7">
        <f>IF($B14="","",IF($AN14="AL",MAX(0,$AY14-IF($AU14="Married",IF($AY14&lt;=25999,8500,MAX(5000,8500-175*CEILING(($AY14-25999)/500,1))),IF($AU14="Head of household",IF($AY14&lt;=25999,5200,MAX(2500,5200-135*CEILING(($AY14-25999)/500,1))),IF($AY14&lt;=25999,3000,MAX(2500,3000-25*CEILING(($AY14-25999)/500,1)))))-($P14-'Methodology &amp; Sources'!$C$260*$D14)*Inputs!$C$8-IF(OR($AU14="Married",$AU14="Head of household"),3000,1500)-$AT14*IF($AY14&lt;=50000,1000,IF($AY14&lt;=100000,500,300))),IF($AN14="AR",IF(MAX(0,$AY14-2470)&lt;97701,INT(MAX(0,$AY14-2470)/100)*100+50,MAX(0,$AY14-2470)),IF($AN14="DE",MAX(0,$AI14-3250),IF($AN14="HI",MAX(0,$AI14-1144*$AS14-4350),IF($AN14="KS",MAX(0,$AI14-(9160*IF($AU14="Married",2,1)+2320*$AT14+IF($AU14="Head of household",2320,0))),IF($AN14="MD",MAX(0,$AI14-3400-3200*$AS14),IF($AN14="MN",MAX(0,$AY14-5300*$AS14),IF($AN14="MO",MAX(0,$AI14-IF($AU14="Head of household",24150,IF($AU14="Married",IF(Inputs!$C$83,16100,32200),16100))),IF($AN14="MT",$AY14,IF($AN14="ND",($C14+$L14)*Inputs!$C$8,IF($AN14="NE",MAX(0,$AY14-2440*$AS14),IF($AN14="NJ",MAX(0,$AY14-1000*$AS14),IF($AN14="NY",MAX(0,$AY14-(IF($AU14="Married",7950,7400)+1000*$AS14)),IF($AN14="OH",MAX(0,$AY14-650*$AS14),IF($AN14="OK",MAX(0,$AY14-1000*$AS14),IF($AN14="RI",MAX(0,$AI14-1000*$AS14),IF($AN14="SC",MAX(0,$AI14-5000*$AS14-IF($AS14=0,0,MIN(0.1*$AI14,7500))),IF($AN14="VA",MAX(0,$AI14-IF($AU14="Married",17500,8750)-930*$AS14-800*$AT14),IF($AN14="VT",MAX(0,$AI14-5400*$AS14),IF($AN14="WI",MAX(0,$AI14-MAX(0,IF($AU14="Married",9461-0.2*MAX(0,$AI14-25727),6702-0.12*MAX(0,$AI14-17780)))-400*$AS14),IF($AN14="WV",MAX(0,$AI14-2000*$AS14),$AI14))))))))))))))))))))))</f>
      </c>
      <c r="BA14" s="7">
        <f>IF($B14="","",IF($BW14&lt;&gt;"",$BW14,IF($BX14&lt;&gt;"",$BX14,IF($BY14&lt;&gt;"",$BY14,0))))</f>
      </c>
      <c r="BB14" s="7">
        <f>IF($B14="","",IF($AN14="AR",-29*$AS14,IF($AN14="DE",-110*$AS14,IF($AN14="MD",$AZ14*Inputs!$C$74,IF($AN14="AZ",Inputs!$C$82*($M14-$D14)*Inputs!$C$8,IF($AN14="CO",0.044*MAX(0,$AY14-IF($AU14="Married",10000,5000)),IF($AN14="IA",MAX(0,0.038*MAX(0,$AY14-IF($AU14="Head of household",19500,IF($AU14="Married",26000,13000)))-40*$AS14),IF($AN14="ID",0.053*MAX(0,$AY14-IF($AU14="Married",32000,16094)),IF($AN14="IL",0.0495*MAX(0,$AY14-(2925*$AS14+1000*$AT14)),IF($AN14="IN",(0.0295+Inputs!$C$76)*MAX(0,$AY14-(1000*$AS14+1500*$AT14+3000*Inputs!$C$86)),IF($AN14="KY",0.035*MAX(0,$AI14-3360),IF($AN14="LA",IF(Inputs!$C$84="0",0.0309*$AI14,0.0309*MAX(0,$AI14-IF(Inputs!$C$84="2",25750,12875))),IF($AN14="MA",0.05*MIN(MAX(0,$AY14-MIN(($BD13+$Q14+$R14+$S14),2000)-IF($AS14=0,0,IF($AS14=1,4400,1000*$AS14+3400))),1107750)+0.09*MAX(0,MAX(0,$AY14-MIN(($BD13+$Q14+$R14+$S14),2000)-IF($AS14=0,0,IF($AS14=1,4400,1000*$AS14+3400)))-1107750)-IF($AU14="Head of household",120,0)-110*Inputs!$C$75,IF($AN14="MI",0.0425*MAX(0,$AY14-5900*$AS14),IF($AN14="MS",0.04*MAX(0,$AI14-IF($AU14="Head of household",3400,IF($AU14="Married",4600,2300))-Inputs!$C$85-10000),IF($AN14="OR",IF(OR($AU14="Married",AND($AU14="Single",$AS14&gt;=3)),SUMPRODUCT((MAX(0,$AY14-MIN(($P14-'Methodology &amp; Sources'!$C$260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Sources'!$B$461:$J$464,0,4))*(MAX(0,$AY14-MIN(($P14-'Methodology &amp; Sources'!$C$260*$D14)*Inputs!$C$8,IF(OR($AU14="Married",AND($AU14="Single",$AS14&gt;=3)),IF($AY14&lt;250000,8750,IF($AY14&lt;260000,7000,IF($AY14&lt;270000,5250,IF($AY14&lt;280000,3500,IF($AY14&lt;290000,1750,0))))),IF($AY14&lt;125000,8750,IF($AY14&lt;130000,7000,IF($AY14&lt;135000,5250,IF($AY14&lt;140000,3500,IF($AY14&lt;145000,1750,0)))))))-IF(OR($AU14="Married",AND($AU14="Single",$AS14&gt;=3)),5820,2910))-INDEX('Methodology &amp; Sources'!$B$461:$J$464,0,4))*INDEX('Methodology &amp; Sources'!$B$461:$J$464,0,4+2)),SUMPRODUCT((MAX(0,$AY14-MIN(($P14-'Methodology &amp; Sources'!$C$260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Sources'!$B$461:$J$464,0,1))*(MAX(0,$AY14-MIN(($P14-'Methodology &amp; Sources'!$C$260*$D14)*Inputs!$C$8,IF(OR($AU14="Married",AND($AU14="Single",$AS14&gt;=3)),IF($AY14&lt;250000,8750,IF($AY14&lt;260000,7000,IF($AY14&lt;270000,5250,IF($AY14&lt;280000,3500,IF($AY14&lt;290000,1750,0))))),IF($AY14&lt;125000,8750,IF($AY14&lt;130000,7000,IF($AY14&lt;135000,5250,IF($AY14&lt;140000,3500,IF($AY14&lt;145000,1750,0)))))))-IF(OR($AU14="Married",AND($AU14="Single",$AS14&gt;=3)),5820,2910))-INDEX('Methodology &amp; Sources'!$B$461:$J$464,0,1))*INDEX('Methodology &amp; Sources'!$B$461:$J$464,0,1+2)))+263-263*IF(IF($AU14="Married",$AY14&gt;200000,$AY14&gt;100000),0,$AS14),IF($AN14="PA",0.0307*(($O14+$E14+$G14)*Inputs!$C$8),IF($AN14="NY",IF($AU14="Married",IF($AZ14&gt;=2155350,0,IF($AZ14&gt;=1077550,0.48,IF($AZ14&gt;=373200,1.21,IF($AZ14&gt;=323200,0.21,IF($AZ14&gt;=211550,-0.19,IF($AZ14&gt;=157650,-2.8,IF($AZ14&gt;=107650,-0.8,IF($AZ14&gt;=96800,0.05,IF($AZ14&gt;=80650,-0.1,IF($AZ14&gt;=13900,0.4,IF($AZ14&gt;=11700,-0.3,IF($AZ14&gt;=8500,0.5,0)))))))))))),IF($AZ14&gt;=1077550,0,IF($AZ14&gt;=265400,4.29,IF($AZ14&gt;=215400,2.29,IF($AZ14&gt;=157650,2.29,IF($AZ14&gt;=107650,0.29,IF($AZ14&gt;=96800,0.05,IF($AZ14&gt;=80650,-0.1,IF($AZ14&gt;=13900,0.4,IF($AZ14&gt;=11700,-0.3,IF($AZ14&gt;=8500,0.5,0))))))))))),0))))))))))))))))))</f>
      </c>
      <c r="BC14" s="7">
        <f>IF($B14="","",IF($AN14="AL",0.05*$D14,IF($AN14="AR",0.039*$D14,IF($AN14="ID",0.053*$D14,IF($AN14="IN",(0.0295+Inputs!$C$76)*$D14,IF($AN14="KS",0.05*$D14,IF($AN14="MA",0.09*MIN($D14,MAX(0,MAX(0,$AY14-MIN(($BD13+$Q14+$R14+$S14),2000)-IF($AS14=0,0,IF($AS14=1,4400,1000*$AS14+3400)))+$D14-1107750))+0.05*($D14-MIN($D14,MAX(0,MAX(0,$AY14-MIN(($BD13+$Q14+$R14+$S14),2000)-IF($AS14=0,0,IF($AS14=1,4400,1000*$AS14+3400)))+$D14-1107750))),IF($AN14="MD",(0.065+Inputs!$C$74)*$D14,IF($AN14="MI",0.0425*$D14,IF($AN14="MN",0.0625*$D14,IF($AN14="MO",0.047*$D14,IF($AN14="MT",0.05*$D14,IF($AN14="ND",0.015*$D14,IF($AN14="NE",0.035*$D14,IF($AN14="NJ",IF(Inputs!$C$77="B",SUMPRODUCT(($D14*Inputs!$C$8&gt;INDEX('Methodology &amp; Sources'!$B$405:$J$412,0,4))*($D14*Inputs!$C$8-INDEX('Methodology &amp; Sources'!$B$405:$J$412,0,4))*INDEX('Methodology &amp; Sources'!$B$405:$J$412,0,4+2)),IF(Inputs!$C$77="C",SUMPRODUCT(($D14*Inputs!$C$8&gt;INDEX('Methodology &amp; Sources'!$B$405:$J$412,0,7))*($D14*Inputs!$C$8-INDEX('Methodology &amp; Sources'!$B$405:$J$412,0,7))*INDEX('Methodology &amp; Sources'!$B$405:$J$412,0,7+2)),IF(Inputs!$C$77="D",SUMPRODUCT(($D14*Inputs!$C$8&gt;INDEX('Methodology &amp; Sources'!$B$417:$J$429,0,1))*($D14*Inputs!$C$8-INDEX('Methodology &amp; Sources'!$B$417:$J$429,0,1))*INDEX('Methodology &amp; Sources'!$B$417:$J$429,0,1+2)),IF(Inputs!$C$77="E",SUMPRODUCT(($D14*Inputs!$C$8&gt;INDEX('Methodology &amp; Sources'!$B$417:$J$429,0,4))*($D14*Inputs!$C$8-INDEX('Methodology &amp; Sources'!$B$417:$J$429,0,4))*INDEX('Methodology &amp; Sources'!$B$417:$J$429,0,4+2)),SUMPRODUCT(($D14*Inputs!$C$8&gt;INDEX('Methodology &amp; Sources'!$B$405:$J$412,0,1))*($D14*Inputs!$C$8-INDEX('Methodology &amp; Sources'!$B$405:$J$412,0,1))*INDEX('Methodology &amp; Sources'!$B$405:$J$412,0,1+2))))))/Inputs!$C$8,IF($AN14="NY",0.117*$D14,IF($AN14="OH",0.0275*$D14,IF($AN14="OK",0.045*$D14,IF($AN14="OR",0.08*$D14,IF($AN14="WI",IF($AY14&lt;12760,0.0354,IF($AY14&lt;25520,0.0465,IF($AY14&lt;280950,0.053,0.0765)))*$D14,0))))))))))))))))))))</f>
      </c>
      <c r="BD14" s="7">
        <f>IF($B14="","",$BD13+$Q14+$R14+$S14)</f>
      </c>
      <c r="BE14" s="6">
        <f>IF($B14="",$BE13,$BE13+$BF14)</f>
      </c>
      <c r="BF14" s="6">
        <f>IF($B14="","",IF(AND(IF(YEAR(IF(Inputs!$C$7="Weekly",Inputs!$C$9+7*(($BE13+1)-1),IF(Inputs!$C$7="Biweekly",Inputs!$C$9+14*(($BE13+1)-1),IF(Inputs!$C$7="Semimonthly",DATE(YEAR(Inputs!$C$9),MONTH(Inputs!$C$9)+INT((($BE13+1)-1)/2),MIN(DAY(Inputs!$C$9),DAY(EOMONTH(DATE(YEAR(Inputs!$C$9),MONTH(Inputs!$C$9)+INT((($BE13+1)-1)/2),1),0))))+IF(MOD(($BE13+1)-1,2)=1,15,0),EDATE(Inputs!$C$9,($BE13+1)-1)))))&lt;&gt;2026,"",IF(Inputs!$C$7="Weekly",Inputs!$C$9+7*(($BE13+1)-1),IF(Inputs!$C$7="Biweekly",Inputs!$C$9+14*(($BE13+1)-1),IF(Inputs!$C$7="Semimonthly",DATE(YEAR(Inputs!$C$9),MONTH(Inputs!$C$9)+INT((($BE13+1)-1)/2),MIN(DAY(Inputs!$C$9),DAY(EOMONTH(DATE(YEAR(Inputs!$C$9),MONTH(Inputs!$C$9)+INT((($BE13+1)-1)/2),1),0))))+IF(MOD(($BE13+1)-1,2)=1,15,0),EDATE(Inputs!$C$9,($BE13+1)-1)))))&lt;&gt;"",$B14=IF(YEAR(IF(Inputs!$C$7="Weekly",Inputs!$C$9+7*(($BE13+1)-1),IF(Inputs!$C$7="Biweekly",Inputs!$C$9+14*(($BE13+1)-1),IF(Inputs!$C$7="Semimonthly",DATE(YEAR(Inputs!$C$9),MONTH(Inputs!$C$9)+INT((($BE13+1)-1)/2),MIN(DAY(Inputs!$C$9),DAY(EOMONTH(DATE(YEAR(Inputs!$C$9),MONTH(Inputs!$C$9)+INT((($BE13+1)-1)/2),1),0))))+IF(MOD(($BE13+1)-1,2)=1,15,0),EDATE(Inputs!$C$9,($BE13+1)-1)))))&lt;&gt;2026,"",IF(Inputs!$C$7="Weekly",Inputs!$C$9+7*(($BE13+1)-1),IF(Inputs!$C$7="Biweekly",Inputs!$C$9+14*(($BE13+1)-1),IF(Inputs!$C$7="Semimonthly",DATE(YEAR(Inputs!$C$9),MONTH(Inputs!$C$9)+INT((($BE13+1)-1)/2),MIN(DAY(Inputs!$C$9),DAY(EOMONTH(DATE(YEAR(Inputs!$C$9),MONTH(Inputs!$C$9)+INT((($BE13+1)-1)/2),1),0))))+IF(MOD(($BE13+1)-1,2)=1,15,0),EDATE(Inputs!$C$9,($BE13+1)-1)))))),1,0))</f>
      </c>
      <c r="BG14" s="7">
        <f>IF($B14="","",$BG13+$H14)</f>
      </c>
      <c r="BH14" s="7">
        <f>IF($B14="","",$BH13+$I14)</f>
      </c>
      <c r="BI14" s="7">
        <f>IF($B14="","",$BI13+$G14)</f>
      </c>
      <c r="BJ14" s="7">
        <f>IF($B14="","",IFERROR(LOOKUP(2,1/((((Events!$C$6:$C$17="Deduction start"))*(Events!$D$6:$D$17="Health FSA"))*(Events!$B$6:$B$17&lt;=$B14)*(Events!$B$6:$B$17&lt;&gt;"")),Events!$E$6:$E$17),Inputs!$D$38))</f>
      </c>
      <c r="BK14" s="7">
        <f>IF($B14="","",IFERROR(LOOKUP(2,1/((((Events!$C$6:$C$17="Deduction start"))*(Events!$D$6:$D$17="Dependent-care FSA"))*(Events!$B$6:$B$17&lt;=$B14)*(Events!$B$6:$B$17&lt;&gt;"")),Events!$E$6:$E$17),Inputs!$D$39))</f>
      </c>
      <c r="BL14" s="7">
        <f>IF($B14="","",IFERROR(LOOKUP(2,1/((((Events!$C$6:$C$17="Deduction start")+(Events!$C$6:$C$17="Deduction stop"))*(Events!$D$6:$D$17="HSA"))*(Events!$B$6:$B$17&lt;=$B14)*(Events!$B$6:$B$17&lt;&gt;"")),Events!$I$6:$I$17),Inputs!$D$35))</f>
      </c>
      <c r="BM14" s="7">
        <f>IF($B14="","",IFERROR(LOOKUP(2,1/((((Events!$C$6:$C$17="Deduction start")+(Events!$C$6:$C$17="Deduction stop"))*(Events!$D$6:$D$17="Premiums"))*(Events!$B$6:$B$17&lt;=$B14)*(Events!$B$6:$B$17&lt;&gt;"")),Events!$I$6:$I$17),Inputs!$D$40+Inputs!$D$41+Inputs!$D$42))</f>
      </c>
      <c r="BN14" s="7">
        <f>IF($B14="","",IFERROR(LOOKUP(2,1/((((Events!$C$6:$C$17="Deduction start")+(Events!$C$6:$C$17="Deduction stop"))*(Events!$D$6:$D$17="Commuter"))*(Events!$B$6:$B$17&lt;=$B14)*(Events!$B$6:$B$17&lt;&gt;"")),Events!$I$6:$I$17),Inputs!$D$43))</f>
      </c>
      <c r="BO14" s="7">
        <f>IF($B14="","",IFERROR(LOOKUP(2,1/((((Events!$C$6:$C$17="Deduction start")+(Events!$C$6:$C$17="Deduction stop"))*(Events!$D$6:$D$17="Other pre-tax"))*(Events!$B$6:$B$17&lt;=$B14)*(Events!$B$6:$B$17&lt;&gt;"")),Events!$I$6:$I$17),Inputs!$D$44))</f>
      </c>
      <c r="BP14" s="7">
        <f>IF($B14="","",IFERROR(LOOKUP(2,1/((((Events!$C$6:$C$17="Deduction start")+(Events!$C$6:$C$17="Deduction stop"))*(Events!$D$6:$D$17="Other post-tax"))*(Events!$B$6:$B$17&lt;=$B14)*(Events!$B$6:$B$17&lt;&gt;"")),Events!$I$6:$I$17),Inputs!$D$45))</f>
      </c>
      <c r="BQ14" s="6">
        <f>IF($B14="","",IFERROR(LOOKUP(2,1/((((Events!$C$6:$C$17="Deduction start")+(Events!$C$6:$C$17="Deduction stop"))*(Events!$D$6:$D$17="Health FSA"))*(Events!$B$6:$B$17&lt;=$B14)*(Events!$B$6:$B$17&lt;&gt;"")),Events!$J$6:$J$17),0))</f>
      </c>
      <c r="BR14" s="6">
        <f>IF($B14="","",IFERROR(LOOKUP(2,1/((((Events!$C$6:$C$17="Deduction start")+(Events!$C$6:$C$17="Deduction stop"))*(Events!$D$6:$D$17="Dependent-care FSA"))*(Events!$B$6:$B$17&lt;=$B14)*(Events!$B$6:$B$17&lt;&gt;"")),Events!$J$6:$J$17),0))</f>
      </c>
      <c r="BS14" s="6">
        <f>IF($B14="","",IF(SUMPRODUCT((Events!$C$6:$C$17="Deduction start")*(Events!$B$6:$B$17&lt;=$B14)*(Events!$B$6:$B$17&lt;&gt;"")*(Events!$D$6:$D$17="Health FSA"))&gt;0,1,0))</f>
      </c>
      <c r="BT14" s="6">
        <f>IF($B14="","",IF(SUMPRODUCT((Events!$C$6:$C$17="Deduction start")*(Events!$B$6:$B$17&lt;=$B14)*(Events!$B$6:$B$17&lt;&gt;"")*(Events!$D$6:$D$17="Dependent-care FSA"))&gt;0,1,0))</f>
      </c>
      <c r="BU14" s="24">
        <f>IF($B14="","",IF(Inputs!$C$13,SUMPRODUCT(($AH14&gt;=INDEX('Methodology &amp; Sources'!$B$279:$J$286,0,IF(Inputs!$C$12="MFJ",1,IF(Inputs!$C$12="HoH",7,4))))*INDEX('Methodology &amp; Sources'!$B$279:$J$286,0,IF(Inputs!$C$12="MFJ",1,IF(Inputs!$C$12="HoH",7,4))+2)),SUMPRODUCT(($AH14&gt;=INDEX('Methodology &amp; Sources'!$B$269:$J$276,0,IF(Inputs!$C$12="MFJ",1,IF(Inputs!$C$12="HoH",7,4))))*INDEX('Methodology &amp; Sources'!$B$269:$J$276,0,IF(Inputs!$C$12="MFJ",1,IF(Inputs!$C$12="HoH",7,4))+2))))</f>
      </c>
      <c r="BV14" s="24">
        <f>IF($B14="","",IF($BZ14&lt;&gt;"",$BZ14,IF($CA14&lt;&gt;"",$CA14,IF($CB14&lt;&gt;"",$CB14,IF($CC14&lt;&gt;"",$CC14,0)))))</f>
      </c>
      <c r="BW14" s="7">
        <f>IF($B14="","",IF($AN14="MD",IF(OR($AU14="Married",$AU14="Head of household"),SUMPRODUCT(($AZ14&gt;INDEX('Methodology &amp; Sources'!$B$364:$J$370,0,1))*($AZ14-INDEX('Methodology &amp; Sources'!$B$364:$J$370,0,1))*INDEX('Methodology &amp; Sources'!$B$364:$J$370,0,1+2)),SUMPRODUCT(($AZ14&gt;INDEX('Methodology &amp; Sources'!$B$353:$J$359,0,7))*($AZ14-INDEX('Methodology &amp; Sources'!$B$353:$J$359,0,7))*INDEX('Methodology &amp; Sources'!$B$353:$J$359,0,7+2))),IF($AN14="MO",SUMPRODUCT(($AZ14&gt;INDEX('Methodology &amp; Sources'!$B$375:$J$382,0,1))*($AZ14-INDEX('Methodology &amp; Sources'!$B$375:$J$382,0,1))*INDEX('Methodology &amp; Sources'!$B$375:$J$382,0,1+2)),IF($AN14="MT",IF($AU14="Head of household",SUMPRODUCT(($AZ14&gt;INDEX('Methodology &amp; Sources'!$B$387:$J$389,0,1))*($AZ14-INDEX('Methodology &amp; Sources'!$B$387:$J$389,0,1))*INDEX('Methodology &amp; Sources'!$B$387:$J$389,0,1+2)),IF($AU14="Married",SUMPRODUCT(($AZ14&gt;INDEX('Methodology &amp; Sources'!$B$375:$J$382,0,7))*($AZ14-INDEX('Methodology &amp; Sources'!$B$375:$J$382,0,7))*INDEX('Methodology &amp; Sources'!$B$375:$J$382,0,7+2)),SUMPRODUCT(($AZ14&gt;INDEX('Methodology &amp; Sources'!$B$375:$J$382,0,4))*($AZ14-INDEX('Methodology &amp; Sources'!$B$375:$J$382,0,4))*INDEX('Methodology &amp; Sources'!$B$375:$J$382,0,4+2)))),IF($AN14="ND",IF($AU14="Head of household",SUMPRODUCT(($AZ14&gt;INDEX('Methodology &amp; Sources'!$B$394:$J$400,0,1))*($AZ14-INDEX('Methodology &amp; Sources'!$B$394:$J$400,0,1))*INDEX('Methodology &amp; Sources'!$B$394:$J$400,0,1+2)),IF($AU14="Married",SUMPRODUCT(($AZ14&gt;INDEX('Methodology &amp; Sources'!$B$387:$J$389,0,7))*($AZ14-INDEX('Methodology &amp; Sources'!$B$387:$J$389,0,7))*INDEX('Methodology &amp; Sources'!$B$387:$J$389,0,7+2)),SUMPRODUCT(($AZ14&gt;INDEX('Methodology &amp; Sources'!$B$387:$J$389,0,4))*($AZ14-INDEX('Methodology &amp; Sources'!$B$387:$J$389,0,4))*INDEX('Methodology &amp; Sources'!$B$387:$J$389,0,4+2)))),IF($AN14="NJ",IF(Inputs!$C$77="B",SUMPRODUCT(($AZ14&gt;INDEX('Methodology &amp; Sources'!$B$405:$J$412,0,4))*($AZ14-INDEX('Methodology &amp; Sources'!$B$405:$J$412,0,4))*INDEX('Methodology &amp; Sources'!$B$405:$J$412,0,4+2)),IF(Inputs!$C$77="C",SUMPRODUCT(($AZ14&gt;INDEX('Methodology &amp; Sources'!$B$405:$J$412,0,7))*($AZ14-INDEX('Methodology &amp; Sources'!$B$405:$J$412,0,7))*INDEX('Methodology &amp; Sources'!$B$405:$J$412,0,7+2)),IF(Inputs!$C$77="D",SUMPRODUCT(($AZ14&gt;INDEX('Methodology &amp; Sources'!$B$417:$J$429,0,1))*($AZ14-INDEX('Methodology &amp; Sources'!$B$417:$J$429,0,1))*INDEX('Methodology &amp; Sources'!$B$417:$J$429,0,1+2)),IF(Inputs!$C$77="E",SUMPRODUCT(($AZ14&gt;INDEX('Methodology &amp; Sources'!$B$417:$J$429,0,4))*($AZ14-INDEX('Methodology &amp; Sources'!$B$417:$J$429,0,4))*INDEX('Methodology &amp; Sources'!$B$417:$J$429,0,4+2)),SUMPRODUCT(($AZ14&gt;INDEX('Methodology &amp; Sources'!$B$405:$J$412,0,1))*($AZ14-INDEX('Methodology &amp; Sources'!$B$405:$J$412,0,1))*INDEX('Methodology &amp; Sources'!$B$405:$J$412,0,1+2)))))),IF($AN14="NY",IF($AU14="Married",IF($AZ14&gt;=2155350,$AZ14*IF($AZ14&gt;25000000,0.117,IF($AZ14&gt;5000000,0.111,0.1045)),SUMPRODUCT(($AZ14&gt;INDEX('Methodology &amp; Sources'!$B$434:$J$448,0,1))*($AZ14-INDEX('Methodology &amp; Sources'!$B$434:$J$448,0,1))*INDEX('Methodology &amp; Sources'!$B$434:$J$448,0,1+2))),IF($AZ14&gt;=1077550,$AZ14*IF($AZ14&gt;25000000,0.117,IF($AZ14&gt;5000000,0.111,0.1045)),SUMPRODUCT(($AZ14&gt;INDEX('Methodology &amp; Sources'!$B$417:$J$429,0,7))*($AZ14-INDEX('Methodology &amp; Sources'!$B$417:$J$429,0,7))*INDEX('Methodology &amp; Sources'!$B$417:$J$429,0,7+2)))),"")))))))</f>
      </c>
      <c r="BX14" s="7">
        <f>IF($B14="","",IF($AN14="AL",IF(OR($AU14="Married",$AU14="Head of household"),SUMPRODUCT(($AZ14&gt;INDEX('Methodology &amp; Sources'!$B$332:$J$336,0,4))*($AZ14-INDEX('Methodology &amp; Sources'!$B$332:$J$336,0,4))*INDEX('Methodology &amp; Sources'!$B$332:$J$336,0,4+2)),SUMPRODUCT(($AZ14&gt;INDEX('Methodology &amp; Sources'!$B$332:$J$336,0,1))*($AZ14-INDEX('Methodology &amp; Sources'!$B$332:$J$336,0,1))*INDEX('Methodology &amp; Sources'!$B$332:$J$336,0,1+2))),IF($AN14="KS",IF($AU14="Married",SUMPRODUCT(($AZ14&gt;INDEX('Methodology &amp; Sources'!$B$353:$J$359,0,4))*($AZ14-INDEX('Methodology &amp; Sources'!$B$353:$J$359,0,4))*INDEX('Methodology &amp; Sources'!$B$353:$J$359,0,4+2)),SUMPRODUCT(($AZ14&gt;INDEX('Methodology &amp; Sources'!$B$353:$J$359,0,1))*($AZ14-INDEX('Methodology &amp; Sources'!$B$353:$J$359,0,1))*INDEX('Methodology &amp; Sources'!$B$353:$J$359,0,1+2))),IF($AN14="MN",IF($AU14="Married",SUMPRODUCT(($AZ14&gt;INDEX('Methodology &amp; Sources'!$B$364:$J$370,0,7))*($AZ14-INDEX('Methodology &amp; Sources'!$B$364:$J$370,0,7))*INDEX('Methodology &amp; Sources'!$B$364:$J$370,0,7+2)),SUMPRODUCT(($AZ14&gt;INDEX('Methodology &amp; Sources'!$B$364:$J$370,0,4))*($AZ14-INDEX('Methodology &amp; Sources'!$B$364:$J$370,0,4))*INDEX('Methodology &amp; Sources'!$B$364:$J$370,0,4+2))),IF($AN14="NE",MAX(IF($AU14="Married",SUMPRODUCT(($AZ14&gt;INDEX('Methodology &amp; Sources'!$B$394:$J$400,0,7))*($AZ14-INDEX('Methodology &amp; Sources'!$B$394:$J$400,0,7))*INDEX('Methodology &amp; Sources'!$B$394:$J$400,0,7+2)),SUMPRODUCT(($AZ14&gt;INDEX('Methodology &amp; Sources'!$B$394:$J$400,0,4))*($AZ14-INDEX('Methodology &amp; Sources'!$B$394:$J$400,0,4))*INDEX('Methodology &amp; Sources'!$B$394:$J$400,0,4+2))),0.015*$AZ14),IF($AN14="OH",IF($B14&gt;=DATE(2026,8,1),SUMPRODUCT(($AZ14&gt;INDEX('Methodology &amp; Sources'!$B$453:$J$456,0,1))*($AZ14-INDEX('Methodology &amp; Sources'!$B$453:$J$456,0,1))*INDEX('Methodology &amp; Sources'!$B$453:$J$456,0,1+2)),SUMPRODUCT(($AZ14&gt;INDEX('Methodology &amp; Sources'!$B$434:$J$448,0,7))*($AZ14-INDEX('Methodology &amp; Sources'!$B$434:$J$448,0,7))*INDEX('Methodology &amp; Sources'!$B$434:$J$448,0,7+2))),IF($AN14="OK",IF($AU14="Married",SUMPRODUCT(($AZ14&gt;INDEX('Methodology &amp; Sources'!$B$453:$J$456,0,7))*($AZ14-INDEX('Methodology &amp; Sources'!$B$453:$J$456,0,7))*INDEX('Methodology &amp; Sources'!$B$453:$J$456,0,7+2)),SUMPRODUCT(($AZ14&gt;INDEX('Methodology &amp; Sources'!$B$453:$J$456,0,4))*($AZ14-INDEX('Methodology &amp; Sources'!$B$453:$J$456,0,4))*INDEX('Methodology &amp; Sources'!$B$453:$J$456,0,4+2))),IF($AN14="RI",SUMPRODUCT(($AZ14&gt;INDEX('Methodology &amp; Sources'!$B$461:$J$464,0,7))*($AZ14-INDEX('Methodology &amp; Sources'!$B$461:$J$464,0,7))*INDEX('Methodology &amp; Sources'!$B$461:$J$464,0,7+2)),IF($AN14="VT",IF($AU14="Married",SUMPRODUCT(($AZ14&gt;INDEX('Methodology &amp; Sources'!$B$478:$J$482,0,1))*($AZ14-INDEX('Methodology &amp; Sources'!$B$478:$J$482,0,1))*INDEX('Methodology &amp; Sources'!$B$478:$J$482,0,1+2)),SUMPRODUCT(($AZ14&gt;INDEX('Methodology &amp; Sources'!$B$469:$J$473,0,7))*($AZ14-INDEX('Methodology &amp; Sources'!$B$469:$J$473,0,7))*INDEX('Methodology &amp; Sources'!$B$469:$J$473,0,7+2))),IF($AN14="WV",IF($AU14="Married",SUMPRODUCT(($AZ14&gt;INDEX('Methodology &amp; Sources'!$B$487:$J$491,0,7))*($AZ14-INDEX('Methodology &amp; Sources'!$B$487:$J$491,0,7))*INDEX('Methodology &amp; Sources'!$B$487:$J$491,0,7+2)),SUMPRODUCT(($AZ14&gt;INDEX('Methodology &amp; Sources'!$B$478:$J$482,0,7))*($AZ14-INDEX('Methodology &amp; Sources'!$B$478:$J$482,0,7))*INDEX('Methodology &amp; Sources'!$B$478:$J$482,0,7+2))),""))))))))))</f>
      </c>
      <c r="BY14" s="7">
        <f>IF($B14="","",IF($AN14="AR",SUMPRODUCT(($AZ14&gt;INDEX('Methodology &amp; Sources'!$B$332:$J$336,0,7))*($AZ14-INDEX('Methodology &amp; Sources'!$B$332:$J$336,0,7))*INDEX('Methodology &amp; Sources'!$B$332:$J$336,0,7+2)),IF($AN14="DE",SUMPRODUCT(($AZ14&gt;INDEX('Methodology &amp; Sources'!$B$341:$J$348,0,1))*($AZ14-INDEX('Methodology &amp; Sources'!$B$341:$J$348,0,1))*INDEX('Methodology &amp; Sources'!$B$341:$J$348,0,1+2)),IF($AN14="HI",IF($AU14="Married",SUMPRODUCT(($AZ14&gt;INDEX('Methodology &amp; Sources'!$B$341:$J$348,0,7))*($AZ14-INDEX('Methodology &amp; Sources'!$B$341:$J$348,0,7))*INDEX('Methodology &amp; Sources'!$B$341:$J$348,0,7+2)),SUMPRODUCT(($AZ14&gt;INDEX('Methodology &amp; Sources'!$B$341:$J$348,0,4))*($AZ14-INDEX('Methodology &amp; Sources'!$B$341:$J$348,0,4))*INDEX('Methodology &amp; Sources'!$B$341:$J$348,0,4+2))),IF($AN14="SC",SUMPRODUCT(($AZ14&gt;INDEX('Methodology &amp; Sources'!$B$469:$J$473,0,1))*($AZ14-INDEX('Methodology &amp; Sources'!$B$469:$J$473,0,1))*INDEX('Methodology &amp; Sources'!$B$469:$J$473,0,1+2)),IF($AN14="VA",SUMPRODUCT(($AZ14&gt;INDEX('Methodology &amp; Sources'!$B$469:$J$473,0,4))*($AZ14-INDEX('Methodology &amp; Sources'!$B$469:$J$473,0,4))*INDEX('Methodology &amp; Sources'!$B$469:$J$473,0,4+2)),IF($AN14="WI",SUMPRODUCT(($AZ14&gt;INDEX('Methodology &amp; Sources'!$B$478:$J$482,0,4))*($AZ14-INDEX('Methodology &amp; Sources'!$B$478:$J$482,0,4))*INDEX('Methodology &amp; Sources'!$B$478:$J$482,0,4+2)),"")))))))</f>
      </c>
      <c r="BZ14" s="24">
        <f>IF($B14="","",IF($AN14="NJ",IF(Inputs!$C$77="B",SUMPRODUCT(($AZ14&gt;=INDEX('Methodology &amp; Sources'!$B$405:$J$412,0,4))*INDEX('Methodology &amp; Sources'!$B$405:$J$412,0,4+2)),IF(Inputs!$C$77="C",SUMPRODUCT(($AZ14&gt;=INDEX('Methodology &amp; Sources'!$B$405:$J$412,0,7))*INDEX('Methodology &amp; Sources'!$B$405:$J$412,0,7+2)),IF(Inputs!$C$77="D",SUMPRODUCT(($AZ14&gt;=INDEX('Methodology &amp; Sources'!$B$417:$J$429,0,1))*INDEX('Methodology &amp; Sources'!$B$417:$J$429,0,1+2)),IF(Inputs!$C$77="E",SUMPRODUCT(($AZ14&gt;=INDEX('Methodology &amp; Sources'!$B$417:$J$429,0,4))*INDEX('Methodology &amp; Sources'!$B$417:$J$429,0,4+2)),SUMPRODUCT(($AZ14&gt;=INDEX('Methodology &amp; Sources'!$B$405:$J$412,0,1))*INDEX('Methodology &amp; Sources'!$B$405:$J$412,0,1+2)))))),IF($AN14="OR",IF(OR($AU14="Married",AND($AU14="Single",$AS14&gt;=3)),SUMPRODUCT((MAX(0,$AY14-MIN(($P14-'Methodology &amp; Sources'!$C$260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Sources'!$B$461:$J$464,0,4))*INDEX('Methodology &amp; Sources'!$B$461:$J$464,0,4+2)),SUMPRODUCT((MAX(0,$AY14-MIN(($P14-'Methodology &amp; Sources'!$C$260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Sources'!$B$461:$J$464,0,1))*INDEX('Methodology &amp; Sources'!$B$461:$J$464,0,1+2)))*IF(($P14-'Methodology &amp; Sources'!$C$260*$D14)*Inputs!$C$8&gt;=IF(OR($AU14="Married",AND($AU14="Single",$AS14&gt;=3)),IF($AY14&lt;250000,8750,IF($AY14&lt;260000,7000,IF($AY14&lt;270000,5250,IF($AY14&lt;280000,3500,IF($AY14&lt;290000,1750,0))))),IF($AY14&lt;125000,8750,IF($AY14&lt;130000,7000,IF($AY14&lt;135000,5250,IF($AY14&lt;140000,3500,IF($AY14&lt;145000,1750,0)))))),1,1-IF(Inputs!$C$13,SUMPRODUCT(($AH14&gt;=INDEX('Methodology &amp; Sources'!$B$279:$J$286,0,IF(Inputs!$C$12="MFJ",1,IF(Inputs!$C$12="HoH",7,4))))*INDEX('Methodology &amp; Sources'!$B$279:$J$286,0,IF(Inputs!$C$12="MFJ",1,IF(Inputs!$C$12="HoH",7,4))+2)),SUMPRODUCT(($AH14&gt;=INDEX('Methodology &amp; Sources'!$B$269:$J$276,0,IF(Inputs!$C$12="MFJ",1,IF(Inputs!$C$12="HoH",7,4))))*INDEX('Methodology &amp; Sources'!$B$269:$J$276,0,IF(Inputs!$C$12="MFJ",1,IF(Inputs!$C$12="HoH",7,4))+2)))),IF($AN14="MI",IF($AY14&gt;5900*$AS14,0.0425,0),""))))</f>
      </c>
      <c r="CA14" s="24">
        <f>IF($B14="","",IF($AN14="AL",IF(OR($AU14="Married",$AU14="Head of household"),SUMPRODUCT(($AZ14&gt;=INDEX('Methodology &amp; Sources'!$B$332:$J$336,0,4))*INDEX('Methodology &amp; Sources'!$B$332:$J$336,0,4+2)),SUMPRODUCT(($AZ14&gt;=INDEX('Methodology &amp; Sources'!$B$332:$J$336,0,1))*INDEX('Methodology &amp; Sources'!$B$332:$J$336,0,1+2)))*(1-IF(Inputs!$C$13,SUMPRODUCT(($AH14&gt;=INDEX('Methodology &amp; Sources'!$B$279:$J$286,0,IF(Inputs!$C$12="MFJ",1,IF(Inputs!$C$12="HoH",7,4))))*INDEX('Methodology &amp; Sources'!$B$279:$J$286,0,IF(Inputs!$C$12="MFJ",1,IF(Inputs!$C$12="HoH",7,4))+2)),SUMPRODUCT(($AH14&gt;=INDEX('Methodology &amp; Sources'!$B$269:$J$276,0,IF(Inputs!$C$12="MFJ",1,IF(Inputs!$C$12="HoH",7,4))))*INDEX('Methodology &amp; Sources'!$B$269:$J$276,0,IF(Inputs!$C$12="MFJ",1,IF(Inputs!$C$12="HoH",7,4))+2)))),IF($AN14="KS",IF($AU14="Married",SUMPRODUCT(($AZ14&gt;=INDEX('Methodology &amp; Sources'!$B$353:$J$359,0,4))*INDEX('Methodology &amp; Sources'!$B$353:$J$359,0,4+2)),SUMPRODUCT(($AZ14&gt;=INDEX('Methodology &amp; Sources'!$B$353:$J$359,0,1))*INDEX('Methodology &amp; Sources'!$B$353:$J$359,0,1+2))),IF($AN14="MD",IF(OR($AU14="Married",$AU14="Head of household"),SUMPRODUCT(($AZ14&gt;=INDEX('Methodology &amp; Sources'!$B$364:$J$370,0,1))*INDEX('Methodology &amp; Sources'!$B$364:$J$370,0,1+2)),SUMPRODUCT(($AZ14&gt;=INDEX('Methodology &amp; Sources'!$B$353:$J$359,0,7))*INDEX('Methodology &amp; Sources'!$B$353:$J$359,0,7+2)))+Inputs!$C$74,IF($AN14="MT",IF($AU14="Head of household",SUMPRODUCT(($AZ14&gt;=INDEX('Methodology &amp; Sources'!$B$387:$J$389,0,1))*INDEX('Methodology &amp; Sources'!$B$387:$J$389,0,1+2)),IF($AU14="Married",SUMPRODUCT(($AZ14&gt;=INDEX('Methodology &amp; Sources'!$B$375:$J$382,0,7))*INDEX('Methodology &amp; Sources'!$B$375:$J$382,0,7+2)),SUMPRODUCT(($AZ14&gt;=INDEX('Methodology &amp; Sources'!$B$375:$J$382,0,4))*INDEX('Methodology &amp; Sources'!$B$375:$J$382,0,4+2)))),IF($AN14="ND",IF($AU14="Head of household",SUMPRODUCT(($AZ14&gt;=INDEX('Methodology &amp; Sources'!$B$394:$J$400,0,1))*INDEX('Methodology &amp; Sources'!$B$394:$J$400,0,1+2)),IF($AU14="Married",SUMPRODUCT(($AZ14&gt;=INDEX('Methodology &amp; Sources'!$B$387:$J$389,0,7))*INDEX('Methodology &amp; Sources'!$B$387:$J$389,0,7+2)),SUMPRODUCT(($AZ14&gt;=INDEX('Methodology &amp; Sources'!$B$387:$J$389,0,4))*INDEX('Methodology &amp; Sources'!$B$387:$J$389,0,4+2)))),IF($AN14="NY",IF($AU14="Married",IF($AZ14&gt;=2155350,IF($AZ14&gt;25000000,0.117,IF($AZ14&gt;5000000,0.111,0.1045)),SUMPRODUCT(($AZ14&gt;=INDEX('Methodology &amp; Sources'!$B$434:$J$448,0,1))*INDEX('Methodology &amp; Sources'!$B$434:$J$448,0,1+2))),IF($AZ14&gt;=1077550,IF($AZ14&gt;25000000,0.117,IF($AZ14&gt;5000000,0.111,0.1045)),SUMPRODUCT(($AZ14&gt;=INDEX('Methodology &amp; Sources'!$B$417:$J$429,0,7))*INDEX('Methodology &amp; Sources'!$B$417:$J$429,0,7+2)))),"")))))))</f>
      </c>
      <c r="CB14" s="24">
        <f>IF($B14="","",IF($AN14="CA",SUMPRODUCT(($AJ14&gt;=INDEX('Methodology &amp; Sources'!$B$289:$J$298,0,IF($AU14="Married",4,IF($AU14="Head of household",7,1))))*INDEX('Methodology &amp; Sources'!$B$289:$J$298,0,IF($AU14="Married",4,IF($AU14="Head of household",7,1))+2)),IF($AN14="HI",IF($AU14="Married",SUMPRODUCT(($AZ14&gt;=INDEX('Methodology &amp; Sources'!$B$341:$J$348,0,7))*INDEX('Methodology &amp; Sources'!$B$341:$J$348,0,7+2)),SUMPRODUCT(($AZ14&gt;=INDEX('Methodology &amp; Sources'!$B$341:$J$348,0,4))*INDEX('Methodology &amp; Sources'!$B$341:$J$348,0,4+2))),IF($AN14="MN",IF($AU14="Married",SUMPRODUCT(($AZ14&gt;=INDEX('Methodology &amp; Sources'!$B$364:$J$370,0,7))*INDEX('Methodology &amp; Sources'!$B$364:$J$370,0,7+2)),SUMPRODUCT(($AZ14&gt;=INDEX('Methodology &amp; Sources'!$B$364:$J$370,0,4))*INDEX('Methodology &amp; Sources'!$B$364:$J$370,0,4+2))),IF($AN14="MO",SUMPRODUCT(($AZ14&gt;=INDEX('Methodology &amp; Sources'!$B$375:$J$382,0,1))*INDEX('Methodology &amp; Sources'!$B$375:$J$382,0,1+2)),IF($AN14="NE",MAX(IF($AU14="Married",SUMPRODUCT(($AZ14&gt;=INDEX('Methodology &amp; Sources'!$B$394:$J$400,0,7))*INDEX('Methodology &amp; Sources'!$B$394:$J$400,0,7+2)),SUMPRODUCT(($AZ14&gt;=INDEX('Methodology &amp; Sources'!$B$394:$J$400,0,4))*INDEX('Methodology &amp; Sources'!$B$394:$J$400,0,4+2))),0.015),IF($AN14="OH",IF($B14&gt;=DATE(2026,8,1),SUMPRODUCT(($AZ14&gt;=INDEX('Methodology &amp; Sources'!$B$453:$J$456,0,1))*INDEX('Methodology &amp; Sources'!$B$453:$J$456,0,1+2)),SUMPRODUCT(($AZ14&gt;=INDEX('Methodology &amp; Sources'!$B$434:$J$448,0,7))*INDEX('Methodology &amp; Sources'!$B$434:$J$448,0,7+2))),IF($AN14="OK",IF($AU14="Married",SUMPRODUCT(($AZ14&gt;=INDEX('Methodology &amp; Sources'!$B$453:$J$456,0,7))*INDEX('Methodology &amp; Sources'!$B$453:$J$456,0,7+2)),SUMPRODUCT(($AZ14&gt;=INDEX('Methodology &amp; Sources'!$B$453:$J$456,0,4))*INDEX('Methodology &amp; Sources'!$B$453:$J$456,0,4+2))),IF($AN14="RI",SUMPRODUCT(($AZ14&gt;=INDEX('Methodology &amp; Sources'!$B$461:$J$464,0,7))*INDEX('Methodology &amp; Sources'!$B$461:$J$464,0,7+2)),IF($AN14="SC",SUMPRODUCT(($AZ14&gt;=INDEX('Methodology &amp; Sources'!$B$469:$J$473,0,1))*INDEX('Methodology &amp; Sources'!$B$469:$J$473,0,1+2)),IF($AN14="VT",IF($AU14="Married",SUMPRODUCT(($AZ14&gt;=INDEX('Methodology &amp; Sources'!$B$478:$J$482,0,1))*INDEX('Methodology &amp; Sources'!$B$478:$J$482,0,1+2)),SUMPRODUCT(($AZ14&gt;=INDEX('Methodology &amp; Sources'!$B$469:$J$473,0,7))*INDEX('Methodology &amp; Sources'!$B$469:$J$473,0,7+2))),IF($AN14="WV",IF($AU14="Married",SUMPRODUCT(($AZ14&gt;=INDEX('Methodology &amp; Sources'!$B$487:$J$491,0,7))*INDEX('Methodology &amp; Sources'!$B$487:$J$491,0,7+2)),SUMPRODUCT(($AZ14&gt;=INDEX('Methodology &amp; Sources'!$B$478:$J$482,0,7))*INDEX('Methodology &amp; Sources'!$B$478:$J$482,0,7+2))),IF($AN14="IN",(0.0295+Inputs!$C$76),"")))))))))))))</f>
      </c>
      <c r="CC14" s="24">
        <f>IF($B14="","",IF($AN14="AR",SUMPRODUCT(($AZ14&gt;=INDEX('Methodology &amp; Sources'!$B$332:$J$336,0,7))*INDEX('Methodology &amp; Sources'!$B$332:$J$336,0,7+2)),IF($AN14="DE",SUMPRODUCT(($AZ14&gt;=INDEX('Methodology &amp; Sources'!$B$341:$J$348,0,1))*INDEX('Methodology &amp; Sources'!$B$341:$J$348,0,1+2)),IF($AN14="VA",SUMPRODUCT(($AZ14&gt;=INDEX('Methodology &amp; Sources'!$B$469:$J$473,0,4))*INDEX('Methodology &amp; Sources'!$B$469:$J$473,0,4+2)),IF($AN14="WI",SUMPRODUCT(($AZ14&gt;=INDEX('Methodology &amp; Sources'!$B$478:$J$482,0,4))*INDEX('Methodology &amp; Sources'!$B$478:$J$482,0,4+2)),IF($AN14="AZ",Inputs!$C$82,IF($AN14="CO",IF($AY14&gt;IF($AU14="Married",10000,5000),0.044,0),IF($AN14="IA",IF($AY14&gt;IF($AU14="Head of household",19500,IF($AU14="Married",26000,13000)),0.038,0),IF($AN14="ID",IF($AY14&gt;IF($AU14="Married",32000,16094),0.053,0),IF($AN14="IL",IF($AY14&gt;(2925*$AS14+1000*$AT14),0.0495,0),IF($AN14="KY",IF($AI14&gt;3360,0.035,0),IF($AN14="LA",0.0309,IF($AN14="MA",IF(MAX(0,$AY14-MIN(($BD13+$Q14+$R14+$S14),2000)-IF($AS14=0,0,IF($AS14=1,4400,1000*$AS14+3400)))&gt;=1107750,0.09,0.05),IF($AN14="MS",IF($AI14-IF($AU14="Head of household",3400,IF($AU14="Married",4600,2300))-Inputs!$C$85&gt;10000,0.04,0),IF($AN14="PA",0.0307,"")))))))))))))))</f>
      </c>
      <c r="CD14" s="21">
        <f>IF(YEAR(IF(Inputs!$C$7="Weekly",Inputs!$C$9+7*(($BE13+1)-1),IF(Inputs!$C$7="Biweekly",Inputs!$C$9+14*(($BE13+1)-1),IF(Inputs!$C$7="Semimonthly",DATE(YEAR(Inputs!$C$9),MONTH(Inputs!$C$9)+INT((($BE13+1)-1)/2),MIN(DAY(Inputs!$C$9),DAY(EOMONTH(DATE(YEAR(Inputs!$C$9),MONTH(Inputs!$C$9)+INT((($BE13+1)-1)/2),1),0))))+IF(MOD(($BE13+1)-1,2)=1,15,0),EDATE(Inputs!$C$9,($BE13+1)-1)))))&lt;&gt;2026,"",IF(Inputs!$C$7="Weekly",Inputs!$C$9+7*(($BE13+1)-1),IF(Inputs!$C$7="Biweekly",Inputs!$C$9+14*(($BE13+1)-1),IF(Inputs!$C$7="Semimonthly",DATE(YEAR(Inputs!$C$9),MONTH(Inputs!$C$9)+INT((($BE13+1)-1)/2),MIN(DAY(Inputs!$C$9),DAY(EOMONTH(DATE(YEAR(Inputs!$C$9),MONTH(Inputs!$C$9)+INT((($BE13+1)-1)/2),1),0))))+IF(MOD(($BE13+1)-1,2)=1,15,0),EDATE(Inputs!$C$9,($BE13+1)-1)))))</f>
      </c>
      <c r="CE14" s="21">
        <f>IF(SUMPRODUCT(MIN(IF((Inputs!$C$58:$C$67&gt;MAX($B$6:$B13))*(Inputs!$C$58:$C$67&gt;=DATE(2026,1,1))*(Inputs!$C$58:$C$67&lt;=DATE(2026,12,31)),Inputs!$C$58:$C$67,999999)))=999999,"",SUMPRODUCT(MIN(IF((Inputs!$C$58:$C$67&gt;MAX($B$6:$B13))*(Inputs!$C$58:$C$67&gt;=DATE(2026,1,1))*(Inputs!$C$58:$C$67&lt;=DATE(2026,12,31)),Inputs!$C$58:$C$67,999999))))</f>
      </c>
    </row>
    <row r="15">
      <c r="A15" t="n">
        <v>10</v>
      </c>
      <c r="B15" s="21">
        <f>IF(AND($CD15="",$CE15=""),"",IF($CE15="",$CD15,IF($CD15="",$CE15,MIN($CD15,$CE15))))</f>
      </c>
      <c r="C15" s="7">
        <f>IF($B15="","",IF($BF15=0,0,IF(Inputs!$C$4="Annual salary",ROUND($AK15/IF(AND(Inputs!$C$88="Actual paydays",MONTH(Inputs!$C$9)=1),MAX(1,MAX($BE$6:$BE$68)),Inputs!$C$8),2),$AK15)))</f>
      </c>
      <c r="D15" s="7">
        <f>IF($B15="","",SUMIF(Inputs!$C$58:$C$67,$B15,Inputs!$D$58:$D$67))</f>
      </c>
      <c r="E15" s="7">
        <f>IF($B15="","",ROUND(MAX(0,MIN(IF($AL15="Percent",$AM15*($C15+$D15),$AM15),MAX(0,Inputs!$C$91-$AC14))),2))</f>
      </c>
      <c r="F15" s="7">
        <f>IF($B15="","",ROUND(MAX(0,MIN(IF(Inputs!$C$32="Percent",Inputs!$D$32*($C15+$D15),Inputs!$D$32),MAX(0,Inputs!$C$91-$AC14-$E15))),2))</f>
      </c>
      <c r="G15" s="7">
        <f>IF($B15="","",IF($BF15=0,0,ROUND(MAX(0,MIN($BL15,Inputs!$C$92-Inputs!$C$54-$BI14)),2)))</f>
      </c>
      <c r="H15" s="7">
        <f>IF($B15="","",IF(OR($BF15=0,$BQ15=1),0,ROUND(MAX(0,MIN(IF($BS15=1,ROUND(MAX(0,MIN($BJ15,'Methodology &amp; Sources'!$C$263)-$BG14)/MAX(1,MAX($BE$6:$BE$68)-($BE14)),2),ROUND(MIN($BJ15,'Methodology &amp; Sources'!$C$263)/Inputs!$C$8,2)),MIN($BJ15,'Methodology &amp; Sources'!$C$263)-$BG14)),2)))</f>
      </c>
      <c r="I15" s="7">
        <f>IF($B15="","",IF(OR($BF15=0,$BR15=1),0,ROUND(MAX(0,MIN(IF($BT15=1,ROUND(MAX(0,MIN($BK15,IF(Inputs!$C$12="MFJ",'Methodology &amp; Sources'!$C$264,'Methodology &amp; Sources'!$C$265))-$BH14)/MAX(1,MAX($BE$6:$BE$68)-($BE14)),2),ROUND(MIN($BK15,IF(Inputs!$C$12="MFJ",'Methodology &amp; Sources'!$C$264,'Methodology &amp; Sources'!$C$265))/Inputs!$C$8,2)),MIN($BK15,IF(Inputs!$C$12="MFJ",'Methodology &amp; Sources'!$C$264,'Methodology &amp; Sources'!$C$265))-$BH14)),2)))</f>
      </c>
      <c r="J15" s="7">
        <f>IF($B15="","",IF($BF15=0,0,$BM15))</f>
      </c>
      <c r="K15" s="7">
        <f>IF($B15="","",IF($BF15=0,0,$BN15+$BO15))</f>
      </c>
      <c r="L15" s="7">
        <f>IF($B15="","",IF($BF15=0,0,Inputs!$D$46))</f>
      </c>
      <c r="M15" s="7">
        <f>IF($B15="","",$C15+$D15+$L15-$E15-$G15-$H15-$I15-$J15-$K15)</f>
      </c>
      <c r="N15" s="7">
        <f>IF($B15="","",$C15+$D15+$L15-$G15-$H15-$I15-$J15-$K15)</f>
      </c>
      <c r="O15" s="7">
        <f>IF($B15="","",$C15+$D15+$L15-$E15-$H15-$I15-$J15-$K15-IF(OR($AN15="CA",$AN15="NJ"),0,$G15))</f>
      </c>
      <c r="P15" s="7">
        <f>IF($B15="","",IF(Inputs!$C$18,0,ROUND(MAX(0,IF(Inputs!$C$13,SUMPRODUCT(($AH15&gt;INDEX('Methodology &amp; Sources'!$B$279:$J$286,0,IF(Inputs!$C$12="MFJ",1,IF(Inputs!$C$12="HoH",7,4))))*($AH15-INDEX('Methodology &amp; Sources'!$B$279:$J$286,0,IF(Inputs!$C$12="MFJ",1,IF(Inputs!$C$12="HoH",7,4))))*INDEX('Methodology &amp; Sources'!$B$279:$J$286,0,IF(Inputs!$C$12="MFJ",1,IF(Inputs!$C$12="HoH",7,4))+2)),SUMPRODUCT(($AH15&gt;INDEX('Methodology &amp; Sources'!$B$269:$J$276,0,IF(Inputs!$C$12="MFJ",1,IF(Inputs!$C$12="HoH",7,4))))*($AH15-INDEX('Methodology &amp; Sources'!$B$269:$J$276,0,IF(Inputs!$C$12="MFJ",1,IF(Inputs!$C$12="HoH",7,4))))*INDEX('Methodology &amp; Sources'!$B$269:$J$276,0,IF(Inputs!$C$12="MFJ",1,IF(Inputs!$C$12="HoH",7,4))+2)))/Inputs!$C$8-$AO15/Inputs!$C$8)+$AR15+IF(Inputs!$C$89="Aggregate",MAX(0,IF(Inputs!$C$13,SUMPRODUCT((($AH15+$D15)&gt;INDEX('Methodology &amp; Sources'!$B$279:$J$286,0,IF(Inputs!$C$12="MFJ",1,IF(Inputs!$C$12="HoH",7,4))))*(($AH15+$D15)-INDEX('Methodology &amp; Sources'!$B$279:$J$286,0,IF(Inputs!$C$12="MFJ",1,IF(Inputs!$C$12="HoH",7,4))))*INDEX('Methodology &amp; Sources'!$B$279:$J$286,0,IF(Inputs!$C$12="MFJ",1,IF(Inputs!$C$12="HoH",7,4))+2)),SUMPRODUCT((($AH15+$D15)&gt;INDEX('Methodology &amp; Sources'!$B$269:$J$276,0,IF(Inputs!$C$12="MFJ",1,IF(Inputs!$C$12="HoH",7,4))))*(($AH15+$D15)-INDEX('Methodology &amp; Sources'!$B$269:$J$276,0,IF(Inputs!$C$12="MFJ",1,IF(Inputs!$C$12="HoH",7,4))))*INDEX('Methodology &amp; Sources'!$B$269:$J$276,0,IF(Inputs!$C$12="MFJ",1,IF(Inputs!$C$12="HoH",7,4))+2)))-IF(Inputs!$C$13,SUMPRODUCT(($AH15&gt;INDEX('Methodology &amp; Sources'!$B$279:$J$286,0,IF(Inputs!$C$12="MFJ",1,IF(Inputs!$C$12="HoH",7,4))))*($AH15-INDEX('Methodology &amp; Sources'!$B$279:$J$286,0,IF(Inputs!$C$12="MFJ",1,IF(Inputs!$C$12="HoH",7,4))))*INDEX('Methodology &amp; Sources'!$B$279:$J$286,0,IF(Inputs!$C$12="MFJ",1,IF(Inputs!$C$12="HoH",7,4))+2)),SUMPRODUCT(($AH15&gt;INDEX('Methodology &amp; Sources'!$B$269:$J$276,0,IF(Inputs!$C$12="MFJ",1,IF(Inputs!$C$12="HoH",7,4))))*($AH15-INDEX('Methodology &amp; Sources'!$B$269:$J$276,0,IF(Inputs!$C$12="MFJ",1,IF(Inputs!$C$12="HoH",7,4))))*INDEX('Methodology &amp; Sources'!$B$269:$J$276,0,IF(Inputs!$C$12="MFJ",1,IF(Inputs!$C$12="HoH",7,4))+2)))),'Methodology &amp; Sources'!$C$260*$D15),2)))</f>
      </c>
      <c r="Q15" s="7">
        <f>IF($B15="","",ROUND('Methodology &amp; Sources'!$C$254*MIN($N15,MAX(0,'Methodology &amp; Sources'!$C$253-($AX15+$AB14-$AW15))),2))</f>
      </c>
      <c r="R15" s="7">
        <f>IF($B15="","",ROUND('Methodology &amp; Sources'!$C$255*$N15,2))</f>
      </c>
      <c r="S15" s="7">
        <f>IF($B15="","",ROUND('Methodology &amp; Sources'!$C$256*MAX(0,MIN($N15,$AG14+$N15-'Methodology &amp; Sources'!$C$257)),2))</f>
      </c>
      <c r="T15" s="7">
        <f>IF($B15="","",IF(Inputs!$C$26,0,IF($AN15="CA",ROUND(IF($AI15&lt;=IF(($AS15+$AT15)&gt;=2,VLOOKUP($AN15,'StateTables 2026'!$A$6:$AB$56,10,FALSE),VLOOKUP($AN15,'StateTables 2026'!$A$6:$AB$56,9,FALSE)),0,MAX(0,SUMPRODUCT(($AJ15&gt;INDEX('Methodology &amp; Sources'!$B$289:$J$298,0,IF($AU15="Married",4,IF($AU15="Head of household",7,1))))*($AJ15-INDEX('Methodology &amp; Sources'!$B$289:$J$298,0,IF($AU15="Married",4,IF($AU15="Head of household",7,1))))*INDEX('Methodology &amp; Sources'!$B$289:$J$298,0,IF($AU15="Married",4,IF($AU15="Head of household",7,1))+2))-VLOOKUP($AN15,'StateTables 2026'!$A$6:$AB$56,11,FALSE)*$AS15)/Inputs!$C$8)+Inputs!$C$25+VLOOKUP($AN15,'StateTables 2026'!$A$6:$AB$56,13,FALSE)*$D15,2),IF(VLOOKUP($AN15,'StateTables 2026'!$A$6:$AB$56,4,FALSE)="None",0,IF(ISNUMBER(SEARCH("MANUAL",VLOOKUP($AN15,'StateTables 2026'!$A$6:$AB$56,5,FALSE))),Inputs!$C$28,ROUND(MAX(0,$BA15+$BB15)/Inputs!$C$8+Inputs!$C$25+$BC15,2))))))</f>
      </c>
      <c r="U15" s="7">
        <f>IF($B15="","",IF(VLOOKUP($AN15,'StateTables 2026'!$A$6:$AB$56,24,FALSE)="flatq",IF(OR(MONTH($B15)=1,MONTH($B15)=4,MONTH($B15)=7,MONTH($B15)=10),VLOOKUP($AN15,'StateTables 2026'!$A$6:$AB$56,25,FALSE),0),IF(VLOOKUP($AN15,'StateTables 2026'!$A$6:$AB$56,24,FALSE)="dbl",MIN(ROUND(0.005*$N15,2),ROUND(0.6*52/Inputs!$C$8,2)),IF(OR(VLOOKUP($AN15,'StateTables 2026'!$A$6:$AB$56,15,FALSE)="",VLOOKUP($AN15,'StateTables 2026'!$A$6:$AB$56,15,FALSE)=0),0,ROUND(VLOOKUP($AN15,'StateTables 2026'!$A$6:$AB$56,15,FALSE)*IF(OR(VLOOKUP($AN15,'StateTables 2026'!$A$6:$AB$56,16,FALSE)="",VLOOKUP($AN15,'StateTables 2026'!$A$6:$AB$56,16,FALSE)=0),$N15,MIN($N15,MAX(0,VLOOKUP($AN15,'StateTables 2026'!$A$6:$AB$56,16,FALSE)-($AX15+$AB14-$AW15)))),2))))+IF(VLOOKUP($AN15,'StateTables 2026'!$A$6:$AB$56,27,FALSE)="flatq",IF(OR(MONTH($B15)=1,MONTH($B15)=4,MONTH($B15)=7,MONTH($B15)=10),VLOOKUP($AN15,'StateTables 2026'!$A$6:$AB$56,28,FALSE),0),IF(VLOOKUP($AN15,'StateTables 2026'!$A$6:$AB$56,27,FALSE)="dbl",MIN(ROUND(0.005*$N15,2),ROUND(0.6*52/Inputs!$C$8,2)),IF(OR(VLOOKUP($AN15,'StateTables 2026'!$A$6:$AB$56,18,FALSE)="",VLOOKUP($AN15,'StateTables 2026'!$A$6:$AB$56,18,FALSE)=0),0,ROUND(VLOOKUP($AN15,'StateTables 2026'!$A$6:$AB$56,18,FALSE)*IF(OR(VLOOKUP($AN15,'StateTables 2026'!$A$6:$AB$56,19,FALSE)="",VLOOKUP($AN15,'StateTables 2026'!$A$6:$AB$56,19,FALSE)=0),$N15,MIN($N15,MAX(0,VLOOKUP($AN15,'StateTables 2026'!$A$6:$AB$56,19,FALSE)-($AX15+$AB14-$AW15)))),2)))))</f>
      </c>
      <c r="V15" s="7">
        <f>IF($B15="","",IF($AN15="NY",IF(Inputs!$C$78,ROUND(SUMPRODUCT((MAX(0,($O15-$D15)*Inputs!$C$8-(IF($AU15="Married",5500,5000)+1000*$AS15))&gt;INDEX('Methodology &amp; Sources'!$B$434:$J$448,0,4))*(MAX(0,($O15-$D15)*Inputs!$C$8-(IF($AU15="Married",5500,5000)+1000*$AS15))-INDEX('Methodology &amp; Sources'!$B$434:$J$448,0,4))*INDEX('Methodology &amp; Sources'!$B$434:$J$448,0,4+2))/Inputs!$C$8+0.0425*$D15,2),0)+IF(Inputs!$C$79="Resident",ROUND(0.1675*$T15,2),IF(Inputs!$C$79="Nonresident",ROUND(0.005*MAX(0,($O15-$D15)-(IF($AU15="Married",7950,7400)+1000*$AS15)/Inputs!$C$8),2),0)),IF($AN15="PA",IF(Inputs!$C$80="None",Inputs!$C$27+ROUND(Inputs!$C$81*($C15+$D15),2),ROUND(IF(Inputs!$C$80="Resident",IF($B15&lt;DATE(2026,7,1),0.0374,0.03735),IF($B15&lt;DATE(2026,7,1),0.0343,0.03425))*($C15+$D15),2)),IF($BF15=0,ROUND(Inputs!$C$81*($C15+$D15),2),Inputs!$C$27+ROUND(Inputs!$C$81*($C15+$D15),2)))))</f>
      </c>
      <c r="W15" s="7">
        <f>IF($B15="","",IF($BF15=0,0,$BP15))</f>
      </c>
      <c r="X15" s="7">
        <f>IF($B15="","",SUM($E15:$K15)+$P15+$Q15+$R15+$S15+$T15+$U15+$V15+$W15)</f>
      </c>
      <c r="Y15" s="22">
        <f>IF($B15="","",$C15+$D15-$X15)</f>
      </c>
      <c r="Z15" s="7">
        <f>IF($B15="","",$Z14+$C15+$D15)</f>
      </c>
      <c r="AA15" s="7">
        <f>IF($B15="","",$AA14+$Y15)</f>
      </c>
      <c r="AB15" s="7">
        <f>IF($B15="","",$AB14+MIN($N15,MAX(0,'Methodology &amp; Sources'!$C$253-($AX15+$AB14-$AW15))))</f>
      </c>
      <c r="AC15" s="7">
        <f>IF($B15="","",$AC14+$E15+$F15)</f>
      </c>
      <c r="AD15" s="3">
        <f>IF($B15="","",IF(AND($AB14&lt;'Methodology &amp; Sources'!$C$253,$AB15&gt;='Methodology &amp; Sources'!$C$253),"★ Social Security maxed on this check — from the next check your net rises by about $"&amp;TEXT(ROUND('Methodology &amp; Sources'!$C$254*$N15,2),"#,##0.00")&amp;". ","")&amp;IF(AND($AC14&lt;Inputs!$C$91,$AC15&gt;=Inputs!$C$91),"★ 401(k) reaches the $"&amp;TEXT(Inputs!$C$91,"#,##0")&amp;" cap on this check — deferrals stop and net pay rises. ","")&amp;IF(AND($AG14&lt;'Methodology &amp; Sources'!$C$257,$AG15&gt;='Methodology &amp; Sources'!$C$257),"★ Wages pass $200,000 — the 0.9% Additional Medicare Tax starts here. ","")&amp;IF(AND($BJ15&gt;0,$H15&gt;0,$BG14&lt;MIN($BJ15,'Methodology &amp; Sources'!$C$263),$BG14+$H15&gt;=MIN($BJ15,'Methodology &amp; Sources'!$C$263)),"★ Health FSA election is now fully deferred for the year. ",""))</f>
      </c>
      <c r="AE15" s="41" t="n"/>
      <c r="AF15" s="7">
        <f>IF(OR($B15="",$AE15=""),"",$AE15-$Y15)</f>
      </c>
      <c r="AG15" s="7">
        <f>IF($B15="","",$AG14+$N15)</f>
      </c>
      <c r="AH15" s="7">
        <f>IF($B15="","",MAX(0,($M15-$D15)*Inputs!$C$8+$AP15-$AQ15-IF(Inputs!$C$13,0,IF(Inputs!$C$12="MFJ",'Methodology &amp; Sources'!$C$258,'Methodology &amp; Sources'!$C$259))))</f>
      </c>
      <c r="AI15" s="7">
        <f>IF($B15="","",$O15*Inputs!$C$8)</f>
      </c>
      <c r="AJ15" s="7">
        <f>IF($B15="","",MAX(0,$AI15-VLOOKUP($AN15,'StateTables 2026'!$A$6:$AB$56,12,FALSE)*$AT15-IF(($AS15+$AT15)&gt;=2,VLOOKUP($AN15,'StateTables 2026'!$A$6:$AB$56,8,FALSE),VLOOKUP($AN15,'StateTables 2026'!$A$6:$AB$56,7,FALSE))))</f>
      </c>
      <c r="AK15" s="7">
        <f>IF($B15="","",IFERROR(LOOKUP(2,1/((Events!$C$6:$C$17="Salary change")*(Events!$B$6:$B$17&lt;=$B15)*(Events!$B$6:$B$17&lt;&gt;"")),Events!$D$6:$D$17),IF(Inputs!$C$4="Annual salary",Inputs!$C$5,Inputs!$C$6)))</f>
      </c>
      <c r="AL15">
        <f>IF($B15="","",IFERROR(LOOKUP(2,1/((Events!$C$6:$C$17="401(k) change")*(Events!$B$6:$B$17&lt;=$B15)*(Events!$B$6:$B$17&lt;&gt;"")),Events!$D$6:$D$17),Inputs!$C$30))</f>
      </c>
      <c r="AM15" s="7">
        <f>IF($B15="","",IFERROR(LOOKUP(2,1/((Events!$C$6:$C$17="401(k) change")*(Events!$B$6:$B$17&lt;=$B15)*(Events!$B$6:$B$17&lt;&gt;"")),Events!$E$6:$E$17),Inputs!$D$30))</f>
      </c>
      <c r="AN15">
        <f>IF($B15="","",IFERROR(LOOKUP(2,1/((Events!$C$6:$C$17="State move")*(Events!$B$6:$B$17&lt;=$B15)*(Events!$B$6:$B$17&lt;&gt;"")),Events!$D$6:$D$17),Inputs!$C$21))</f>
      </c>
      <c r="AO15" s="7">
        <f>IF($B15="","",IFERROR(LOOKUP(2,1/((Events!$C$6:$C$17="W-4 change")*(Events!$B$6:$B$17&lt;=$B15)*(Events!$B$6:$B$17&lt;&gt;"")),Events!$D$6:$D$17),Inputs!$C$14))</f>
      </c>
      <c r="AP15" s="7">
        <f>IF($B15="","",IFERROR(LOOKUP(2,1/((Events!$C$6:$C$17="W-4 change")*(Events!$B$6:$B$17&lt;=$B15)*(Events!$B$6:$B$17&lt;&gt;"")),Events!$E$6:$E$17),Inputs!$C$15))</f>
      </c>
      <c r="AQ15" s="7">
        <f>IF($B15="","",IFERROR(LOOKUP(2,1/((Events!$C$6:$C$17="W-4 change")*(Events!$B$6:$B$17&lt;=$B15)*(Events!$B$6:$B$17&lt;&gt;"")),Events!$F$6:$F$17),Inputs!$C$16))</f>
      </c>
      <c r="AR15" s="7">
        <f>IF($B15="","",IFERROR(LOOKUP(2,1/((Events!$C$6:$C$17="W-4 change")*(Events!$B$6:$B$17&lt;=$B15)*(Events!$B$6:$B$17&lt;&gt;"")),Events!$G$6:$G$17),Inputs!$C$17))</f>
      </c>
      <c r="AS15" s="6">
        <f>IF($B15="","",IFERROR(LOOKUP(2,1/(((Events!$C$6:$C$17="State move")+(Events!$C$6:$C$17="State cert change"))*(Events!$B$6:$B$17&lt;=$B15)*(Events!$B$6:$B$17&lt;&gt;"")),Events!$F$6:$F$17),Inputs!$C$23))</f>
      </c>
      <c r="AT15" s="6">
        <f>IF($B15="","",IFERROR(LOOKUP(2,1/(((Events!$C$6:$C$17="State move")+(Events!$C$6:$C$17="State cert change"))*(Events!$B$6:$B$17&lt;=$B15)*(Events!$B$6:$B$17&lt;&gt;"")),Events!$G$6:$G$17),Inputs!$C$24))</f>
      </c>
      <c r="AU15">
        <f>IF($B15="","",IFERROR(LOOKUP(2,1/((Events!$C$6:$C$17="State move")*(Events!$B$6:$B$17&lt;=$B15)*(Events!$B$6:$B$17&lt;&gt;"")),Events!$E$6:$E$17),Inputs!$C$22))</f>
      </c>
      <c r="AV15" s="6">
        <f>IF($B15="","",1+COUNTIFS(Events!$C$6:$C$17,"Employer change",Events!$B$6:$B$17,"&lt;="&amp;$B15,Events!$B$6:$B$17,"&lt;&gt;"))</f>
      </c>
      <c r="AW15" s="7">
        <f>IF($B15="","",IF($AV15=1,Inputs!$C$49,IF(IFERROR(MATCH(IFERROR(LOOKUP(2,1/((Events!$C$6:$C$17="Employer change")*(Events!$B$6:$B$17&lt;=$B15)*(Events!$B$6:$B$17&lt;&gt;"")),Events!$B$6:$B$17),""),$B$6:$B$68,1),1)&lt;=1,Inputs!$C$49,INDEX($AB$6:$AB$68,MATCH(IFERROR(LOOKUP(2,1/((Events!$C$6:$C$17="Employer change")*(Events!$B$6:$B$17&lt;=$B15)*(Events!$B$6:$B$17&lt;&gt;"")),Events!$B$6:$B$17),""),$B$6:$B$68,1)-1))))</f>
      </c>
      <c r="AX15" s="7">
        <f>IF($B15="","",IF($AV15=1,Inputs!$C$49,IFERROR(LOOKUP(2,1/((Events!$C$6:$C$17="Employer change")*(Events!$B$6:$B$17&lt;=$B15)*(Events!$B$6:$B$17&lt;&gt;"")),Events!$D$6:$D$17),0)))</f>
      </c>
      <c r="AY15" s="7">
        <f>IF($B15="","",($O15-$D15)*Inputs!$C$8)</f>
      </c>
      <c r="AZ15" s="7">
        <f>IF($B15="","",IF($AN15="AL",MAX(0,$AY15-IF($AU15="Married",IF($AY15&lt;=25999,8500,MAX(5000,8500-175*CEILING(($AY15-25999)/500,1))),IF($AU15="Head of household",IF($AY15&lt;=25999,5200,MAX(2500,5200-135*CEILING(($AY15-25999)/500,1))),IF($AY15&lt;=25999,3000,MAX(2500,3000-25*CEILING(($AY15-25999)/500,1)))))-($P15-'Methodology &amp; Sources'!$C$260*$D15)*Inputs!$C$8-IF(OR($AU15="Married",$AU15="Head of household"),3000,1500)-$AT15*IF($AY15&lt;=50000,1000,IF($AY15&lt;=100000,500,300))),IF($AN15="AR",IF(MAX(0,$AY15-2470)&lt;97701,INT(MAX(0,$AY15-2470)/100)*100+50,MAX(0,$AY15-2470)),IF($AN15="DE",MAX(0,$AI15-3250),IF($AN15="HI",MAX(0,$AI15-1144*$AS15-4350),IF($AN15="KS",MAX(0,$AI15-(9160*IF($AU15="Married",2,1)+2320*$AT15+IF($AU15="Head of household",2320,0))),IF($AN15="MD",MAX(0,$AI15-3400-3200*$AS15),IF($AN15="MN",MAX(0,$AY15-5300*$AS15),IF($AN15="MO",MAX(0,$AI15-IF($AU15="Head of household",24150,IF($AU15="Married",IF(Inputs!$C$83,16100,32200),16100))),IF($AN15="MT",$AY15,IF($AN15="ND",($C15+$L15)*Inputs!$C$8,IF($AN15="NE",MAX(0,$AY15-2440*$AS15),IF($AN15="NJ",MAX(0,$AY15-1000*$AS15),IF($AN15="NY",MAX(0,$AY15-(IF($AU15="Married",7950,7400)+1000*$AS15)),IF($AN15="OH",MAX(0,$AY15-650*$AS15),IF($AN15="OK",MAX(0,$AY15-1000*$AS15),IF($AN15="RI",MAX(0,$AI15-1000*$AS15),IF($AN15="SC",MAX(0,$AI15-5000*$AS15-IF($AS15=0,0,MIN(0.1*$AI15,7500))),IF($AN15="VA",MAX(0,$AI15-IF($AU15="Married",17500,8750)-930*$AS15-800*$AT15),IF($AN15="VT",MAX(0,$AI15-5400*$AS15),IF($AN15="WI",MAX(0,$AI15-MAX(0,IF($AU15="Married",9461-0.2*MAX(0,$AI15-25727),6702-0.12*MAX(0,$AI15-17780)))-400*$AS15),IF($AN15="WV",MAX(0,$AI15-2000*$AS15),$AI15))))))))))))))))))))))</f>
      </c>
      <c r="BA15" s="7">
        <f>IF($B15="","",IF($BW15&lt;&gt;"",$BW15,IF($BX15&lt;&gt;"",$BX15,IF($BY15&lt;&gt;"",$BY15,0))))</f>
      </c>
      <c r="BB15" s="7">
        <f>IF($B15="","",IF($AN15="AR",-29*$AS15,IF($AN15="DE",-110*$AS15,IF($AN15="MD",$AZ15*Inputs!$C$74,IF($AN15="AZ",Inputs!$C$82*($M15-$D15)*Inputs!$C$8,IF($AN15="CO",0.044*MAX(0,$AY15-IF($AU15="Married",10000,5000)),IF($AN15="IA",MAX(0,0.038*MAX(0,$AY15-IF($AU15="Head of household",19500,IF($AU15="Married",26000,13000)))-40*$AS15),IF($AN15="ID",0.053*MAX(0,$AY15-IF($AU15="Married",32000,16094)),IF($AN15="IL",0.0495*MAX(0,$AY15-(2925*$AS15+1000*$AT15)),IF($AN15="IN",(0.0295+Inputs!$C$76)*MAX(0,$AY15-(1000*$AS15+1500*$AT15+3000*Inputs!$C$86)),IF($AN15="KY",0.035*MAX(0,$AI15-3360),IF($AN15="LA",IF(Inputs!$C$84="0",0.0309*$AI15,0.0309*MAX(0,$AI15-IF(Inputs!$C$84="2",25750,12875))),IF($AN15="MA",0.05*MIN(MAX(0,$AY15-MIN(($BD14+$Q15+$R15+$S15),2000)-IF($AS15=0,0,IF($AS15=1,4400,1000*$AS15+3400))),1107750)+0.09*MAX(0,MAX(0,$AY15-MIN(($BD14+$Q15+$R15+$S15),2000)-IF($AS15=0,0,IF($AS15=1,4400,1000*$AS15+3400)))-1107750)-IF($AU15="Head of household",120,0)-110*Inputs!$C$75,IF($AN15="MI",0.0425*MAX(0,$AY15-5900*$AS15),IF($AN15="MS",0.04*MAX(0,$AI15-IF($AU15="Head of household",3400,IF($AU15="Married",4600,2300))-Inputs!$C$85-10000),IF($AN15="OR",IF(OR($AU15="Married",AND($AU15="Single",$AS15&gt;=3)),SUMPRODUCT((MAX(0,$AY15-MIN(($P15-'Methodology &amp; Sources'!$C$260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Sources'!$B$461:$J$464,0,4))*(MAX(0,$AY15-MIN(($P15-'Methodology &amp; Sources'!$C$260*$D15)*Inputs!$C$8,IF(OR($AU15="Married",AND($AU15="Single",$AS15&gt;=3)),IF($AY15&lt;250000,8750,IF($AY15&lt;260000,7000,IF($AY15&lt;270000,5250,IF($AY15&lt;280000,3500,IF($AY15&lt;290000,1750,0))))),IF($AY15&lt;125000,8750,IF($AY15&lt;130000,7000,IF($AY15&lt;135000,5250,IF($AY15&lt;140000,3500,IF($AY15&lt;145000,1750,0)))))))-IF(OR($AU15="Married",AND($AU15="Single",$AS15&gt;=3)),5820,2910))-INDEX('Methodology &amp; Sources'!$B$461:$J$464,0,4))*INDEX('Methodology &amp; Sources'!$B$461:$J$464,0,4+2)),SUMPRODUCT((MAX(0,$AY15-MIN(($P15-'Methodology &amp; Sources'!$C$260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Sources'!$B$461:$J$464,0,1))*(MAX(0,$AY15-MIN(($P15-'Methodology &amp; Sources'!$C$260*$D15)*Inputs!$C$8,IF(OR($AU15="Married",AND($AU15="Single",$AS15&gt;=3)),IF($AY15&lt;250000,8750,IF($AY15&lt;260000,7000,IF($AY15&lt;270000,5250,IF($AY15&lt;280000,3500,IF($AY15&lt;290000,1750,0))))),IF($AY15&lt;125000,8750,IF($AY15&lt;130000,7000,IF($AY15&lt;135000,5250,IF($AY15&lt;140000,3500,IF($AY15&lt;145000,1750,0)))))))-IF(OR($AU15="Married",AND($AU15="Single",$AS15&gt;=3)),5820,2910))-INDEX('Methodology &amp; Sources'!$B$461:$J$464,0,1))*INDEX('Methodology &amp; Sources'!$B$461:$J$464,0,1+2)))+263-263*IF(IF($AU15="Married",$AY15&gt;200000,$AY15&gt;100000),0,$AS15),IF($AN15="PA",0.0307*(($O15+$E15+$G15)*Inputs!$C$8),IF($AN15="NY",IF($AU15="Married",IF($AZ15&gt;=2155350,0,IF($AZ15&gt;=1077550,0.48,IF($AZ15&gt;=373200,1.21,IF($AZ15&gt;=323200,0.21,IF($AZ15&gt;=211550,-0.19,IF($AZ15&gt;=157650,-2.8,IF($AZ15&gt;=107650,-0.8,IF($AZ15&gt;=96800,0.05,IF($AZ15&gt;=80650,-0.1,IF($AZ15&gt;=13900,0.4,IF($AZ15&gt;=11700,-0.3,IF($AZ15&gt;=8500,0.5,0)))))))))))),IF($AZ15&gt;=1077550,0,IF($AZ15&gt;=265400,4.29,IF($AZ15&gt;=215400,2.29,IF($AZ15&gt;=157650,2.29,IF($AZ15&gt;=107650,0.29,IF($AZ15&gt;=96800,0.05,IF($AZ15&gt;=80650,-0.1,IF($AZ15&gt;=13900,0.4,IF($AZ15&gt;=11700,-0.3,IF($AZ15&gt;=8500,0.5,0))))))))))),0))))))))))))))))))</f>
      </c>
      <c r="BC15" s="7">
        <f>IF($B15="","",IF($AN15="AL",0.05*$D15,IF($AN15="AR",0.039*$D15,IF($AN15="ID",0.053*$D15,IF($AN15="IN",(0.0295+Inputs!$C$76)*$D15,IF($AN15="KS",0.05*$D15,IF($AN15="MA",0.09*MIN($D15,MAX(0,MAX(0,$AY15-MIN(($BD14+$Q15+$R15+$S15),2000)-IF($AS15=0,0,IF($AS15=1,4400,1000*$AS15+3400)))+$D15-1107750))+0.05*($D15-MIN($D15,MAX(0,MAX(0,$AY15-MIN(($BD14+$Q15+$R15+$S15),2000)-IF($AS15=0,0,IF($AS15=1,4400,1000*$AS15+3400)))+$D15-1107750))),IF($AN15="MD",(0.065+Inputs!$C$74)*$D15,IF($AN15="MI",0.0425*$D15,IF($AN15="MN",0.0625*$D15,IF($AN15="MO",0.047*$D15,IF($AN15="MT",0.05*$D15,IF($AN15="ND",0.015*$D15,IF($AN15="NE",0.035*$D15,IF($AN15="NJ",IF(Inputs!$C$77="B",SUMPRODUCT(($D15*Inputs!$C$8&gt;INDEX('Methodology &amp; Sources'!$B$405:$J$412,0,4))*($D15*Inputs!$C$8-INDEX('Methodology &amp; Sources'!$B$405:$J$412,0,4))*INDEX('Methodology &amp; Sources'!$B$405:$J$412,0,4+2)),IF(Inputs!$C$77="C",SUMPRODUCT(($D15*Inputs!$C$8&gt;INDEX('Methodology &amp; Sources'!$B$405:$J$412,0,7))*($D15*Inputs!$C$8-INDEX('Methodology &amp; Sources'!$B$405:$J$412,0,7))*INDEX('Methodology &amp; Sources'!$B$405:$J$412,0,7+2)),IF(Inputs!$C$77="D",SUMPRODUCT(($D15*Inputs!$C$8&gt;INDEX('Methodology &amp; Sources'!$B$417:$J$429,0,1))*($D15*Inputs!$C$8-INDEX('Methodology &amp; Sources'!$B$417:$J$429,0,1))*INDEX('Methodology &amp; Sources'!$B$417:$J$429,0,1+2)),IF(Inputs!$C$77="E",SUMPRODUCT(($D15*Inputs!$C$8&gt;INDEX('Methodology &amp; Sources'!$B$417:$J$429,0,4))*($D15*Inputs!$C$8-INDEX('Methodology &amp; Sources'!$B$417:$J$429,0,4))*INDEX('Methodology &amp; Sources'!$B$417:$J$429,0,4+2)),SUMPRODUCT(($D15*Inputs!$C$8&gt;INDEX('Methodology &amp; Sources'!$B$405:$J$412,0,1))*($D15*Inputs!$C$8-INDEX('Methodology &amp; Sources'!$B$405:$J$412,0,1))*INDEX('Methodology &amp; Sources'!$B$405:$J$412,0,1+2))))))/Inputs!$C$8,IF($AN15="NY",0.117*$D15,IF($AN15="OH",0.0275*$D15,IF($AN15="OK",0.045*$D15,IF($AN15="OR",0.08*$D15,IF($AN15="WI",IF($AY15&lt;12760,0.0354,IF($AY15&lt;25520,0.0465,IF($AY15&lt;280950,0.053,0.0765)))*$D15,0))))))))))))))))))))</f>
      </c>
      <c r="BD15" s="7">
        <f>IF($B15="","",$BD14+$Q15+$R15+$S15)</f>
      </c>
      <c r="BE15" s="6">
        <f>IF($B15="",$BE14,$BE14+$BF15)</f>
      </c>
      <c r="BF15" s="6">
        <f>IF($B15="","",IF(AND(IF(YEAR(IF(Inputs!$C$7="Weekly",Inputs!$C$9+7*(($BE14+1)-1),IF(Inputs!$C$7="Biweekly",Inputs!$C$9+14*(($BE14+1)-1),IF(Inputs!$C$7="Semimonthly",DATE(YEAR(Inputs!$C$9),MONTH(Inputs!$C$9)+INT((($BE14+1)-1)/2),MIN(DAY(Inputs!$C$9),DAY(EOMONTH(DATE(YEAR(Inputs!$C$9),MONTH(Inputs!$C$9)+INT((($BE14+1)-1)/2),1),0))))+IF(MOD(($BE14+1)-1,2)=1,15,0),EDATE(Inputs!$C$9,($BE14+1)-1)))))&lt;&gt;2026,"",IF(Inputs!$C$7="Weekly",Inputs!$C$9+7*(($BE14+1)-1),IF(Inputs!$C$7="Biweekly",Inputs!$C$9+14*(($BE14+1)-1),IF(Inputs!$C$7="Semimonthly",DATE(YEAR(Inputs!$C$9),MONTH(Inputs!$C$9)+INT((($BE14+1)-1)/2),MIN(DAY(Inputs!$C$9),DAY(EOMONTH(DATE(YEAR(Inputs!$C$9),MONTH(Inputs!$C$9)+INT((($BE14+1)-1)/2),1),0))))+IF(MOD(($BE14+1)-1,2)=1,15,0),EDATE(Inputs!$C$9,($BE14+1)-1)))))&lt;&gt;"",$B15=IF(YEAR(IF(Inputs!$C$7="Weekly",Inputs!$C$9+7*(($BE14+1)-1),IF(Inputs!$C$7="Biweekly",Inputs!$C$9+14*(($BE14+1)-1),IF(Inputs!$C$7="Semimonthly",DATE(YEAR(Inputs!$C$9),MONTH(Inputs!$C$9)+INT((($BE14+1)-1)/2),MIN(DAY(Inputs!$C$9),DAY(EOMONTH(DATE(YEAR(Inputs!$C$9),MONTH(Inputs!$C$9)+INT((($BE14+1)-1)/2),1),0))))+IF(MOD(($BE14+1)-1,2)=1,15,0),EDATE(Inputs!$C$9,($BE14+1)-1)))))&lt;&gt;2026,"",IF(Inputs!$C$7="Weekly",Inputs!$C$9+7*(($BE14+1)-1),IF(Inputs!$C$7="Biweekly",Inputs!$C$9+14*(($BE14+1)-1),IF(Inputs!$C$7="Semimonthly",DATE(YEAR(Inputs!$C$9),MONTH(Inputs!$C$9)+INT((($BE14+1)-1)/2),MIN(DAY(Inputs!$C$9),DAY(EOMONTH(DATE(YEAR(Inputs!$C$9),MONTH(Inputs!$C$9)+INT((($BE14+1)-1)/2),1),0))))+IF(MOD(($BE14+1)-1,2)=1,15,0),EDATE(Inputs!$C$9,($BE14+1)-1)))))),1,0))</f>
      </c>
      <c r="BG15" s="7">
        <f>IF($B15="","",$BG14+$H15)</f>
      </c>
      <c r="BH15" s="7">
        <f>IF($B15="","",$BH14+$I15)</f>
      </c>
      <c r="BI15" s="7">
        <f>IF($B15="","",$BI14+$G15)</f>
      </c>
      <c r="BJ15" s="7">
        <f>IF($B15="","",IFERROR(LOOKUP(2,1/((((Events!$C$6:$C$17="Deduction start"))*(Events!$D$6:$D$17="Health FSA"))*(Events!$B$6:$B$17&lt;=$B15)*(Events!$B$6:$B$17&lt;&gt;"")),Events!$E$6:$E$17),Inputs!$D$38))</f>
      </c>
      <c r="BK15" s="7">
        <f>IF($B15="","",IFERROR(LOOKUP(2,1/((((Events!$C$6:$C$17="Deduction start"))*(Events!$D$6:$D$17="Dependent-care FSA"))*(Events!$B$6:$B$17&lt;=$B15)*(Events!$B$6:$B$17&lt;&gt;"")),Events!$E$6:$E$17),Inputs!$D$39))</f>
      </c>
      <c r="BL15" s="7">
        <f>IF($B15="","",IFERROR(LOOKUP(2,1/((((Events!$C$6:$C$17="Deduction start")+(Events!$C$6:$C$17="Deduction stop"))*(Events!$D$6:$D$17="HSA"))*(Events!$B$6:$B$17&lt;=$B15)*(Events!$B$6:$B$17&lt;&gt;"")),Events!$I$6:$I$17),Inputs!$D$35))</f>
      </c>
      <c r="BM15" s="7">
        <f>IF($B15="","",IFERROR(LOOKUP(2,1/((((Events!$C$6:$C$17="Deduction start")+(Events!$C$6:$C$17="Deduction stop"))*(Events!$D$6:$D$17="Premiums"))*(Events!$B$6:$B$17&lt;=$B15)*(Events!$B$6:$B$17&lt;&gt;"")),Events!$I$6:$I$17),Inputs!$D$40+Inputs!$D$41+Inputs!$D$42))</f>
      </c>
      <c r="BN15" s="7">
        <f>IF($B15="","",IFERROR(LOOKUP(2,1/((((Events!$C$6:$C$17="Deduction start")+(Events!$C$6:$C$17="Deduction stop"))*(Events!$D$6:$D$17="Commuter"))*(Events!$B$6:$B$17&lt;=$B15)*(Events!$B$6:$B$17&lt;&gt;"")),Events!$I$6:$I$17),Inputs!$D$43))</f>
      </c>
      <c r="BO15" s="7">
        <f>IF($B15="","",IFERROR(LOOKUP(2,1/((((Events!$C$6:$C$17="Deduction start")+(Events!$C$6:$C$17="Deduction stop"))*(Events!$D$6:$D$17="Other pre-tax"))*(Events!$B$6:$B$17&lt;=$B15)*(Events!$B$6:$B$17&lt;&gt;"")),Events!$I$6:$I$17),Inputs!$D$44))</f>
      </c>
      <c r="BP15" s="7">
        <f>IF($B15="","",IFERROR(LOOKUP(2,1/((((Events!$C$6:$C$17="Deduction start")+(Events!$C$6:$C$17="Deduction stop"))*(Events!$D$6:$D$17="Other post-tax"))*(Events!$B$6:$B$17&lt;=$B15)*(Events!$B$6:$B$17&lt;&gt;"")),Events!$I$6:$I$17),Inputs!$D$45))</f>
      </c>
      <c r="BQ15" s="6">
        <f>IF($B15="","",IFERROR(LOOKUP(2,1/((((Events!$C$6:$C$17="Deduction start")+(Events!$C$6:$C$17="Deduction stop"))*(Events!$D$6:$D$17="Health FSA"))*(Events!$B$6:$B$17&lt;=$B15)*(Events!$B$6:$B$17&lt;&gt;"")),Events!$J$6:$J$17),0))</f>
      </c>
      <c r="BR15" s="6">
        <f>IF($B15="","",IFERROR(LOOKUP(2,1/((((Events!$C$6:$C$17="Deduction start")+(Events!$C$6:$C$17="Deduction stop"))*(Events!$D$6:$D$17="Dependent-care FSA"))*(Events!$B$6:$B$17&lt;=$B15)*(Events!$B$6:$B$17&lt;&gt;"")),Events!$J$6:$J$17),0))</f>
      </c>
      <c r="BS15" s="6">
        <f>IF($B15="","",IF(SUMPRODUCT((Events!$C$6:$C$17="Deduction start")*(Events!$B$6:$B$17&lt;=$B15)*(Events!$B$6:$B$17&lt;&gt;"")*(Events!$D$6:$D$17="Health FSA"))&gt;0,1,0))</f>
      </c>
      <c r="BT15" s="6">
        <f>IF($B15="","",IF(SUMPRODUCT((Events!$C$6:$C$17="Deduction start")*(Events!$B$6:$B$17&lt;=$B15)*(Events!$B$6:$B$17&lt;&gt;"")*(Events!$D$6:$D$17="Dependent-care FSA"))&gt;0,1,0))</f>
      </c>
      <c r="BU15" s="24">
        <f>IF($B15="","",IF(Inputs!$C$13,SUMPRODUCT(($AH15&gt;=INDEX('Methodology &amp; Sources'!$B$279:$J$286,0,IF(Inputs!$C$12="MFJ",1,IF(Inputs!$C$12="HoH",7,4))))*INDEX('Methodology &amp; Sources'!$B$279:$J$286,0,IF(Inputs!$C$12="MFJ",1,IF(Inputs!$C$12="HoH",7,4))+2)),SUMPRODUCT(($AH15&gt;=INDEX('Methodology &amp; Sources'!$B$269:$J$276,0,IF(Inputs!$C$12="MFJ",1,IF(Inputs!$C$12="HoH",7,4))))*INDEX('Methodology &amp; Sources'!$B$269:$J$276,0,IF(Inputs!$C$12="MFJ",1,IF(Inputs!$C$12="HoH",7,4))+2))))</f>
      </c>
      <c r="BV15" s="24">
        <f>IF($B15="","",IF($BZ15&lt;&gt;"",$BZ15,IF($CA15&lt;&gt;"",$CA15,IF($CB15&lt;&gt;"",$CB15,IF($CC15&lt;&gt;"",$CC15,0)))))</f>
      </c>
      <c r="BW15" s="7">
        <f>IF($B15="","",IF($AN15="MD",IF(OR($AU15="Married",$AU15="Head of household"),SUMPRODUCT(($AZ15&gt;INDEX('Methodology &amp; Sources'!$B$364:$J$370,0,1))*($AZ15-INDEX('Methodology &amp; Sources'!$B$364:$J$370,0,1))*INDEX('Methodology &amp; Sources'!$B$364:$J$370,0,1+2)),SUMPRODUCT(($AZ15&gt;INDEX('Methodology &amp; Sources'!$B$353:$J$359,0,7))*($AZ15-INDEX('Methodology &amp; Sources'!$B$353:$J$359,0,7))*INDEX('Methodology &amp; Sources'!$B$353:$J$359,0,7+2))),IF($AN15="MO",SUMPRODUCT(($AZ15&gt;INDEX('Methodology &amp; Sources'!$B$375:$J$382,0,1))*($AZ15-INDEX('Methodology &amp; Sources'!$B$375:$J$382,0,1))*INDEX('Methodology &amp; Sources'!$B$375:$J$382,0,1+2)),IF($AN15="MT",IF($AU15="Head of household",SUMPRODUCT(($AZ15&gt;INDEX('Methodology &amp; Sources'!$B$387:$J$389,0,1))*($AZ15-INDEX('Methodology &amp; Sources'!$B$387:$J$389,0,1))*INDEX('Methodology &amp; Sources'!$B$387:$J$389,0,1+2)),IF($AU15="Married",SUMPRODUCT(($AZ15&gt;INDEX('Methodology &amp; Sources'!$B$375:$J$382,0,7))*($AZ15-INDEX('Methodology &amp; Sources'!$B$375:$J$382,0,7))*INDEX('Methodology &amp; Sources'!$B$375:$J$382,0,7+2)),SUMPRODUCT(($AZ15&gt;INDEX('Methodology &amp; Sources'!$B$375:$J$382,0,4))*($AZ15-INDEX('Methodology &amp; Sources'!$B$375:$J$382,0,4))*INDEX('Methodology &amp; Sources'!$B$375:$J$382,0,4+2)))),IF($AN15="ND",IF($AU15="Head of household",SUMPRODUCT(($AZ15&gt;INDEX('Methodology &amp; Sources'!$B$394:$J$400,0,1))*($AZ15-INDEX('Methodology &amp; Sources'!$B$394:$J$400,0,1))*INDEX('Methodology &amp; Sources'!$B$394:$J$400,0,1+2)),IF($AU15="Married",SUMPRODUCT(($AZ15&gt;INDEX('Methodology &amp; Sources'!$B$387:$J$389,0,7))*($AZ15-INDEX('Methodology &amp; Sources'!$B$387:$J$389,0,7))*INDEX('Methodology &amp; Sources'!$B$387:$J$389,0,7+2)),SUMPRODUCT(($AZ15&gt;INDEX('Methodology &amp; Sources'!$B$387:$J$389,0,4))*($AZ15-INDEX('Methodology &amp; Sources'!$B$387:$J$389,0,4))*INDEX('Methodology &amp; Sources'!$B$387:$J$389,0,4+2)))),IF($AN15="NJ",IF(Inputs!$C$77="B",SUMPRODUCT(($AZ15&gt;INDEX('Methodology &amp; Sources'!$B$405:$J$412,0,4))*($AZ15-INDEX('Methodology &amp; Sources'!$B$405:$J$412,0,4))*INDEX('Methodology &amp; Sources'!$B$405:$J$412,0,4+2)),IF(Inputs!$C$77="C",SUMPRODUCT(($AZ15&gt;INDEX('Methodology &amp; Sources'!$B$405:$J$412,0,7))*($AZ15-INDEX('Methodology &amp; Sources'!$B$405:$J$412,0,7))*INDEX('Methodology &amp; Sources'!$B$405:$J$412,0,7+2)),IF(Inputs!$C$77="D",SUMPRODUCT(($AZ15&gt;INDEX('Methodology &amp; Sources'!$B$417:$J$429,0,1))*($AZ15-INDEX('Methodology &amp; Sources'!$B$417:$J$429,0,1))*INDEX('Methodology &amp; Sources'!$B$417:$J$429,0,1+2)),IF(Inputs!$C$77="E",SUMPRODUCT(($AZ15&gt;INDEX('Methodology &amp; Sources'!$B$417:$J$429,0,4))*($AZ15-INDEX('Methodology &amp; Sources'!$B$417:$J$429,0,4))*INDEX('Methodology &amp; Sources'!$B$417:$J$429,0,4+2)),SUMPRODUCT(($AZ15&gt;INDEX('Methodology &amp; Sources'!$B$405:$J$412,0,1))*($AZ15-INDEX('Methodology &amp; Sources'!$B$405:$J$412,0,1))*INDEX('Methodology &amp; Sources'!$B$405:$J$412,0,1+2)))))),IF($AN15="NY",IF($AU15="Married",IF($AZ15&gt;=2155350,$AZ15*IF($AZ15&gt;25000000,0.117,IF($AZ15&gt;5000000,0.111,0.1045)),SUMPRODUCT(($AZ15&gt;INDEX('Methodology &amp; Sources'!$B$434:$J$448,0,1))*($AZ15-INDEX('Methodology &amp; Sources'!$B$434:$J$448,0,1))*INDEX('Methodology &amp; Sources'!$B$434:$J$448,0,1+2))),IF($AZ15&gt;=1077550,$AZ15*IF($AZ15&gt;25000000,0.117,IF($AZ15&gt;5000000,0.111,0.1045)),SUMPRODUCT(($AZ15&gt;INDEX('Methodology &amp; Sources'!$B$417:$J$429,0,7))*($AZ15-INDEX('Methodology &amp; Sources'!$B$417:$J$429,0,7))*INDEX('Methodology &amp; Sources'!$B$417:$J$429,0,7+2)))),"")))))))</f>
      </c>
      <c r="BX15" s="7">
        <f>IF($B15="","",IF($AN15="AL",IF(OR($AU15="Married",$AU15="Head of household"),SUMPRODUCT(($AZ15&gt;INDEX('Methodology &amp; Sources'!$B$332:$J$336,0,4))*($AZ15-INDEX('Methodology &amp; Sources'!$B$332:$J$336,0,4))*INDEX('Methodology &amp; Sources'!$B$332:$J$336,0,4+2)),SUMPRODUCT(($AZ15&gt;INDEX('Methodology &amp; Sources'!$B$332:$J$336,0,1))*($AZ15-INDEX('Methodology &amp; Sources'!$B$332:$J$336,0,1))*INDEX('Methodology &amp; Sources'!$B$332:$J$336,0,1+2))),IF($AN15="KS",IF($AU15="Married",SUMPRODUCT(($AZ15&gt;INDEX('Methodology &amp; Sources'!$B$353:$J$359,0,4))*($AZ15-INDEX('Methodology &amp; Sources'!$B$353:$J$359,0,4))*INDEX('Methodology &amp; Sources'!$B$353:$J$359,0,4+2)),SUMPRODUCT(($AZ15&gt;INDEX('Methodology &amp; Sources'!$B$353:$J$359,0,1))*($AZ15-INDEX('Methodology &amp; Sources'!$B$353:$J$359,0,1))*INDEX('Methodology &amp; Sources'!$B$353:$J$359,0,1+2))),IF($AN15="MN",IF($AU15="Married",SUMPRODUCT(($AZ15&gt;INDEX('Methodology &amp; Sources'!$B$364:$J$370,0,7))*($AZ15-INDEX('Methodology &amp; Sources'!$B$364:$J$370,0,7))*INDEX('Methodology &amp; Sources'!$B$364:$J$370,0,7+2)),SUMPRODUCT(($AZ15&gt;INDEX('Methodology &amp; Sources'!$B$364:$J$370,0,4))*($AZ15-INDEX('Methodology &amp; Sources'!$B$364:$J$370,0,4))*INDEX('Methodology &amp; Sources'!$B$364:$J$370,0,4+2))),IF($AN15="NE",MAX(IF($AU15="Married",SUMPRODUCT(($AZ15&gt;INDEX('Methodology &amp; Sources'!$B$394:$J$400,0,7))*($AZ15-INDEX('Methodology &amp; Sources'!$B$394:$J$400,0,7))*INDEX('Methodology &amp; Sources'!$B$394:$J$400,0,7+2)),SUMPRODUCT(($AZ15&gt;INDEX('Methodology &amp; Sources'!$B$394:$J$400,0,4))*($AZ15-INDEX('Methodology &amp; Sources'!$B$394:$J$400,0,4))*INDEX('Methodology &amp; Sources'!$B$394:$J$400,0,4+2))),0.015*$AZ15),IF($AN15="OH",IF($B15&gt;=DATE(2026,8,1),SUMPRODUCT(($AZ15&gt;INDEX('Methodology &amp; Sources'!$B$453:$J$456,0,1))*($AZ15-INDEX('Methodology &amp; Sources'!$B$453:$J$456,0,1))*INDEX('Methodology &amp; Sources'!$B$453:$J$456,0,1+2)),SUMPRODUCT(($AZ15&gt;INDEX('Methodology &amp; Sources'!$B$434:$J$448,0,7))*($AZ15-INDEX('Methodology &amp; Sources'!$B$434:$J$448,0,7))*INDEX('Methodology &amp; Sources'!$B$434:$J$448,0,7+2))),IF($AN15="OK",IF($AU15="Married",SUMPRODUCT(($AZ15&gt;INDEX('Methodology &amp; Sources'!$B$453:$J$456,0,7))*($AZ15-INDEX('Methodology &amp; Sources'!$B$453:$J$456,0,7))*INDEX('Methodology &amp; Sources'!$B$453:$J$456,0,7+2)),SUMPRODUCT(($AZ15&gt;INDEX('Methodology &amp; Sources'!$B$453:$J$456,0,4))*($AZ15-INDEX('Methodology &amp; Sources'!$B$453:$J$456,0,4))*INDEX('Methodology &amp; Sources'!$B$453:$J$456,0,4+2))),IF($AN15="RI",SUMPRODUCT(($AZ15&gt;INDEX('Methodology &amp; Sources'!$B$461:$J$464,0,7))*($AZ15-INDEX('Methodology &amp; Sources'!$B$461:$J$464,0,7))*INDEX('Methodology &amp; Sources'!$B$461:$J$464,0,7+2)),IF($AN15="VT",IF($AU15="Married",SUMPRODUCT(($AZ15&gt;INDEX('Methodology &amp; Sources'!$B$478:$J$482,0,1))*($AZ15-INDEX('Methodology &amp; Sources'!$B$478:$J$482,0,1))*INDEX('Methodology &amp; Sources'!$B$478:$J$482,0,1+2)),SUMPRODUCT(($AZ15&gt;INDEX('Methodology &amp; Sources'!$B$469:$J$473,0,7))*($AZ15-INDEX('Methodology &amp; Sources'!$B$469:$J$473,0,7))*INDEX('Methodology &amp; Sources'!$B$469:$J$473,0,7+2))),IF($AN15="WV",IF($AU15="Married",SUMPRODUCT(($AZ15&gt;INDEX('Methodology &amp; Sources'!$B$487:$J$491,0,7))*($AZ15-INDEX('Methodology &amp; Sources'!$B$487:$J$491,0,7))*INDEX('Methodology &amp; Sources'!$B$487:$J$491,0,7+2)),SUMPRODUCT(($AZ15&gt;INDEX('Methodology &amp; Sources'!$B$478:$J$482,0,7))*($AZ15-INDEX('Methodology &amp; Sources'!$B$478:$J$482,0,7))*INDEX('Methodology &amp; Sources'!$B$478:$J$482,0,7+2))),""))))))))))</f>
      </c>
      <c r="BY15" s="7">
        <f>IF($B15="","",IF($AN15="AR",SUMPRODUCT(($AZ15&gt;INDEX('Methodology &amp; Sources'!$B$332:$J$336,0,7))*($AZ15-INDEX('Methodology &amp; Sources'!$B$332:$J$336,0,7))*INDEX('Methodology &amp; Sources'!$B$332:$J$336,0,7+2)),IF($AN15="DE",SUMPRODUCT(($AZ15&gt;INDEX('Methodology &amp; Sources'!$B$341:$J$348,0,1))*($AZ15-INDEX('Methodology &amp; Sources'!$B$341:$J$348,0,1))*INDEX('Methodology &amp; Sources'!$B$341:$J$348,0,1+2)),IF($AN15="HI",IF($AU15="Married",SUMPRODUCT(($AZ15&gt;INDEX('Methodology &amp; Sources'!$B$341:$J$348,0,7))*($AZ15-INDEX('Methodology &amp; Sources'!$B$341:$J$348,0,7))*INDEX('Methodology &amp; Sources'!$B$341:$J$348,0,7+2)),SUMPRODUCT(($AZ15&gt;INDEX('Methodology &amp; Sources'!$B$341:$J$348,0,4))*($AZ15-INDEX('Methodology &amp; Sources'!$B$341:$J$348,0,4))*INDEX('Methodology &amp; Sources'!$B$341:$J$348,0,4+2))),IF($AN15="SC",SUMPRODUCT(($AZ15&gt;INDEX('Methodology &amp; Sources'!$B$469:$J$473,0,1))*($AZ15-INDEX('Methodology &amp; Sources'!$B$469:$J$473,0,1))*INDEX('Methodology &amp; Sources'!$B$469:$J$473,0,1+2)),IF($AN15="VA",SUMPRODUCT(($AZ15&gt;INDEX('Methodology &amp; Sources'!$B$469:$J$473,0,4))*($AZ15-INDEX('Methodology &amp; Sources'!$B$469:$J$473,0,4))*INDEX('Methodology &amp; Sources'!$B$469:$J$473,0,4+2)),IF($AN15="WI",SUMPRODUCT(($AZ15&gt;INDEX('Methodology &amp; Sources'!$B$478:$J$482,0,4))*($AZ15-INDEX('Methodology &amp; Sources'!$B$478:$J$482,0,4))*INDEX('Methodology &amp; Sources'!$B$478:$J$482,0,4+2)),"")))))))</f>
      </c>
      <c r="BZ15" s="24">
        <f>IF($B15="","",IF($AN15="NJ",IF(Inputs!$C$77="B",SUMPRODUCT(($AZ15&gt;=INDEX('Methodology &amp; Sources'!$B$405:$J$412,0,4))*INDEX('Methodology &amp; Sources'!$B$405:$J$412,0,4+2)),IF(Inputs!$C$77="C",SUMPRODUCT(($AZ15&gt;=INDEX('Methodology &amp; Sources'!$B$405:$J$412,0,7))*INDEX('Methodology &amp; Sources'!$B$405:$J$412,0,7+2)),IF(Inputs!$C$77="D",SUMPRODUCT(($AZ15&gt;=INDEX('Methodology &amp; Sources'!$B$417:$J$429,0,1))*INDEX('Methodology &amp; Sources'!$B$417:$J$429,0,1+2)),IF(Inputs!$C$77="E",SUMPRODUCT(($AZ15&gt;=INDEX('Methodology &amp; Sources'!$B$417:$J$429,0,4))*INDEX('Methodology &amp; Sources'!$B$417:$J$429,0,4+2)),SUMPRODUCT(($AZ15&gt;=INDEX('Methodology &amp; Sources'!$B$405:$J$412,0,1))*INDEX('Methodology &amp; Sources'!$B$405:$J$412,0,1+2)))))),IF($AN15="OR",IF(OR($AU15="Married",AND($AU15="Single",$AS15&gt;=3)),SUMPRODUCT((MAX(0,$AY15-MIN(($P15-'Methodology &amp; Sources'!$C$260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Sources'!$B$461:$J$464,0,4))*INDEX('Methodology &amp; Sources'!$B$461:$J$464,0,4+2)),SUMPRODUCT((MAX(0,$AY15-MIN(($P15-'Methodology &amp; Sources'!$C$260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Sources'!$B$461:$J$464,0,1))*INDEX('Methodology &amp; Sources'!$B$461:$J$464,0,1+2)))*IF(($P15-'Methodology &amp; Sources'!$C$260*$D15)*Inputs!$C$8&gt;=IF(OR($AU15="Married",AND($AU15="Single",$AS15&gt;=3)),IF($AY15&lt;250000,8750,IF($AY15&lt;260000,7000,IF($AY15&lt;270000,5250,IF($AY15&lt;280000,3500,IF($AY15&lt;290000,1750,0))))),IF($AY15&lt;125000,8750,IF($AY15&lt;130000,7000,IF($AY15&lt;135000,5250,IF($AY15&lt;140000,3500,IF($AY15&lt;145000,1750,0)))))),1,1-IF(Inputs!$C$13,SUMPRODUCT(($AH15&gt;=INDEX('Methodology &amp; Sources'!$B$279:$J$286,0,IF(Inputs!$C$12="MFJ",1,IF(Inputs!$C$12="HoH",7,4))))*INDEX('Methodology &amp; Sources'!$B$279:$J$286,0,IF(Inputs!$C$12="MFJ",1,IF(Inputs!$C$12="HoH",7,4))+2)),SUMPRODUCT(($AH15&gt;=INDEX('Methodology &amp; Sources'!$B$269:$J$276,0,IF(Inputs!$C$12="MFJ",1,IF(Inputs!$C$12="HoH",7,4))))*INDEX('Methodology &amp; Sources'!$B$269:$J$276,0,IF(Inputs!$C$12="MFJ",1,IF(Inputs!$C$12="HoH",7,4))+2)))),IF($AN15="MI",IF($AY15&gt;5900*$AS15,0.0425,0),""))))</f>
      </c>
      <c r="CA15" s="24">
        <f>IF($B15="","",IF($AN15="AL",IF(OR($AU15="Married",$AU15="Head of household"),SUMPRODUCT(($AZ15&gt;=INDEX('Methodology &amp; Sources'!$B$332:$J$336,0,4))*INDEX('Methodology &amp; Sources'!$B$332:$J$336,0,4+2)),SUMPRODUCT(($AZ15&gt;=INDEX('Methodology &amp; Sources'!$B$332:$J$336,0,1))*INDEX('Methodology &amp; Sources'!$B$332:$J$336,0,1+2)))*(1-IF(Inputs!$C$13,SUMPRODUCT(($AH15&gt;=INDEX('Methodology &amp; Sources'!$B$279:$J$286,0,IF(Inputs!$C$12="MFJ",1,IF(Inputs!$C$12="HoH",7,4))))*INDEX('Methodology &amp; Sources'!$B$279:$J$286,0,IF(Inputs!$C$12="MFJ",1,IF(Inputs!$C$12="HoH",7,4))+2)),SUMPRODUCT(($AH15&gt;=INDEX('Methodology &amp; Sources'!$B$269:$J$276,0,IF(Inputs!$C$12="MFJ",1,IF(Inputs!$C$12="HoH",7,4))))*INDEX('Methodology &amp; Sources'!$B$269:$J$276,0,IF(Inputs!$C$12="MFJ",1,IF(Inputs!$C$12="HoH",7,4))+2)))),IF($AN15="KS",IF($AU15="Married",SUMPRODUCT(($AZ15&gt;=INDEX('Methodology &amp; Sources'!$B$353:$J$359,0,4))*INDEX('Methodology &amp; Sources'!$B$353:$J$359,0,4+2)),SUMPRODUCT(($AZ15&gt;=INDEX('Methodology &amp; Sources'!$B$353:$J$359,0,1))*INDEX('Methodology &amp; Sources'!$B$353:$J$359,0,1+2))),IF($AN15="MD",IF(OR($AU15="Married",$AU15="Head of household"),SUMPRODUCT(($AZ15&gt;=INDEX('Methodology &amp; Sources'!$B$364:$J$370,0,1))*INDEX('Methodology &amp; Sources'!$B$364:$J$370,0,1+2)),SUMPRODUCT(($AZ15&gt;=INDEX('Methodology &amp; Sources'!$B$353:$J$359,0,7))*INDEX('Methodology &amp; Sources'!$B$353:$J$359,0,7+2)))+Inputs!$C$74,IF($AN15="MT",IF($AU15="Head of household",SUMPRODUCT(($AZ15&gt;=INDEX('Methodology &amp; Sources'!$B$387:$J$389,0,1))*INDEX('Methodology &amp; Sources'!$B$387:$J$389,0,1+2)),IF($AU15="Married",SUMPRODUCT(($AZ15&gt;=INDEX('Methodology &amp; Sources'!$B$375:$J$382,0,7))*INDEX('Methodology &amp; Sources'!$B$375:$J$382,0,7+2)),SUMPRODUCT(($AZ15&gt;=INDEX('Methodology &amp; Sources'!$B$375:$J$382,0,4))*INDEX('Methodology &amp; Sources'!$B$375:$J$382,0,4+2)))),IF($AN15="ND",IF($AU15="Head of household",SUMPRODUCT(($AZ15&gt;=INDEX('Methodology &amp; Sources'!$B$394:$J$400,0,1))*INDEX('Methodology &amp; Sources'!$B$394:$J$400,0,1+2)),IF($AU15="Married",SUMPRODUCT(($AZ15&gt;=INDEX('Methodology &amp; Sources'!$B$387:$J$389,0,7))*INDEX('Methodology &amp; Sources'!$B$387:$J$389,0,7+2)),SUMPRODUCT(($AZ15&gt;=INDEX('Methodology &amp; Sources'!$B$387:$J$389,0,4))*INDEX('Methodology &amp; Sources'!$B$387:$J$389,0,4+2)))),IF($AN15="NY",IF($AU15="Married",IF($AZ15&gt;=2155350,IF($AZ15&gt;25000000,0.117,IF($AZ15&gt;5000000,0.111,0.1045)),SUMPRODUCT(($AZ15&gt;=INDEX('Methodology &amp; Sources'!$B$434:$J$448,0,1))*INDEX('Methodology &amp; Sources'!$B$434:$J$448,0,1+2))),IF($AZ15&gt;=1077550,IF($AZ15&gt;25000000,0.117,IF($AZ15&gt;5000000,0.111,0.1045)),SUMPRODUCT(($AZ15&gt;=INDEX('Methodology &amp; Sources'!$B$417:$J$429,0,7))*INDEX('Methodology &amp; Sources'!$B$417:$J$429,0,7+2)))),"")))))))</f>
      </c>
      <c r="CB15" s="24">
        <f>IF($B15="","",IF($AN15="CA",SUMPRODUCT(($AJ15&gt;=INDEX('Methodology &amp; Sources'!$B$289:$J$298,0,IF($AU15="Married",4,IF($AU15="Head of household",7,1))))*INDEX('Methodology &amp; Sources'!$B$289:$J$298,0,IF($AU15="Married",4,IF($AU15="Head of household",7,1))+2)),IF($AN15="HI",IF($AU15="Married",SUMPRODUCT(($AZ15&gt;=INDEX('Methodology &amp; Sources'!$B$341:$J$348,0,7))*INDEX('Methodology &amp; Sources'!$B$341:$J$348,0,7+2)),SUMPRODUCT(($AZ15&gt;=INDEX('Methodology &amp; Sources'!$B$341:$J$348,0,4))*INDEX('Methodology &amp; Sources'!$B$341:$J$348,0,4+2))),IF($AN15="MN",IF($AU15="Married",SUMPRODUCT(($AZ15&gt;=INDEX('Methodology &amp; Sources'!$B$364:$J$370,0,7))*INDEX('Methodology &amp; Sources'!$B$364:$J$370,0,7+2)),SUMPRODUCT(($AZ15&gt;=INDEX('Methodology &amp; Sources'!$B$364:$J$370,0,4))*INDEX('Methodology &amp; Sources'!$B$364:$J$370,0,4+2))),IF($AN15="MO",SUMPRODUCT(($AZ15&gt;=INDEX('Methodology &amp; Sources'!$B$375:$J$382,0,1))*INDEX('Methodology &amp; Sources'!$B$375:$J$382,0,1+2)),IF($AN15="NE",MAX(IF($AU15="Married",SUMPRODUCT(($AZ15&gt;=INDEX('Methodology &amp; Sources'!$B$394:$J$400,0,7))*INDEX('Methodology &amp; Sources'!$B$394:$J$400,0,7+2)),SUMPRODUCT(($AZ15&gt;=INDEX('Methodology &amp; Sources'!$B$394:$J$400,0,4))*INDEX('Methodology &amp; Sources'!$B$394:$J$400,0,4+2))),0.015),IF($AN15="OH",IF($B15&gt;=DATE(2026,8,1),SUMPRODUCT(($AZ15&gt;=INDEX('Methodology &amp; Sources'!$B$453:$J$456,0,1))*INDEX('Methodology &amp; Sources'!$B$453:$J$456,0,1+2)),SUMPRODUCT(($AZ15&gt;=INDEX('Methodology &amp; Sources'!$B$434:$J$448,0,7))*INDEX('Methodology &amp; Sources'!$B$434:$J$448,0,7+2))),IF($AN15="OK",IF($AU15="Married",SUMPRODUCT(($AZ15&gt;=INDEX('Methodology &amp; Sources'!$B$453:$J$456,0,7))*INDEX('Methodology &amp; Sources'!$B$453:$J$456,0,7+2)),SUMPRODUCT(($AZ15&gt;=INDEX('Methodology &amp; Sources'!$B$453:$J$456,0,4))*INDEX('Methodology &amp; Sources'!$B$453:$J$456,0,4+2))),IF($AN15="RI",SUMPRODUCT(($AZ15&gt;=INDEX('Methodology &amp; Sources'!$B$461:$J$464,0,7))*INDEX('Methodology &amp; Sources'!$B$461:$J$464,0,7+2)),IF($AN15="SC",SUMPRODUCT(($AZ15&gt;=INDEX('Methodology &amp; Sources'!$B$469:$J$473,0,1))*INDEX('Methodology &amp; Sources'!$B$469:$J$473,0,1+2)),IF($AN15="VT",IF($AU15="Married",SUMPRODUCT(($AZ15&gt;=INDEX('Methodology &amp; Sources'!$B$478:$J$482,0,1))*INDEX('Methodology &amp; Sources'!$B$478:$J$482,0,1+2)),SUMPRODUCT(($AZ15&gt;=INDEX('Methodology &amp; Sources'!$B$469:$J$473,0,7))*INDEX('Methodology &amp; Sources'!$B$469:$J$473,0,7+2))),IF($AN15="WV",IF($AU15="Married",SUMPRODUCT(($AZ15&gt;=INDEX('Methodology &amp; Sources'!$B$487:$J$491,0,7))*INDEX('Methodology &amp; Sources'!$B$487:$J$491,0,7+2)),SUMPRODUCT(($AZ15&gt;=INDEX('Methodology &amp; Sources'!$B$478:$J$482,0,7))*INDEX('Methodology &amp; Sources'!$B$478:$J$482,0,7+2))),IF($AN15="IN",(0.0295+Inputs!$C$76),"")))))))))))))</f>
      </c>
      <c r="CC15" s="24">
        <f>IF($B15="","",IF($AN15="AR",SUMPRODUCT(($AZ15&gt;=INDEX('Methodology &amp; Sources'!$B$332:$J$336,0,7))*INDEX('Methodology &amp; Sources'!$B$332:$J$336,0,7+2)),IF($AN15="DE",SUMPRODUCT(($AZ15&gt;=INDEX('Methodology &amp; Sources'!$B$341:$J$348,0,1))*INDEX('Methodology &amp; Sources'!$B$341:$J$348,0,1+2)),IF($AN15="VA",SUMPRODUCT(($AZ15&gt;=INDEX('Methodology &amp; Sources'!$B$469:$J$473,0,4))*INDEX('Methodology &amp; Sources'!$B$469:$J$473,0,4+2)),IF($AN15="WI",SUMPRODUCT(($AZ15&gt;=INDEX('Methodology &amp; Sources'!$B$478:$J$482,0,4))*INDEX('Methodology &amp; Sources'!$B$478:$J$482,0,4+2)),IF($AN15="AZ",Inputs!$C$82,IF($AN15="CO",IF($AY15&gt;IF($AU15="Married",10000,5000),0.044,0),IF($AN15="IA",IF($AY15&gt;IF($AU15="Head of household",19500,IF($AU15="Married",26000,13000)),0.038,0),IF($AN15="ID",IF($AY15&gt;IF($AU15="Married",32000,16094),0.053,0),IF($AN15="IL",IF($AY15&gt;(2925*$AS15+1000*$AT15),0.0495,0),IF($AN15="KY",IF($AI15&gt;3360,0.035,0),IF($AN15="LA",0.0309,IF($AN15="MA",IF(MAX(0,$AY15-MIN(($BD14+$Q15+$R15+$S15),2000)-IF($AS15=0,0,IF($AS15=1,4400,1000*$AS15+3400)))&gt;=1107750,0.09,0.05),IF($AN15="MS",IF($AI15-IF($AU15="Head of household",3400,IF($AU15="Married",4600,2300))-Inputs!$C$85&gt;10000,0.04,0),IF($AN15="PA",0.0307,"")))))))))))))))</f>
      </c>
      <c r="CD15" s="21">
        <f>IF(YEAR(IF(Inputs!$C$7="Weekly",Inputs!$C$9+7*(($BE14+1)-1),IF(Inputs!$C$7="Biweekly",Inputs!$C$9+14*(($BE14+1)-1),IF(Inputs!$C$7="Semimonthly",DATE(YEAR(Inputs!$C$9),MONTH(Inputs!$C$9)+INT((($BE14+1)-1)/2),MIN(DAY(Inputs!$C$9),DAY(EOMONTH(DATE(YEAR(Inputs!$C$9),MONTH(Inputs!$C$9)+INT((($BE14+1)-1)/2),1),0))))+IF(MOD(($BE14+1)-1,2)=1,15,0),EDATE(Inputs!$C$9,($BE14+1)-1)))))&lt;&gt;2026,"",IF(Inputs!$C$7="Weekly",Inputs!$C$9+7*(($BE14+1)-1),IF(Inputs!$C$7="Biweekly",Inputs!$C$9+14*(($BE14+1)-1),IF(Inputs!$C$7="Semimonthly",DATE(YEAR(Inputs!$C$9),MONTH(Inputs!$C$9)+INT((($BE14+1)-1)/2),MIN(DAY(Inputs!$C$9),DAY(EOMONTH(DATE(YEAR(Inputs!$C$9),MONTH(Inputs!$C$9)+INT((($BE14+1)-1)/2),1),0))))+IF(MOD(($BE14+1)-1,2)=1,15,0),EDATE(Inputs!$C$9,($BE14+1)-1)))))</f>
      </c>
      <c r="CE15" s="21">
        <f>IF(SUMPRODUCT(MIN(IF((Inputs!$C$58:$C$67&gt;MAX($B$6:$B14))*(Inputs!$C$58:$C$67&gt;=DATE(2026,1,1))*(Inputs!$C$58:$C$67&lt;=DATE(2026,12,31)),Inputs!$C$58:$C$67,999999)))=999999,"",SUMPRODUCT(MIN(IF((Inputs!$C$58:$C$67&gt;MAX($B$6:$B14))*(Inputs!$C$58:$C$67&gt;=DATE(2026,1,1))*(Inputs!$C$58:$C$67&lt;=DATE(2026,12,31)),Inputs!$C$58:$C$67,999999))))</f>
      </c>
    </row>
    <row r="16">
      <c r="A16" t="n">
        <v>11</v>
      </c>
      <c r="B16" s="21">
        <f>IF(AND($CD16="",$CE16=""),"",IF($CE16="",$CD16,IF($CD16="",$CE16,MIN($CD16,$CE16))))</f>
      </c>
      <c r="C16" s="7">
        <f>IF($B16="","",IF($BF16=0,0,IF(Inputs!$C$4="Annual salary",ROUND($AK16/IF(AND(Inputs!$C$88="Actual paydays",MONTH(Inputs!$C$9)=1),MAX(1,MAX($BE$6:$BE$68)),Inputs!$C$8),2),$AK16)))</f>
      </c>
      <c r="D16" s="7">
        <f>IF($B16="","",SUMIF(Inputs!$C$58:$C$67,$B16,Inputs!$D$58:$D$67))</f>
      </c>
      <c r="E16" s="7">
        <f>IF($B16="","",ROUND(MAX(0,MIN(IF($AL16="Percent",$AM16*($C16+$D16),$AM16),MAX(0,Inputs!$C$91-$AC15))),2))</f>
      </c>
      <c r="F16" s="7">
        <f>IF($B16="","",ROUND(MAX(0,MIN(IF(Inputs!$C$32="Percent",Inputs!$D$32*($C16+$D16),Inputs!$D$32),MAX(0,Inputs!$C$91-$AC15-$E16))),2))</f>
      </c>
      <c r="G16" s="7">
        <f>IF($B16="","",IF($BF16=0,0,ROUND(MAX(0,MIN($BL16,Inputs!$C$92-Inputs!$C$54-$BI15)),2)))</f>
      </c>
      <c r="H16" s="7">
        <f>IF($B16="","",IF(OR($BF16=0,$BQ16=1),0,ROUND(MAX(0,MIN(IF($BS16=1,ROUND(MAX(0,MIN($BJ16,'Methodology &amp; Sources'!$C$263)-$BG15)/MAX(1,MAX($BE$6:$BE$68)-($BE15)),2),ROUND(MIN($BJ16,'Methodology &amp; Sources'!$C$263)/Inputs!$C$8,2)),MIN($BJ16,'Methodology &amp; Sources'!$C$263)-$BG15)),2)))</f>
      </c>
      <c r="I16" s="7">
        <f>IF($B16="","",IF(OR($BF16=0,$BR16=1),0,ROUND(MAX(0,MIN(IF($BT16=1,ROUND(MAX(0,MIN($BK16,IF(Inputs!$C$12="MFJ",'Methodology &amp; Sources'!$C$264,'Methodology &amp; Sources'!$C$265))-$BH15)/MAX(1,MAX($BE$6:$BE$68)-($BE15)),2),ROUND(MIN($BK16,IF(Inputs!$C$12="MFJ",'Methodology &amp; Sources'!$C$264,'Methodology &amp; Sources'!$C$265))/Inputs!$C$8,2)),MIN($BK16,IF(Inputs!$C$12="MFJ",'Methodology &amp; Sources'!$C$264,'Methodology &amp; Sources'!$C$265))-$BH15)),2)))</f>
      </c>
      <c r="J16" s="7">
        <f>IF($B16="","",IF($BF16=0,0,$BM16))</f>
      </c>
      <c r="K16" s="7">
        <f>IF($B16="","",IF($BF16=0,0,$BN16+$BO16))</f>
      </c>
      <c r="L16" s="7">
        <f>IF($B16="","",IF($BF16=0,0,Inputs!$D$46))</f>
      </c>
      <c r="M16" s="7">
        <f>IF($B16="","",$C16+$D16+$L16-$E16-$G16-$H16-$I16-$J16-$K16)</f>
      </c>
      <c r="N16" s="7">
        <f>IF($B16="","",$C16+$D16+$L16-$G16-$H16-$I16-$J16-$K16)</f>
      </c>
      <c r="O16" s="7">
        <f>IF($B16="","",$C16+$D16+$L16-$E16-$H16-$I16-$J16-$K16-IF(OR($AN16="CA",$AN16="NJ"),0,$G16))</f>
      </c>
      <c r="P16" s="7">
        <f>IF($B16="","",IF(Inputs!$C$18,0,ROUND(MAX(0,IF(Inputs!$C$13,SUMPRODUCT(($AH16&gt;INDEX('Methodology &amp; Sources'!$B$279:$J$286,0,IF(Inputs!$C$12="MFJ",1,IF(Inputs!$C$12="HoH",7,4))))*($AH16-INDEX('Methodology &amp; Sources'!$B$279:$J$286,0,IF(Inputs!$C$12="MFJ",1,IF(Inputs!$C$12="HoH",7,4))))*INDEX('Methodology &amp; Sources'!$B$279:$J$286,0,IF(Inputs!$C$12="MFJ",1,IF(Inputs!$C$12="HoH",7,4))+2)),SUMPRODUCT(($AH16&gt;INDEX('Methodology &amp; Sources'!$B$269:$J$276,0,IF(Inputs!$C$12="MFJ",1,IF(Inputs!$C$12="HoH",7,4))))*($AH16-INDEX('Methodology &amp; Sources'!$B$269:$J$276,0,IF(Inputs!$C$12="MFJ",1,IF(Inputs!$C$12="HoH",7,4))))*INDEX('Methodology &amp; Sources'!$B$269:$J$276,0,IF(Inputs!$C$12="MFJ",1,IF(Inputs!$C$12="HoH",7,4))+2)))/Inputs!$C$8-$AO16/Inputs!$C$8)+$AR16+IF(Inputs!$C$89="Aggregate",MAX(0,IF(Inputs!$C$13,SUMPRODUCT((($AH16+$D16)&gt;INDEX('Methodology &amp; Sources'!$B$279:$J$286,0,IF(Inputs!$C$12="MFJ",1,IF(Inputs!$C$12="HoH",7,4))))*(($AH16+$D16)-INDEX('Methodology &amp; Sources'!$B$279:$J$286,0,IF(Inputs!$C$12="MFJ",1,IF(Inputs!$C$12="HoH",7,4))))*INDEX('Methodology &amp; Sources'!$B$279:$J$286,0,IF(Inputs!$C$12="MFJ",1,IF(Inputs!$C$12="HoH",7,4))+2)),SUMPRODUCT((($AH16+$D16)&gt;INDEX('Methodology &amp; Sources'!$B$269:$J$276,0,IF(Inputs!$C$12="MFJ",1,IF(Inputs!$C$12="HoH",7,4))))*(($AH16+$D16)-INDEX('Methodology &amp; Sources'!$B$269:$J$276,0,IF(Inputs!$C$12="MFJ",1,IF(Inputs!$C$12="HoH",7,4))))*INDEX('Methodology &amp; Sources'!$B$269:$J$276,0,IF(Inputs!$C$12="MFJ",1,IF(Inputs!$C$12="HoH",7,4))+2)))-IF(Inputs!$C$13,SUMPRODUCT(($AH16&gt;INDEX('Methodology &amp; Sources'!$B$279:$J$286,0,IF(Inputs!$C$12="MFJ",1,IF(Inputs!$C$12="HoH",7,4))))*($AH16-INDEX('Methodology &amp; Sources'!$B$279:$J$286,0,IF(Inputs!$C$12="MFJ",1,IF(Inputs!$C$12="HoH",7,4))))*INDEX('Methodology &amp; Sources'!$B$279:$J$286,0,IF(Inputs!$C$12="MFJ",1,IF(Inputs!$C$12="HoH",7,4))+2)),SUMPRODUCT(($AH16&gt;INDEX('Methodology &amp; Sources'!$B$269:$J$276,0,IF(Inputs!$C$12="MFJ",1,IF(Inputs!$C$12="HoH",7,4))))*($AH16-INDEX('Methodology &amp; Sources'!$B$269:$J$276,0,IF(Inputs!$C$12="MFJ",1,IF(Inputs!$C$12="HoH",7,4))))*INDEX('Methodology &amp; Sources'!$B$269:$J$276,0,IF(Inputs!$C$12="MFJ",1,IF(Inputs!$C$12="HoH",7,4))+2)))),'Methodology &amp; Sources'!$C$260*$D16),2)))</f>
      </c>
      <c r="Q16" s="7">
        <f>IF($B16="","",ROUND('Methodology &amp; Sources'!$C$254*MIN($N16,MAX(0,'Methodology &amp; Sources'!$C$253-($AX16+$AB15-$AW16))),2))</f>
      </c>
      <c r="R16" s="7">
        <f>IF($B16="","",ROUND('Methodology &amp; Sources'!$C$255*$N16,2))</f>
      </c>
      <c r="S16" s="7">
        <f>IF($B16="","",ROUND('Methodology &amp; Sources'!$C$256*MAX(0,MIN($N16,$AG15+$N16-'Methodology &amp; Sources'!$C$257)),2))</f>
      </c>
      <c r="T16" s="7">
        <f>IF($B16="","",IF(Inputs!$C$26,0,IF($AN16="CA",ROUND(IF($AI16&lt;=IF(($AS16+$AT16)&gt;=2,VLOOKUP($AN16,'StateTables 2026'!$A$6:$AB$56,10,FALSE),VLOOKUP($AN16,'StateTables 2026'!$A$6:$AB$56,9,FALSE)),0,MAX(0,SUMPRODUCT(($AJ16&gt;INDEX('Methodology &amp; Sources'!$B$289:$J$298,0,IF($AU16="Married",4,IF($AU16="Head of household",7,1))))*($AJ16-INDEX('Methodology &amp; Sources'!$B$289:$J$298,0,IF($AU16="Married",4,IF($AU16="Head of household",7,1))))*INDEX('Methodology &amp; Sources'!$B$289:$J$298,0,IF($AU16="Married",4,IF($AU16="Head of household",7,1))+2))-VLOOKUP($AN16,'StateTables 2026'!$A$6:$AB$56,11,FALSE)*$AS16)/Inputs!$C$8)+Inputs!$C$25+VLOOKUP($AN16,'StateTables 2026'!$A$6:$AB$56,13,FALSE)*$D16,2),IF(VLOOKUP($AN16,'StateTables 2026'!$A$6:$AB$56,4,FALSE)="None",0,IF(ISNUMBER(SEARCH("MANUAL",VLOOKUP($AN16,'StateTables 2026'!$A$6:$AB$56,5,FALSE))),Inputs!$C$28,ROUND(MAX(0,$BA16+$BB16)/Inputs!$C$8+Inputs!$C$25+$BC16,2))))))</f>
      </c>
      <c r="U16" s="7">
        <f>IF($B16="","",IF(VLOOKUP($AN16,'StateTables 2026'!$A$6:$AB$56,24,FALSE)="flatq",IF(OR(MONTH($B16)=1,MONTH($B16)=4,MONTH($B16)=7,MONTH($B16)=10),VLOOKUP($AN16,'StateTables 2026'!$A$6:$AB$56,25,FALSE),0),IF(VLOOKUP($AN16,'StateTables 2026'!$A$6:$AB$56,24,FALSE)="dbl",MIN(ROUND(0.005*$N16,2),ROUND(0.6*52/Inputs!$C$8,2)),IF(OR(VLOOKUP($AN16,'StateTables 2026'!$A$6:$AB$56,15,FALSE)="",VLOOKUP($AN16,'StateTables 2026'!$A$6:$AB$56,15,FALSE)=0),0,ROUND(VLOOKUP($AN16,'StateTables 2026'!$A$6:$AB$56,15,FALSE)*IF(OR(VLOOKUP($AN16,'StateTables 2026'!$A$6:$AB$56,16,FALSE)="",VLOOKUP($AN16,'StateTables 2026'!$A$6:$AB$56,16,FALSE)=0),$N16,MIN($N16,MAX(0,VLOOKUP($AN16,'StateTables 2026'!$A$6:$AB$56,16,FALSE)-($AX16+$AB15-$AW16)))),2))))+IF(VLOOKUP($AN16,'StateTables 2026'!$A$6:$AB$56,27,FALSE)="flatq",IF(OR(MONTH($B16)=1,MONTH($B16)=4,MONTH($B16)=7,MONTH($B16)=10),VLOOKUP($AN16,'StateTables 2026'!$A$6:$AB$56,28,FALSE),0),IF(VLOOKUP($AN16,'StateTables 2026'!$A$6:$AB$56,27,FALSE)="dbl",MIN(ROUND(0.005*$N16,2),ROUND(0.6*52/Inputs!$C$8,2)),IF(OR(VLOOKUP($AN16,'StateTables 2026'!$A$6:$AB$56,18,FALSE)="",VLOOKUP($AN16,'StateTables 2026'!$A$6:$AB$56,18,FALSE)=0),0,ROUND(VLOOKUP($AN16,'StateTables 2026'!$A$6:$AB$56,18,FALSE)*IF(OR(VLOOKUP($AN16,'StateTables 2026'!$A$6:$AB$56,19,FALSE)="",VLOOKUP($AN16,'StateTables 2026'!$A$6:$AB$56,19,FALSE)=0),$N16,MIN($N16,MAX(0,VLOOKUP($AN16,'StateTables 2026'!$A$6:$AB$56,19,FALSE)-($AX16+$AB15-$AW16)))),2)))))</f>
      </c>
      <c r="V16" s="7">
        <f>IF($B16="","",IF($AN16="NY",IF(Inputs!$C$78,ROUND(SUMPRODUCT((MAX(0,($O16-$D16)*Inputs!$C$8-(IF($AU16="Married",5500,5000)+1000*$AS16))&gt;INDEX('Methodology &amp; Sources'!$B$434:$J$448,0,4))*(MAX(0,($O16-$D16)*Inputs!$C$8-(IF($AU16="Married",5500,5000)+1000*$AS16))-INDEX('Methodology &amp; Sources'!$B$434:$J$448,0,4))*INDEX('Methodology &amp; Sources'!$B$434:$J$448,0,4+2))/Inputs!$C$8+0.0425*$D16,2),0)+IF(Inputs!$C$79="Resident",ROUND(0.1675*$T16,2),IF(Inputs!$C$79="Nonresident",ROUND(0.005*MAX(0,($O16-$D16)-(IF($AU16="Married",7950,7400)+1000*$AS16)/Inputs!$C$8),2),0)),IF($AN16="PA",IF(Inputs!$C$80="None",Inputs!$C$27+ROUND(Inputs!$C$81*($C16+$D16),2),ROUND(IF(Inputs!$C$80="Resident",IF($B16&lt;DATE(2026,7,1),0.0374,0.03735),IF($B16&lt;DATE(2026,7,1),0.0343,0.03425))*($C16+$D16),2)),IF($BF16=0,ROUND(Inputs!$C$81*($C16+$D16),2),Inputs!$C$27+ROUND(Inputs!$C$81*($C16+$D16),2)))))</f>
      </c>
      <c r="W16" s="7">
        <f>IF($B16="","",IF($BF16=0,0,$BP16))</f>
      </c>
      <c r="X16" s="7">
        <f>IF($B16="","",SUM($E16:$K16)+$P16+$Q16+$R16+$S16+$T16+$U16+$V16+$W16)</f>
      </c>
      <c r="Y16" s="22">
        <f>IF($B16="","",$C16+$D16-$X16)</f>
      </c>
      <c r="Z16" s="7">
        <f>IF($B16="","",$Z15+$C16+$D16)</f>
      </c>
      <c r="AA16" s="7">
        <f>IF($B16="","",$AA15+$Y16)</f>
      </c>
      <c r="AB16" s="7">
        <f>IF($B16="","",$AB15+MIN($N16,MAX(0,'Methodology &amp; Sources'!$C$253-($AX16+$AB15-$AW16))))</f>
      </c>
      <c r="AC16" s="7">
        <f>IF($B16="","",$AC15+$E16+$F16)</f>
      </c>
      <c r="AD16" s="3">
        <f>IF($B16="","",IF(AND($AB15&lt;'Methodology &amp; Sources'!$C$253,$AB16&gt;='Methodology &amp; Sources'!$C$253),"★ Social Security maxed on this check — from the next check your net rises by about $"&amp;TEXT(ROUND('Methodology &amp; Sources'!$C$254*$N16,2),"#,##0.00")&amp;". ","")&amp;IF(AND($AC15&lt;Inputs!$C$91,$AC16&gt;=Inputs!$C$91),"★ 401(k) reaches the $"&amp;TEXT(Inputs!$C$91,"#,##0")&amp;" cap on this check — deferrals stop and net pay rises. ","")&amp;IF(AND($AG15&lt;'Methodology &amp; Sources'!$C$257,$AG16&gt;='Methodology &amp; Sources'!$C$257),"★ Wages pass $200,000 — the 0.9% Additional Medicare Tax starts here. ","")&amp;IF(AND($BJ16&gt;0,$H16&gt;0,$BG15&lt;MIN($BJ16,'Methodology &amp; Sources'!$C$263),$BG15+$H16&gt;=MIN($BJ16,'Methodology &amp; Sources'!$C$263)),"★ Health FSA election is now fully deferred for the year. ",""))</f>
      </c>
      <c r="AE16" s="41" t="n"/>
      <c r="AF16" s="7">
        <f>IF(OR($B16="",$AE16=""),"",$AE16-$Y16)</f>
      </c>
      <c r="AG16" s="7">
        <f>IF($B16="","",$AG15+$N16)</f>
      </c>
      <c r="AH16" s="7">
        <f>IF($B16="","",MAX(0,($M16-$D16)*Inputs!$C$8+$AP16-$AQ16-IF(Inputs!$C$13,0,IF(Inputs!$C$12="MFJ",'Methodology &amp; Sources'!$C$258,'Methodology &amp; Sources'!$C$259))))</f>
      </c>
      <c r="AI16" s="7">
        <f>IF($B16="","",$O16*Inputs!$C$8)</f>
      </c>
      <c r="AJ16" s="7">
        <f>IF($B16="","",MAX(0,$AI16-VLOOKUP($AN16,'StateTables 2026'!$A$6:$AB$56,12,FALSE)*$AT16-IF(($AS16+$AT16)&gt;=2,VLOOKUP($AN16,'StateTables 2026'!$A$6:$AB$56,8,FALSE),VLOOKUP($AN16,'StateTables 2026'!$A$6:$AB$56,7,FALSE))))</f>
      </c>
      <c r="AK16" s="7">
        <f>IF($B16="","",IFERROR(LOOKUP(2,1/((Events!$C$6:$C$17="Salary change")*(Events!$B$6:$B$17&lt;=$B16)*(Events!$B$6:$B$17&lt;&gt;"")),Events!$D$6:$D$17),IF(Inputs!$C$4="Annual salary",Inputs!$C$5,Inputs!$C$6)))</f>
      </c>
      <c r="AL16">
        <f>IF($B16="","",IFERROR(LOOKUP(2,1/((Events!$C$6:$C$17="401(k) change")*(Events!$B$6:$B$17&lt;=$B16)*(Events!$B$6:$B$17&lt;&gt;"")),Events!$D$6:$D$17),Inputs!$C$30))</f>
      </c>
      <c r="AM16" s="7">
        <f>IF($B16="","",IFERROR(LOOKUP(2,1/((Events!$C$6:$C$17="401(k) change")*(Events!$B$6:$B$17&lt;=$B16)*(Events!$B$6:$B$17&lt;&gt;"")),Events!$E$6:$E$17),Inputs!$D$30))</f>
      </c>
      <c r="AN16">
        <f>IF($B16="","",IFERROR(LOOKUP(2,1/((Events!$C$6:$C$17="State move")*(Events!$B$6:$B$17&lt;=$B16)*(Events!$B$6:$B$17&lt;&gt;"")),Events!$D$6:$D$17),Inputs!$C$21))</f>
      </c>
      <c r="AO16" s="7">
        <f>IF($B16="","",IFERROR(LOOKUP(2,1/((Events!$C$6:$C$17="W-4 change")*(Events!$B$6:$B$17&lt;=$B16)*(Events!$B$6:$B$17&lt;&gt;"")),Events!$D$6:$D$17),Inputs!$C$14))</f>
      </c>
      <c r="AP16" s="7">
        <f>IF($B16="","",IFERROR(LOOKUP(2,1/((Events!$C$6:$C$17="W-4 change")*(Events!$B$6:$B$17&lt;=$B16)*(Events!$B$6:$B$17&lt;&gt;"")),Events!$E$6:$E$17),Inputs!$C$15))</f>
      </c>
      <c r="AQ16" s="7">
        <f>IF($B16="","",IFERROR(LOOKUP(2,1/((Events!$C$6:$C$17="W-4 change")*(Events!$B$6:$B$17&lt;=$B16)*(Events!$B$6:$B$17&lt;&gt;"")),Events!$F$6:$F$17),Inputs!$C$16))</f>
      </c>
      <c r="AR16" s="7">
        <f>IF($B16="","",IFERROR(LOOKUP(2,1/((Events!$C$6:$C$17="W-4 change")*(Events!$B$6:$B$17&lt;=$B16)*(Events!$B$6:$B$17&lt;&gt;"")),Events!$G$6:$G$17),Inputs!$C$17))</f>
      </c>
      <c r="AS16" s="6">
        <f>IF($B16="","",IFERROR(LOOKUP(2,1/(((Events!$C$6:$C$17="State move")+(Events!$C$6:$C$17="State cert change"))*(Events!$B$6:$B$17&lt;=$B16)*(Events!$B$6:$B$17&lt;&gt;"")),Events!$F$6:$F$17),Inputs!$C$23))</f>
      </c>
      <c r="AT16" s="6">
        <f>IF($B16="","",IFERROR(LOOKUP(2,1/(((Events!$C$6:$C$17="State move")+(Events!$C$6:$C$17="State cert change"))*(Events!$B$6:$B$17&lt;=$B16)*(Events!$B$6:$B$17&lt;&gt;"")),Events!$G$6:$G$17),Inputs!$C$24))</f>
      </c>
      <c r="AU16">
        <f>IF($B16="","",IFERROR(LOOKUP(2,1/((Events!$C$6:$C$17="State move")*(Events!$B$6:$B$17&lt;=$B16)*(Events!$B$6:$B$17&lt;&gt;"")),Events!$E$6:$E$17),Inputs!$C$22))</f>
      </c>
      <c r="AV16" s="6">
        <f>IF($B16="","",1+COUNTIFS(Events!$C$6:$C$17,"Employer change",Events!$B$6:$B$17,"&lt;="&amp;$B16,Events!$B$6:$B$17,"&lt;&gt;"))</f>
      </c>
      <c r="AW16" s="7">
        <f>IF($B16="","",IF($AV16=1,Inputs!$C$49,IF(IFERROR(MATCH(IFERROR(LOOKUP(2,1/((Events!$C$6:$C$17="Employer change")*(Events!$B$6:$B$17&lt;=$B16)*(Events!$B$6:$B$17&lt;&gt;"")),Events!$B$6:$B$17),""),$B$6:$B$68,1),1)&lt;=1,Inputs!$C$49,INDEX($AB$6:$AB$68,MATCH(IFERROR(LOOKUP(2,1/((Events!$C$6:$C$17="Employer change")*(Events!$B$6:$B$17&lt;=$B16)*(Events!$B$6:$B$17&lt;&gt;"")),Events!$B$6:$B$17),""),$B$6:$B$68,1)-1))))</f>
      </c>
      <c r="AX16" s="7">
        <f>IF($B16="","",IF($AV16=1,Inputs!$C$49,IFERROR(LOOKUP(2,1/((Events!$C$6:$C$17="Employer change")*(Events!$B$6:$B$17&lt;=$B16)*(Events!$B$6:$B$17&lt;&gt;"")),Events!$D$6:$D$17),0)))</f>
      </c>
      <c r="AY16" s="7">
        <f>IF($B16="","",($O16-$D16)*Inputs!$C$8)</f>
      </c>
      <c r="AZ16" s="7">
        <f>IF($B16="","",IF($AN16="AL",MAX(0,$AY16-IF($AU16="Married",IF($AY16&lt;=25999,8500,MAX(5000,8500-175*CEILING(($AY16-25999)/500,1))),IF($AU16="Head of household",IF($AY16&lt;=25999,5200,MAX(2500,5200-135*CEILING(($AY16-25999)/500,1))),IF($AY16&lt;=25999,3000,MAX(2500,3000-25*CEILING(($AY16-25999)/500,1)))))-($P16-'Methodology &amp; Sources'!$C$260*$D16)*Inputs!$C$8-IF(OR($AU16="Married",$AU16="Head of household"),3000,1500)-$AT16*IF($AY16&lt;=50000,1000,IF($AY16&lt;=100000,500,300))),IF($AN16="AR",IF(MAX(0,$AY16-2470)&lt;97701,INT(MAX(0,$AY16-2470)/100)*100+50,MAX(0,$AY16-2470)),IF($AN16="DE",MAX(0,$AI16-3250),IF($AN16="HI",MAX(0,$AI16-1144*$AS16-4350),IF($AN16="KS",MAX(0,$AI16-(9160*IF($AU16="Married",2,1)+2320*$AT16+IF($AU16="Head of household",2320,0))),IF($AN16="MD",MAX(0,$AI16-3400-3200*$AS16),IF($AN16="MN",MAX(0,$AY16-5300*$AS16),IF($AN16="MO",MAX(0,$AI16-IF($AU16="Head of household",24150,IF($AU16="Married",IF(Inputs!$C$83,16100,32200),16100))),IF($AN16="MT",$AY16,IF($AN16="ND",($C16+$L16)*Inputs!$C$8,IF($AN16="NE",MAX(0,$AY16-2440*$AS16),IF($AN16="NJ",MAX(0,$AY16-1000*$AS16),IF($AN16="NY",MAX(0,$AY16-(IF($AU16="Married",7950,7400)+1000*$AS16)),IF($AN16="OH",MAX(0,$AY16-650*$AS16),IF($AN16="OK",MAX(0,$AY16-1000*$AS16),IF($AN16="RI",MAX(0,$AI16-1000*$AS16),IF($AN16="SC",MAX(0,$AI16-5000*$AS16-IF($AS16=0,0,MIN(0.1*$AI16,7500))),IF($AN16="VA",MAX(0,$AI16-IF($AU16="Married",17500,8750)-930*$AS16-800*$AT16),IF($AN16="VT",MAX(0,$AI16-5400*$AS16),IF($AN16="WI",MAX(0,$AI16-MAX(0,IF($AU16="Married",9461-0.2*MAX(0,$AI16-25727),6702-0.12*MAX(0,$AI16-17780)))-400*$AS16),IF($AN16="WV",MAX(0,$AI16-2000*$AS16),$AI16))))))))))))))))))))))</f>
      </c>
      <c r="BA16" s="7">
        <f>IF($B16="","",IF($BW16&lt;&gt;"",$BW16,IF($BX16&lt;&gt;"",$BX16,IF($BY16&lt;&gt;"",$BY16,0))))</f>
      </c>
      <c r="BB16" s="7">
        <f>IF($B16="","",IF($AN16="AR",-29*$AS16,IF($AN16="DE",-110*$AS16,IF($AN16="MD",$AZ16*Inputs!$C$74,IF($AN16="AZ",Inputs!$C$82*($M16-$D16)*Inputs!$C$8,IF($AN16="CO",0.044*MAX(0,$AY16-IF($AU16="Married",10000,5000)),IF($AN16="IA",MAX(0,0.038*MAX(0,$AY16-IF($AU16="Head of household",19500,IF($AU16="Married",26000,13000)))-40*$AS16),IF($AN16="ID",0.053*MAX(0,$AY16-IF($AU16="Married",32000,16094)),IF($AN16="IL",0.0495*MAX(0,$AY16-(2925*$AS16+1000*$AT16)),IF($AN16="IN",(0.0295+Inputs!$C$76)*MAX(0,$AY16-(1000*$AS16+1500*$AT16+3000*Inputs!$C$86)),IF($AN16="KY",0.035*MAX(0,$AI16-3360),IF($AN16="LA",IF(Inputs!$C$84="0",0.0309*$AI16,0.0309*MAX(0,$AI16-IF(Inputs!$C$84="2",25750,12875))),IF($AN16="MA",0.05*MIN(MAX(0,$AY16-MIN(($BD15+$Q16+$R16+$S16),2000)-IF($AS16=0,0,IF($AS16=1,4400,1000*$AS16+3400))),1107750)+0.09*MAX(0,MAX(0,$AY16-MIN(($BD15+$Q16+$R16+$S16),2000)-IF($AS16=0,0,IF($AS16=1,4400,1000*$AS16+3400)))-1107750)-IF($AU16="Head of household",120,0)-110*Inputs!$C$75,IF($AN16="MI",0.0425*MAX(0,$AY16-5900*$AS16),IF($AN16="MS",0.04*MAX(0,$AI16-IF($AU16="Head of household",3400,IF($AU16="Married",4600,2300))-Inputs!$C$85-10000),IF($AN16="OR",IF(OR($AU16="Married",AND($AU16="Single",$AS16&gt;=3)),SUMPRODUCT((MAX(0,$AY16-MIN(($P16-'Methodology &amp; Sources'!$C$260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Sources'!$B$461:$J$464,0,4))*(MAX(0,$AY16-MIN(($P16-'Methodology &amp; Sources'!$C$260*$D16)*Inputs!$C$8,IF(OR($AU16="Married",AND($AU16="Single",$AS16&gt;=3)),IF($AY16&lt;250000,8750,IF($AY16&lt;260000,7000,IF($AY16&lt;270000,5250,IF($AY16&lt;280000,3500,IF($AY16&lt;290000,1750,0))))),IF($AY16&lt;125000,8750,IF($AY16&lt;130000,7000,IF($AY16&lt;135000,5250,IF($AY16&lt;140000,3500,IF($AY16&lt;145000,1750,0)))))))-IF(OR($AU16="Married",AND($AU16="Single",$AS16&gt;=3)),5820,2910))-INDEX('Methodology &amp; Sources'!$B$461:$J$464,0,4))*INDEX('Methodology &amp; Sources'!$B$461:$J$464,0,4+2)),SUMPRODUCT((MAX(0,$AY16-MIN(($P16-'Methodology &amp; Sources'!$C$260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Sources'!$B$461:$J$464,0,1))*(MAX(0,$AY16-MIN(($P16-'Methodology &amp; Sources'!$C$260*$D16)*Inputs!$C$8,IF(OR($AU16="Married",AND($AU16="Single",$AS16&gt;=3)),IF($AY16&lt;250000,8750,IF($AY16&lt;260000,7000,IF($AY16&lt;270000,5250,IF($AY16&lt;280000,3500,IF($AY16&lt;290000,1750,0))))),IF($AY16&lt;125000,8750,IF($AY16&lt;130000,7000,IF($AY16&lt;135000,5250,IF($AY16&lt;140000,3500,IF($AY16&lt;145000,1750,0)))))))-IF(OR($AU16="Married",AND($AU16="Single",$AS16&gt;=3)),5820,2910))-INDEX('Methodology &amp; Sources'!$B$461:$J$464,0,1))*INDEX('Methodology &amp; Sources'!$B$461:$J$464,0,1+2)))+263-263*IF(IF($AU16="Married",$AY16&gt;200000,$AY16&gt;100000),0,$AS16),IF($AN16="PA",0.0307*(($O16+$E16+$G16)*Inputs!$C$8),IF($AN16="NY",IF($AU16="Married",IF($AZ16&gt;=2155350,0,IF($AZ16&gt;=1077550,0.48,IF($AZ16&gt;=373200,1.21,IF($AZ16&gt;=323200,0.21,IF($AZ16&gt;=211550,-0.19,IF($AZ16&gt;=157650,-2.8,IF($AZ16&gt;=107650,-0.8,IF($AZ16&gt;=96800,0.05,IF($AZ16&gt;=80650,-0.1,IF($AZ16&gt;=13900,0.4,IF($AZ16&gt;=11700,-0.3,IF($AZ16&gt;=8500,0.5,0)))))))))))),IF($AZ16&gt;=1077550,0,IF($AZ16&gt;=265400,4.29,IF($AZ16&gt;=215400,2.29,IF($AZ16&gt;=157650,2.29,IF($AZ16&gt;=107650,0.29,IF($AZ16&gt;=96800,0.05,IF($AZ16&gt;=80650,-0.1,IF($AZ16&gt;=13900,0.4,IF($AZ16&gt;=11700,-0.3,IF($AZ16&gt;=8500,0.5,0))))))))))),0))))))))))))))))))</f>
      </c>
      <c r="BC16" s="7">
        <f>IF($B16="","",IF($AN16="AL",0.05*$D16,IF($AN16="AR",0.039*$D16,IF($AN16="ID",0.053*$D16,IF($AN16="IN",(0.0295+Inputs!$C$76)*$D16,IF($AN16="KS",0.05*$D16,IF($AN16="MA",0.09*MIN($D16,MAX(0,MAX(0,$AY16-MIN(($BD15+$Q16+$R16+$S16),2000)-IF($AS16=0,0,IF($AS16=1,4400,1000*$AS16+3400)))+$D16-1107750))+0.05*($D16-MIN($D16,MAX(0,MAX(0,$AY16-MIN(($BD15+$Q16+$R16+$S16),2000)-IF($AS16=0,0,IF($AS16=1,4400,1000*$AS16+3400)))+$D16-1107750))),IF($AN16="MD",(0.065+Inputs!$C$74)*$D16,IF($AN16="MI",0.0425*$D16,IF($AN16="MN",0.0625*$D16,IF($AN16="MO",0.047*$D16,IF($AN16="MT",0.05*$D16,IF($AN16="ND",0.015*$D16,IF($AN16="NE",0.035*$D16,IF($AN16="NJ",IF(Inputs!$C$77="B",SUMPRODUCT(($D16*Inputs!$C$8&gt;INDEX('Methodology &amp; Sources'!$B$405:$J$412,0,4))*($D16*Inputs!$C$8-INDEX('Methodology &amp; Sources'!$B$405:$J$412,0,4))*INDEX('Methodology &amp; Sources'!$B$405:$J$412,0,4+2)),IF(Inputs!$C$77="C",SUMPRODUCT(($D16*Inputs!$C$8&gt;INDEX('Methodology &amp; Sources'!$B$405:$J$412,0,7))*($D16*Inputs!$C$8-INDEX('Methodology &amp; Sources'!$B$405:$J$412,0,7))*INDEX('Methodology &amp; Sources'!$B$405:$J$412,0,7+2)),IF(Inputs!$C$77="D",SUMPRODUCT(($D16*Inputs!$C$8&gt;INDEX('Methodology &amp; Sources'!$B$417:$J$429,0,1))*($D16*Inputs!$C$8-INDEX('Methodology &amp; Sources'!$B$417:$J$429,0,1))*INDEX('Methodology &amp; Sources'!$B$417:$J$429,0,1+2)),IF(Inputs!$C$77="E",SUMPRODUCT(($D16*Inputs!$C$8&gt;INDEX('Methodology &amp; Sources'!$B$417:$J$429,0,4))*($D16*Inputs!$C$8-INDEX('Methodology &amp; Sources'!$B$417:$J$429,0,4))*INDEX('Methodology &amp; Sources'!$B$417:$J$429,0,4+2)),SUMPRODUCT(($D16*Inputs!$C$8&gt;INDEX('Methodology &amp; Sources'!$B$405:$J$412,0,1))*($D16*Inputs!$C$8-INDEX('Methodology &amp; Sources'!$B$405:$J$412,0,1))*INDEX('Methodology &amp; Sources'!$B$405:$J$412,0,1+2))))))/Inputs!$C$8,IF($AN16="NY",0.117*$D16,IF($AN16="OH",0.0275*$D16,IF($AN16="OK",0.045*$D16,IF($AN16="OR",0.08*$D16,IF($AN16="WI",IF($AY16&lt;12760,0.0354,IF($AY16&lt;25520,0.0465,IF($AY16&lt;280950,0.053,0.0765)))*$D16,0))))))))))))))))))))</f>
      </c>
      <c r="BD16" s="7">
        <f>IF($B16="","",$BD15+$Q16+$R16+$S16)</f>
      </c>
      <c r="BE16" s="6">
        <f>IF($B16="",$BE15,$BE15+$BF16)</f>
      </c>
      <c r="BF16" s="6">
        <f>IF($B16="","",IF(AND(IF(YEAR(IF(Inputs!$C$7="Weekly",Inputs!$C$9+7*(($BE15+1)-1),IF(Inputs!$C$7="Biweekly",Inputs!$C$9+14*(($BE15+1)-1),IF(Inputs!$C$7="Semimonthly",DATE(YEAR(Inputs!$C$9),MONTH(Inputs!$C$9)+INT((($BE15+1)-1)/2),MIN(DAY(Inputs!$C$9),DAY(EOMONTH(DATE(YEAR(Inputs!$C$9),MONTH(Inputs!$C$9)+INT((($BE15+1)-1)/2),1),0))))+IF(MOD(($BE15+1)-1,2)=1,15,0),EDATE(Inputs!$C$9,($BE15+1)-1)))))&lt;&gt;2026,"",IF(Inputs!$C$7="Weekly",Inputs!$C$9+7*(($BE15+1)-1),IF(Inputs!$C$7="Biweekly",Inputs!$C$9+14*(($BE15+1)-1),IF(Inputs!$C$7="Semimonthly",DATE(YEAR(Inputs!$C$9),MONTH(Inputs!$C$9)+INT((($BE15+1)-1)/2),MIN(DAY(Inputs!$C$9),DAY(EOMONTH(DATE(YEAR(Inputs!$C$9),MONTH(Inputs!$C$9)+INT((($BE15+1)-1)/2),1),0))))+IF(MOD(($BE15+1)-1,2)=1,15,0),EDATE(Inputs!$C$9,($BE15+1)-1)))))&lt;&gt;"",$B16=IF(YEAR(IF(Inputs!$C$7="Weekly",Inputs!$C$9+7*(($BE15+1)-1),IF(Inputs!$C$7="Biweekly",Inputs!$C$9+14*(($BE15+1)-1),IF(Inputs!$C$7="Semimonthly",DATE(YEAR(Inputs!$C$9),MONTH(Inputs!$C$9)+INT((($BE15+1)-1)/2),MIN(DAY(Inputs!$C$9),DAY(EOMONTH(DATE(YEAR(Inputs!$C$9),MONTH(Inputs!$C$9)+INT((($BE15+1)-1)/2),1),0))))+IF(MOD(($BE15+1)-1,2)=1,15,0),EDATE(Inputs!$C$9,($BE15+1)-1)))))&lt;&gt;2026,"",IF(Inputs!$C$7="Weekly",Inputs!$C$9+7*(($BE15+1)-1),IF(Inputs!$C$7="Biweekly",Inputs!$C$9+14*(($BE15+1)-1),IF(Inputs!$C$7="Semimonthly",DATE(YEAR(Inputs!$C$9),MONTH(Inputs!$C$9)+INT((($BE15+1)-1)/2),MIN(DAY(Inputs!$C$9),DAY(EOMONTH(DATE(YEAR(Inputs!$C$9),MONTH(Inputs!$C$9)+INT((($BE15+1)-1)/2),1),0))))+IF(MOD(($BE15+1)-1,2)=1,15,0),EDATE(Inputs!$C$9,($BE15+1)-1)))))),1,0))</f>
      </c>
      <c r="BG16" s="7">
        <f>IF($B16="","",$BG15+$H16)</f>
      </c>
      <c r="BH16" s="7">
        <f>IF($B16="","",$BH15+$I16)</f>
      </c>
      <c r="BI16" s="7">
        <f>IF($B16="","",$BI15+$G16)</f>
      </c>
      <c r="BJ16" s="7">
        <f>IF($B16="","",IFERROR(LOOKUP(2,1/((((Events!$C$6:$C$17="Deduction start"))*(Events!$D$6:$D$17="Health FSA"))*(Events!$B$6:$B$17&lt;=$B16)*(Events!$B$6:$B$17&lt;&gt;"")),Events!$E$6:$E$17),Inputs!$D$38))</f>
      </c>
      <c r="BK16" s="7">
        <f>IF($B16="","",IFERROR(LOOKUP(2,1/((((Events!$C$6:$C$17="Deduction start"))*(Events!$D$6:$D$17="Dependent-care FSA"))*(Events!$B$6:$B$17&lt;=$B16)*(Events!$B$6:$B$17&lt;&gt;"")),Events!$E$6:$E$17),Inputs!$D$39))</f>
      </c>
      <c r="BL16" s="7">
        <f>IF($B16="","",IFERROR(LOOKUP(2,1/((((Events!$C$6:$C$17="Deduction start")+(Events!$C$6:$C$17="Deduction stop"))*(Events!$D$6:$D$17="HSA"))*(Events!$B$6:$B$17&lt;=$B16)*(Events!$B$6:$B$17&lt;&gt;"")),Events!$I$6:$I$17),Inputs!$D$35))</f>
      </c>
      <c r="BM16" s="7">
        <f>IF($B16="","",IFERROR(LOOKUP(2,1/((((Events!$C$6:$C$17="Deduction start")+(Events!$C$6:$C$17="Deduction stop"))*(Events!$D$6:$D$17="Premiums"))*(Events!$B$6:$B$17&lt;=$B16)*(Events!$B$6:$B$17&lt;&gt;"")),Events!$I$6:$I$17),Inputs!$D$40+Inputs!$D$41+Inputs!$D$42))</f>
      </c>
      <c r="BN16" s="7">
        <f>IF($B16="","",IFERROR(LOOKUP(2,1/((((Events!$C$6:$C$17="Deduction start")+(Events!$C$6:$C$17="Deduction stop"))*(Events!$D$6:$D$17="Commuter"))*(Events!$B$6:$B$17&lt;=$B16)*(Events!$B$6:$B$17&lt;&gt;"")),Events!$I$6:$I$17),Inputs!$D$43))</f>
      </c>
      <c r="BO16" s="7">
        <f>IF($B16="","",IFERROR(LOOKUP(2,1/((((Events!$C$6:$C$17="Deduction start")+(Events!$C$6:$C$17="Deduction stop"))*(Events!$D$6:$D$17="Other pre-tax"))*(Events!$B$6:$B$17&lt;=$B16)*(Events!$B$6:$B$17&lt;&gt;"")),Events!$I$6:$I$17),Inputs!$D$44))</f>
      </c>
      <c r="BP16" s="7">
        <f>IF($B16="","",IFERROR(LOOKUP(2,1/((((Events!$C$6:$C$17="Deduction start")+(Events!$C$6:$C$17="Deduction stop"))*(Events!$D$6:$D$17="Other post-tax"))*(Events!$B$6:$B$17&lt;=$B16)*(Events!$B$6:$B$17&lt;&gt;"")),Events!$I$6:$I$17),Inputs!$D$45))</f>
      </c>
      <c r="BQ16" s="6">
        <f>IF($B16="","",IFERROR(LOOKUP(2,1/((((Events!$C$6:$C$17="Deduction start")+(Events!$C$6:$C$17="Deduction stop"))*(Events!$D$6:$D$17="Health FSA"))*(Events!$B$6:$B$17&lt;=$B16)*(Events!$B$6:$B$17&lt;&gt;"")),Events!$J$6:$J$17),0))</f>
      </c>
      <c r="BR16" s="6">
        <f>IF($B16="","",IFERROR(LOOKUP(2,1/((((Events!$C$6:$C$17="Deduction start")+(Events!$C$6:$C$17="Deduction stop"))*(Events!$D$6:$D$17="Dependent-care FSA"))*(Events!$B$6:$B$17&lt;=$B16)*(Events!$B$6:$B$17&lt;&gt;"")),Events!$J$6:$J$17),0))</f>
      </c>
      <c r="BS16" s="6">
        <f>IF($B16="","",IF(SUMPRODUCT((Events!$C$6:$C$17="Deduction start")*(Events!$B$6:$B$17&lt;=$B16)*(Events!$B$6:$B$17&lt;&gt;"")*(Events!$D$6:$D$17="Health FSA"))&gt;0,1,0))</f>
      </c>
      <c r="BT16" s="6">
        <f>IF($B16="","",IF(SUMPRODUCT((Events!$C$6:$C$17="Deduction start")*(Events!$B$6:$B$17&lt;=$B16)*(Events!$B$6:$B$17&lt;&gt;"")*(Events!$D$6:$D$17="Dependent-care FSA"))&gt;0,1,0))</f>
      </c>
      <c r="BU16" s="24">
        <f>IF($B16="","",IF(Inputs!$C$13,SUMPRODUCT(($AH16&gt;=INDEX('Methodology &amp; Sources'!$B$279:$J$286,0,IF(Inputs!$C$12="MFJ",1,IF(Inputs!$C$12="HoH",7,4))))*INDEX('Methodology &amp; Sources'!$B$279:$J$286,0,IF(Inputs!$C$12="MFJ",1,IF(Inputs!$C$12="HoH",7,4))+2)),SUMPRODUCT(($AH16&gt;=INDEX('Methodology &amp; Sources'!$B$269:$J$276,0,IF(Inputs!$C$12="MFJ",1,IF(Inputs!$C$12="HoH",7,4))))*INDEX('Methodology &amp; Sources'!$B$269:$J$276,0,IF(Inputs!$C$12="MFJ",1,IF(Inputs!$C$12="HoH",7,4))+2))))</f>
      </c>
      <c r="BV16" s="24">
        <f>IF($B16="","",IF($BZ16&lt;&gt;"",$BZ16,IF($CA16&lt;&gt;"",$CA16,IF($CB16&lt;&gt;"",$CB16,IF($CC16&lt;&gt;"",$CC16,0)))))</f>
      </c>
      <c r="BW16" s="7">
        <f>IF($B16="","",IF($AN16="MD",IF(OR($AU16="Married",$AU16="Head of household"),SUMPRODUCT(($AZ16&gt;INDEX('Methodology &amp; Sources'!$B$364:$J$370,0,1))*($AZ16-INDEX('Methodology &amp; Sources'!$B$364:$J$370,0,1))*INDEX('Methodology &amp; Sources'!$B$364:$J$370,0,1+2)),SUMPRODUCT(($AZ16&gt;INDEX('Methodology &amp; Sources'!$B$353:$J$359,0,7))*($AZ16-INDEX('Methodology &amp; Sources'!$B$353:$J$359,0,7))*INDEX('Methodology &amp; Sources'!$B$353:$J$359,0,7+2))),IF($AN16="MO",SUMPRODUCT(($AZ16&gt;INDEX('Methodology &amp; Sources'!$B$375:$J$382,0,1))*($AZ16-INDEX('Methodology &amp; Sources'!$B$375:$J$382,0,1))*INDEX('Methodology &amp; Sources'!$B$375:$J$382,0,1+2)),IF($AN16="MT",IF($AU16="Head of household",SUMPRODUCT(($AZ16&gt;INDEX('Methodology &amp; Sources'!$B$387:$J$389,0,1))*($AZ16-INDEX('Methodology &amp; Sources'!$B$387:$J$389,0,1))*INDEX('Methodology &amp; Sources'!$B$387:$J$389,0,1+2)),IF($AU16="Married",SUMPRODUCT(($AZ16&gt;INDEX('Methodology &amp; Sources'!$B$375:$J$382,0,7))*($AZ16-INDEX('Methodology &amp; Sources'!$B$375:$J$382,0,7))*INDEX('Methodology &amp; Sources'!$B$375:$J$382,0,7+2)),SUMPRODUCT(($AZ16&gt;INDEX('Methodology &amp; Sources'!$B$375:$J$382,0,4))*($AZ16-INDEX('Methodology &amp; Sources'!$B$375:$J$382,0,4))*INDEX('Methodology &amp; Sources'!$B$375:$J$382,0,4+2)))),IF($AN16="ND",IF($AU16="Head of household",SUMPRODUCT(($AZ16&gt;INDEX('Methodology &amp; Sources'!$B$394:$J$400,0,1))*($AZ16-INDEX('Methodology &amp; Sources'!$B$394:$J$400,0,1))*INDEX('Methodology &amp; Sources'!$B$394:$J$400,0,1+2)),IF($AU16="Married",SUMPRODUCT(($AZ16&gt;INDEX('Methodology &amp; Sources'!$B$387:$J$389,0,7))*($AZ16-INDEX('Methodology &amp; Sources'!$B$387:$J$389,0,7))*INDEX('Methodology &amp; Sources'!$B$387:$J$389,0,7+2)),SUMPRODUCT(($AZ16&gt;INDEX('Methodology &amp; Sources'!$B$387:$J$389,0,4))*($AZ16-INDEX('Methodology &amp; Sources'!$B$387:$J$389,0,4))*INDEX('Methodology &amp; Sources'!$B$387:$J$389,0,4+2)))),IF($AN16="NJ",IF(Inputs!$C$77="B",SUMPRODUCT(($AZ16&gt;INDEX('Methodology &amp; Sources'!$B$405:$J$412,0,4))*($AZ16-INDEX('Methodology &amp; Sources'!$B$405:$J$412,0,4))*INDEX('Methodology &amp; Sources'!$B$405:$J$412,0,4+2)),IF(Inputs!$C$77="C",SUMPRODUCT(($AZ16&gt;INDEX('Methodology &amp; Sources'!$B$405:$J$412,0,7))*($AZ16-INDEX('Methodology &amp; Sources'!$B$405:$J$412,0,7))*INDEX('Methodology &amp; Sources'!$B$405:$J$412,0,7+2)),IF(Inputs!$C$77="D",SUMPRODUCT(($AZ16&gt;INDEX('Methodology &amp; Sources'!$B$417:$J$429,0,1))*($AZ16-INDEX('Methodology &amp; Sources'!$B$417:$J$429,0,1))*INDEX('Methodology &amp; Sources'!$B$417:$J$429,0,1+2)),IF(Inputs!$C$77="E",SUMPRODUCT(($AZ16&gt;INDEX('Methodology &amp; Sources'!$B$417:$J$429,0,4))*($AZ16-INDEX('Methodology &amp; Sources'!$B$417:$J$429,0,4))*INDEX('Methodology &amp; Sources'!$B$417:$J$429,0,4+2)),SUMPRODUCT(($AZ16&gt;INDEX('Methodology &amp; Sources'!$B$405:$J$412,0,1))*($AZ16-INDEX('Methodology &amp; Sources'!$B$405:$J$412,0,1))*INDEX('Methodology &amp; Sources'!$B$405:$J$412,0,1+2)))))),IF($AN16="NY",IF($AU16="Married",IF($AZ16&gt;=2155350,$AZ16*IF($AZ16&gt;25000000,0.117,IF($AZ16&gt;5000000,0.111,0.1045)),SUMPRODUCT(($AZ16&gt;INDEX('Methodology &amp; Sources'!$B$434:$J$448,0,1))*($AZ16-INDEX('Methodology &amp; Sources'!$B$434:$J$448,0,1))*INDEX('Methodology &amp; Sources'!$B$434:$J$448,0,1+2))),IF($AZ16&gt;=1077550,$AZ16*IF($AZ16&gt;25000000,0.117,IF($AZ16&gt;5000000,0.111,0.1045)),SUMPRODUCT(($AZ16&gt;INDEX('Methodology &amp; Sources'!$B$417:$J$429,0,7))*($AZ16-INDEX('Methodology &amp; Sources'!$B$417:$J$429,0,7))*INDEX('Methodology &amp; Sources'!$B$417:$J$429,0,7+2)))),"")))))))</f>
      </c>
      <c r="BX16" s="7">
        <f>IF($B16="","",IF($AN16="AL",IF(OR($AU16="Married",$AU16="Head of household"),SUMPRODUCT(($AZ16&gt;INDEX('Methodology &amp; Sources'!$B$332:$J$336,0,4))*($AZ16-INDEX('Methodology &amp; Sources'!$B$332:$J$336,0,4))*INDEX('Methodology &amp; Sources'!$B$332:$J$336,0,4+2)),SUMPRODUCT(($AZ16&gt;INDEX('Methodology &amp; Sources'!$B$332:$J$336,0,1))*($AZ16-INDEX('Methodology &amp; Sources'!$B$332:$J$336,0,1))*INDEX('Methodology &amp; Sources'!$B$332:$J$336,0,1+2))),IF($AN16="KS",IF($AU16="Married",SUMPRODUCT(($AZ16&gt;INDEX('Methodology &amp; Sources'!$B$353:$J$359,0,4))*($AZ16-INDEX('Methodology &amp; Sources'!$B$353:$J$359,0,4))*INDEX('Methodology &amp; Sources'!$B$353:$J$359,0,4+2)),SUMPRODUCT(($AZ16&gt;INDEX('Methodology &amp; Sources'!$B$353:$J$359,0,1))*($AZ16-INDEX('Methodology &amp; Sources'!$B$353:$J$359,0,1))*INDEX('Methodology &amp; Sources'!$B$353:$J$359,0,1+2))),IF($AN16="MN",IF($AU16="Married",SUMPRODUCT(($AZ16&gt;INDEX('Methodology &amp; Sources'!$B$364:$J$370,0,7))*($AZ16-INDEX('Methodology &amp; Sources'!$B$364:$J$370,0,7))*INDEX('Methodology &amp; Sources'!$B$364:$J$370,0,7+2)),SUMPRODUCT(($AZ16&gt;INDEX('Methodology &amp; Sources'!$B$364:$J$370,0,4))*($AZ16-INDEX('Methodology &amp; Sources'!$B$364:$J$370,0,4))*INDEX('Methodology &amp; Sources'!$B$364:$J$370,0,4+2))),IF($AN16="NE",MAX(IF($AU16="Married",SUMPRODUCT(($AZ16&gt;INDEX('Methodology &amp; Sources'!$B$394:$J$400,0,7))*($AZ16-INDEX('Methodology &amp; Sources'!$B$394:$J$400,0,7))*INDEX('Methodology &amp; Sources'!$B$394:$J$400,0,7+2)),SUMPRODUCT(($AZ16&gt;INDEX('Methodology &amp; Sources'!$B$394:$J$400,0,4))*($AZ16-INDEX('Methodology &amp; Sources'!$B$394:$J$400,0,4))*INDEX('Methodology &amp; Sources'!$B$394:$J$400,0,4+2))),0.015*$AZ16),IF($AN16="OH",IF($B16&gt;=DATE(2026,8,1),SUMPRODUCT(($AZ16&gt;INDEX('Methodology &amp; Sources'!$B$453:$J$456,0,1))*($AZ16-INDEX('Methodology &amp; Sources'!$B$453:$J$456,0,1))*INDEX('Methodology &amp; Sources'!$B$453:$J$456,0,1+2)),SUMPRODUCT(($AZ16&gt;INDEX('Methodology &amp; Sources'!$B$434:$J$448,0,7))*($AZ16-INDEX('Methodology &amp; Sources'!$B$434:$J$448,0,7))*INDEX('Methodology &amp; Sources'!$B$434:$J$448,0,7+2))),IF($AN16="OK",IF($AU16="Married",SUMPRODUCT(($AZ16&gt;INDEX('Methodology &amp; Sources'!$B$453:$J$456,0,7))*($AZ16-INDEX('Methodology &amp; Sources'!$B$453:$J$456,0,7))*INDEX('Methodology &amp; Sources'!$B$453:$J$456,0,7+2)),SUMPRODUCT(($AZ16&gt;INDEX('Methodology &amp; Sources'!$B$453:$J$456,0,4))*($AZ16-INDEX('Methodology &amp; Sources'!$B$453:$J$456,0,4))*INDEX('Methodology &amp; Sources'!$B$453:$J$456,0,4+2))),IF($AN16="RI",SUMPRODUCT(($AZ16&gt;INDEX('Methodology &amp; Sources'!$B$461:$J$464,0,7))*($AZ16-INDEX('Methodology &amp; Sources'!$B$461:$J$464,0,7))*INDEX('Methodology &amp; Sources'!$B$461:$J$464,0,7+2)),IF($AN16="VT",IF($AU16="Married",SUMPRODUCT(($AZ16&gt;INDEX('Methodology &amp; Sources'!$B$478:$J$482,0,1))*($AZ16-INDEX('Methodology &amp; Sources'!$B$478:$J$482,0,1))*INDEX('Methodology &amp; Sources'!$B$478:$J$482,0,1+2)),SUMPRODUCT(($AZ16&gt;INDEX('Methodology &amp; Sources'!$B$469:$J$473,0,7))*($AZ16-INDEX('Methodology &amp; Sources'!$B$469:$J$473,0,7))*INDEX('Methodology &amp; Sources'!$B$469:$J$473,0,7+2))),IF($AN16="WV",IF($AU16="Married",SUMPRODUCT(($AZ16&gt;INDEX('Methodology &amp; Sources'!$B$487:$J$491,0,7))*($AZ16-INDEX('Methodology &amp; Sources'!$B$487:$J$491,0,7))*INDEX('Methodology &amp; Sources'!$B$487:$J$491,0,7+2)),SUMPRODUCT(($AZ16&gt;INDEX('Methodology &amp; Sources'!$B$478:$J$482,0,7))*($AZ16-INDEX('Methodology &amp; Sources'!$B$478:$J$482,0,7))*INDEX('Methodology &amp; Sources'!$B$478:$J$482,0,7+2))),""))))))))))</f>
      </c>
      <c r="BY16" s="7">
        <f>IF($B16="","",IF($AN16="AR",SUMPRODUCT(($AZ16&gt;INDEX('Methodology &amp; Sources'!$B$332:$J$336,0,7))*($AZ16-INDEX('Methodology &amp; Sources'!$B$332:$J$336,0,7))*INDEX('Methodology &amp; Sources'!$B$332:$J$336,0,7+2)),IF($AN16="DE",SUMPRODUCT(($AZ16&gt;INDEX('Methodology &amp; Sources'!$B$341:$J$348,0,1))*($AZ16-INDEX('Methodology &amp; Sources'!$B$341:$J$348,0,1))*INDEX('Methodology &amp; Sources'!$B$341:$J$348,0,1+2)),IF($AN16="HI",IF($AU16="Married",SUMPRODUCT(($AZ16&gt;INDEX('Methodology &amp; Sources'!$B$341:$J$348,0,7))*($AZ16-INDEX('Methodology &amp; Sources'!$B$341:$J$348,0,7))*INDEX('Methodology &amp; Sources'!$B$341:$J$348,0,7+2)),SUMPRODUCT(($AZ16&gt;INDEX('Methodology &amp; Sources'!$B$341:$J$348,0,4))*($AZ16-INDEX('Methodology &amp; Sources'!$B$341:$J$348,0,4))*INDEX('Methodology &amp; Sources'!$B$341:$J$348,0,4+2))),IF($AN16="SC",SUMPRODUCT(($AZ16&gt;INDEX('Methodology &amp; Sources'!$B$469:$J$473,0,1))*($AZ16-INDEX('Methodology &amp; Sources'!$B$469:$J$473,0,1))*INDEX('Methodology &amp; Sources'!$B$469:$J$473,0,1+2)),IF($AN16="VA",SUMPRODUCT(($AZ16&gt;INDEX('Methodology &amp; Sources'!$B$469:$J$473,0,4))*($AZ16-INDEX('Methodology &amp; Sources'!$B$469:$J$473,0,4))*INDEX('Methodology &amp; Sources'!$B$469:$J$473,0,4+2)),IF($AN16="WI",SUMPRODUCT(($AZ16&gt;INDEX('Methodology &amp; Sources'!$B$478:$J$482,0,4))*($AZ16-INDEX('Methodology &amp; Sources'!$B$478:$J$482,0,4))*INDEX('Methodology &amp; Sources'!$B$478:$J$482,0,4+2)),"")))))))</f>
      </c>
      <c r="BZ16" s="24">
        <f>IF($B16="","",IF($AN16="NJ",IF(Inputs!$C$77="B",SUMPRODUCT(($AZ16&gt;=INDEX('Methodology &amp; Sources'!$B$405:$J$412,0,4))*INDEX('Methodology &amp; Sources'!$B$405:$J$412,0,4+2)),IF(Inputs!$C$77="C",SUMPRODUCT(($AZ16&gt;=INDEX('Methodology &amp; Sources'!$B$405:$J$412,0,7))*INDEX('Methodology &amp; Sources'!$B$405:$J$412,0,7+2)),IF(Inputs!$C$77="D",SUMPRODUCT(($AZ16&gt;=INDEX('Methodology &amp; Sources'!$B$417:$J$429,0,1))*INDEX('Methodology &amp; Sources'!$B$417:$J$429,0,1+2)),IF(Inputs!$C$77="E",SUMPRODUCT(($AZ16&gt;=INDEX('Methodology &amp; Sources'!$B$417:$J$429,0,4))*INDEX('Methodology &amp; Sources'!$B$417:$J$429,0,4+2)),SUMPRODUCT(($AZ16&gt;=INDEX('Methodology &amp; Sources'!$B$405:$J$412,0,1))*INDEX('Methodology &amp; Sources'!$B$405:$J$412,0,1+2)))))),IF($AN16="OR",IF(OR($AU16="Married",AND($AU16="Single",$AS16&gt;=3)),SUMPRODUCT((MAX(0,$AY16-MIN(($P16-'Methodology &amp; Sources'!$C$260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Sources'!$B$461:$J$464,0,4))*INDEX('Methodology &amp; Sources'!$B$461:$J$464,0,4+2)),SUMPRODUCT((MAX(0,$AY16-MIN(($P16-'Methodology &amp; Sources'!$C$260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Sources'!$B$461:$J$464,0,1))*INDEX('Methodology &amp; Sources'!$B$461:$J$464,0,1+2)))*IF(($P16-'Methodology &amp; Sources'!$C$260*$D16)*Inputs!$C$8&gt;=IF(OR($AU16="Married",AND($AU16="Single",$AS16&gt;=3)),IF($AY16&lt;250000,8750,IF($AY16&lt;260000,7000,IF($AY16&lt;270000,5250,IF($AY16&lt;280000,3500,IF($AY16&lt;290000,1750,0))))),IF($AY16&lt;125000,8750,IF($AY16&lt;130000,7000,IF($AY16&lt;135000,5250,IF($AY16&lt;140000,3500,IF($AY16&lt;145000,1750,0)))))),1,1-IF(Inputs!$C$13,SUMPRODUCT(($AH16&gt;=INDEX('Methodology &amp; Sources'!$B$279:$J$286,0,IF(Inputs!$C$12="MFJ",1,IF(Inputs!$C$12="HoH",7,4))))*INDEX('Methodology &amp; Sources'!$B$279:$J$286,0,IF(Inputs!$C$12="MFJ",1,IF(Inputs!$C$12="HoH",7,4))+2)),SUMPRODUCT(($AH16&gt;=INDEX('Methodology &amp; Sources'!$B$269:$J$276,0,IF(Inputs!$C$12="MFJ",1,IF(Inputs!$C$12="HoH",7,4))))*INDEX('Methodology &amp; Sources'!$B$269:$J$276,0,IF(Inputs!$C$12="MFJ",1,IF(Inputs!$C$12="HoH",7,4))+2)))),IF($AN16="MI",IF($AY16&gt;5900*$AS16,0.0425,0),""))))</f>
      </c>
      <c r="CA16" s="24">
        <f>IF($B16="","",IF($AN16="AL",IF(OR($AU16="Married",$AU16="Head of household"),SUMPRODUCT(($AZ16&gt;=INDEX('Methodology &amp; Sources'!$B$332:$J$336,0,4))*INDEX('Methodology &amp; Sources'!$B$332:$J$336,0,4+2)),SUMPRODUCT(($AZ16&gt;=INDEX('Methodology &amp; Sources'!$B$332:$J$336,0,1))*INDEX('Methodology &amp; Sources'!$B$332:$J$336,0,1+2)))*(1-IF(Inputs!$C$13,SUMPRODUCT(($AH16&gt;=INDEX('Methodology &amp; Sources'!$B$279:$J$286,0,IF(Inputs!$C$12="MFJ",1,IF(Inputs!$C$12="HoH",7,4))))*INDEX('Methodology &amp; Sources'!$B$279:$J$286,0,IF(Inputs!$C$12="MFJ",1,IF(Inputs!$C$12="HoH",7,4))+2)),SUMPRODUCT(($AH16&gt;=INDEX('Methodology &amp; Sources'!$B$269:$J$276,0,IF(Inputs!$C$12="MFJ",1,IF(Inputs!$C$12="HoH",7,4))))*INDEX('Methodology &amp; Sources'!$B$269:$J$276,0,IF(Inputs!$C$12="MFJ",1,IF(Inputs!$C$12="HoH",7,4))+2)))),IF($AN16="KS",IF($AU16="Married",SUMPRODUCT(($AZ16&gt;=INDEX('Methodology &amp; Sources'!$B$353:$J$359,0,4))*INDEX('Methodology &amp; Sources'!$B$353:$J$359,0,4+2)),SUMPRODUCT(($AZ16&gt;=INDEX('Methodology &amp; Sources'!$B$353:$J$359,0,1))*INDEX('Methodology &amp; Sources'!$B$353:$J$359,0,1+2))),IF($AN16="MD",IF(OR($AU16="Married",$AU16="Head of household"),SUMPRODUCT(($AZ16&gt;=INDEX('Methodology &amp; Sources'!$B$364:$J$370,0,1))*INDEX('Methodology &amp; Sources'!$B$364:$J$370,0,1+2)),SUMPRODUCT(($AZ16&gt;=INDEX('Methodology &amp; Sources'!$B$353:$J$359,0,7))*INDEX('Methodology &amp; Sources'!$B$353:$J$359,0,7+2)))+Inputs!$C$74,IF($AN16="MT",IF($AU16="Head of household",SUMPRODUCT(($AZ16&gt;=INDEX('Methodology &amp; Sources'!$B$387:$J$389,0,1))*INDEX('Methodology &amp; Sources'!$B$387:$J$389,0,1+2)),IF($AU16="Married",SUMPRODUCT(($AZ16&gt;=INDEX('Methodology &amp; Sources'!$B$375:$J$382,0,7))*INDEX('Methodology &amp; Sources'!$B$375:$J$382,0,7+2)),SUMPRODUCT(($AZ16&gt;=INDEX('Methodology &amp; Sources'!$B$375:$J$382,0,4))*INDEX('Methodology &amp; Sources'!$B$375:$J$382,0,4+2)))),IF($AN16="ND",IF($AU16="Head of household",SUMPRODUCT(($AZ16&gt;=INDEX('Methodology &amp; Sources'!$B$394:$J$400,0,1))*INDEX('Methodology &amp; Sources'!$B$394:$J$400,0,1+2)),IF($AU16="Married",SUMPRODUCT(($AZ16&gt;=INDEX('Methodology &amp; Sources'!$B$387:$J$389,0,7))*INDEX('Methodology &amp; Sources'!$B$387:$J$389,0,7+2)),SUMPRODUCT(($AZ16&gt;=INDEX('Methodology &amp; Sources'!$B$387:$J$389,0,4))*INDEX('Methodology &amp; Sources'!$B$387:$J$389,0,4+2)))),IF($AN16="NY",IF($AU16="Married",IF($AZ16&gt;=2155350,IF($AZ16&gt;25000000,0.117,IF($AZ16&gt;5000000,0.111,0.1045)),SUMPRODUCT(($AZ16&gt;=INDEX('Methodology &amp; Sources'!$B$434:$J$448,0,1))*INDEX('Methodology &amp; Sources'!$B$434:$J$448,0,1+2))),IF($AZ16&gt;=1077550,IF($AZ16&gt;25000000,0.117,IF($AZ16&gt;5000000,0.111,0.1045)),SUMPRODUCT(($AZ16&gt;=INDEX('Methodology &amp; Sources'!$B$417:$J$429,0,7))*INDEX('Methodology &amp; Sources'!$B$417:$J$429,0,7+2)))),"")))))))</f>
      </c>
      <c r="CB16" s="24">
        <f>IF($B16="","",IF($AN16="CA",SUMPRODUCT(($AJ16&gt;=INDEX('Methodology &amp; Sources'!$B$289:$J$298,0,IF($AU16="Married",4,IF($AU16="Head of household",7,1))))*INDEX('Methodology &amp; Sources'!$B$289:$J$298,0,IF($AU16="Married",4,IF($AU16="Head of household",7,1))+2)),IF($AN16="HI",IF($AU16="Married",SUMPRODUCT(($AZ16&gt;=INDEX('Methodology &amp; Sources'!$B$341:$J$348,0,7))*INDEX('Methodology &amp; Sources'!$B$341:$J$348,0,7+2)),SUMPRODUCT(($AZ16&gt;=INDEX('Methodology &amp; Sources'!$B$341:$J$348,0,4))*INDEX('Methodology &amp; Sources'!$B$341:$J$348,0,4+2))),IF($AN16="MN",IF($AU16="Married",SUMPRODUCT(($AZ16&gt;=INDEX('Methodology &amp; Sources'!$B$364:$J$370,0,7))*INDEX('Methodology &amp; Sources'!$B$364:$J$370,0,7+2)),SUMPRODUCT(($AZ16&gt;=INDEX('Methodology &amp; Sources'!$B$364:$J$370,0,4))*INDEX('Methodology &amp; Sources'!$B$364:$J$370,0,4+2))),IF($AN16="MO",SUMPRODUCT(($AZ16&gt;=INDEX('Methodology &amp; Sources'!$B$375:$J$382,0,1))*INDEX('Methodology &amp; Sources'!$B$375:$J$382,0,1+2)),IF($AN16="NE",MAX(IF($AU16="Married",SUMPRODUCT(($AZ16&gt;=INDEX('Methodology &amp; Sources'!$B$394:$J$400,0,7))*INDEX('Methodology &amp; Sources'!$B$394:$J$400,0,7+2)),SUMPRODUCT(($AZ16&gt;=INDEX('Methodology &amp; Sources'!$B$394:$J$400,0,4))*INDEX('Methodology &amp; Sources'!$B$394:$J$400,0,4+2))),0.015),IF($AN16="OH",IF($B16&gt;=DATE(2026,8,1),SUMPRODUCT(($AZ16&gt;=INDEX('Methodology &amp; Sources'!$B$453:$J$456,0,1))*INDEX('Methodology &amp; Sources'!$B$453:$J$456,0,1+2)),SUMPRODUCT(($AZ16&gt;=INDEX('Methodology &amp; Sources'!$B$434:$J$448,0,7))*INDEX('Methodology &amp; Sources'!$B$434:$J$448,0,7+2))),IF($AN16="OK",IF($AU16="Married",SUMPRODUCT(($AZ16&gt;=INDEX('Methodology &amp; Sources'!$B$453:$J$456,0,7))*INDEX('Methodology &amp; Sources'!$B$453:$J$456,0,7+2)),SUMPRODUCT(($AZ16&gt;=INDEX('Methodology &amp; Sources'!$B$453:$J$456,0,4))*INDEX('Methodology &amp; Sources'!$B$453:$J$456,0,4+2))),IF($AN16="RI",SUMPRODUCT(($AZ16&gt;=INDEX('Methodology &amp; Sources'!$B$461:$J$464,0,7))*INDEX('Methodology &amp; Sources'!$B$461:$J$464,0,7+2)),IF($AN16="SC",SUMPRODUCT(($AZ16&gt;=INDEX('Methodology &amp; Sources'!$B$469:$J$473,0,1))*INDEX('Methodology &amp; Sources'!$B$469:$J$473,0,1+2)),IF($AN16="VT",IF($AU16="Married",SUMPRODUCT(($AZ16&gt;=INDEX('Methodology &amp; Sources'!$B$478:$J$482,0,1))*INDEX('Methodology &amp; Sources'!$B$478:$J$482,0,1+2)),SUMPRODUCT(($AZ16&gt;=INDEX('Methodology &amp; Sources'!$B$469:$J$473,0,7))*INDEX('Methodology &amp; Sources'!$B$469:$J$473,0,7+2))),IF($AN16="WV",IF($AU16="Married",SUMPRODUCT(($AZ16&gt;=INDEX('Methodology &amp; Sources'!$B$487:$J$491,0,7))*INDEX('Methodology &amp; Sources'!$B$487:$J$491,0,7+2)),SUMPRODUCT(($AZ16&gt;=INDEX('Methodology &amp; Sources'!$B$478:$J$482,0,7))*INDEX('Methodology &amp; Sources'!$B$478:$J$482,0,7+2))),IF($AN16="IN",(0.0295+Inputs!$C$76),"")))))))))))))</f>
      </c>
      <c r="CC16" s="24">
        <f>IF($B16="","",IF($AN16="AR",SUMPRODUCT(($AZ16&gt;=INDEX('Methodology &amp; Sources'!$B$332:$J$336,0,7))*INDEX('Methodology &amp; Sources'!$B$332:$J$336,0,7+2)),IF($AN16="DE",SUMPRODUCT(($AZ16&gt;=INDEX('Methodology &amp; Sources'!$B$341:$J$348,0,1))*INDEX('Methodology &amp; Sources'!$B$341:$J$348,0,1+2)),IF($AN16="VA",SUMPRODUCT(($AZ16&gt;=INDEX('Methodology &amp; Sources'!$B$469:$J$473,0,4))*INDEX('Methodology &amp; Sources'!$B$469:$J$473,0,4+2)),IF($AN16="WI",SUMPRODUCT(($AZ16&gt;=INDEX('Methodology &amp; Sources'!$B$478:$J$482,0,4))*INDEX('Methodology &amp; Sources'!$B$478:$J$482,0,4+2)),IF($AN16="AZ",Inputs!$C$82,IF($AN16="CO",IF($AY16&gt;IF($AU16="Married",10000,5000),0.044,0),IF($AN16="IA",IF($AY16&gt;IF($AU16="Head of household",19500,IF($AU16="Married",26000,13000)),0.038,0),IF($AN16="ID",IF($AY16&gt;IF($AU16="Married",32000,16094),0.053,0),IF($AN16="IL",IF($AY16&gt;(2925*$AS16+1000*$AT16),0.0495,0),IF($AN16="KY",IF($AI16&gt;3360,0.035,0),IF($AN16="LA",0.0309,IF($AN16="MA",IF(MAX(0,$AY16-MIN(($BD15+$Q16+$R16+$S16),2000)-IF($AS16=0,0,IF($AS16=1,4400,1000*$AS16+3400)))&gt;=1107750,0.09,0.05),IF($AN16="MS",IF($AI16-IF($AU16="Head of household",3400,IF($AU16="Married",4600,2300))-Inputs!$C$85&gt;10000,0.04,0),IF($AN16="PA",0.0307,"")))))))))))))))</f>
      </c>
      <c r="CD16" s="21">
        <f>IF(YEAR(IF(Inputs!$C$7="Weekly",Inputs!$C$9+7*(($BE15+1)-1),IF(Inputs!$C$7="Biweekly",Inputs!$C$9+14*(($BE15+1)-1),IF(Inputs!$C$7="Semimonthly",DATE(YEAR(Inputs!$C$9),MONTH(Inputs!$C$9)+INT((($BE15+1)-1)/2),MIN(DAY(Inputs!$C$9),DAY(EOMONTH(DATE(YEAR(Inputs!$C$9),MONTH(Inputs!$C$9)+INT((($BE15+1)-1)/2),1),0))))+IF(MOD(($BE15+1)-1,2)=1,15,0),EDATE(Inputs!$C$9,($BE15+1)-1)))))&lt;&gt;2026,"",IF(Inputs!$C$7="Weekly",Inputs!$C$9+7*(($BE15+1)-1),IF(Inputs!$C$7="Biweekly",Inputs!$C$9+14*(($BE15+1)-1),IF(Inputs!$C$7="Semimonthly",DATE(YEAR(Inputs!$C$9),MONTH(Inputs!$C$9)+INT((($BE15+1)-1)/2),MIN(DAY(Inputs!$C$9),DAY(EOMONTH(DATE(YEAR(Inputs!$C$9),MONTH(Inputs!$C$9)+INT((($BE15+1)-1)/2),1),0))))+IF(MOD(($BE15+1)-1,2)=1,15,0),EDATE(Inputs!$C$9,($BE15+1)-1)))))</f>
      </c>
      <c r="CE16" s="21">
        <f>IF(SUMPRODUCT(MIN(IF((Inputs!$C$58:$C$67&gt;MAX($B$6:$B15))*(Inputs!$C$58:$C$67&gt;=DATE(2026,1,1))*(Inputs!$C$58:$C$67&lt;=DATE(2026,12,31)),Inputs!$C$58:$C$67,999999)))=999999,"",SUMPRODUCT(MIN(IF((Inputs!$C$58:$C$67&gt;MAX($B$6:$B15))*(Inputs!$C$58:$C$67&gt;=DATE(2026,1,1))*(Inputs!$C$58:$C$67&lt;=DATE(2026,12,31)),Inputs!$C$58:$C$67,999999))))</f>
      </c>
    </row>
    <row r="17">
      <c r="A17" t="n">
        <v>12</v>
      </c>
      <c r="B17" s="21">
        <f>IF(AND($CD17="",$CE17=""),"",IF($CE17="",$CD17,IF($CD17="",$CE17,MIN($CD17,$CE17))))</f>
      </c>
      <c r="C17" s="7">
        <f>IF($B17="","",IF($BF17=0,0,IF(Inputs!$C$4="Annual salary",ROUND($AK17/IF(AND(Inputs!$C$88="Actual paydays",MONTH(Inputs!$C$9)=1),MAX(1,MAX($BE$6:$BE$68)),Inputs!$C$8),2),$AK17)))</f>
      </c>
      <c r="D17" s="7">
        <f>IF($B17="","",SUMIF(Inputs!$C$58:$C$67,$B17,Inputs!$D$58:$D$67))</f>
      </c>
      <c r="E17" s="7">
        <f>IF($B17="","",ROUND(MAX(0,MIN(IF($AL17="Percent",$AM17*($C17+$D17),$AM17),MAX(0,Inputs!$C$91-$AC16))),2))</f>
      </c>
      <c r="F17" s="7">
        <f>IF($B17="","",ROUND(MAX(0,MIN(IF(Inputs!$C$32="Percent",Inputs!$D$32*($C17+$D17),Inputs!$D$32),MAX(0,Inputs!$C$91-$AC16-$E17))),2))</f>
      </c>
      <c r="G17" s="7">
        <f>IF($B17="","",IF($BF17=0,0,ROUND(MAX(0,MIN($BL17,Inputs!$C$92-Inputs!$C$54-$BI16)),2)))</f>
      </c>
      <c r="H17" s="7">
        <f>IF($B17="","",IF(OR($BF17=0,$BQ17=1),0,ROUND(MAX(0,MIN(IF($BS17=1,ROUND(MAX(0,MIN($BJ17,'Methodology &amp; Sources'!$C$263)-$BG16)/MAX(1,MAX($BE$6:$BE$68)-($BE16)),2),ROUND(MIN($BJ17,'Methodology &amp; Sources'!$C$263)/Inputs!$C$8,2)),MIN($BJ17,'Methodology &amp; Sources'!$C$263)-$BG16)),2)))</f>
      </c>
      <c r="I17" s="7">
        <f>IF($B17="","",IF(OR($BF17=0,$BR17=1),0,ROUND(MAX(0,MIN(IF($BT17=1,ROUND(MAX(0,MIN($BK17,IF(Inputs!$C$12="MFJ",'Methodology &amp; Sources'!$C$264,'Methodology &amp; Sources'!$C$265))-$BH16)/MAX(1,MAX($BE$6:$BE$68)-($BE16)),2),ROUND(MIN($BK17,IF(Inputs!$C$12="MFJ",'Methodology &amp; Sources'!$C$264,'Methodology &amp; Sources'!$C$265))/Inputs!$C$8,2)),MIN($BK17,IF(Inputs!$C$12="MFJ",'Methodology &amp; Sources'!$C$264,'Methodology &amp; Sources'!$C$265))-$BH16)),2)))</f>
      </c>
      <c r="J17" s="7">
        <f>IF($B17="","",IF($BF17=0,0,$BM17))</f>
      </c>
      <c r="K17" s="7">
        <f>IF($B17="","",IF($BF17=0,0,$BN17+$BO17))</f>
      </c>
      <c r="L17" s="7">
        <f>IF($B17="","",IF($BF17=0,0,Inputs!$D$46))</f>
      </c>
      <c r="M17" s="7">
        <f>IF($B17="","",$C17+$D17+$L17-$E17-$G17-$H17-$I17-$J17-$K17)</f>
      </c>
      <c r="N17" s="7">
        <f>IF($B17="","",$C17+$D17+$L17-$G17-$H17-$I17-$J17-$K17)</f>
      </c>
      <c r="O17" s="7">
        <f>IF($B17="","",$C17+$D17+$L17-$E17-$H17-$I17-$J17-$K17-IF(OR($AN17="CA",$AN17="NJ"),0,$G17))</f>
      </c>
      <c r="P17" s="7">
        <f>IF($B17="","",IF(Inputs!$C$18,0,ROUND(MAX(0,IF(Inputs!$C$13,SUMPRODUCT(($AH17&gt;INDEX('Methodology &amp; Sources'!$B$279:$J$286,0,IF(Inputs!$C$12="MFJ",1,IF(Inputs!$C$12="HoH",7,4))))*($AH17-INDEX('Methodology &amp; Sources'!$B$279:$J$286,0,IF(Inputs!$C$12="MFJ",1,IF(Inputs!$C$12="HoH",7,4))))*INDEX('Methodology &amp; Sources'!$B$279:$J$286,0,IF(Inputs!$C$12="MFJ",1,IF(Inputs!$C$12="HoH",7,4))+2)),SUMPRODUCT(($AH17&gt;INDEX('Methodology &amp; Sources'!$B$269:$J$276,0,IF(Inputs!$C$12="MFJ",1,IF(Inputs!$C$12="HoH",7,4))))*($AH17-INDEX('Methodology &amp; Sources'!$B$269:$J$276,0,IF(Inputs!$C$12="MFJ",1,IF(Inputs!$C$12="HoH",7,4))))*INDEX('Methodology &amp; Sources'!$B$269:$J$276,0,IF(Inputs!$C$12="MFJ",1,IF(Inputs!$C$12="HoH",7,4))+2)))/Inputs!$C$8-$AO17/Inputs!$C$8)+$AR17+IF(Inputs!$C$89="Aggregate",MAX(0,IF(Inputs!$C$13,SUMPRODUCT((($AH17+$D17)&gt;INDEX('Methodology &amp; Sources'!$B$279:$J$286,0,IF(Inputs!$C$12="MFJ",1,IF(Inputs!$C$12="HoH",7,4))))*(($AH17+$D17)-INDEX('Methodology &amp; Sources'!$B$279:$J$286,0,IF(Inputs!$C$12="MFJ",1,IF(Inputs!$C$12="HoH",7,4))))*INDEX('Methodology &amp; Sources'!$B$279:$J$286,0,IF(Inputs!$C$12="MFJ",1,IF(Inputs!$C$12="HoH",7,4))+2)),SUMPRODUCT((($AH17+$D17)&gt;INDEX('Methodology &amp; Sources'!$B$269:$J$276,0,IF(Inputs!$C$12="MFJ",1,IF(Inputs!$C$12="HoH",7,4))))*(($AH17+$D17)-INDEX('Methodology &amp; Sources'!$B$269:$J$276,0,IF(Inputs!$C$12="MFJ",1,IF(Inputs!$C$12="HoH",7,4))))*INDEX('Methodology &amp; Sources'!$B$269:$J$276,0,IF(Inputs!$C$12="MFJ",1,IF(Inputs!$C$12="HoH",7,4))+2)))-IF(Inputs!$C$13,SUMPRODUCT(($AH17&gt;INDEX('Methodology &amp; Sources'!$B$279:$J$286,0,IF(Inputs!$C$12="MFJ",1,IF(Inputs!$C$12="HoH",7,4))))*($AH17-INDEX('Methodology &amp; Sources'!$B$279:$J$286,0,IF(Inputs!$C$12="MFJ",1,IF(Inputs!$C$12="HoH",7,4))))*INDEX('Methodology &amp; Sources'!$B$279:$J$286,0,IF(Inputs!$C$12="MFJ",1,IF(Inputs!$C$12="HoH",7,4))+2)),SUMPRODUCT(($AH17&gt;INDEX('Methodology &amp; Sources'!$B$269:$J$276,0,IF(Inputs!$C$12="MFJ",1,IF(Inputs!$C$12="HoH",7,4))))*($AH17-INDEX('Methodology &amp; Sources'!$B$269:$J$276,0,IF(Inputs!$C$12="MFJ",1,IF(Inputs!$C$12="HoH",7,4))))*INDEX('Methodology &amp; Sources'!$B$269:$J$276,0,IF(Inputs!$C$12="MFJ",1,IF(Inputs!$C$12="HoH",7,4))+2)))),'Methodology &amp; Sources'!$C$260*$D17),2)))</f>
      </c>
      <c r="Q17" s="7">
        <f>IF($B17="","",ROUND('Methodology &amp; Sources'!$C$254*MIN($N17,MAX(0,'Methodology &amp; Sources'!$C$253-($AX17+$AB16-$AW17))),2))</f>
      </c>
      <c r="R17" s="7">
        <f>IF($B17="","",ROUND('Methodology &amp; Sources'!$C$255*$N17,2))</f>
      </c>
      <c r="S17" s="7">
        <f>IF($B17="","",ROUND('Methodology &amp; Sources'!$C$256*MAX(0,MIN($N17,$AG16+$N17-'Methodology &amp; Sources'!$C$257)),2))</f>
      </c>
      <c r="T17" s="7">
        <f>IF($B17="","",IF(Inputs!$C$26,0,IF($AN17="CA",ROUND(IF($AI17&lt;=IF(($AS17+$AT17)&gt;=2,VLOOKUP($AN17,'StateTables 2026'!$A$6:$AB$56,10,FALSE),VLOOKUP($AN17,'StateTables 2026'!$A$6:$AB$56,9,FALSE)),0,MAX(0,SUMPRODUCT(($AJ17&gt;INDEX('Methodology &amp; Sources'!$B$289:$J$298,0,IF($AU17="Married",4,IF($AU17="Head of household",7,1))))*($AJ17-INDEX('Methodology &amp; Sources'!$B$289:$J$298,0,IF($AU17="Married",4,IF($AU17="Head of household",7,1))))*INDEX('Methodology &amp; Sources'!$B$289:$J$298,0,IF($AU17="Married",4,IF($AU17="Head of household",7,1))+2))-VLOOKUP($AN17,'StateTables 2026'!$A$6:$AB$56,11,FALSE)*$AS17)/Inputs!$C$8)+Inputs!$C$25+VLOOKUP($AN17,'StateTables 2026'!$A$6:$AB$56,13,FALSE)*$D17,2),IF(VLOOKUP($AN17,'StateTables 2026'!$A$6:$AB$56,4,FALSE)="None",0,IF(ISNUMBER(SEARCH("MANUAL",VLOOKUP($AN17,'StateTables 2026'!$A$6:$AB$56,5,FALSE))),Inputs!$C$28,ROUND(MAX(0,$BA17+$BB17)/Inputs!$C$8+Inputs!$C$25+$BC17,2))))))</f>
      </c>
      <c r="U17" s="7">
        <f>IF($B17="","",IF(VLOOKUP($AN17,'StateTables 2026'!$A$6:$AB$56,24,FALSE)="flatq",IF(OR(MONTH($B17)=1,MONTH($B17)=4,MONTH($B17)=7,MONTH($B17)=10),VLOOKUP($AN17,'StateTables 2026'!$A$6:$AB$56,25,FALSE),0),IF(VLOOKUP($AN17,'StateTables 2026'!$A$6:$AB$56,24,FALSE)="dbl",MIN(ROUND(0.005*$N17,2),ROUND(0.6*52/Inputs!$C$8,2)),IF(OR(VLOOKUP($AN17,'StateTables 2026'!$A$6:$AB$56,15,FALSE)="",VLOOKUP($AN17,'StateTables 2026'!$A$6:$AB$56,15,FALSE)=0),0,ROUND(VLOOKUP($AN17,'StateTables 2026'!$A$6:$AB$56,15,FALSE)*IF(OR(VLOOKUP($AN17,'StateTables 2026'!$A$6:$AB$56,16,FALSE)="",VLOOKUP($AN17,'StateTables 2026'!$A$6:$AB$56,16,FALSE)=0),$N17,MIN($N17,MAX(0,VLOOKUP($AN17,'StateTables 2026'!$A$6:$AB$56,16,FALSE)-($AX17+$AB16-$AW17)))),2))))+IF(VLOOKUP($AN17,'StateTables 2026'!$A$6:$AB$56,27,FALSE)="flatq",IF(OR(MONTH($B17)=1,MONTH($B17)=4,MONTH($B17)=7,MONTH($B17)=10),VLOOKUP($AN17,'StateTables 2026'!$A$6:$AB$56,28,FALSE),0),IF(VLOOKUP($AN17,'StateTables 2026'!$A$6:$AB$56,27,FALSE)="dbl",MIN(ROUND(0.005*$N17,2),ROUND(0.6*52/Inputs!$C$8,2)),IF(OR(VLOOKUP($AN17,'StateTables 2026'!$A$6:$AB$56,18,FALSE)="",VLOOKUP($AN17,'StateTables 2026'!$A$6:$AB$56,18,FALSE)=0),0,ROUND(VLOOKUP($AN17,'StateTables 2026'!$A$6:$AB$56,18,FALSE)*IF(OR(VLOOKUP($AN17,'StateTables 2026'!$A$6:$AB$56,19,FALSE)="",VLOOKUP($AN17,'StateTables 2026'!$A$6:$AB$56,19,FALSE)=0),$N17,MIN($N17,MAX(0,VLOOKUP($AN17,'StateTables 2026'!$A$6:$AB$56,19,FALSE)-($AX17+$AB16-$AW17)))),2)))))</f>
      </c>
      <c r="V17" s="7">
        <f>IF($B17="","",IF($AN17="NY",IF(Inputs!$C$78,ROUND(SUMPRODUCT((MAX(0,($O17-$D17)*Inputs!$C$8-(IF($AU17="Married",5500,5000)+1000*$AS17))&gt;INDEX('Methodology &amp; Sources'!$B$434:$J$448,0,4))*(MAX(0,($O17-$D17)*Inputs!$C$8-(IF($AU17="Married",5500,5000)+1000*$AS17))-INDEX('Methodology &amp; Sources'!$B$434:$J$448,0,4))*INDEX('Methodology &amp; Sources'!$B$434:$J$448,0,4+2))/Inputs!$C$8+0.0425*$D17,2),0)+IF(Inputs!$C$79="Resident",ROUND(0.1675*$T17,2),IF(Inputs!$C$79="Nonresident",ROUND(0.005*MAX(0,($O17-$D17)-(IF($AU17="Married",7950,7400)+1000*$AS17)/Inputs!$C$8),2),0)),IF($AN17="PA",IF(Inputs!$C$80="None",Inputs!$C$27+ROUND(Inputs!$C$81*($C17+$D17),2),ROUND(IF(Inputs!$C$80="Resident",IF($B17&lt;DATE(2026,7,1),0.0374,0.03735),IF($B17&lt;DATE(2026,7,1),0.0343,0.03425))*($C17+$D17),2)),IF($BF17=0,ROUND(Inputs!$C$81*($C17+$D17),2),Inputs!$C$27+ROUND(Inputs!$C$81*($C17+$D17),2)))))</f>
      </c>
      <c r="W17" s="7">
        <f>IF($B17="","",IF($BF17=0,0,$BP17))</f>
      </c>
      <c r="X17" s="7">
        <f>IF($B17="","",SUM($E17:$K17)+$P17+$Q17+$R17+$S17+$T17+$U17+$V17+$W17)</f>
      </c>
      <c r="Y17" s="22">
        <f>IF($B17="","",$C17+$D17-$X17)</f>
      </c>
      <c r="Z17" s="7">
        <f>IF($B17="","",$Z16+$C17+$D17)</f>
      </c>
      <c r="AA17" s="7">
        <f>IF($B17="","",$AA16+$Y17)</f>
      </c>
      <c r="AB17" s="7">
        <f>IF($B17="","",$AB16+MIN($N17,MAX(0,'Methodology &amp; Sources'!$C$253-($AX17+$AB16-$AW17))))</f>
      </c>
      <c r="AC17" s="7">
        <f>IF($B17="","",$AC16+$E17+$F17)</f>
      </c>
      <c r="AD17" s="3">
        <f>IF($B17="","",IF(AND($AB16&lt;'Methodology &amp; Sources'!$C$253,$AB17&gt;='Methodology &amp; Sources'!$C$253),"★ Social Security maxed on this check — from the next check your net rises by about $"&amp;TEXT(ROUND('Methodology &amp; Sources'!$C$254*$N17,2),"#,##0.00")&amp;". ","")&amp;IF(AND($AC16&lt;Inputs!$C$91,$AC17&gt;=Inputs!$C$91),"★ 401(k) reaches the $"&amp;TEXT(Inputs!$C$91,"#,##0")&amp;" cap on this check — deferrals stop and net pay rises. ","")&amp;IF(AND($AG16&lt;'Methodology &amp; Sources'!$C$257,$AG17&gt;='Methodology &amp; Sources'!$C$257),"★ Wages pass $200,000 — the 0.9% Additional Medicare Tax starts here. ","")&amp;IF(AND($BJ17&gt;0,$H17&gt;0,$BG16&lt;MIN($BJ17,'Methodology &amp; Sources'!$C$263),$BG16+$H17&gt;=MIN($BJ17,'Methodology &amp; Sources'!$C$263)),"★ Health FSA election is now fully deferred for the year. ",""))</f>
      </c>
      <c r="AE17" s="41" t="n"/>
      <c r="AF17" s="7">
        <f>IF(OR($B17="",$AE17=""),"",$AE17-$Y17)</f>
      </c>
      <c r="AG17" s="7">
        <f>IF($B17="","",$AG16+$N17)</f>
      </c>
      <c r="AH17" s="7">
        <f>IF($B17="","",MAX(0,($M17-$D17)*Inputs!$C$8+$AP17-$AQ17-IF(Inputs!$C$13,0,IF(Inputs!$C$12="MFJ",'Methodology &amp; Sources'!$C$258,'Methodology &amp; Sources'!$C$259))))</f>
      </c>
      <c r="AI17" s="7">
        <f>IF($B17="","",$O17*Inputs!$C$8)</f>
      </c>
      <c r="AJ17" s="7">
        <f>IF($B17="","",MAX(0,$AI17-VLOOKUP($AN17,'StateTables 2026'!$A$6:$AB$56,12,FALSE)*$AT17-IF(($AS17+$AT17)&gt;=2,VLOOKUP($AN17,'StateTables 2026'!$A$6:$AB$56,8,FALSE),VLOOKUP($AN17,'StateTables 2026'!$A$6:$AB$56,7,FALSE))))</f>
      </c>
      <c r="AK17" s="7">
        <f>IF($B17="","",IFERROR(LOOKUP(2,1/((Events!$C$6:$C$17="Salary change")*(Events!$B$6:$B$17&lt;=$B17)*(Events!$B$6:$B$17&lt;&gt;"")),Events!$D$6:$D$17),IF(Inputs!$C$4="Annual salary",Inputs!$C$5,Inputs!$C$6)))</f>
      </c>
      <c r="AL17">
        <f>IF($B17="","",IFERROR(LOOKUP(2,1/((Events!$C$6:$C$17="401(k) change")*(Events!$B$6:$B$17&lt;=$B17)*(Events!$B$6:$B$17&lt;&gt;"")),Events!$D$6:$D$17),Inputs!$C$30))</f>
      </c>
      <c r="AM17" s="7">
        <f>IF($B17="","",IFERROR(LOOKUP(2,1/((Events!$C$6:$C$17="401(k) change")*(Events!$B$6:$B$17&lt;=$B17)*(Events!$B$6:$B$17&lt;&gt;"")),Events!$E$6:$E$17),Inputs!$D$30))</f>
      </c>
      <c r="AN17">
        <f>IF($B17="","",IFERROR(LOOKUP(2,1/((Events!$C$6:$C$17="State move")*(Events!$B$6:$B$17&lt;=$B17)*(Events!$B$6:$B$17&lt;&gt;"")),Events!$D$6:$D$17),Inputs!$C$21))</f>
      </c>
      <c r="AO17" s="7">
        <f>IF($B17="","",IFERROR(LOOKUP(2,1/((Events!$C$6:$C$17="W-4 change")*(Events!$B$6:$B$17&lt;=$B17)*(Events!$B$6:$B$17&lt;&gt;"")),Events!$D$6:$D$17),Inputs!$C$14))</f>
      </c>
      <c r="AP17" s="7">
        <f>IF($B17="","",IFERROR(LOOKUP(2,1/((Events!$C$6:$C$17="W-4 change")*(Events!$B$6:$B$17&lt;=$B17)*(Events!$B$6:$B$17&lt;&gt;"")),Events!$E$6:$E$17),Inputs!$C$15))</f>
      </c>
      <c r="AQ17" s="7">
        <f>IF($B17="","",IFERROR(LOOKUP(2,1/((Events!$C$6:$C$17="W-4 change")*(Events!$B$6:$B$17&lt;=$B17)*(Events!$B$6:$B$17&lt;&gt;"")),Events!$F$6:$F$17),Inputs!$C$16))</f>
      </c>
      <c r="AR17" s="7">
        <f>IF($B17="","",IFERROR(LOOKUP(2,1/((Events!$C$6:$C$17="W-4 change")*(Events!$B$6:$B$17&lt;=$B17)*(Events!$B$6:$B$17&lt;&gt;"")),Events!$G$6:$G$17),Inputs!$C$17))</f>
      </c>
      <c r="AS17" s="6">
        <f>IF($B17="","",IFERROR(LOOKUP(2,1/(((Events!$C$6:$C$17="State move")+(Events!$C$6:$C$17="State cert change"))*(Events!$B$6:$B$17&lt;=$B17)*(Events!$B$6:$B$17&lt;&gt;"")),Events!$F$6:$F$17),Inputs!$C$23))</f>
      </c>
      <c r="AT17" s="6">
        <f>IF($B17="","",IFERROR(LOOKUP(2,1/(((Events!$C$6:$C$17="State move")+(Events!$C$6:$C$17="State cert change"))*(Events!$B$6:$B$17&lt;=$B17)*(Events!$B$6:$B$17&lt;&gt;"")),Events!$G$6:$G$17),Inputs!$C$24))</f>
      </c>
      <c r="AU17">
        <f>IF($B17="","",IFERROR(LOOKUP(2,1/((Events!$C$6:$C$17="State move")*(Events!$B$6:$B$17&lt;=$B17)*(Events!$B$6:$B$17&lt;&gt;"")),Events!$E$6:$E$17),Inputs!$C$22))</f>
      </c>
      <c r="AV17" s="6">
        <f>IF($B17="","",1+COUNTIFS(Events!$C$6:$C$17,"Employer change",Events!$B$6:$B$17,"&lt;="&amp;$B17,Events!$B$6:$B$17,"&lt;&gt;"))</f>
      </c>
      <c r="AW17" s="7">
        <f>IF($B17="","",IF($AV17=1,Inputs!$C$49,IF(IFERROR(MATCH(IFERROR(LOOKUP(2,1/((Events!$C$6:$C$17="Employer change")*(Events!$B$6:$B$17&lt;=$B17)*(Events!$B$6:$B$17&lt;&gt;"")),Events!$B$6:$B$17),""),$B$6:$B$68,1),1)&lt;=1,Inputs!$C$49,INDEX($AB$6:$AB$68,MATCH(IFERROR(LOOKUP(2,1/((Events!$C$6:$C$17="Employer change")*(Events!$B$6:$B$17&lt;=$B17)*(Events!$B$6:$B$17&lt;&gt;"")),Events!$B$6:$B$17),""),$B$6:$B$68,1)-1))))</f>
      </c>
      <c r="AX17" s="7">
        <f>IF($B17="","",IF($AV17=1,Inputs!$C$49,IFERROR(LOOKUP(2,1/((Events!$C$6:$C$17="Employer change")*(Events!$B$6:$B$17&lt;=$B17)*(Events!$B$6:$B$17&lt;&gt;"")),Events!$D$6:$D$17),0)))</f>
      </c>
      <c r="AY17" s="7">
        <f>IF($B17="","",($O17-$D17)*Inputs!$C$8)</f>
      </c>
      <c r="AZ17" s="7">
        <f>IF($B17="","",IF($AN17="AL",MAX(0,$AY17-IF($AU17="Married",IF($AY17&lt;=25999,8500,MAX(5000,8500-175*CEILING(($AY17-25999)/500,1))),IF($AU17="Head of household",IF($AY17&lt;=25999,5200,MAX(2500,5200-135*CEILING(($AY17-25999)/500,1))),IF($AY17&lt;=25999,3000,MAX(2500,3000-25*CEILING(($AY17-25999)/500,1)))))-($P17-'Methodology &amp; Sources'!$C$260*$D17)*Inputs!$C$8-IF(OR($AU17="Married",$AU17="Head of household"),3000,1500)-$AT17*IF($AY17&lt;=50000,1000,IF($AY17&lt;=100000,500,300))),IF($AN17="AR",IF(MAX(0,$AY17-2470)&lt;97701,INT(MAX(0,$AY17-2470)/100)*100+50,MAX(0,$AY17-2470)),IF($AN17="DE",MAX(0,$AI17-3250),IF($AN17="HI",MAX(0,$AI17-1144*$AS17-4350),IF($AN17="KS",MAX(0,$AI17-(9160*IF($AU17="Married",2,1)+2320*$AT17+IF($AU17="Head of household",2320,0))),IF($AN17="MD",MAX(0,$AI17-3400-3200*$AS17),IF($AN17="MN",MAX(0,$AY17-5300*$AS17),IF($AN17="MO",MAX(0,$AI17-IF($AU17="Head of household",24150,IF($AU17="Married",IF(Inputs!$C$83,16100,32200),16100))),IF($AN17="MT",$AY17,IF($AN17="ND",($C17+$L17)*Inputs!$C$8,IF($AN17="NE",MAX(0,$AY17-2440*$AS17),IF($AN17="NJ",MAX(0,$AY17-1000*$AS17),IF($AN17="NY",MAX(0,$AY17-(IF($AU17="Married",7950,7400)+1000*$AS17)),IF($AN17="OH",MAX(0,$AY17-650*$AS17),IF($AN17="OK",MAX(0,$AY17-1000*$AS17),IF($AN17="RI",MAX(0,$AI17-1000*$AS17),IF($AN17="SC",MAX(0,$AI17-5000*$AS17-IF($AS17=0,0,MIN(0.1*$AI17,7500))),IF($AN17="VA",MAX(0,$AI17-IF($AU17="Married",17500,8750)-930*$AS17-800*$AT17),IF($AN17="VT",MAX(0,$AI17-5400*$AS17),IF($AN17="WI",MAX(0,$AI17-MAX(0,IF($AU17="Married",9461-0.2*MAX(0,$AI17-25727),6702-0.12*MAX(0,$AI17-17780)))-400*$AS17),IF($AN17="WV",MAX(0,$AI17-2000*$AS17),$AI17))))))))))))))))))))))</f>
      </c>
      <c r="BA17" s="7">
        <f>IF($B17="","",IF($BW17&lt;&gt;"",$BW17,IF($BX17&lt;&gt;"",$BX17,IF($BY17&lt;&gt;"",$BY17,0))))</f>
      </c>
      <c r="BB17" s="7">
        <f>IF($B17="","",IF($AN17="AR",-29*$AS17,IF($AN17="DE",-110*$AS17,IF($AN17="MD",$AZ17*Inputs!$C$74,IF($AN17="AZ",Inputs!$C$82*($M17-$D17)*Inputs!$C$8,IF($AN17="CO",0.044*MAX(0,$AY17-IF($AU17="Married",10000,5000)),IF($AN17="IA",MAX(0,0.038*MAX(0,$AY17-IF($AU17="Head of household",19500,IF($AU17="Married",26000,13000)))-40*$AS17),IF($AN17="ID",0.053*MAX(0,$AY17-IF($AU17="Married",32000,16094)),IF($AN17="IL",0.0495*MAX(0,$AY17-(2925*$AS17+1000*$AT17)),IF($AN17="IN",(0.0295+Inputs!$C$76)*MAX(0,$AY17-(1000*$AS17+1500*$AT17+3000*Inputs!$C$86)),IF($AN17="KY",0.035*MAX(0,$AI17-3360),IF($AN17="LA",IF(Inputs!$C$84="0",0.0309*$AI17,0.0309*MAX(0,$AI17-IF(Inputs!$C$84="2",25750,12875))),IF($AN17="MA",0.05*MIN(MAX(0,$AY17-MIN(($BD16+$Q17+$R17+$S17),2000)-IF($AS17=0,0,IF($AS17=1,4400,1000*$AS17+3400))),1107750)+0.09*MAX(0,MAX(0,$AY17-MIN(($BD16+$Q17+$R17+$S17),2000)-IF($AS17=0,0,IF($AS17=1,4400,1000*$AS17+3400)))-1107750)-IF($AU17="Head of household",120,0)-110*Inputs!$C$75,IF($AN17="MI",0.0425*MAX(0,$AY17-5900*$AS17),IF($AN17="MS",0.04*MAX(0,$AI17-IF($AU17="Head of household",3400,IF($AU17="Married",4600,2300))-Inputs!$C$85-10000),IF($AN17="OR",IF(OR($AU17="Married",AND($AU17="Single",$AS17&gt;=3)),SUMPRODUCT((MAX(0,$AY17-MIN(($P17-'Methodology &amp; Sources'!$C$260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Sources'!$B$461:$J$464,0,4))*(MAX(0,$AY17-MIN(($P17-'Methodology &amp; Sources'!$C$260*$D17)*Inputs!$C$8,IF(OR($AU17="Married",AND($AU17="Single",$AS17&gt;=3)),IF($AY17&lt;250000,8750,IF($AY17&lt;260000,7000,IF($AY17&lt;270000,5250,IF($AY17&lt;280000,3500,IF($AY17&lt;290000,1750,0))))),IF($AY17&lt;125000,8750,IF($AY17&lt;130000,7000,IF($AY17&lt;135000,5250,IF($AY17&lt;140000,3500,IF($AY17&lt;145000,1750,0)))))))-IF(OR($AU17="Married",AND($AU17="Single",$AS17&gt;=3)),5820,2910))-INDEX('Methodology &amp; Sources'!$B$461:$J$464,0,4))*INDEX('Methodology &amp; Sources'!$B$461:$J$464,0,4+2)),SUMPRODUCT((MAX(0,$AY17-MIN(($P17-'Methodology &amp; Sources'!$C$260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Sources'!$B$461:$J$464,0,1))*(MAX(0,$AY17-MIN(($P17-'Methodology &amp; Sources'!$C$260*$D17)*Inputs!$C$8,IF(OR($AU17="Married",AND($AU17="Single",$AS17&gt;=3)),IF($AY17&lt;250000,8750,IF($AY17&lt;260000,7000,IF($AY17&lt;270000,5250,IF($AY17&lt;280000,3500,IF($AY17&lt;290000,1750,0))))),IF($AY17&lt;125000,8750,IF($AY17&lt;130000,7000,IF($AY17&lt;135000,5250,IF($AY17&lt;140000,3500,IF($AY17&lt;145000,1750,0)))))))-IF(OR($AU17="Married",AND($AU17="Single",$AS17&gt;=3)),5820,2910))-INDEX('Methodology &amp; Sources'!$B$461:$J$464,0,1))*INDEX('Methodology &amp; Sources'!$B$461:$J$464,0,1+2)))+263-263*IF(IF($AU17="Married",$AY17&gt;200000,$AY17&gt;100000),0,$AS17),IF($AN17="PA",0.0307*(($O17+$E17+$G17)*Inputs!$C$8),IF($AN17="NY",IF($AU17="Married",IF($AZ17&gt;=2155350,0,IF($AZ17&gt;=1077550,0.48,IF($AZ17&gt;=373200,1.21,IF($AZ17&gt;=323200,0.21,IF($AZ17&gt;=211550,-0.19,IF($AZ17&gt;=157650,-2.8,IF($AZ17&gt;=107650,-0.8,IF($AZ17&gt;=96800,0.05,IF($AZ17&gt;=80650,-0.1,IF($AZ17&gt;=13900,0.4,IF($AZ17&gt;=11700,-0.3,IF($AZ17&gt;=8500,0.5,0)))))))))))),IF($AZ17&gt;=1077550,0,IF($AZ17&gt;=265400,4.29,IF($AZ17&gt;=215400,2.29,IF($AZ17&gt;=157650,2.29,IF($AZ17&gt;=107650,0.29,IF($AZ17&gt;=96800,0.05,IF($AZ17&gt;=80650,-0.1,IF($AZ17&gt;=13900,0.4,IF($AZ17&gt;=11700,-0.3,IF($AZ17&gt;=8500,0.5,0))))))))))),0))))))))))))))))))</f>
      </c>
      <c r="BC17" s="7">
        <f>IF($B17="","",IF($AN17="AL",0.05*$D17,IF($AN17="AR",0.039*$D17,IF($AN17="ID",0.053*$D17,IF($AN17="IN",(0.0295+Inputs!$C$76)*$D17,IF($AN17="KS",0.05*$D17,IF($AN17="MA",0.09*MIN($D17,MAX(0,MAX(0,$AY17-MIN(($BD16+$Q17+$R17+$S17),2000)-IF($AS17=0,0,IF($AS17=1,4400,1000*$AS17+3400)))+$D17-1107750))+0.05*($D17-MIN($D17,MAX(0,MAX(0,$AY17-MIN(($BD16+$Q17+$R17+$S17),2000)-IF($AS17=0,0,IF($AS17=1,4400,1000*$AS17+3400)))+$D17-1107750))),IF($AN17="MD",(0.065+Inputs!$C$74)*$D17,IF($AN17="MI",0.0425*$D17,IF($AN17="MN",0.0625*$D17,IF($AN17="MO",0.047*$D17,IF($AN17="MT",0.05*$D17,IF($AN17="ND",0.015*$D17,IF($AN17="NE",0.035*$D17,IF($AN17="NJ",IF(Inputs!$C$77="B",SUMPRODUCT(($D17*Inputs!$C$8&gt;INDEX('Methodology &amp; Sources'!$B$405:$J$412,0,4))*($D17*Inputs!$C$8-INDEX('Methodology &amp; Sources'!$B$405:$J$412,0,4))*INDEX('Methodology &amp; Sources'!$B$405:$J$412,0,4+2)),IF(Inputs!$C$77="C",SUMPRODUCT(($D17*Inputs!$C$8&gt;INDEX('Methodology &amp; Sources'!$B$405:$J$412,0,7))*($D17*Inputs!$C$8-INDEX('Methodology &amp; Sources'!$B$405:$J$412,0,7))*INDEX('Methodology &amp; Sources'!$B$405:$J$412,0,7+2)),IF(Inputs!$C$77="D",SUMPRODUCT(($D17*Inputs!$C$8&gt;INDEX('Methodology &amp; Sources'!$B$417:$J$429,0,1))*($D17*Inputs!$C$8-INDEX('Methodology &amp; Sources'!$B$417:$J$429,0,1))*INDEX('Methodology &amp; Sources'!$B$417:$J$429,0,1+2)),IF(Inputs!$C$77="E",SUMPRODUCT(($D17*Inputs!$C$8&gt;INDEX('Methodology &amp; Sources'!$B$417:$J$429,0,4))*($D17*Inputs!$C$8-INDEX('Methodology &amp; Sources'!$B$417:$J$429,0,4))*INDEX('Methodology &amp; Sources'!$B$417:$J$429,0,4+2)),SUMPRODUCT(($D17*Inputs!$C$8&gt;INDEX('Methodology &amp; Sources'!$B$405:$J$412,0,1))*($D17*Inputs!$C$8-INDEX('Methodology &amp; Sources'!$B$405:$J$412,0,1))*INDEX('Methodology &amp; Sources'!$B$405:$J$412,0,1+2))))))/Inputs!$C$8,IF($AN17="NY",0.117*$D17,IF($AN17="OH",0.0275*$D17,IF($AN17="OK",0.045*$D17,IF($AN17="OR",0.08*$D17,IF($AN17="WI",IF($AY17&lt;12760,0.0354,IF($AY17&lt;25520,0.0465,IF($AY17&lt;280950,0.053,0.0765)))*$D17,0))))))))))))))))))))</f>
      </c>
      <c r="BD17" s="7">
        <f>IF($B17="","",$BD16+$Q17+$R17+$S17)</f>
      </c>
      <c r="BE17" s="6">
        <f>IF($B17="",$BE16,$BE16+$BF17)</f>
      </c>
      <c r="BF17" s="6">
        <f>IF($B17="","",IF(AND(IF(YEAR(IF(Inputs!$C$7="Weekly",Inputs!$C$9+7*(($BE16+1)-1),IF(Inputs!$C$7="Biweekly",Inputs!$C$9+14*(($BE16+1)-1),IF(Inputs!$C$7="Semimonthly",DATE(YEAR(Inputs!$C$9),MONTH(Inputs!$C$9)+INT((($BE16+1)-1)/2),MIN(DAY(Inputs!$C$9),DAY(EOMONTH(DATE(YEAR(Inputs!$C$9),MONTH(Inputs!$C$9)+INT((($BE16+1)-1)/2),1),0))))+IF(MOD(($BE16+1)-1,2)=1,15,0),EDATE(Inputs!$C$9,($BE16+1)-1)))))&lt;&gt;2026,"",IF(Inputs!$C$7="Weekly",Inputs!$C$9+7*(($BE16+1)-1),IF(Inputs!$C$7="Biweekly",Inputs!$C$9+14*(($BE16+1)-1),IF(Inputs!$C$7="Semimonthly",DATE(YEAR(Inputs!$C$9),MONTH(Inputs!$C$9)+INT((($BE16+1)-1)/2),MIN(DAY(Inputs!$C$9),DAY(EOMONTH(DATE(YEAR(Inputs!$C$9),MONTH(Inputs!$C$9)+INT((($BE16+1)-1)/2),1),0))))+IF(MOD(($BE16+1)-1,2)=1,15,0),EDATE(Inputs!$C$9,($BE16+1)-1)))))&lt;&gt;"",$B17=IF(YEAR(IF(Inputs!$C$7="Weekly",Inputs!$C$9+7*(($BE16+1)-1),IF(Inputs!$C$7="Biweekly",Inputs!$C$9+14*(($BE16+1)-1),IF(Inputs!$C$7="Semimonthly",DATE(YEAR(Inputs!$C$9),MONTH(Inputs!$C$9)+INT((($BE16+1)-1)/2),MIN(DAY(Inputs!$C$9),DAY(EOMONTH(DATE(YEAR(Inputs!$C$9),MONTH(Inputs!$C$9)+INT((($BE16+1)-1)/2),1),0))))+IF(MOD(($BE16+1)-1,2)=1,15,0),EDATE(Inputs!$C$9,($BE16+1)-1)))))&lt;&gt;2026,"",IF(Inputs!$C$7="Weekly",Inputs!$C$9+7*(($BE16+1)-1),IF(Inputs!$C$7="Biweekly",Inputs!$C$9+14*(($BE16+1)-1),IF(Inputs!$C$7="Semimonthly",DATE(YEAR(Inputs!$C$9),MONTH(Inputs!$C$9)+INT((($BE16+1)-1)/2),MIN(DAY(Inputs!$C$9),DAY(EOMONTH(DATE(YEAR(Inputs!$C$9),MONTH(Inputs!$C$9)+INT((($BE16+1)-1)/2),1),0))))+IF(MOD(($BE16+1)-1,2)=1,15,0),EDATE(Inputs!$C$9,($BE16+1)-1)))))),1,0))</f>
      </c>
      <c r="BG17" s="7">
        <f>IF($B17="","",$BG16+$H17)</f>
      </c>
      <c r="BH17" s="7">
        <f>IF($B17="","",$BH16+$I17)</f>
      </c>
      <c r="BI17" s="7">
        <f>IF($B17="","",$BI16+$G17)</f>
      </c>
      <c r="BJ17" s="7">
        <f>IF($B17="","",IFERROR(LOOKUP(2,1/((((Events!$C$6:$C$17="Deduction start"))*(Events!$D$6:$D$17="Health FSA"))*(Events!$B$6:$B$17&lt;=$B17)*(Events!$B$6:$B$17&lt;&gt;"")),Events!$E$6:$E$17),Inputs!$D$38))</f>
      </c>
      <c r="BK17" s="7">
        <f>IF($B17="","",IFERROR(LOOKUP(2,1/((((Events!$C$6:$C$17="Deduction start"))*(Events!$D$6:$D$17="Dependent-care FSA"))*(Events!$B$6:$B$17&lt;=$B17)*(Events!$B$6:$B$17&lt;&gt;"")),Events!$E$6:$E$17),Inputs!$D$39))</f>
      </c>
      <c r="BL17" s="7">
        <f>IF($B17="","",IFERROR(LOOKUP(2,1/((((Events!$C$6:$C$17="Deduction start")+(Events!$C$6:$C$17="Deduction stop"))*(Events!$D$6:$D$17="HSA"))*(Events!$B$6:$B$17&lt;=$B17)*(Events!$B$6:$B$17&lt;&gt;"")),Events!$I$6:$I$17),Inputs!$D$35))</f>
      </c>
      <c r="BM17" s="7">
        <f>IF($B17="","",IFERROR(LOOKUP(2,1/((((Events!$C$6:$C$17="Deduction start")+(Events!$C$6:$C$17="Deduction stop"))*(Events!$D$6:$D$17="Premiums"))*(Events!$B$6:$B$17&lt;=$B17)*(Events!$B$6:$B$17&lt;&gt;"")),Events!$I$6:$I$17),Inputs!$D$40+Inputs!$D$41+Inputs!$D$42))</f>
      </c>
      <c r="BN17" s="7">
        <f>IF($B17="","",IFERROR(LOOKUP(2,1/((((Events!$C$6:$C$17="Deduction start")+(Events!$C$6:$C$17="Deduction stop"))*(Events!$D$6:$D$17="Commuter"))*(Events!$B$6:$B$17&lt;=$B17)*(Events!$B$6:$B$17&lt;&gt;"")),Events!$I$6:$I$17),Inputs!$D$43))</f>
      </c>
      <c r="BO17" s="7">
        <f>IF($B17="","",IFERROR(LOOKUP(2,1/((((Events!$C$6:$C$17="Deduction start")+(Events!$C$6:$C$17="Deduction stop"))*(Events!$D$6:$D$17="Other pre-tax"))*(Events!$B$6:$B$17&lt;=$B17)*(Events!$B$6:$B$17&lt;&gt;"")),Events!$I$6:$I$17),Inputs!$D$44))</f>
      </c>
      <c r="BP17" s="7">
        <f>IF($B17="","",IFERROR(LOOKUP(2,1/((((Events!$C$6:$C$17="Deduction start")+(Events!$C$6:$C$17="Deduction stop"))*(Events!$D$6:$D$17="Other post-tax"))*(Events!$B$6:$B$17&lt;=$B17)*(Events!$B$6:$B$17&lt;&gt;"")),Events!$I$6:$I$17),Inputs!$D$45))</f>
      </c>
      <c r="BQ17" s="6">
        <f>IF($B17="","",IFERROR(LOOKUP(2,1/((((Events!$C$6:$C$17="Deduction start")+(Events!$C$6:$C$17="Deduction stop"))*(Events!$D$6:$D$17="Health FSA"))*(Events!$B$6:$B$17&lt;=$B17)*(Events!$B$6:$B$17&lt;&gt;"")),Events!$J$6:$J$17),0))</f>
      </c>
      <c r="BR17" s="6">
        <f>IF($B17="","",IFERROR(LOOKUP(2,1/((((Events!$C$6:$C$17="Deduction start")+(Events!$C$6:$C$17="Deduction stop"))*(Events!$D$6:$D$17="Dependent-care FSA"))*(Events!$B$6:$B$17&lt;=$B17)*(Events!$B$6:$B$17&lt;&gt;"")),Events!$J$6:$J$17),0))</f>
      </c>
      <c r="BS17" s="6">
        <f>IF($B17="","",IF(SUMPRODUCT((Events!$C$6:$C$17="Deduction start")*(Events!$B$6:$B$17&lt;=$B17)*(Events!$B$6:$B$17&lt;&gt;"")*(Events!$D$6:$D$17="Health FSA"))&gt;0,1,0))</f>
      </c>
      <c r="BT17" s="6">
        <f>IF($B17="","",IF(SUMPRODUCT((Events!$C$6:$C$17="Deduction start")*(Events!$B$6:$B$17&lt;=$B17)*(Events!$B$6:$B$17&lt;&gt;"")*(Events!$D$6:$D$17="Dependent-care FSA"))&gt;0,1,0))</f>
      </c>
      <c r="BU17" s="24">
        <f>IF($B17="","",IF(Inputs!$C$13,SUMPRODUCT(($AH17&gt;=INDEX('Methodology &amp; Sources'!$B$279:$J$286,0,IF(Inputs!$C$12="MFJ",1,IF(Inputs!$C$12="HoH",7,4))))*INDEX('Methodology &amp; Sources'!$B$279:$J$286,0,IF(Inputs!$C$12="MFJ",1,IF(Inputs!$C$12="HoH",7,4))+2)),SUMPRODUCT(($AH17&gt;=INDEX('Methodology &amp; Sources'!$B$269:$J$276,0,IF(Inputs!$C$12="MFJ",1,IF(Inputs!$C$12="HoH",7,4))))*INDEX('Methodology &amp; Sources'!$B$269:$J$276,0,IF(Inputs!$C$12="MFJ",1,IF(Inputs!$C$12="HoH",7,4))+2))))</f>
      </c>
      <c r="BV17" s="24">
        <f>IF($B17="","",IF($BZ17&lt;&gt;"",$BZ17,IF($CA17&lt;&gt;"",$CA17,IF($CB17&lt;&gt;"",$CB17,IF($CC17&lt;&gt;"",$CC17,0)))))</f>
      </c>
      <c r="BW17" s="7">
        <f>IF($B17="","",IF($AN17="MD",IF(OR($AU17="Married",$AU17="Head of household"),SUMPRODUCT(($AZ17&gt;INDEX('Methodology &amp; Sources'!$B$364:$J$370,0,1))*($AZ17-INDEX('Methodology &amp; Sources'!$B$364:$J$370,0,1))*INDEX('Methodology &amp; Sources'!$B$364:$J$370,0,1+2)),SUMPRODUCT(($AZ17&gt;INDEX('Methodology &amp; Sources'!$B$353:$J$359,0,7))*($AZ17-INDEX('Methodology &amp; Sources'!$B$353:$J$359,0,7))*INDEX('Methodology &amp; Sources'!$B$353:$J$359,0,7+2))),IF($AN17="MO",SUMPRODUCT(($AZ17&gt;INDEX('Methodology &amp; Sources'!$B$375:$J$382,0,1))*($AZ17-INDEX('Methodology &amp; Sources'!$B$375:$J$382,0,1))*INDEX('Methodology &amp; Sources'!$B$375:$J$382,0,1+2)),IF($AN17="MT",IF($AU17="Head of household",SUMPRODUCT(($AZ17&gt;INDEX('Methodology &amp; Sources'!$B$387:$J$389,0,1))*($AZ17-INDEX('Methodology &amp; Sources'!$B$387:$J$389,0,1))*INDEX('Methodology &amp; Sources'!$B$387:$J$389,0,1+2)),IF($AU17="Married",SUMPRODUCT(($AZ17&gt;INDEX('Methodology &amp; Sources'!$B$375:$J$382,0,7))*($AZ17-INDEX('Methodology &amp; Sources'!$B$375:$J$382,0,7))*INDEX('Methodology &amp; Sources'!$B$375:$J$382,0,7+2)),SUMPRODUCT(($AZ17&gt;INDEX('Methodology &amp; Sources'!$B$375:$J$382,0,4))*($AZ17-INDEX('Methodology &amp; Sources'!$B$375:$J$382,0,4))*INDEX('Methodology &amp; Sources'!$B$375:$J$382,0,4+2)))),IF($AN17="ND",IF($AU17="Head of household",SUMPRODUCT(($AZ17&gt;INDEX('Methodology &amp; Sources'!$B$394:$J$400,0,1))*($AZ17-INDEX('Methodology &amp; Sources'!$B$394:$J$400,0,1))*INDEX('Methodology &amp; Sources'!$B$394:$J$400,0,1+2)),IF($AU17="Married",SUMPRODUCT(($AZ17&gt;INDEX('Methodology &amp; Sources'!$B$387:$J$389,0,7))*($AZ17-INDEX('Methodology &amp; Sources'!$B$387:$J$389,0,7))*INDEX('Methodology &amp; Sources'!$B$387:$J$389,0,7+2)),SUMPRODUCT(($AZ17&gt;INDEX('Methodology &amp; Sources'!$B$387:$J$389,0,4))*($AZ17-INDEX('Methodology &amp; Sources'!$B$387:$J$389,0,4))*INDEX('Methodology &amp; Sources'!$B$387:$J$389,0,4+2)))),IF($AN17="NJ",IF(Inputs!$C$77="B",SUMPRODUCT(($AZ17&gt;INDEX('Methodology &amp; Sources'!$B$405:$J$412,0,4))*($AZ17-INDEX('Methodology &amp; Sources'!$B$405:$J$412,0,4))*INDEX('Methodology &amp; Sources'!$B$405:$J$412,0,4+2)),IF(Inputs!$C$77="C",SUMPRODUCT(($AZ17&gt;INDEX('Methodology &amp; Sources'!$B$405:$J$412,0,7))*($AZ17-INDEX('Methodology &amp; Sources'!$B$405:$J$412,0,7))*INDEX('Methodology &amp; Sources'!$B$405:$J$412,0,7+2)),IF(Inputs!$C$77="D",SUMPRODUCT(($AZ17&gt;INDEX('Methodology &amp; Sources'!$B$417:$J$429,0,1))*($AZ17-INDEX('Methodology &amp; Sources'!$B$417:$J$429,0,1))*INDEX('Methodology &amp; Sources'!$B$417:$J$429,0,1+2)),IF(Inputs!$C$77="E",SUMPRODUCT(($AZ17&gt;INDEX('Methodology &amp; Sources'!$B$417:$J$429,0,4))*($AZ17-INDEX('Methodology &amp; Sources'!$B$417:$J$429,0,4))*INDEX('Methodology &amp; Sources'!$B$417:$J$429,0,4+2)),SUMPRODUCT(($AZ17&gt;INDEX('Methodology &amp; Sources'!$B$405:$J$412,0,1))*($AZ17-INDEX('Methodology &amp; Sources'!$B$405:$J$412,0,1))*INDEX('Methodology &amp; Sources'!$B$405:$J$412,0,1+2)))))),IF($AN17="NY",IF($AU17="Married",IF($AZ17&gt;=2155350,$AZ17*IF($AZ17&gt;25000000,0.117,IF($AZ17&gt;5000000,0.111,0.1045)),SUMPRODUCT(($AZ17&gt;INDEX('Methodology &amp; Sources'!$B$434:$J$448,0,1))*($AZ17-INDEX('Methodology &amp; Sources'!$B$434:$J$448,0,1))*INDEX('Methodology &amp; Sources'!$B$434:$J$448,0,1+2))),IF($AZ17&gt;=1077550,$AZ17*IF($AZ17&gt;25000000,0.117,IF($AZ17&gt;5000000,0.111,0.1045)),SUMPRODUCT(($AZ17&gt;INDEX('Methodology &amp; Sources'!$B$417:$J$429,0,7))*($AZ17-INDEX('Methodology &amp; Sources'!$B$417:$J$429,0,7))*INDEX('Methodology &amp; Sources'!$B$417:$J$429,0,7+2)))),"")))))))</f>
      </c>
      <c r="BX17" s="7">
        <f>IF($B17="","",IF($AN17="AL",IF(OR($AU17="Married",$AU17="Head of household"),SUMPRODUCT(($AZ17&gt;INDEX('Methodology &amp; Sources'!$B$332:$J$336,0,4))*($AZ17-INDEX('Methodology &amp; Sources'!$B$332:$J$336,0,4))*INDEX('Methodology &amp; Sources'!$B$332:$J$336,0,4+2)),SUMPRODUCT(($AZ17&gt;INDEX('Methodology &amp; Sources'!$B$332:$J$336,0,1))*($AZ17-INDEX('Methodology &amp; Sources'!$B$332:$J$336,0,1))*INDEX('Methodology &amp; Sources'!$B$332:$J$336,0,1+2))),IF($AN17="KS",IF($AU17="Married",SUMPRODUCT(($AZ17&gt;INDEX('Methodology &amp; Sources'!$B$353:$J$359,0,4))*($AZ17-INDEX('Methodology &amp; Sources'!$B$353:$J$359,0,4))*INDEX('Methodology &amp; Sources'!$B$353:$J$359,0,4+2)),SUMPRODUCT(($AZ17&gt;INDEX('Methodology &amp; Sources'!$B$353:$J$359,0,1))*($AZ17-INDEX('Methodology &amp; Sources'!$B$353:$J$359,0,1))*INDEX('Methodology &amp; Sources'!$B$353:$J$359,0,1+2))),IF($AN17="MN",IF($AU17="Married",SUMPRODUCT(($AZ17&gt;INDEX('Methodology &amp; Sources'!$B$364:$J$370,0,7))*($AZ17-INDEX('Methodology &amp; Sources'!$B$364:$J$370,0,7))*INDEX('Methodology &amp; Sources'!$B$364:$J$370,0,7+2)),SUMPRODUCT(($AZ17&gt;INDEX('Methodology &amp; Sources'!$B$364:$J$370,0,4))*($AZ17-INDEX('Methodology &amp; Sources'!$B$364:$J$370,0,4))*INDEX('Methodology &amp; Sources'!$B$364:$J$370,0,4+2))),IF($AN17="NE",MAX(IF($AU17="Married",SUMPRODUCT(($AZ17&gt;INDEX('Methodology &amp; Sources'!$B$394:$J$400,0,7))*($AZ17-INDEX('Methodology &amp; Sources'!$B$394:$J$400,0,7))*INDEX('Methodology &amp; Sources'!$B$394:$J$400,0,7+2)),SUMPRODUCT(($AZ17&gt;INDEX('Methodology &amp; Sources'!$B$394:$J$400,0,4))*($AZ17-INDEX('Methodology &amp; Sources'!$B$394:$J$400,0,4))*INDEX('Methodology &amp; Sources'!$B$394:$J$400,0,4+2))),0.015*$AZ17),IF($AN17="OH",IF($B17&gt;=DATE(2026,8,1),SUMPRODUCT(($AZ17&gt;INDEX('Methodology &amp; Sources'!$B$453:$J$456,0,1))*($AZ17-INDEX('Methodology &amp; Sources'!$B$453:$J$456,0,1))*INDEX('Methodology &amp; Sources'!$B$453:$J$456,0,1+2)),SUMPRODUCT(($AZ17&gt;INDEX('Methodology &amp; Sources'!$B$434:$J$448,0,7))*($AZ17-INDEX('Methodology &amp; Sources'!$B$434:$J$448,0,7))*INDEX('Methodology &amp; Sources'!$B$434:$J$448,0,7+2))),IF($AN17="OK",IF($AU17="Married",SUMPRODUCT(($AZ17&gt;INDEX('Methodology &amp; Sources'!$B$453:$J$456,0,7))*($AZ17-INDEX('Methodology &amp; Sources'!$B$453:$J$456,0,7))*INDEX('Methodology &amp; Sources'!$B$453:$J$456,0,7+2)),SUMPRODUCT(($AZ17&gt;INDEX('Methodology &amp; Sources'!$B$453:$J$456,0,4))*($AZ17-INDEX('Methodology &amp; Sources'!$B$453:$J$456,0,4))*INDEX('Methodology &amp; Sources'!$B$453:$J$456,0,4+2))),IF($AN17="RI",SUMPRODUCT(($AZ17&gt;INDEX('Methodology &amp; Sources'!$B$461:$J$464,0,7))*($AZ17-INDEX('Methodology &amp; Sources'!$B$461:$J$464,0,7))*INDEX('Methodology &amp; Sources'!$B$461:$J$464,0,7+2)),IF($AN17="VT",IF($AU17="Married",SUMPRODUCT(($AZ17&gt;INDEX('Methodology &amp; Sources'!$B$478:$J$482,0,1))*($AZ17-INDEX('Methodology &amp; Sources'!$B$478:$J$482,0,1))*INDEX('Methodology &amp; Sources'!$B$478:$J$482,0,1+2)),SUMPRODUCT(($AZ17&gt;INDEX('Methodology &amp; Sources'!$B$469:$J$473,0,7))*($AZ17-INDEX('Methodology &amp; Sources'!$B$469:$J$473,0,7))*INDEX('Methodology &amp; Sources'!$B$469:$J$473,0,7+2))),IF($AN17="WV",IF($AU17="Married",SUMPRODUCT(($AZ17&gt;INDEX('Methodology &amp; Sources'!$B$487:$J$491,0,7))*($AZ17-INDEX('Methodology &amp; Sources'!$B$487:$J$491,0,7))*INDEX('Methodology &amp; Sources'!$B$487:$J$491,0,7+2)),SUMPRODUCT(($AZ17&gt;INDEX('Methodology &amp; Sources'!$B$478:$J$482,0,7))*($AZ17-INDEX('Methodology &amp; Sources'!$B$478:$J$482,0,7))*INDEX('Methodology &amp; Sources'!$B$478:$J$482,0,7+2))),""))))))))))</f>
      </c>
      <c r="BY17" s="7">
        <f>IF($B17="","",IF($AN17="AR",SUMPRODUCT(($AZ17&gt;INDEX('Methodology &amp; Sources'!$B$332:$J$336,0,7))*($AZ17-INDEX('Methodology &amp; Sources'!$B$332:$J$336,0,7))*INDEX('Methodology &amp; Sources'!$B$332:$J$336,0,7+2)),IF($AN17="DE",SUMPRODUCT(($AZ17&gt;INDEX('Methodology &amp; Sources'!$B$341:$J$348,0,1))*($AZ17-INDEX('Methodology &amp; Sources'!$B$341:$J$348,0,1))*INDEX('Methodology &amp; Sources'!$B$341:$J$348,0,1+2)),IF($AN17="HI",IF($AU17="Married",SUMPRODUCT(($AZ17&gt;INDEX('Methodology &amp; Sources'!$B$341:$J$348,0,7))*($AZ17-INDEX('Methodology &amp; Sources'!$B$341:$J$348,0,7))*INDEX('Methodology &amp; Sources'!$B$341:$J$348,0,7+2)),SUMPRODUCT(($AZ17&gt;INDEX('Methodology &amp; Sources'!$B$341:$J$348,0,4))*($AZ17-INDEX('Methodology &amp; Sources'!$B$341:$J$348,0,4))*INDEX('Methodology &amp; Sources'!$B$341:$J$348,0,4+2))),IF($AN17="SC",SUMPRODUCT(($AZ17&gt;INDEX('Methodology &amp; Sources'!$B$469:$J$473,0,1))*($AZ17-INDEX('Methodology &amp; Sources'!$B$469:$J$473,0,1))*INDEX('Methodology &amp; Sources'!$B$469:$J$473,0,1+2)),IF($AN17="VA",SUMPRODUCT(($AZ17&gt;INDEX('Methodology &amp; Sources'!$B$469:$J$473,0,4))*($AZ17-INDEX('Methodology &amp; Sources'!$B$469:$J$473,0,4))*INDEX('Methodology &amp; Sources'!$B$469:$J$473,0,4+2)),IF($AN17="WI",SUMPRODUCT(($AZ17&gt;INDEX('Methodology &amp; Sources'!$B$478:$J$482,0,4))*($AZ17-INDEX('Methodology &amp; Sources'!$B$478:$J$482,0,4))*INDEX('Methodology &amp; Sources'!$B$478:$J$482,0,4+2)),"")))))))</f>
      </c>
      <c r="BZ17" s="24">
        <f>IF($B17="","",IF($AN17="NJ",IF(Inputs!$C$77="B",SUMPRODUCT(($AZ17&gt;=INDEX('Methodology &amp; Sources'!$B$405:$J$412,0,4))*INDEX('Methodology &amp; Sources'!$B$405:$J$412,0,4+2)),IF(Inputs!$C$77="C",SUMPRODUCT(($AZ17&gt;=INDEX('Methodology &amp; Sources'!$B$405:$J$412,0,7))*INDEX('Methodology &amp; Sources'!$B$405:$J$412,0,7+2)),IF(Inputs!$C$77="D",SUMPRODUCT(($AZ17&gt;=INDEX('Methodology &amp; Sources'!$B$417:$J$429,0,1))*INDEX('Methodology &amp; Sources'!$B$417:$J$429,0,1+2)),IF(Inputs!$C$77="E",SUMPRODUCT(($AZ17&gt;=INDEX('Methodology &amp; Sources'!$B$417:$J$429,0,4))*INDEX('Methodology &amp; Sources'!$B$417:$J$429,0,4+2)),SUMPRODUCT(($AZ17&gt;=INDEX('Methodology &amp; Sources'!$B$405:$J$412,0,1))*INDEX('Methodology &amp; Sources'!$B$405:$J$412,0,1+2)))))),IF($AN17="OR",IF(OR($AU17="Married",AND($AU17="Single",$AS17&gt;=3)),SUMPRODUCT((MAX(0,$AY17-MIN(($P17-'Methodology &amp; Sources'!$C$260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Sources'!$B$461:$J$464,0,4))*INDEX('Methodology &amp; Sources'!$B$461:$J$464,0,4+2)),SUMPRODUCT((MAX(0,$AY17-MIN(($P17-'Methodology &amp; Sources'!$C$260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Sources'!$B$461:$J$464,0,1))*INDEX('Methodology &amp; Sources'!$B$461:$J$464,0,1+2)))*IF(($P17-'Methodology &amp; Sources'!$C$260*$D17)*Inputs!$C$8&gt;=IF(OR($AU17="Married",AND($AU17="Single",$AS17&gt;=3)),IF($AY17&lt;250000,8750,IF($AY17&lt;260000,7000,IF($AY17&lt;270000,5250,IF($AY17&lt;280000,3500,IF($AY17&lt;290000,1750,0))))),IF($AY17&lt;125000,8750,IF($AY17&lt;130000,7000,IF($AY17&lt;135000,5250,IF($AY17&lt;140000,3500,IF($AY17&lt;145000,1750,0)))))),1,1-IF(Inputs!$C$13,SUMPRODUCT(($AH17&gt;=INDEX('Methodology &amp; Sources'!$B$279:$J$286,0,IF(Inputs!$C$12="MFJ",1,IF(Inputs!$C$12="HoH",7,4))))*INDEX('Methodology &amp; Sources'!$B$279:$J$286,0,IF(Inputs!$C$12="MFJ",1,IF(Inputs!$C$12="HoH",7,4))+2)),SUMPRODUCT(($AH17&gt;=INDEX('Methodology &amp; Sources'!$B$269:$J$276,0,IF(Inputs!$C$12="MFJ",1,IF(Inputs!$C$12="HoH",7,4))))*INDEX('Methodology &amp; Sources'!$B$269:$J$276,0,IF(Inputs!$C$12="MFJ",1,IF(Inputs!$C$12="HoH",7,4))+2)))),IF($AN17="MI",IF($AY17&gt;5900*$AS17,0.0425,0),""))))</f>
      </c>
      <c r="CA17" s="24">
        <f>IF($B17="","",IF($AN17="AL",IF(OR($AU17="Married",$AU17="Head of household"),SUMPRODUCT(($AZ17&gt;=INDEX('Methodology &amp; Sources'!$B$332:$J$336,0,4))*INDEX('Methodology &amp; Sources'!$B$332:$J$336,0,4+2)),SUMPRODUCT(($AZ17&gt;=INDEX('Methodology &amp; Sources'!$B$332:$J$336,0,1))*INDEX('Methodology &amp; Sources'!$B$332:$J$336,0,1+2)))*(1-IF(Inputs!$C$13,SUMPRODUCT(($AH17&gt;=INDEX('Methodology &amp; Sources'!$B$279:$J$286,0,IF(Inputs!$C$12="MFJ",1,IF(Inputs!$C$12="HoH",7,4))))*INDEX('Methodology &amp; Sources'!$B$279:$J$286,0,IF(Inputs!$C$12="MFJ",1,IF(Inputs!$C$12="HoH",7,4))+2)),SUMPRODUCT(($AH17&gt;=INDEX('Methodology &amp; Sources'!$B$269:$J$276,0,IF(Inputs!$C$12="MFJ",1,IF(Inputs!$C$12="HoH",7,4))))*INDEX('Methodology &amp; Sources'!$B$269:$J$276,0,IF(Inputs!$C$12="MFJ",1,IF(Inputs!$C$12="HoH",7,4))+2)))),IF($AN17="KS",IF($AU17="Married",SUMPRODUCT(($AZ17&gt;=INDEX('Methodology &amp; Sources'!$B$353:$J$359,0,4))*INDEX('Methodology &amp; Sources'!$B$353:$J$359,0,4+2)),SUMPRODUCT(($AZ17&gt;=INDEX('Methodology &amp; Sources'!$B$353:$J$359,0,1))*INDEX('Methodology &amp; Sources'!$B$353:$J$359,0,1+2))),IF($AN17="MD",IF(OR($AU17="Married",$AU17="Head of household"),SUMPRODUCT(($AZ17&gt;=INDEX('Methodology &amp; Sources'!$B$364:$J$370,0,1))*INDEX('Methodology &amp; Sources'!$B$364:$J$370,0,1+2)),SUMPRODUCT(($AZ17&gt;=INDEX('Methodology &amp; Sources'!$B$353:$J$359,0,7))*INDEX('Methodology &amp; Sources'!$B$353:$J$359,0,7+2)))+Inputs!$C$74,IF($AN17="MT",IF($AU17="Head of household",SUMPRODUCT(($AZ17&gt;=INDEX('Methodology &amp; Sources'!$B$387:$J$389,0,1))*INDEX('Methodology &amp; Sources'!$B$387:$J$389,0,1+2)),IF($AU17="Married",SUMPRODUCT(($AZ17&gt;=INDEX('Methodology &amp; Sources'!$B$375:$J$382,0,7))*INDEX('Methodology &amp; Sources'!$B$375:$J$382,0,7+2)),SUMPRODUCT(($AZ17&gt;=INDEX('Methodology &amp; Sources'!$B$375:$J$382,0,4))*INDEX('Methodology &amp; Sources'!$B$375:$J$382,0,4+2)))),IF($AN17="ND",IF($AU17="Head of household",SUMPRODUCT(($AZ17&gt;=INDEX('Methodology &amp; Sources'!$B$394:$J$400,0,1))*INDEX('Methodology &amp; Sources'!$B$394:$J$400,0,1+2)),IF($AU17="Married",SUMPRODUCT(($AZ17&gt;=INDEX('Methodology &amp; Sources'!$B$387:$J$389,0,7))*INDEX('Methodology &amp; Sources'!$B$387:$J$389,0,7+2)),SUMPRODUCT(($AZ17&gt;=INDEX('Methodology &amp; Sources'!$B$387:$J$389,0,4))*INDEX('Methodology &amp; Sources'!$B$387:$J$389,0,4+2)))),IF($AN17="NY",IF($AU17="Married",IF($AZ17&gt;=2155350,IF($AZ17&gt;25000000,0.117,IF($AZ17&gt;5000000,0.111,0.1045)),SUMPRODUCT(($AZ17&gt;=INDEX('Methodology &amp; Sources'!$B$434:$J$448,0,1))*INDEX('Methodology &amp; Sources'!$B$434:$J$448,0,1+2))),IF($AZ17&gt;=1077550,IF($AZ17&gt;25000000,0.117,IF($AZ17&gt;5000000,0.111,0.1045)),SUMPRODUCT(($AZ17&gt;=INDEX('Methodology &amp; Sources'!$B$417:$J$429,0,7))*INDEX('Methodology &amp; Sources'!$B$417:$J$429,0,7+2)))),"")))))))</f>
      </c>
      <c r="CB17" s="24">
        <f>IF($B17="","",IF($AN17="CA",SUMPRODUCT(($AJ17&gt;=INDEX('Methodology &amp; Sources'!$B$289:$J$298,0,IF($AU17="Married",4,IF($AU17="Head of household",7,1))))*INDEX('Methodology &amp; Sources'!$B$289:$J$298,0,IF($AU17="Married",4,IF($AU17="Head of household",7,1))+2)),IF($AN17="HI",IF($AU17="Married",SUMPRODUCT(($AZ17&gt;=INDEX('Methodology &amp; Sources'!$B$341:$J$348,0,7))*INDEX('Methodology &amp; Sources'!$B$341:$J$348,0,7+2)),SUMPRODUCT(($AZ17&gt;=INDEX('Methodology &amp; Sources'!$B$341:$J$348,0,4))*INDEX('Methodology &amp; Sources'!$B$341:$J$348,0,4+2))),IF($AN17="MN",IF($AU17="Married",SUMPRODUCT(($AZ17&gt;=INDEX('Methodology &amp; Sources'!$B$364:$J$370,0,7))*INDEX('Methodology &amp; Sources'!$B$364:$J$370,0,7+2)),SUMPRODUCT(($AZ17&gt;=INDEX('Methodology &amp; Sources'!$B$364:$J$370,0,4))*INDEX('Methodology &amp; Sources'!$B$364:$J$370,0,4+2))),IF($AN17="MO",SUMPRODUCT(($AZ17&gt;=INDEX('Methodology &amp; Sources'!$B$375:$J$382,0,1))*INDEX('Methodology &amp; Sources'!$B$375:$J$382,0,1+2)),IF($AN17="NE",MAX(IF($AU17="Married",SUMPRODUCT(($AZ17&gt;=INDEX('Methodology &amp; Sources'!$B$394:$J$400,0,7))*INDEX('Methodology &amp; Sources'!$B$394:$J$400,0,7+2)),SUMPRODUCT(($AZ17&gt;=INDEX('Methodology &amp; Sources'!$B$394:$J$400,0,4))*INDEX('Methodology &amp; Sources'!$B$394:$J$400,0,4+2))),0.015),IF($AN17="OH",IF($B17&gt;=DATE(2026,8,1),SUMPRODUCT(($AZ17&gt;=INDEX('Methodology &amp; Sources'!$B$453:$J$456,0,1))*INDEX('Methodology &amp; Sources'!$B$453:$J$456,0,1+2)),SUMPRODUCT(($AZ17&gt;=INDEX('Methodology &amp; Sources'!$B$434:$J$448,0,7))*INDEX('Methodology &amp; Sources'!$B$434:$J$448,0,7+2))),IF($AN17="OK",IF($AU17="Married",SUMPRODUCT(($AZ17&gt;=INDEX('Methodology &amp; Sources'!$B$453:$J$456,0,7))*INDEX('Methodology &amp; Sources'!$B$453:$J$456,0,7+2)),SUMPRODUCT(($AZ17&gt;=INDEX('Methodology &amp; Sources'!$B$453:$J$456,0,4))*INDEX('Methodology &amp; Sources'!$B$453:$J$456,0,4+2))),IF($AN17="RI",SUMPRODUCT(($AZ17&gt;=INDEX('Methodology &amp; Sources'!$B$461:$J$464,0,7))*INDEX('Methodology &amp; Sources'!$B$461:$J$464,0,7+2)),IF($AN17="SC",SUMPRODUCT(($AZ17&gt;=INDEX('Methodology &amp; Sources'!$B$469:$J$473,0,1))*INDEX('Methodology &amp; Sources'!$B$469:$J$473,0,1+2)),IF($AN17="VT",IF($AU17="Married",SUMPRODUCT(($AZ17&gt;=INDEX('Methodology &amp; Sources'!$B$478:$J$482,0,1))*INDEX('Methodology &amp; Sources'!$B$478:$J$482,0,1+2)),SUMPRODUCT(($AZ17&gt;=INDEX('Methodology &amp; Sources'!$B$469:$J$473,0,7))*INDEX('Methodology &amp; Sources'!$B$469:$J$473,0,7+2))),IF($AN17="WV",IF($AU17="Married",SUMPRODUCT(($AZ17&gt;=INDEX('Methodology &amp; Sources'!$B$487:$J$491,0,7))*INDEX('Methodology &amp; Sources'!$B$487:$J$491,0,7+2)),SUMPRODUCT(($AZ17&gt;=INDEX('Methodology &amp; Sources'!$B$478:$J$482,0,7))*INDEX('Methodology &amp; Sources'!$B$478:$J$482,0,7+2))),IF($AN17="IN",(0.0295+Inputs!$C$76),"")))))))))))))</f>
      </c>
      <c r="CC17" s="24">
        <f>IF($B17="","",IF($AN17="AR",SUMPRODUCT(($AZ17&gt;=INDEX('Methodology &amp; Sources'!$B$332:$J$336,0,7))*INDEX('Methodology &amp; Sources'!$B$332:$J$336,0,7+2)),IF($AN17="DE",SUMPRODUCT(($AZ17&gt;=INDEX('Methodology &amp; Sources'!$B$341:$J$348,0,1))*INDEX('Methodology &amp; Sources'!$B$341:$J$348,0,1+2)),IF($AN17="VA",SUMPRODUCT(($AZ17&gt;=INDEX('Methodology &amp; Sources'!$B$469:$J$473,0,4))*INDEX('Methodology &amp; Sources'!$B$469:$J$473,0,4+2)),IF($AN17="WI",SUMPRODUCT(($AZ17&gt;=INDEX('Methodology &amp; Sources'!$B$478:$J$482,0,4))*INDEX('Methodology &amp; Sources'!$B$478:$J$482,0,4+2)),IF($AN17="AZ",Inputs!$C$82,IF($AN17="CO",IF($AY17&gt;IF($AU17="Married",10000,5000),0.044,0),IF($AN17="IA",IF($AY17&gt;IF($AU17="Head of household",19500,IF($AU17="Married",26000,13000)),0.038,0),IF($AN17="ID",IF($AY17&gt;IF($AU17="Married",32000,16094),0.053,0),IF($AN17="IL",IF($AY17&gt;(2925*$AS17+1000*$AT17),0.0495,0),IF($AN17="KY",IF($AI17&gt;3360,0.035,0),IF($AN17="LA",0.0309,IF($AN17="MA",IF(MAX(0,$AY17-MIN(($BD16+$Q17+$R17+$S17),2000)-IF($AS17=0,0,IF($AS17=1,4400,1000*$AS17+3400)))&gt;=1107750,0.09,0.05),IF($AN17="MS",IF($AI17-IF($AU17="Head of household",3400,IF($AU17="Married",4600,2300))-Inputs!$C$85&gt;10000,0.04,0),IF($AN17="PA",0.0307,"")))))))))))))))</f>
      </c>
      <c r="CD17" s="21">
        <f>IF(YEAR(IF(Inputs!$C$7="Weekly",Inputs!$C$9+7*(($BE16+1)-1),IF(Inputs!$C$7="Biweekly",Inputs!$C$9+14*(($BE16+1)-1),IF(Inputs!$C$7="Semimonthly",DATE(YEAR(Inputs!$C$9),MONTH(Inputs!$C$9)+INT((($BE16+1)-1)/2),MIN(DAY(Inputs!$C$9),DAY(EOMONTH(DATE(YEAR(Inputs!$C$9),MONTH(Inputs!$C$9)+INT((($BE16+1)-1)/2),1),0))))+IF(MOD(($BE16+1)-1,2)=1,15,0),EDATE(Inputs!$C$9,($BE16+1)-1)))))&lt;&gt;2026,"",IF(Inputs!$C$7="Weekly",Inputs!$C$9+7*(($BE16+1)-1),IF(Inputs!$C$7="Biweekly",Inputs!$C$9+14*(($BE16+1)-1),IF(Inputs!$C$7="Semimonthly",DATE(YEAR(Inputs!$C$9),MONTH(Inputs!$C$9)+INT((($BE16+1)-1)/2),MIN(DAY(Inputs!$C$9),DAY(EOMONTH(DATE(YEAR(Inputs!$C$9),MONTH(Inputs!$C$9)+INT((($BE16+1)-1)/2),1),0))))+IF(MOD(($BE16+1)-1,2)=1,15,0),EDATE(Inputs!$C$9,($BE16+1)-1)))))</f>
      </c>
      <c r="CE17" s="21">
        <f>IF(SUMPRODUCT(MIN(IF((Inputs!$C$58:$C$67&gt;MAX($B$6:$B16))*(Inputs!$C$58:$C$67&gt;=DATE(2026,1,1))*(Inputs!$C$58:$C$67&lt;=DATE(2026,12,31)),Inputs!$C$58:$C$67,999999)))=999999,"",SUMPRODUCT(MIN(IF((Inputs!$C$58:$C$67&gt;MAX($B$6:$B16))*(Inputs!$C$58:$C$67&gt;=DATE(2026,1,1))*(Inputs!$C$58:$C$67&lt;=DATE(2026,12,31)),Inputs!$C$58:$C$67,999999))))</f>
      </c>
    </row>
    <row r="18">
      <c r="A18" t="n">
        <v>13</v>
      </c>
      <c r="B18" s="21">
        <f>IF(AND($CD18="",$CE18=""),"",IF($CE18="",$CD18,IF($CD18="",$CE18,MIN($CD18,$CE18))))</f>
      </c>
      <c r="C18" s="7">
        <f>IF($B18="","",IF($BF18=0,0,IF(Inputs!$C$4="Annual salary",ROUND($AK18/IF(AND(Inputs!$C$88="Actual paydays",MONTH(Inputs!$C$9)=1),MAX(1,MAX($BE$6:$BE$68)),Inputs!$C$8),2),$AK18)))</f>
      </c>
      <c r="D18" s="7">
        <f>IF($B18="","",SUMIF(Inputs!$C$58:$C$67,$B18,Inputs!$D$58:$D$67))</f>
      </c>
      <c r="E18" s="7">
        <f>IF($B18="","",ROUND(MAX(0,MIN(IF($AL18="Percent",$AM18*($C18+$D18),$AM18),MAX(0,Inputs!$C$91-$AC17))),2))</f>
      </c>
      <c r="F18" s="7">
        <f>IF($B18="","",ROUND(MAX(0,MIN(IF(Inputs!$C$32="Percent",Inputs!$D$32*($C18+$D18),Inputs!$D$32),MAX(0,Inputs!$C$91-$AC17-$E18))),2))</f>
      </c>
      <c r="G18" s="7">
        <f>IF($B18="","",IF($BF18=0,0,ROUND(MAX(0,MIN($BL18,Inputs!$C$92-Inputs!$C$54-$BI17)),2)))</f>
      </c>
      <c r="H18" s="7">
        <f>IF($B18="","",IF(OR($BF18=0,$BQ18=1),0,ROUND(MAX(0,MIN(IF($BS18=1,ROUND(MAX(0,MIN($BJ18,'Methodology &amp; Sources'!$C$263)-$BG17)/MAX(1,MAX($BE$6:$BE$68)-($BE17)),2),ROUND(MIN($BJ18,'Methodology &amp; Sources'!$C$263)/Inputs!$C$8,2)),MIN($BJ18,'Methodology &amp; Sources'!$C$263)-$BG17)),2)))</f>
      </c>
      <c r="I18" s="7">
        <f>IF($B18="","",IF(OR($BF18=0,$BR18=1),0,ROUND(MAX(0,MIN(IF($BT18=1,ROUND(MAX(0,MIN($BK18,IF(Inputs!$C$12="MFJ",'Methodology &amp; Sources'!$C$264,'Methodology &amp; Sources'!$C$265))-$BH17)/MAX(1,MAX($BE$6:$BE$68)-($BE17)),2),ROUND(MIN($BK18,IF(Inputs!$C$12="MFJ",'Methodology &amp; Sources'!$C$264,'Methodology &amp; Sources'!$C$265))/Inputs!$C$8,2)),MIN($BK18,IF(Inputs!$C$12="MFJ",'Methodology &amp; Sources'!$C$264,'Methodology &amp; Sources'!$C$265))-$BH17)),2)))</f>
      </c>
      <c r="J18" s="7">
        <f>IF($B18="","",IF($BF18=0,0,$BM18))</f>
      </c>
      <c r="K18" s="7">
        <f>IF($B18="","",IF($BF18=0,0,$BN18+$BO18))</f>
      </c>
      <c r="L18" s="7">
        <f>IF($B18="","",IF($BF18=0,0,Inputs!$D$46))</f>
      </c>
      <c r="M18" s="7">
        <f>IF($B18="","",$C18+$D18+$L18-$E18-$G18-$H18-$I18-$J18-$K18)</f>
      </c>
      <c r="N18" s="7">
        <f>IF($B18="","",$C18+$D18+$L18-$G18-$H18-$I18-$J18-$K18)</f>
      </c>
      <c r="O18" s="7">
        <f>IF($B18="","",$C18+$D18+$L18-$E18-$H18-$I18-$J18-$K18-IF(OR($AN18="CA",$AN18="NJ"),0,$G18))</f>
      </c>
      <c r="P18" s="7">
        <f>IF($B18="","",IF(Inputs!$C$18,0,ROUND(MAX(0,IF(Inputs!$C$13,SUMPRODUCT(($AH18&gt;INDEX('Methodology &amp; Sources'!$B$279:$J$286,0,IF(Inputs!$C$12="MFJ",1,IF(Inputs!$C$12="HoH",7,4))))*($AH18-INDEX('Methodology &amp; Sources'!$B$279:$J$286,0,IF(Inputs!$C$12="MFJ",1,IF(Inputs!$C$12="HoH",7,4))))*INDEX('Methodology &amp; Sources'!$B$279:$J$286,0,IF(Inputs!$C$12="MFJ",1,IF(Inputs!$C$12="HoH",7,4))+2)),SUMPRODUCT(($AH18&gt;INDEX('Methodology &amp; Sources'!$B$269:$J$276,0,IF(Inputs!$C$12="MFJ",1,IF(Inputs!$C$12="HoH",7,4))))*($AH18-INDEX('Methodology &amp; Sources'!$B$269:$J$276,0,IF(Inputs!$C$12="MFJ",1,IF(Inputs!$C$12="HoH",7,4))))*INDEX('Methodology &amp; Sources'!$B$269:$J$276,0,IF(Inputs!$C$12="MFJ",1,IF(Inputs!$C$12="HoH",7,4))+2)))/Inputs!$C$8-$AO18/Inputs!$C$8)+$AR18+IF(Inputs!$C$89="Aggregate",MAX(0,IF(Inputs!$C$13,SUMPRODUCT((($AH18+$D18)&gt;INDEX('Methodology &amp; Sources'!$B$279:$J$286,0,IF(Inputs!$C$12="MFJ",1,IF(Inputs!$C$12="HoH",7,4))))*(($AH18+$D18)-INDEX('Methodology &amp; Sources'!$B$279:$J$286,0,IF(Inputs!$C$12="MFJ",1,IF(Inputs!$C$12="HoH",7,4))))*INDEX('Methodology &amp; Sources'!$B$279:$J$286,0,IF(Inputs!$C$12="MFJ",1,IF(Inputs!$C$12="HoH",7,4))+2)),SUMPRODUCT((($AH18+$D18)&gt;INDEX('Methodology &amp; Sources'!$B$269:$J$276,0,IF(Inputs!$C$12="MFJ",1,IF(Inputs!$C$12="HoH",7,4))))*(($AH18+$D18)-INDEX('Methodology &amp; Sources'!$B$269:$J$276,0,IF(Inputs!$C$12="MFJ",1,IF(Inputs!$C$12="HoH",7,4))))*INDEX('Methodology &amp; Sources'!$B$269:$J$276,0,IF(Inputs!$C$12="MFJ",1,IF(Inputs!$C$12="HoH",7,4))+2)))-IF(Inputs!$C$13,SUMPRODUCT(($AH18&gt;INDEX('Methodology &amp; Sources'!$B$279:$J$286,0,IF(Inputs!$C$12="MFJ",1,IF(Inputs!$C$12="HoH",7,4))))*($AH18-INDEX('Methodology &amp; Sources'!$B$279:$J$286,0,IF(Inputs!$C$12="MFJ",1,IF(Inputs!$C$12="HoH",7,4))))*INDEX('Methodology &amp; Sources'!$B$279:$J$286,0,IF(Inputs!$C$12="MFJ",1,IF(Inputs!$C$12="HoH",7,4))+2)),SUMPRODUCT(($AH18&gt;INDEX('Methodology &amp; Sources'!$B$269:$J$276,0,IF(Inputs!$C$12="MFJ",1,IF(Inputs!$C$12="HoH",7,4))))*($AH18-INDEX('Methodology &amp; Sources'!$B$269:$J$276,0,IF(Inputs!$C$12="MFJ",1,IF(Inputs!$C$12="HoH",7,4))))*INDEX('Methodology &amp; Sources'!$B$269:$J$276,0,IF(Inputs!$C$12="MFJ",1,IF(Inputs!$C$12="HoH",7,4))+2)))),'Methodology &amp; Sources'!$C$260*$D18),2)))</f>
      </c>
      <c r="Q18" s="7">
        <f>IF($B18="","",ROUND('Methodology &amp; Sources'!$C$254*MIN($N18,MAX(0,'Methodology &amp; Sources'!$C$253-($AX18+$AB17-$AW18))),2))</f>
      </c>
      <c r="R18" s="7">
        <f>IF($B18="","",ROUND('Methodology &amp; Sources'!$C$255*$N18,2))</f>
      </c>
      <c r="S18" s="7">
        <f>IF($B18="","",ROUND('Methodology &amp; Sources'!$C$256*MAX(0,MIN($N18,$AG17+$N18-'Methodology &amp; Sources'!$C$257)),2))</f>
      </c>
      <c r="T18" s="7">
        <f>IF($B18="","",IF(Inputs!$C$26,0,IF($AN18="CA",ROUND(IF($AI18&lt;=IF(($AS18+$AT18)&gt;=2,VLOOKUP($AN18,'StateTables 2026'!$A$6:$AB$56,10,FALSE),VLOOKUP($AN18,'StateTables 2026'!$A$6:$AB$56,9,FALSE)),0,MAX(0,SUMPRODUCT(($AJ18&gt;INDEX('Methodology &amp; Sources'!$B$289:$J$298,0,IF($AU18="Married",4,IF($AU18="Head of household",7,1))))*($AJ18-INDEX('Methodology &amp; Sources'!$B$289:$J$298,0,IF($AU18="Married",4,IF($AU18="Head of household",7,1))))*INDEX('Methodology &amp; Sources'!$B$289:$J$298,0,IF($AU18="Married",4,IF($AU18="Head of household",7,1))+2))-VLOOKUP($AN18,'StateTables 2026'!$A$6:$AB$56,11,FALSE)*$AS18)/Inputs!$C$8)+Inputs!$C$25+VLOOKUP($AN18,'StateTables 2026'!$A$6:$AB$56,13,FALSE)*$D18,2),IF(VLOOKUP($AN18,'StateTables 2026'!$A$6:$AB$56,4,FALSE)="None",0,IF(ISNUMBER(SEARCH("MANUAL",VLOOKUP($AN18,'StateTables 2026'!$A$6:$AB$56,5,FALSE))),Inputs!$C$28,ROUND(MAX(0,$BA18+$BB18)/Inputs!$C$8+Inputs!$C$25+$BC18,2))))))</f>
      </c>
      <c r="U18" s="7">
        <f>IF($B18="","",IF(VLOOKUP($AN18,'StateTables 2026'!$A$6:$AB$56,24,FALSE)="flatq",IF(OR(MONTH($B18)=1,MONTH($B18)=4,MONTH($B18)=7,MONTH($B18)=10),VLOOKUP($AN18,'StateTables 2026'!$A$6:$AB$56,25,FALSE),0),IF(VLOOKUP($AN18,'StateTables 2026'!$A$6:$AB$56,24,FALSE)="dbl",MIN(ROUND(0.005*$N18,2),ROUND(0.6*52/Inputs!$C$8,2)),IF(OR(VLOOKUP($AN18,'StateTables 2026'!$A$6:$AB$56,15,FALSE)="",VLOOKUP($AN18,'StateTables 2026'!$A$6:$AB$56,15,FALSE)=0),0,ROUND(VLOOKUP($AN18,'StateTables 2026'!$A$6:$AB$56,15,FALSE)*IF(OR(VLOOKUP($AN18,'StateTables 2026'!$A$6:$AB$56,16,FALSE)="",VLOOKUP($AN18,'StateTables 2026'!$A$6:$AB$56,16,FALSE)=0),$N18,MIN($N18,MAX(0,VLOOKUP($AN18,'StateTables 2026'!$A$6:$AB$56,16,FALSE)-($AX18+$AB17-$AW18)))),2))))+IF(VLOOKUP($AN18,'StateTables 2026'!$A$6:$AB$56,27,FALSE)="flatq",IF(OR(MONTH($B18)=1,MONTH($B18)=4,MONTH($B18)=7,MONTH($B18)=10),VLOOKUP($AN18,'StateTables 2026'!$A$6:$AB$56,28,FALSE),0),IF(VLOOKUP($AN18,'StateTables 2026'!$A$6:$AB$56,27,FALSE)="dbl",MIN(ROUND(0.005*$N18,2),ROUND(0.6*52/Inputs!$C$8,2)),IF(OR(VLOOKUP($AN18,'StateTables 2026'!$A$6:$AB$56,18,FALSE)="",VLOOKUP($AN18,'StateTables 2026'!$A$6:$AB$56,18,FALSE)=0),0,ROUND(VLOOKUP($AN18,'StateTables 2026'!$A$6:$AB$56,18,FALSE)*IF(OR(VLOOKUP($AN18,'StateTables 2026'!$A$6:$AB$56,19,FALSE)="",VLOOKUP($AN18,'StateTables 2026'!$A$6:$AB$56,19,FALSE)=0),$N18,MIN($N18,MAX(0,VLOOKUP($AN18,'StateTables 2026'!$A$6:$AB$56,19,FALSE)-($AX18+$AB17-$AW18)))),2)))))</f>
      </c>
      <c r="V18" s="7">
        <f>IF($B18="","",IF($AN18="NY",IF(Inputs!$C$78,ROUND(SUMPRODUCT((MAX(0,($O18-$D18)*Inputs!$C$8-(IF($AU18="Married",5500,5000)+1000*$AS18))&gt;INDEX('Methodology &amp; Sources'!$B$434:$J$448,0,4))*(MAX(0,($O18-$D18)*Inputs!$C$8-(IF($AU18="Married",5500,5000)+1000*$AS18))-INDEX('Methodology &amp; Sources'!$B$434:$J$448,0,4))*INDEX('Methodology &amp; Sources'!$B$434:$J$448,0,4+2))/Inputs!$C$8+0.0425*$D18,2),0)+IF(Inputs!$C$79="Resident",ROUND(0.1675*$T18,2),IF(Inputs!$C$79="Nonresident",ROUND(0.005*MAX(0,($O18-$D18)-(IF($AU18="Married",7950,7400)+1000*$AS18)/Inputs!$C$8),2),0)),IF($AN18="PA",IF(Inputs!$C$80="None",Inputs!$C$27+ROUND(Inputs!$C$81*($C18+$D18),2),ROUND(IF(Inputs!$C$80="Resident",IF($B18&lt;DATE(2026,7,1),0.0374,0.03735),IF($B18&lt;DATE(2026,7,1),0.0343,0.03425))*($C18+$D18),2)),IF($BF18=0,ROUND(Inputs!$C$81*($C18+$D18),2),Inputs!$C$27+ROUND(Inputs!$C$81*($C18+$D18),2)))))</f>
      </c>
      <c r="W18" s="7">
        <f>IF($B18="","",IF($BF18=0,0,$BP18))</f>
      </c>
      <c r="X18" s="7">
        <f>IF($B18="","",SUM($E18:$K18)+$P18+$Q18+$R18+$S18+$T18+$U18+$V18+$W18)</f>
      </c>
      <c r="Y18" s="22">
        <f>IF($B18="","",$C18+$D18-$X18)</f>
      </c>
      <c r="Z18" s="7">
        <f>IF($B18="","",$Z17+$C18+$D18)</f>
      </c>
      <c r="AA18" s="7">
        <f>IF($B18="","",$AA17+$Y18)</f>
      </c>
      <c r="AB18" s="7">
        <f>IF($B18="","",$AB17+MIN($N18,MAX(0,'Methodology &amp; Sources'!$C$253-($AX18+$AB17-$AW18))))</f>
      </c>
      <c r="AC18" s="7">
        <f>IF($B18="","",$AC17+$E18+$F18)</f>
      </c>
      <c r="AD18" s="3">
        <f>IF($B18="","",IF(AND($AB17&lt;'Methodology &amp; Sources'!$C$253,$AB18&gt;='Methodology &amp; Sources'!$C$253),"★ Social Security maxed on this check — from the next check your net rises by about $"&amp;TEXT(ROUND('Methodology &amp; Sources'!$C$254*$N18,2),"#,##0.00")&amp;". ","")&amp;IF(AND($AC17&lt;Inputs!$C$91,$AC18&gt;=Inputs!$C$91),"★ 401(k) reaches the $"&amp;TEXT(Inputs!$C$91,"#,##0")&amp;" cap on this check — deferrals stop and net pay rises. ","")&amp;IF(AND($AG17&lt;'Methodology &amp; Sources'!$C$257,$AG18&gt;='Methodology &amp; Sources'!$C$257),"★ Wages pass $200,000 — the 0.9% Additional Medicare Tax starts here. ","")&amp;IF(AND($BJ18&gt;0,$H18&gt;0,$BG17&lt;MIN($BJ18,'Methodology &amp; Sources'!$C$263),$BG17+$H18&gt;=MIN($BJ18,'Methodology &amp; Sources'!$C$263)),"★ Health FSA election is now fully deferred for the year. ",""))</f>
      </c>
      <c r="AE18" s="41" t="n"/>
      <c r="AF18" s="7">
        <f>IF(OR($B18="",$AE18=""),"",$AE18-$Y18)</f>
      </c>
      <c r="AG18" s="7">
        <f>IF($B18="","",$AG17+$N18)</f>
      </c>
      <c r="AH18" s="7">
        <f>IF($B18="","",MAX(0,($M18-$D18)*Inputs!$C$8+$AP18-$AQ18-IF(Inputs!$C$13,0,IF(Inputs!$C$12="MFJ",'Methodology &amp; Sources'!$C$258,'Methodology &amp; Sources'!$C$259))))</f>
      </c>
      <c r="AI18" s="7">
        <f>IF($B18="","",$O18*Inputs!$C$8)</f>
      </c>
      <c r="AJ18" s="7">
        <f>IF($B18="","",MAX(0,$AI18-VLOOKUP($AN18,'StateTables 2026'!$A$6:$AB$56,12,FALSE)*$AT18-IF(($AS18+$AT18)&gt;=2,VLOOKUP($AN18,'StateTables 2026'!$A$6:$AB$56,8,FALSE),VLOOKUP($AN18,'StateTables 2026'!$A$6:$AB$56,7,FALSE))))</f>
      </c>
      <c r="AK18" s="7">
        <f>IF($B18="","",IFERROR(LOOKUP(2,1/((Events!$C$6:$C$17="Salary change")*(Events!$B$6:$B$17&lt;=$B18)*(Events!$B$6:$B$17&lt;&gt;"")),Events!$D$6:$D$17),IF(Inputs!$C$4="Annual salary",Inputs!$C$5,Inputs!$C$6)))</f>
      </c>
      <c r="AL18">
        <f>IF($B18="","",IFERROR(LOOKUP(2,1/((Events!$C$6:$C$17="401(k) change")*(Events!$B$6:$B$17&lt;=$B18)*(Events!$B$6:$B$17&lt;&gt;"")),Events!$D$6:$D$17),Inputs!$C$30))</f>
      </c>
      <c r="AM18" s="7">
        <f>IF($B18="","",IFERROR(LOOKUP(2,1/((Events!$C$6:$C$17="401(k) change")*(Events!$B$6:$B$17&lt;=$B18)*(Events!$B$6:$B$17&lt;&gt;"")),Events!$E$6:$E$17),Inputs!$D$30))</f>
      </c>
      <c r="AN18">
        <f>IF($B18="","",IFERROR(LOOKUP(2,1/((Events!$C$6:$C$17="State move")*(Events!$B$6:$B$17&lt;=$B18)*(Events!$B$6:$B$17&lt;&gt;"")),Events!$D$6:$D$17),Inputs!$C$21))</f>
      </c>
      <c r="AO18" s="7">
        <f>IF($B18="","",IFERROR(LOOKUP(2,1/((Events!$C$6:$C$17="W-4 change")*(Events!$B$6:$B$17&lt;=$B18)*(Events!$B$6:$B$17&lt;&gt;"")),Events!$D$6:$D$17),Inputs!$C$14))</f>
      </c>
      <c r="AP18" s="7">
        <f>IF($B18="","",IFERROR(LOOKUP(2,1/((Events!$C$6:$C$17="W-4 change")*(Events!$B$6:$B$17&lt;=$B18)*(Events!$B$6:$B$17&lt;&gt;"")),Events!$E$6:$E$17),Inputs!$C$15))</f>
      </c>
      <c r="AQ18" s="7">
        <f>IF($B18="","",IFERROR(LOOKUP(2,1/((Events!$C$6:$C$17="W-4 change")*(Events!$B$6:$B$17&lt;=$B18)*(Events!$B$6:$B$17&lt;&gt;"")),Events!$F$6:$F$17),Inputs!$C$16))</f>
      </c>
      <c r="AR18" s="7">
        <f>IF($B18="","",IFERROR(LOOKUP(2,1/((Events!$C$6:$C$17="W-4 change")*(Events!$B$6:$B$17&lt;=$B18)*(Events!$B$6:$B$17&lt;&gt;"")),Events!$G$6:$G$17),Inputs!$C$17))</f>
      </c>
      <c r="AS18" s="6">
        <f>IF($B18="","",IFERROR(LOOKUP(2,1/(((Events!$C$6:$C$17="State move")+(Events!$C$6:$C$17="State cert change"))*(Events!$B$6:$B$17&lt;=$B18)*(Events!$B$6:$B$17&lt;&gt;"")),Events!$F$6:$F$17),Inputs!$C$23))</f>
      </c>
      <c r="AT18" s="6">
        <f>IF($B18="","",IFERROR(LOOKUP(2,1/(((Events!$C$6:$C$17="State move")+(Events!$C$6:$C$17="State cert change"))*(Events!$B$6:$B$17&lt;=$B18)*(Events!$B$6:$B$17&lt;&gt;"")),Events!$G$6:$G$17),Inputs!$C$24))</f>
      </c>
      <c r="AU18">
        <f>IF($B18="","",IFERROR(LOOKUP(2,1/((Events!$C$6:$C$17="State move")*(Events!$B$6:$B$17&lt;=$B18)*(Events!$B$6:$B$17&lt;&gt;"")),Events!$E$6:$E$17),Inputs!$C$22))</f>
      </c>
      <c r="AV18" s="6">
        <f>IF($B18="","",1+COUNTIFS(Events!$C$6:$C$17,"Employer change",Events!$B$6:$B$17,"&lt;="&amp;$B18,Events!$B$6:$B$17,"&lt;&gt;"))</f>
      </c>
      <c r="AW18" s="7">
        <f>IF($B18="","",IF($AV18=1,Inputs!$C$49,IF(IFERROR(MATCH(IFERROR(LOOKUP(2,1/((Events!$C$6:$C$17="Employer change")*(Events!$B$6:$B$17&lt;=$B18)*(Events!$B$6:$B$17&lt;&gt;"")),Events!$B$6:$B$17),""),$B$6:$B$68,1),1)&lt;=1,Inputs!$C$49,INDEX($AB$6:$AB$68,MATCH(IFERROR(LOOKUP(2,1/((Events!$C$6:$C$17="Employer change")*(Events!$B$6:$B$17&lt;=$B18)*(Events!$B$6:$B$17&lt;&gt;"")),Events!$B$6:$B$17),""),$B$6:$B$68,1)-1))))</f>
      </c>
      <c r="AX18" s="7">
        <f>IF($B18="","",IF($AV18=1,Inputs!$C$49,IFERROR(LOOKUP(2,1/((Events!$C$6:$C$17="Employer change")*(Events!$B$6:$B$17&lt;=$B18)*(Events!$B$6:$B$17&lt;&gt;"")),Events!$D$6:$D$17),0)))</f>
      </c>
      <c r="AY18" s="7">
        <f>IF($B18="","",($O18-$D18)*Inputs!$C$8)</f>
      </c>
      <c r="AZ18" s="7">
        <f>IF($B18="","",IF($AN18="AL",MAX(0,$AY18-IF($AU18="Married",IF($AY18&lt;=25999,8500,MAX(5000,8500-175*CEILING(($AY18-25999)/500,1))),IF($AU18="Head of household",IF($AY18&lt;=25999,5200,MAX(2500,5200-135*CEILING(($AY18-25999)/500,1))),IF($AY18&lt;=25999,3000,MAX(2500,3000-25*CEILING(($AY18-25999)/500,1)))))-($P18-'Methodology &amp; Sources'!$C$260*$D18)*Inputs!$C$8-IF(OR($AU18="Married",$AU18="Head of household"),3000,1500)-$AT18*IF($AY18&lt;=50000,1000,IF($AY18&lt;=100000,500,300))),IF($AN18="AR",IF(MAX(0,$AY18-2470)&lt;97701,INT(MAX(0,$AY18-2470)/100)*100+50,MAX(0,$AY18-2470)),IF($AN18="DE",MAX(0,$AI18-3250),IF($AN18="HI",MAX(0,$AI18-1144*$AS18-4350),IF($AN18="KS",MAX(0,$AI18-(9160*IF($AU18="Married",2,1)+2320*$AT18+IF($AU18="Head of household",2320,0))),IF($AN18="MD",MAX(0,$AI18-3400-3200*$AS18),IF($AN18="MN",MAX(0,$AY18-5300*$AS18),IF($AN18="MO",MAX(0,$AI18-IF($AU18="Head of household",24150,IF($AU18="Married",IF(Inputs!$C$83,16100,32200),16100))),IF($AN18="MT",$AY18,IF($AN18="ND",($C18+$L18)*Inputs!$C$8,IF($AN18="NE",MAX(0,$AY18-2440*$AS18),IF($AN18="NJ",MAX(0,$AY18-1000*$AS18),IF($AN18="NY",MAX(0,$AY18-(IF($AU18="Married",7950,7400)+1000*$AS18)),IF($AN18="OH",MAX(0,$AY18-650*$AS18),IF($AN18="OK",MAX(0,$AY18-1000*$AS18),IF($AN18="RI",MAX(0,$AI18-1000*$AS18),IF($AN18="SC",MAX(0,$AI18-5000*$AS18-IF($AS18=0,0,MIN(0.1*$AI18,7500))),IF($AN18="VA",MAX(0,$AI18-IF($AU18="Married",17500,8750)-930*$AS18-800*$AT18),IF($AN18="VT",MAX(0,$AI18-5400*$AS18),IF($AN18="WI",MAX(0,$AI18-MAX(0,IF($AU18="Married",9461-0.2*MAX(0,$AI18-25727),6702-0.12*MAX(0,$AI18-17780)))-400*$AS18),IF($AN18="WV",MAX(0,$AI18-2000*$AS18),$AI18))))))))))))))))))))))</f>
      </c>
      <c r="BA18" s="7">
        <f>IF($B18="","",IF($BW18&lt;&gt;"",$BW18,IF($BX18&lt;&gt;"",$BX18,IF($BY18&lt;&gt;"",$BY18,0))))</f>
      </c>
      <c r="BB18" s="7">
        <f>IF($B18="","",IF($AN18="AR",-29*$AS18,IF($AN18="DE",-110*$AS18,IF($AN18="MD",$AZ18*Inputs!$C$74,IF($AN18="AZ",Inputs!$C$82*($M18-$D18)*Inputs!$C$8,IF($AN18="CO",0.044*MAX(0,$AY18-IF($AU18="Married",10000,5000)),IF($AN18="IA",MAX(0,0.038*MAX(0,$AY18-IF($AU18="Head of household",19500,IF($AU18="Married",26000,13000)))-40*$AS18),IF($AN18="ID",0.053*MAX(0,$AY18-IF($AU18="Married",32000,16094)),IF($AN18="IL",0.0495*MAX(0,$AY18-(2925*$AS18+1000*$AT18)),IF($AN18="IN",(0.0295+Inputs!$C$76)*MAX(0,$AY18-(1000*$AS18+1500*$AT18+3000*Inputs!$C$86)),IF($AN18="KY",0.035*MAX(0,$AI18-3360),IF($AN18="LA",IF(Inputs!$C$84="0",0.0309*$AI18,0.0309*MAX(0,$AI18-IF(Inputs!$C$84="2",25750,12875))),IF($AN18="MA",0.05*MIN(MAX(0,$AY18-MIN(($BD17+$Q18+$R18+$S18),2000)-IF($AS18=0,0,IF($AS18=1,4400,1000*$AS18+3400))),1107750)+0.09*MAX(0,MAX(0,$AY18-MIN(($BD17+$Q18+$R18+$S18),2000)-IF($AS18=0,0,IF($AS18=1,4400,1000*$AS18+3400)))-1107750)-IF($AU18="Head of household",120,0)-110*Inputs!$C$75,IF($AN18="MI",0.0425*MAX(0,$AY18-5900*$AS18),IF($AN18="MS",0.04*MAX(0,$AI18-IF($AU18="Head of household",3400,IF($AU18="Married",4600,2300))-Inputs!$C$85-10000),IF($AN18="OR",IF(OR($AU18="Married",AND($AU18="Single",$AS18&gt;=3)),SUMPRODUCT((MAX(0,$AY18-MIN(($P18-'Methodology &amp; Sources'!$C$260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Sources'!$B$461:$J$464,0,4))*(MAX(0,$AY18-MIN(($P18-'Methodology &amp; Sources'!$C$260*$D18)*Inputs!$C$8,IF(OR($AU18="Married",AND($AU18="Single",$AS18&gt;=3)),IF($AY18&lt;250000,8750,IF($AY18&lt;260000,7000,IF($AY18&lt;270000,5250,IF($AY18&lt;280000,3500,IF($AY18&lt;290000,1750,0))))),IF($AY18&lt;125000,8750,IF($AY18&lt;130000,7000,IF($AY18&lt;135000,5250,IF($AY18&lt;140000,3500,IF($AY18&lt;145000,1750,0)))))))-IF(OR($AU18="Married",AND($AU18="Single",$AS18&gt;=3)),5820,2910))-INDEX('Methodology &amp; Sources'!$B$461:$J$464,0,4))*INDEX('Methodology &amp; Sources'!$B$461:$J$464,0,4+2)),SUMPRODUCT((MAX(0,$AY18-MIN(($P18-'Methodology &amp; Sources'!$C$260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Sources'!$B$461:$J$464,0,1))*(MAX(0,$AY18-MIN(($P18-'Methodology &amp; Sources'!$C$260*$D18)*Inputs!$C$8,IF(OR($AU18="Married",AND($AU18="Single",$AS18&gt;=3)),IF($AY18&lt;250000,8750,IF($AY18&lt;260000,7000,IF($AY18&lt;270000,5250,IF($AY18&lt;280000,3500,IF($AY18&lt;290000,1750,0))))),IF($AY18&lt;125000,8750,IF($AY18&lt;130000,7000,IF($AY18&lt;135000,5250,IF($AY18&lt;140000,3500,IF($AY18&lt;145000,1750,0)))))))-IF(OR($AU18="Married",AND($AU18="Single",$AS18&gt;=3)),5820,2910))-INDEX('Methodology &amp; Sources'!$B$461:$J$464,0,1))*INDEX('Methodology &amp; Sources'!$B$461:$J$464,0,1+2)))+263-263*IF(IF($AU18="Married",$AY18&gt;200000,$AY18&gt;100000),0,$AS18),IF($AN18="PA",0.0307*(($O18+$E18+$G18)*Inputs!$C$8),IF($AN18="NY",IF($AU18="Married",IF($AZ18&gt;=2155350,0,IF($AZ18&gt;=1077550,0.48,IF($AZ18&gt;=373200,1.21,IF($AZ18&gt;=323200,0.21,IF($AZ18&gt;=211550,-0.19,IF($AZ18&gt;=157650,-2.8,IF($AZ18&gt;=107650,-0.8,IF($AZ18&gt;=96800,0.05,IF($AZ18&gt;=80650,-0.1,IF($AZ18&gt;=13900,0.4,IF($AZ18&gt;=11700,-0.3,IF($AZ18&gt;=8500,0.5,0)))))))))))),IF($AZ18&gt;=1077550,0,IF($AZ18&gt;=265400,4.29,IF($AZ18&gt;=215400,2.29,IF($AZ18&gt;=157650,2.29,IF($AZ18&gt;=107650,0.29,IF($AZ18&gt;=96800,0.05,IF($AZ18&gt;=80650,-0.1,IF($AZ18&gt;=13900,0.4,IF($AZ18&gt;=11700,-0.3,IF($AZ18&gt;=8500,0.5,0))))))))))),0))))))))))))))))))</f>
      </c>
      <c r="BC18" s="7">
        <f>IF($B18="","",IF($AN18="AL",0.05*$D18,IF($AN18="AR",0.039*$D18,IF($AN18="ID",0.053*$D18,IF($AN18="IN",(0.0295+Inputs!$C$76)*$D18,IF($AN18="KS",0.05*$D18,IF($AN18="MA",0.09*MIN($D18,MAX(0,MAX(0,$AY18-MIN(($BD17+$Q18+$R18+$S18),2000)-IF($AS18=0,0,IF($AS18=1,4400,1000*$AS18+3400)))+$D18-1107750))+0.05*($D18-MIN($D18,MAX(0,MAX(0,$AY18-MIN(($BD17+$Q18+$R18+$S18),2000)-IF($AS18=0,0,IF($AS18=1,4400,1000*$AS18+3400)))+$D18-1107750))),IF($AN18="MD",(0.065+Inputs!$C$74)*$D18,IF($AN18="MI",0.0425*$D18,IF($AN18="MN",0.0625*$D18,IF($AN18="MO",0.047*$D18,IF($AN18="MT",0.05*$D18,IF($AN18="ND",0.015*$D18,IF($AN18="NE",0.035*$D18,IF($AN18="NJ",IF(Inputs!$C$77="B",SUMPRODUCT(($D18*Inputs!$C$8&gt;INDEX('Methodology &amp; Sources'!$B$405:$J$412,0,4))*($D18*Inputs!$C$8-INDEX('Methodology &amp; Sources'!$B$405:$J$412,0,4))*INDEX('Methodology &amp; Sources'!$B$405:$J$412,0,4+2)),IF(Inputs!$C$77="C",SUMPRODUCT(($D18*Inputs!$C$8&gt;INDEX('Methodology &amp; Sources'!$B$405:$J$412,0,7))*($D18*Inputs!$C$8-INDEX('Methodology &amp; Sources'!$B$405:$J$412,0,7))*INDEX('Methodology &amp; Sources'!$B$405:$J$412,0,7+2)),IF(Inputs!$C$77="D",SUMPRODUCT(($D18*Inputs!$C$8&gt;INDEX('Methodology &amp; Sources'!$B$417:$J$429,0,1))*($D18*Inputs!$C$8-INDEX('Methodology &amp; Sources'!$B$417:$J$429,0,1))*INDEX('Methodology &amp; Sources'!$B$417:$J$429,0,1+2)),IF(Inputs!$C$77="E",SUMPRODUCT(($D18*Inputs!$C$8&gt;INDEX('Methodology &amp; Sources'!$B$417:$J$429,0,4))*($D18*Inputs!$C$8-INDEX('Methodology &amp; Sources'!$B$417:$J$429,0,4))*INDEX('Methodology &amp; Sources'!$B$417:$J$429,0,4+2)),SUMPRODUCT(($D18*Inputs!$C$8&gt;INDEX('Methodology &amp; Sources'!$B$405:$J$412,0,1))*($D18*Inputs!$C$8-INDEX('Methodology &amp; Sources'!$B$405:$J$412,0,1))*INDEX('Methodology &amp; Sources'!$B$405:$J$412,0,1+2))))))/Inputs!$C$8,IF($AN18="NY",0.117*$D18,IF($AN18="OH",0.0275*$D18,IF($AN18="OK",0.045*$D18,IF($AN18="OR",0.08*$D18,IF($AN18="WI",IF($AY18&lt;12760,0.0354,IF($AY18&lt;25520,0.0465,IF($AY18&lt;280950,0.053,0.0765)))*$D18,0))))))))))))))))))))</f>
      </c>
      <c r="BD18" s="7">
        <f>IF($B18="","",$BD17+$Q18+$R18+$S18)</f>
      </c>
      <c r="BE18" s="6">
        <f>IF($B18="",$BE17,$BE17+$BF18)</f>
      </c>
      <c r="BF18" s="6">
        <f>IF($B18="","",IF(AND(IF(YEAR(IF(Inputs!$C$7="Weekly",Inputs!$C$9+7*(($BE17+1)-1),IF(Inputs!$C$7="Biweekly",Inputs!$C$9+14*(($BE17+1)-1),IF(Inputs!$C$7="Semimonthly",DATE(YEAR(Inputs!$C$9),MONTH(Inputs!$C$9)+INT((($BE17+1)-1)/2),MIN(DAY(Inputs!$C$9),DAY(EOMONTH(DATE(YEAR(Inputs!$C$9),MONTH(Inputs!$C$9)+INT((($BE17+1)-1)/2),1),0))))+IF(MOD(($BE17+1)-1,2)=1,15,0),EDATE(Inputs!$C$9,($BE17+1)-1)))))&lt;&gt;2026,"",IF(Inputs!$C$7="Weekly",Inputs!$C$9+7*(($BE17+1)-1),IF(Inputs!$C$7="Biweekly",Inputs!$C$9+14*(($BE17+1)-1),IF(Inputs!$C$7="Semimonthly",DATE(YEAR(Inputs!$C$9),MONTH(Inputs!$C$9)+INT((($BE17+1)-1)/2),MIN(DAY(Inputs!$C$9),DAY(EOMONTH(DATE(YEAR(Inputs!$C$9),MONTH(Inputs!$C$9)+INT((($BE17+1)-1)/2),1),0))))+IF(MOD(($BE17+1)-1,2)=1,15,0),EDATE(Inputs!$C$9,($BE17+1)-1)))))&lt;&gt;"",$B18=IF(YEAR(IF(Inputs!$C$7="Weekly",Inputs!$C$9+7*(($BE17+1)-1),IF(Inputs!$C$7="Biweekly",Inputs!$C$9+14*(($BE17+1)-1),IF(Inputs!$C$7="Semimonthly",DATE(YEAR(Inputs!$C$9),MONTH(Inputs!$C$9)+INT((($BE17+1)-1)/2),MIN(DAY(Inputs!$C$9),DAY(EOMONTH(DATE(YEAR(Inputs!$C$9),MONTH(Inputs!$C$9)+INT((($BE17+1)-1)/2),1),0))))+IF(MOD(($BE17+1)-1,2)=1,15,0),EDATE(Inputs!$C$9,($BE17+1)-1)))))&lt;&gt;2026,"",IF(Inputs!$C$7="Weekly",Inputs!$C$9+7*(($BE17+1)-1),IF(Inputs!$C$7="Biweekly",Inputs!$C$9+14*(($BE17+1)-1),IF(Inputs!$C$7="Semimonthly",DATE(YEAR(Inputs!$C$9),MONTH(Inputs!$C$9)+INT((($BE17+1)-1)/2),MIN(DAY(Inputs!$C$9),DAY(EOMONTH(DATE(YEAR(Inputs!$C$9),MONTH(Inputs!$C$9)+INT((($BE17+1)-1)/2),1),0))))+IF(MOD(($BE17+1)-1,2)=1,15,0),EDATE(Inputs!$C$9,($BE17+1)-1)))))),1,0))</f>
      </c>
      <c r="BG18" s="7">
        <f>IF($B18="","",$BG17+$H18)</f>
      </c>
      <c r="BH18" s="7">
        <f>IF($B18="","",$BH17+$I18)</f>
      </c>
      <c r="BI18" s="7">
        <f>IF($B18="","",$BI17+$G18)</f>
      </c>
      <c r="BJ18" s="7">
        <f>IF($B18="","",IFERROR(LOOKUP(2,1/((((Events!$C$6:$C$17="Deduction start"))*(Events!$D$6:$D$17="Health FSA"))*(Events!$B$6:$B$17&lt;=$B18)*(Events!$B$6:$B$17&lt;&gt;"")),Events!$E$6:$E$17),Inputs!$D$38))</f>
      </c>
      <c r="BK18" s="7">
        <f>IF($B18="","",IFERROR(LOOKUP(2,1/((((Events!$C$6:$C$17="Deduction start"))*(Events!$D$6:$D$17="Dependent-care FSA"))*(Events!$B$6:$B$17&lt;=$B18)*(Events!$B$6:$B$17&lt;&gt;"")),Events!$E$6:$E$17),Inputs!$D$39))</f>
      </c>
      <c r="BL18" s="7">
        <f>IF($B18="","",IFERROR(LOOKUP(2,1/((((Events!$C$6:$C$17="Deduction start")+(Events!$C$6:$C$17="Deduction stop"))*(Events!$D$6:$D$17="HSA"))*(Events!$B$6:$B$17&lt;=$B18)*(Events!$B$6:$B$17&lt;&gt;"")),Events!$I$6:$I$17),Inputs!$D$35))</f>
      </c>
      <c r="BM18" s="7">
        <f>IF($B18="","",IFERROR(LOOKUP(2,1/((((Events!$C$6:$C$17="Deduction start")+(Events!$C$6:$C$17="Deduction stop"))*(Events!$D$6:$D$17="Premiums"))*(Events!$B$6:$B$17&lt;=$B18)*(Events!$B$6:$B$17&lt;&gt;"")),Events!$I$6:$I$17),Inputs!$D$40+Inputs!$D$41+Inputs!$D$42))</f>
      </c>
      <c r="BN18" s="7">
        <f>IF($B18="","",IFERROR(LOOKUP(2,1/((((Events!$C$6:$C$17="Deduction start")+(Events!$C$6:$C$17="Deduction stop"))*(Events!$D$6:$D$17="Commuter"))*(Events!$B$6:$B$17&lt;=$B18)*(Events!$B$6:$B$17&lt;&gt;"")),Events!$I$6:$I$17),Inputs!$D$43))</f>
      </c>
      <c r="BO18" s="7">
        <f>IF($B18="","",IFERROR(LOOKUP(2,1/((((Events!$C$6:$C$17="Deduction start")+(Events!$C$6:$C$17="Deduction stop"))*(Events!$D$6:$D$17="Other pre-tax"))*(Events!$B$6:$B$17&lt;=$B18)*(Events!$B$6:$B$17&lt;&gt;"")),Events!$I$6:$I$17),Inputs!$D$44))</f>
      </c>
      <c r="BP18" s="7">
        <f>IF($B18="","",IFERROR(LOOKUP(2,1/((((Events!$C$6:$C$17="Deduction start")+(Events!$C$6:$C$17="Deduction stop"))*(Events!$D$6:$D$17="Other post-tax"))*(Events!$B$6:$B$17&lt;=$B18)*(Events!$B$6:$B$17&lt;&gt;"")),Events!$I$6:$I$17),Inputs!$D$45))</f>
      </c>
      <c r="BQ18" s="6">
        <f>IF($B18="","",IFERROR(LOOKUP(2,1/((((Events!$C$6:$C$17="Deduction start")+(Events!$C$6:$C$17="Deduction stop"))*(Events!$D$6:$D$17="Health FSA"))*(Events!$B$6:$B$17&lt;=$B18)*(Events!$B$6:$B$17&lt;&gt;"")),Events!$J$6:$J$17),0))</f>
      </c>
      <c r="BR18" s="6">
        <f>IF($B18="","",IFERROR(LOOKUP(2,1/((((Events!$C$6:$C$17="Deduction start")+(Events!$C$6:$C$17="Deduction stop"))*(Events!$D$6:$D$17="Dependent-care FSA"))*(Events!$B$6:$B$17&lt;=$B18)*(Events!$B$6:$B$17&lt;&gt;"")),Events!$J$6:$J$17),0))</f>
      </c>
      <c r="BS18" s="6">
        <f>IF($B18="","",IF(SUMPRODUCT((Events!$C$6:$C$17="Deduction start")*(Events!$B$6:$B$17&lt;=$B18)*(Events!$B$6:$B$17&lt;&gt;"")*(Events!$D$6:$D$17="Health FSA"))&gt;0,1,0))</f>
      </c>
      <c r="BT18" s="6">
        <f>IF($B18="","",IF(SUMPRODUCT((Events!$C$6:$C$17="Deduction start")*(Events!$B$6:$B$17&lt;=$B18)*(Events!$B$6:$B$17&lt;&gt;"")*(Events!$D$6:$D$17="Dependent-care FSA"))&gt;0,1,0))</f>
      </c>
      <c r="BU18" s="24">
        <f>IF($B18="","",IF(Inputs!$C$13,SUMPRODUCT(($AH18&gt;=INDEX('Methodology &amp; Sources'!$B$279:$J$286,0,IF(Inputs!$C$12="MFJ",1,IF(Inputs!$C$12="HoH",7,4))))*INDEX('Methodology &amp; Sources'!$B$279:$J$286,0,IF(Inputs!$C$12="MFJ",1,IF(Inputs!$C$12="HoH",7,4))+2)),SUMPRODUCT(($AH18&gt;=INDEX('Methodology &amp; Sources'!$B$269:$J$276,0,IF(Inputs!$C$12="MFJ",1,IF(Inputs!$C$12="HoH",7,4))))*INDEX('Methodology &amp; Sources'!$B$269:$J$276,0,IF(Inputs!$C$12="MFJ",1,IF(Inputs!$C$12="HoH",7,4))+2))))</f>
      </c>
      <c r="BV18" s="24">
        <f>IF($B18="","",IF($BZ18&lt;&gt;"",$BZ18,IF($CA18&lt;&gt;"",$CA18,IF($CB18&lt;&gt;"",$CB18,IF($CC18&lt;&gt;"",$CC18,0)))))</f>
      </c>
      <c r="BW18" s="7">
        <f>IF($B18="","",IF($AN18="MD",IF(OR($AU18="Married",$AU18="Head of household"),SUMPRODUCT(($AZ18&gt;INDEX('Methodology &amp; Sources'!$B$364:$J$370,0,1))*($AZ18-INDEX('Methodology &amp; Sources'!$B$364:$J$370,0,1))*INDEX('Methodology &amp; Sources'!$B$364:$J$370,0,1+2)),SUMPRODUCT(($AZ18&gt;INDEX('Methodology &amp; Sources'!$B$353:$J$359,0,7))*($AZ18-INDEX('Methodology &amp; Sources'!$B$353:$J$359,0,7))*INDEX('Methodology &amp; Sources'!$B$353:$J$359,0,7+2))),IF($AN18="MO",SUMPRODUCT(($AZ18&gt;INDEX('Methodology &amp; Sources'!$B$375:$J$382,0,1))*($AZ18-INDEX('Methodology &amp; Sources'!$B$375:$J$382,0,1))*INDEX('Methodology &amp; Sources'!$B$375:$J$382,0,1+2)),IF($AN18="MT",IF($AU18="Head of household",SUMPRODUCT(($AZ18&gt;INDEX('Methodology &amp; Sources'!$B$387:$J$389,0,1))*($AZ18-INDEX('Methodology &amp; Sources'!$B$387:$J$389,0,1))*INDEX('Methodology &amp; Sources'!$B$387:$J$389,0,1+2)),IF($AU18="Married",SUMPRODUCT(($AZ18&gt;INDEX('Methodology &amp; Sources'!$B$375:$J$382,0,7))*($AZ18-INDEX('Methodology &amp; Sources'!$B$375:$J$382,0,7))*INDEX('Methodology &amp; Sources'!$B$375:$J$382,0,7+2)),SUMPRODUCT(($AZ18&gt;INDEX('Methodology &amp; Sources'!$B$375:$J$382,0,4))*($AZ18-INDEX('Methodology &amp; Sources'!$B$375:$J$382,0,4))*INDEX('Methodology &amp; Sources'!$B$375:$J$382,0,4+2)))),IF($AN18="ND",IF($AU18="Head of household",SUMPRODUCT(($AZ18&gt;INDEX('Methodology &amp; Sources'!$B$394:$J$400,0,1))*($AZ18-INDEX('Methodology &amp; Sources'!$B$394:$J$400,0,1))*INDEX('Methodology &amp; Sources'!$B$394:$J$400,0,1+2)),IF($AU18="Married",SUMPRODUCT(($AZ18&gt;INDEX('Methodology &amp; Sources'!$B$387:$J$389,0,7))*($AZ18-INDEX('Methodology &amp; Sources'!$B$387:$J$389,0,7))*INDEX('Methodology &amp; Sources'!$B$387:$J$389,0,7+2)),SUMPRODUCT(($AZ18&gt;INDEX('Methodology &amp; Sources'!$B$387:$J$389,0,4))*($AZ18-INDEX('Methodology &amp; Sources'!$B$387:$J$389,0,4))*INDEX('Methodology &amp; Sources'!$B$387:$J$389,0,4+2)))),IF($AN18="NJ",IF(Inputs!$C$77="B",SUMPRODUCT(($AZ18&gt;INDEX('Methodology &amp; Sources'!$B$405:$J$412,0,4))*($AZ18-INDEX('Methodology &amp; Sources'!$B$405:$J$412,0,4))*INDEX('Methodology &amp; Sources'!$B$405:$J$412,0,4+2)),IF(Inputs!$C$77="C",SUMPRODUCT(($AZ18&gt;INDEX('Methodology &amp; Sources'!$B$405:$J$412,0,7))*($AZ18-INDEX('Methodology &amp; Sources'!$B$405:$J$412,0,7))*INDEX('Methodology &amp; Sources'!$B$405:$J$412,0,7+2)),IF(Inputs!$C$77="D",SUMPRODUCT(($AZ18&gt;INDEX('Methodology &amp; Sources'!$B$417:$J$429,0,1))*($AZ18-INDEX('Methodology &amp; Sources'!$B$417:$J$429,0,1))*INDEX('Methodology &amp; Sources'!$B$417:$J$429,0,1+2)),IF(Inputs!$C$77="E",SUMPRODUCT(($AZ18&gt;INDEX('Methodology &amp; Sources'!$B$417:$J$429,0,4))*($AZ18-INDEX('Methodology &amp; Sources'!$B$417:$J$429,0,4))*INDEX('Methodology &amp; Sources'!$B$417:$J$429,0,4+2)),SUMPRODUCT(($AZ18&gt;INDEX('Methodology &amp; Sources'!$B$405:$J$412,0,1))*($AZ18-INDEX('Methodology &amp; Sources'!$B$405:$J$412,0,1))*INDEX('Methodology &amp; Sources'!$B$405:$J$412,0,1+2)))))),IF($AN18="NY",IF($AU18="Married",IF($AZ18&gt;=2155350,$AZ18*IF($AZ18&gt;25000000,0.117,IF($AZ18&gt;5000000,0.111,0.1045)),SUMPRODUCT(($AZ18&gt;INDEX('Methodology &amp; Sources'!$B$434:$J$448,0,1))*($AZ18-INDEX('Methodology &amp; Sources'!$B$434:$J$448,0,1))*INDEX('Methodology &amp; Sources'!$B$434:$J$448,0,1+2))),IF($AZ18&gt;=1077550,$AZ18*IF($AZ18&gt;25000000,0.117,IF($AZ18&gt;5000000,0.111,0.1045)),SUMPRODUCT(($AZ18&gt;INDEX('Methodology &amp; Sources'!$B$417:$J$429,0,7))*($AZ18-INDEX('Methodology &amp; Sources'!$B$417:$J$429,0,7))*INDEX('Methodology &amp; Sources'!$B$417:$J$429,0,7+2)))),"")))))))</f>
      </c>
      <c r="BX18" s="7">
        <f>IF($B18="","",IF($AN18="AL",IF(OR($AU18="Married",$AU18="Head of household"),SUMPRODUCT(($AZ18&gt;INDEX('Methodology &amp; Sources'!$B$332:$J$336,0,4))*($AZ18-INDEX('Methodology &amp; Sources'!$B$332:$J$336,0,4))*INDEX('Methodology &amp; Sources'!$B$332:$J$336,0,4+2)),SUMPRODUCT(($AZ18&gt;INDEX('Methodology &amp; Sources'!$B$332:$J$336,0,1))*($AZ18-INDEX('Methodology &amp; Sources'!$B$332:$J$336,0,1))*INDEX('Methodology &amp; Sources'!$B$332:$J$336,0,1+2))),IF($AN18="KS",IF($AU18="Married",SUMPRODUCT(($AZ18&gt;INDEX('Methodology &amp; Sources'!$B$353:$J$359,0,4))*($AZ18-INDEX('Methodology &amp; Sources'!$B$353:$J$359,0,4))*INDEX('Methodology &amp; Sources'!$B$353:$J$359,0,4+2)),SUMPRODUCT(($AZ18&gt;INDEX('Methodology &amp; Sources'!$B$353:$J$359,0,1))*($AZ18-INDEX('Methodology &amp; Sources'!$B$353:$J$359,0,1))*INDEX('Methodology &amp; Sources'!$B$353:$J$359,0,1+2))),IF($AN18="MN",IF($AU18="Married",SUMPRODUCT(($AZ18&gt;INDEX('Methodology &amp; Sources'!$B$364:$J$370,0,7))*($AZ18-INDEX('Methodology &amp; Sources'!$B$364:$J$370,0,7))*INDEX('Methodology &amp; Sources'!$B$364:$J$370,0,7+2)),SUMPRODUCT(($AZ18&gt;INDEX('Methodology &amp; Sources'!$B$364:$J$370,0,4))*($AZ18-INDEX('Methodology &amp; Sources'!$B$364:$J$370,0,4))*INDEX('Methodology &amp; Sources'!$B$364:$J$370,0,4+2))),IF($AN18="NE",MAX(IF($AU18="Married",SUMPRODUCT(($AZ18&gt;INDEX('Methodology &amp; Sources'!$B$394:$J$400,0,7))*($AZ18-INDEX('Methodology &amp; Sources'!$B$394:$J$400,0,7))*INDEX('Methodology &amp; Sources'!$B$394:$J$400,0,7+2)),SUMPRODUCT(($AZ18&gt;INDEX('Methodology &amp; Sources'!$B$394:$J$400,0,4))*($AZ18-INDEX('Methodology &amp; Sources'!$B$394:$J$400,0,4))*INDEX('Methodology &amp; Sources'!$B$394:$J$400,0,4+2))),0.015*$AZ18),IF($AN18="OH",IF($B18&gt;=DATE(2026,8,1),SUMPRODUCT(($AZ18&gt;INDEX('Methodology &amp; Sources'!$B$453:$J$456,0,1))*($AZ18-INDEX('Methodology &amp; Sources'!$B$453:$J$456,0,1))*INDEX('Methodology &amp; Sources'!$B$453:$J$456,0,1+2)),SUMPRODUCT(($AZ18&gt;INDEX('Methodology &amp; Sources'!$B$434:$J$448,0,7))*($AZ18-INDEX('Methodology &amp; Sources'!$B$434:$J$448,0,7))*INDEX('Methodology &amp; Sources'!$B$434:$J$448,0,7+2))),IF($AN18="OK",IF($AU18="Married",SUMPRODUCT(($AZ18&gt;INDEX('Methodology &amp; Sources'!$B$453:$J$456,0,7))*($AZ18-INDEX('Methodology &amp; Sources'!$B$453:$J$456,0,7))*INDEX('Methodology &amp; Sources'!$B$453:$J$456,0,7+2)),SUMPRODUCT(($AZ18&gt;INDEX('Methodology &amp; Sources'!$B$453:$J$456,0,4))*($AZ18-INDEX('Methodology &amp; Sources'!$B$453:$J$456,0,4))*INDEX('Methodology &amp; Sources'!$B$453:$J$456,0,4+2))),IF($AN18="RI",SUMPRODUCT(($AZ18&gt;INDEX('Methodology &amp; Sources'!$B$461:$J$464,0,7))*($AZ18-INDEX('Methodology &amp; Sources'!$B$461:$J$464,0,7))*INDEX('Methodology &amp; Sources'!$B$461:$J$464,0,7+2)),IF($AN18="VT",IF($AU18="Married",SUMPRODUCT(($AZ18&gt;INDEX('Methodology &amp; Sources'!$B$478:$J$482,0,1))*($AZ18-INDEX('Methodology &amp; Sources'!$B$478:$J$482,0,1))*INDEX('Methodology &amp; Sources'!$B$478:$J$482,0,1+2)),SUMPRODUCT(($AZ18&gt;INDEX('Methodology &amp; Sources'!$B$469:$J$473,0,7))*($AZ18-INDEX('Methodology &amp; Sources'!$B$469:$J$473,0,7))*INDEX('Methodology &amp; Sources'!$B$469:$J$473,0,7+2))),IF($AN18="WV",IF($AU18="Married",SUMPRODUCT(($AZ18&gt;INDEX('Methodology &amp; Sources'!$B$487:$J$491,0,7))*($AZ18-INDEX('Methodology &amp; Sources'!$B$487:$J$491,0,7))*INDEX('Methodology &amp; Sources'!$B$487:$J$491,0,7+2)),SUMPRODUCT(($AZ18&gt;INDEX('Methodology &amp; Sources'!$B$478:$J$482,0,7))*($AZ18-INDEX('Methodology &amp; Sources'!$B$478:$J$482,0,7))*INDEX('Methodology &amp; Sources'!$B$478:$J$482,0,7+2))),""))))))))))</f>
      </c>
      <c r="BY18" s="7">
        <f>IF($B18="","",IF($AN18="AR",SUMPRODUCT(($AZ18&gt;INDEX('Methodology &amp; Sources'!$B$332:$J$336,0,7))*($AZ18-INDEX('Methodology &amp; Sources'!$B$332:$J$336,0,7))*INDEX('Methodology &amp; Sources'!$B$332:$J$336,0,7+2)),IF($AN18="DE",SUMPRODUCT(($AZ18&gt;INDEX('Methodology &amp; Sources'!$B$341:$J$348,0,1))*($AZ18-INDEX('Methodology &amp; Sources'!$B$341:$J$348,0,1))*INDEX('Methodology &amp; Sources'!$B$341:$J$348,0,1+2)),IF($AN18="HI",IF($AU18="Married",SUMPRODUCT(($AZ18&gt;INDEX('Methodology &amp; Sources'!$B$341:$J$348,0,7))*($AZ18-INDEX('Methodology &amp; Sources'!$B$341:$J$348,0,7))*INDEX('Methodology &amp; Sources'!$B$341:$J$348,0,7+2)),SUMPRODUCT(($AZ18&gt;INDEX('Methodology &amp; Sources'!$B$341:$J$348,0,4))*($AZ18-INDEX('Methodology &amp; Sources'!$B$341:$J$348,0,4))*INDEX('Methodology &amp; Sources'!$B$341:$J$348,0,4+2))),IF($AN18="SC",SUMPRODUCT(($AZ18&gt;INDEX('Methodology &amp; Sources'!$B$469:$J$473,0,1))*($AZ18-INDEX('Methodology &amp; Sources'!$B$469:$J$473,0,1))*INDEX('Methodology &amp; Sources'!$B$469:$J$473,0,1+2)),IF($AN18="VA",SUMPRODUCT(($AZ18&gt;INDEX('Methodology &amp; Sources'!$B$469:$J$473,0,4))*($AZ18-INDEX('Methodology &amp; Sources'!$B$469:$J$473,0,4))*INDEX('Methodology &amp; Sources'!$B$469:$J$473,0,4+2)),IF($AN18="WI",SUMPRODUCT(($AZ18&gt;INDEX('Methodology &amp; Sources'!$B$478:$J$482,0,4))*($AZ18-INDEX('Methodology &amp; Sources'!$B$478:$J$482,0,4))*INDEX('Methodology &amp; Sources'!$B$478:$J$482,0,4+2)),"")))))))</f>
      </c>
      <c r="BZ18" s="24">
        <f>IF($B18="","",IF($AN18="NJ",IF(Inputs!$C$77="B",SUMPRODUCT(($AZ18&gt;=INDEX('Methodology &amp; Sources'!$B$405:$J$412,0,4))*INDEX('Methodology &amp; Sources'!$B$405:$J$412,0,4+2)),IF(Inputs!$C$77="C",SUMPRODUCT(($AZ18&gt;=INDEX('Methodology &amp; Sources'!$B$405:$J$412,0,7))*INDEX('Methodology &amp; Sources'!$B$405:$J$412,0,7+2)),IF(Inputs!$C$77="D",SUMPRODUCT(($AZ18&gt;=INDEX('Methodology &amp; Sources'!$B$417:$J$429,0,1))*INDEX('Methodology &amp; Sources'!$B$417:$J$429,0,1+2)),IF(Inputs!$C$77="E",SUMPRODUCT(($AZ18&gt;=INDEX('Methodology &amp; Sources'!$B$417:$J$429,0,4))*INDEX('Methodology &amp; Sources'!$B$417:$J$429,0,4+2)),SUMPRODUCT(($AZ18&gt;=INDEX('Methodology &amp; Sources'!$B$405:$J$412,0,1))*INDEX('Methodology &amp; Sources'!$B$405:$J$412,0,1+2)))))),IF($AN18="OR",IF(OR($AU18="Married",AND($AU18="Single",$AS18&gt;=3)),SUMPRODUCT((MAX(0,$AY18-MIN(($P18-'Methodology &amp; Sources'!$C$260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Sources'!$B$461:$J$464,0,4))*INDEX('Methodology &amp; Sources'!$B$461:$J$464,0,4+2)),SUMPRODUCT((MAX(0,$AY18-MIN(($P18-'Methodology &amp; Sources'!$C$260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Sources'!$B$461:$J$464,0,1))*INDEX('Methodology &amp; Sources'!$B$461:$J$464,0,1+2)))*IF(($P18-'Methodology &amp; Sources'!$C$260*$D18)*Inputs!$C$8&gt;=IF(OR($AU18="Married",AND($AU18="Single",$AS18&gt;=3)),IF($AY18&lt;250000,8750,IF($AY18&lt;260000,7000,IF($AY18&lt;270000,5250,IF($AY18&lt;280000,3500,IF($AY18&lt;290000,1750,0))))),IF($AY18&lt;125000,8750,IF($AY18&lt;130000,7000,IF($AY18&lt;135000,5250,IF($AY18&lt;140000,3500,IF($AY18&lt;145000,1750,0)))))),1,1-IF(Inputs!$C$13,SUMPRODUCT(($AH18&gt;=INDEX('Methodology &amp; Sources'!$B$279:$J$286,0,IF(Inputs!$C$12="MFJ",1,IF(Inputs!$C$12="HoH",7,4))))*INDEX('Methodology &amp; Sources'!$B$279:$J$286,0,IF(Inputs!$C$12="MFJ",1,IF(Inputs!$C$12="HoH",7,4))+2)),SUMPRODUCT(($AH18&gt;=INDEX('Methodology &amp; Sources'!$B$269:$J$276,0,IF(Inputs!$C$12="MFJ",1,IF(Inputs!$C$12="HoH",7,4))))*INDEX('Methodology &amp; Sources'!$B$269:$J$276,0,IF(Inputs!$C$12="MFJ",1,IF(Inputs!$C$12="HoH",7,4))+2)))),IF($AN18="MI",IF($AY18&gt;5900*$AS18,0.0425,0),""))))</f>
      </c>
      <c r="CA18" s="24">
        <f>IF($B18="","",IF($AN18="AL",IF(OR($AU18="Married",$AU18="Head of household"),SUMPRODUCT(($AZ18&gt;=INDEX('Methodology &amp; Sources'!$B$332:$J$336,0,4))*INDEX('Methodology &amp; Sources'!$B$332:$J$336,0,4+2)),SUMPRODUCT(($AZ18&gt;=INDEX('Methodology &amp; Sources'!$B$332:$J$336,0,1))*INDEX('Methodology &amp; Sources'!$B$332:$J$336,0,1+2)))*(1-IF(Inputs!$C$13,SUMPRODUCT(($AH18&gt;=INDEX('Methodology &amp; Sources'!$B$279:$J$286,0,IF(Inputs!$C$12="MFJ",1,IF(Inputs!$C$12="HoH",7,4))))*INDEX('Methodology &amp; Sources'!$B$279:$J$286,0,IF(Inputs!$C$12="MFJ",1,IF(Inputs!$C$12="HoH",7,4))+2)),SUMPRODUCT(($AH18&gt;=INDEX('Methodology &amp; Sources'!$B$269:$J$276,0,IF(Inputs!$C$12="MFJ",1,IF(Inputs!$C$12="HoH",7,4))))*INDEX('Methodology &amp; Sources'!$B$269:$J$276,0,IF(Inputs!$C$12="MFJ",1,IF(Inputs!$C$12="HoH",7,4))+2)))),IF($AN18="KS",IF($AU18="Married",SUMPRODUCT(($AZ18&gt;=INDEX('Methodology &amp; Sources'!$B$353:$J$359,0,4))*INDEX('Methodology &amp; Sources'!$B$353:$J$359,0,4+2)),SUMPRODUCT(($AZ18&gt;=INDEX('Methodology &amp; Sources'!$B$353:$J$359,0,1))*INDEX('Methodology &amp; Sources'!$B$353:$J$359,0,1+2))),IF($AN18="MD",IF(OR($AU18="Married",$AU18="Head of household"),SUMPRODUCT(($AZ18&gt;=INDEX('Methodology &amp; Sources'!$B$364:$J$370,0,1))*INDEX('Methodology &amp; Sources'!$B$364:$J$370,0,1+2)),SUMPRODUCT(($AZ18&gt;=INDEX('Methodology &amp; Sources'!$B$353:$J$359,0,7))*INDEX('Methodology &amp; Sources'!$B$353:$J$359,0,7+2)))+Inputs!$C$74,IF($AN18="MT",IF($AU18="Head of household",SUMPRODUCT(($AZ18&gt;=INDEX('Methodology &amp; Sources'!$B$387:$J$389,0,1))*INDEX('Methodology &amp; Sources'!$B$387:$J$389,0,1+2)),IF($AU18="Married",SUMPRODUCT(($AZ18&gt;=INDEX('Methodology &amp; Sources'!$B$375:$J$382,0,7))*INDEX('Methodology &amp; Sources'!$B$375:$J$382,0,7+2)),SUMPRODUCT(($AZ18&gt;=INDEX('Methodology &amp; Sources'!$B$375:$J$382,0,4))*INDEX('Methodology &amp; Sources'!$B$375:$J$382,0,4+2)))),IF($AN18="ND",IF($AU18="Head of household",SUMPRODUCT(($AZ18&gt;=INDEX('Methodology &amp; Sources'!$B$394:$J$400,0,1))*INDEX('Methodology &amp; Sources'!$B$394:$J$400,0,1+2)),IF($AU18="Married",SUMPRODUCT(($AZ18&gt;=INDEX('Methodology &amp; Sources'!$B$387:$J$389,0,7))*INDEX('Methodology &amp; Sources'!$B$387:$J$389,0,7+2)),SUMPRODUCT(($AZ18&gt;=INDEX('Methodology &amp; Sources'!$B$387:$J$389,0,4))*INDEX('Methodology &amp; Sources'!$B$387:$J$389,0,4+2)))),IF($AN18="NY",IF($AU18="Married",IF($AZ18&gt;=2155350,IF($AZ18&gt;25000000,0.117,IF($AZ18&gt;5000000,0.111,0.1045)),SUMPRODUCT(($AZ18&gt;=INDEX('Methodology &amp; Sources'!$B$434:$J$448,0,1))*INDEX('Methodology &amp; Sources'!$B$434:$J$448,0,1+2))),IF($AZ18&gt;=1077550,IF($AZ18&gt;25000000,0.117,IF($AZ18&gt;5000000,0.111,0.1045)),SUMPRODUCT(($AZ18&gt;=INDEX('Methodology &amp; Sources'!$B$417:$J$429,0,7))*INDEX('Methodology &amp; Sources'!$B$417:$J$429,0,7+2)))),"")))))))</f>
      </c>
      <c r="CB18" s="24">
        <f>IF($B18="","",IF($AN18="CA",SUMPRODUCT(($AJ18&gt;=INDEX('Methodology &amp; Sources'!$B$289:$J$298,0,IF($AU18="Married",4,IF($AU18="Head of household",7,1))))*INDEX('Methodology &amp; Sources'!$B$289:$J$298,0,IF($AU18="Married",4,IF($AU18="Head of household",7,1))+2)),IF($AN18="HI",IF($AU18="Married",SUMPRODUCT(($AZ18&gt;=INDEX('Methodology &amp; Sources'!$B$341:$J$348,0,7))*INDEX('Methodology &amp; Sources'!$B$341:$J$348,0,7+2)),SUMPRODUCT(($AZ18&gt;=INDEX('Methodology &amp; Sources'!$B$341:$J$348,0,4))*INDEX('Methodology &amp; Sources'!$B$341:$J$348,0,4+2))),IF($AN18="MN",IF($AU18="Married",SUMPRODUCT(($AZ18&gt;=INDEX('Methodology &amp; Sources'!$B$364:$J$370,0,7))*INDEX('Methodology &amp; Sources'!$B$364:$J$370,0,7+2)),SUMPRODUCT(($AZ18&gt;=INDEX('Methodology &amp; Sources'!$B$364:$J$370,0,4))*INDEX('Methodology &amp; Sources'!$B$364:$J$370,0,4+2))),IF($AN18="MO",SUMPRODUCT(($AZ18&gt;=INDEX('Methodology &amp; Sources'!$B$375:$J$382,0,1))*INDEX('Methodology &amp; Sources'!$B$375:$J$382,0,1+2)),IF($AN18="NE",MAX(IF($AU18="Married",SUMPRODUCT(($AZ18&gt;=INDEX('Methodology &amp; Sources'!$B$394:$J$400,0,7))*INDEX('Methodology &amp; Sources'!$B$394:$J$400,0,7+2)),SUMPRODUCT(($AZ18&gt;=INDEX('Methodology &amp; Sources'!$B$394:$J$400,0,4))*INDEX('Methodology &amp; Sources'!$B$394:$J$400,0,4+2))),0.015),IF($AN18="OH",IF($B18&gt;=DATE(2026,8,1),SUMPRODUCT(($AZ18&gt;=INDEX('Methodology &amp; Sources'!$B$453:$J$456,0,1))*INDEX('Methodology &amp; Sources'!$B$453:$J$456,0,1+2)),SUMPRODUCT(($AZ18&gt;=INDEX('Methodology &amp; Sources'!$B$434:$J$448,0,7))*INDEX('Methodology &amp; Sources'!$B$434:$J$448,0,7+2))),IF($AN18="OK",IF($AU18="Married",SUMPRODUCT(($AZ18&gt;=INDEX('Methodology &amp; Sources'!$B$453:$J$456,0,7))*INDEX('Methodology &amp; Sources'!$B$453:$J$456,0,7+2)),SUMPRODUCT(($AZ18&gt;=INDEX('Methodology &amp; Sources'!$B$453:$J$456,0,4))*INDEX('Methodology &amp; Sources'!$B$453:$J$456,0,4+2))),IF($AN18="RI",SUMPRODUCT(($AZ18&gt;=INDEX('Methodology &amp; Sources'!$B$461:$J$464,0,7))*INDEX('Methodology &amp; Sources'!$B$461:$J$464,0,7+2)),IF($AN18="SC",SUMPRODUCT(($AZ18&gt;=INDEX('Methodology &amp; Sources'!$B$469:$J$473,0,1))*INDEX('Methodology &amp; Sources'!$B$469:$J$473,0,1+2)),IF($AN18="VT",IF($AU18="Married",SUMPRODUCT(($AZ18&gt;=INDEX('Methodology &amp; Sources'!$B$478:$J$482,0,1))*INDEX('Methodology &amp; Sources'!$B$478:$J$482,0,1+2)),SUMPRODUCT(($AZ18&gt;=INDEX('Methodology &amp; Sources'!$B$469:$J$473,0,7))*INDEX('Methodology &amp; Sources'!$B$469:$J$473,0,7+2))),IF($AN18="WV",IF($AU18="Married",SUMPRODUCT(($AZ18&gt;=INDEX('Methodology &amp; Sources'!$B$487:$J$491,0,7))*INDEX('Methodology &amp; Sources'!$B$487:$J$491,0,7+2)),SUMPRODUCT(($AZ18&gt;=INDEX('Methodology &amp; Sources'!$B$478:$J$482,0,7))*INDEX('Methodology &amp; Sources'!$B$478:$J$482,0,7+2))),IF($AN18="IN",(0.0295+Inputs!$C$76),"")))))))))))))</f>
      </c>
      <c r="CC18" s="24">
        <f>IF($B18="","",IF($AN18="AR",SUMPRODUCT(($AZ18&gt;=INDEX('Methodology &amp; Sources'!$B$332:$J$336,0,7))*INDEX('Methodology &amp; Sources'!$B$332:$J$336,0,7+2)),IF($AN18="DE",SUMPRODUCT(($AZ18&gt;=INDEX('Methodology &amp; Sources'!$B$341:$J$348,0,1))*INDEX('Methodology &amp; Sources'!$B$341:$J$348,0,1+2)),IF($AN18="VA",SUMPRODUCT(($AZ18&gt;=INDEX('Methodology &amp; Sources'!$B$469:$J$473,0,4))*INDEX('Methodology &amp; Sources'!$B$469:$J$473,0,4+2)),IF($AN18="WI",SUMPRODUCT(($AZ18&gt;=INDEX('Methodology &amp; Sources'!$B$478:$J$482,0,4))*INDEX('Methodology &amp; Sources'!$B$478:$J$482,0,4+2)),IF($AN18="AZ",Inputs!$C$82,IF($AN18="CO",IF($AY18&gt;IF($AU18="Married",10000,5000),0.044,0),IF($AN18="IA",IF($AY18&gt;IF($AU18="Head of household",19500,IF($AU18="Married",26000,13000)),0.038,0),IF($AN18="ID",IF($AY18&gt;IF($AU18="Married",32000,16094),0.053,0),IF($AN18="IL",IF($AY18&gt;(2925*$AS18+1000*$AT18),0.0495,0),IF($AN18="KY",IF($AI18&gt;3360,0.035,0),IF($AN18="LA",0.0309,IF($AN18="MA",IF(MAX(0,$AY18-MIN(($BD17+$Q18+$R18+$S18),2000)-IF($AS18=0,0,IF($AS18=1,4400,1000*$AS18+3400)))&gt;=1107750,0.09,0.05),IF($AN18="MS",IF($AI18-IF($AU18="Head of household",3400,IF($AU18="Married",4600,2300))-Inputs!$C$85&gt;10000,0.04,0),IF($AN18="PA",0.0307,"")))))))))))))))</f>
      </c>
      <c r="CD18" s="21">
        <f>IF(YEAR(IF(Inputs!$C$7="Weekly",Inputs!$C$9+7*(($BE17+1)-1),IF(Inputs!$C$7="Biweekly",Inputs!$C$9+14*(($BE17+1)-1),IF(Inputs!$C$7="Semimonthly",DATE(YEAR(Inputs!$C$9),MONTH(Inputs!$C$9)+INT((($BE17+1)-1)/2),MIN(DAY(Inputs!$C$9),DAY(EOMONTH(DATE(YEAR(Inputs!$C$9),MONTH(Inputs!$C$9)+INT((($BE17+1)-1)/2),1),0))))+IF(MOD(($BE17+1)-1,2)=1,15,0),EDATE(Inputs!$C$9,($BE17+1)-1)))))&lt;&gt;2026,"",IF(Inputs!$C$7="Weekly",Inputs!$C$9+7*(($BE17+1)-1),IF(Inputs!$C$7="Biweekly",Inputs!$C$9+14*(($BE17+1)-1),IF(Inputs!$C$7="Semimonthly",DATE(YEAR(Inputs!$C$9),MONTH(Inputs!$C$9)+INT((($BE17+1)-1)/2),MIN(DAY(Inputs!$C$9),DAY(EOMONTH(DATE(YEAR(Inputs!$C$9),MONTH(Inputs!$C$9)+INT((($BE17+1)-1)/2),1),0))))+IF(MOD(($BE17+1)-1,2)=1,15,0),EDATE(Inputs!$C$9,($BE17+1)-1)))))</f>
      </c>
      <c r="CE18" s="21">
        <f>IF(SUMPRODUCT(MIN(IF((Inputs!$C$58:$C$67&gt;MAX($B$6:$B17))*(Inputs!$C$58:$C$67&gt;=DATE(2026,1,1))*(Inputs!$C$58:$C$67&lt;=DATE(2026,12,31)),Inputs!$C$58:$C$67,999999)))=999999,"",SUMPRODUCT(MIN(IF((Inputs!$C$58:$C$67&gt;MAX($B$6:$B17))*(Inputs!$C$58:$C$67&gt;=DATE(2026,1,1))*(Inputs!$C$58:$C$67&lt;=DATE(2026,12,31)),Inputs!$C$58:$C$67,999999))))</f>
      </c>
    </row>
    <row r="19">
      <c r="A19" t="n">
        <v>14</v>
      </c>
      <c r="B19" s="21">
        <f>IF(AND($CD19="",$CE19=""),"",IF($CE19="",$CD19,IF($CD19="",$CE19,MIN($CD19,$CE19))))</f>
      </c>
      <c r="C19" s="7">
        <f>IF($B19="","",IF($BF19=0,0,IF(Inputs!$C$4="Annual salary",ROUND($AK19/IF(AND(Inputs!$C$88="Actual paydays",MONTH(Inputs!$C$9)=1),MAX(1,MAX($BE$6:$BE$68)),Inputs!$C$8),2),$AK19)))</f>
      </c>
      <c r="D19" s="7">
        <f>IF($B19="","",SUMIF(Inputs!$C$58:$C$67,$B19,Inputs!$D$58:$D$67))</f>
      </c>
      <c r="E19" s="7">
        <f>IF($B19="","",ROUND(MAX(0,MIN(IF($AL19="Percent",$AM19*($C19+$D19),$AM19),MAX(0,Inputs!$C$91-$AC18))),2))</f>
      </c>
      <c r="F19" s="7">
        <f>IF($B19="","",ROUND(MAX(0,MIN(IF(Inputs!$C$32="Percent",Inputs!$D$32*($C19+$D19),Inputs!$D$32),MAX(0,Inputs!$C$91-$AC18-$E19))),2))</f>
      </c>
      <c r="G19" s="7">
        <f>IF($B19="","",IF($BF19=0,0,ROUND(MAX(0,MIN($BL19,Inputs!$C$92-Inputs!$C$54-$BI18)),2)))</f>
      </c>
      <c r="H19" s="7">
        <f>IF($B19="","",IF(OR($BF19=0,$BQ19=1),0,ROUND(MAX(0,MIN(IF($BS19=1,ROUND(MAX(0,MIN($BJ19,'Methodology &amp; Sources'!$C$263)-$BG18)/MAX(1,MAX($BE$6:$BE$68)-($BE18)),2),ROUND(MIN($BJ19,'Methodology &amp; Sources'!$C$263)/Inputs!$C$8,2)),MIN($BJ19,'Methodology &amp; Sources'!$C$263)-$BG18)),2)))</f>
      </c>
      <c r="I19" s="7">
        <f>IF($B19="","",IF(OR($BF19=0,$BR19=1),0,ROUND(MAX(0,MIN(IF($BT19=1,ROUND(MAX(0,MIN($BK19,IF(Inputs!$C$12="MFJ",'Methodology &amp; Sources'!$C$264,'Methodology &amp; Sources'!$C$265))-$BH18)/MAX(1,MAX($BE$6:$BE$68)-($BE18)),2),ROUND(MIN($BK19,IF(Inputs!$C$12="MFJ",'Methodology &amp; Sources'!$C$264,'Methodology &amp; Sources'!$C$265))/Inputs!$C$8,2)),MIN($BK19,IF(Inputs!$C$12="MFJ",'Methodology &amp; Sources'!$C$264,'Methodology &amp; Sources'!$C$265))-$BH18)),2)))</f>
      </c>
      <c r="J19" s="7">
        <f>IF($B19="","",IF($BF19=0,0,$BM19))</f>
      </c>
      <c r="K19" s="7">
        <f>IF($B19="","",IF($BF19=0,0,$BN19+$BO19))</f>
      </c>
      <c r="L19" s="7">
        <f>IF($B19="","",IF($BF19=0,0,Inputs!$D$46))</f>
      </c>
      <c r="M19" s="7">
        <f>IF($B19="","",$C19+$D19+$L19-$E19-$G19-$H19-$I19-$J19-$K19)</f>
      </c>
      <c r="N19" s="7">
        <f>IF($B19="","",$C19+$D19+$L19-$G19-$H19-$I19-$J19-$K19)</f>
      </c>
      <c r="O19" s="7">
        <f>IF($B19="","",$C19+$D19+$L19-$E19-$H19-$I19-$J19-$K19-IF(OR($AN19="CA",$AN19="NJ"),0,$G19))</f>
      </c>
      <c r="P19" s="7">
        <f>IF($B19="","",IF(Inputs!$C$18,0,ROUND(MAX(0,IF(Inputs!$C$13,SUMPRODUCT(($AH19&gt;INDEX('Methodology &amp; Sources'!$B$279:$J$286,0,IF(Inputs!$C$12="MFJ",1,IF(Inputs!$C$12="HoH",7,4))))*($AH19-INDEX('Methodology &amp; Sources'!$B$279:$J$286,0,IF(Inputs!$C$12="MFJ",1,IF(Inputs!$C$12="HoH",7,4))))*INDEX('Methodology &amp; Sources'!$B$279:$J$286,0,IF(Inputs!$C$12="MFJ",1,IF(Inputs!$C$12="HoH",7,4))+2)),SUMPRODUCT(($AH19&gt;INDEX('Methodology &amp; Sources'!$B$269:$J$276,0,IF(Inputs!$C$12="MFJ",1,IF(Inputs!$C$12="HoH",7,4))))*($AH19-INDEX('Methodology &amp; Sources'!$B$269:$J$276,0,IF(Inputs!$C$12="MFJ",1,IF(Inputs!$C$12="HoH",7,4))))*INDEX('Methodology &amp; Sources'!$B$269:$J$276,0,IF(Inputs!$C$12="MFJ",1,IF(Inputs!$C$12="HoH",7,4))+2)))/Inputs!$C$8-$AO19/Inputs!$C$8)+$AR19+IF(Inputs!$C$89="Aggregate",MAX(0,IF(Inputs!$C$13,SUMPRODUCT((($AH19+$D19)&gt;INDEX('Methodology &amp; Sources'!$B$279:$J$286,0,IF(Inputs!$C$12="MFJ",1,IF(Inputs!$C$12="HoH",7,4))))*(($AH19+$D19)-INDEX('Methodology &amp; Sources'!$B$279:$J$286,0,IF(Inputs!$C$12="MFJ",1,IF(Inputs!$C$12="HoH",7,4))))*INDEX('Methodology &amp; Sources'!$B$279:$J$286,0,IF(Inputs!$C$12="MFJ",1,IF(Inputs!$C$12="HoH",7,4))+2)),SUMPRODUCT((($AH19+$D19)&gt;INDEX('Methodology &amp; Sources'!$B$269:$J$276,0,IF(Inputs!$C$12="MFJ",1,IF(Inputs!$C$12="HoH",7,4))))*(($AH19+$D19)-INDEX('Methodology &amp; Sources'!$B$269:$J$276,0,IF(Inputs!$C$12="MFJ",1,IF(Inputs!$C$12="HoH",7,4))))*INDEX('Methodology &amp; Sources'!$B$269:$J$276,0,IF(Inputs!$C$12="MFJ",1,IF(Inputs!$C$12="HoH",7,4))+2)))-IF(Inputs!$C$13,SUMPRODUCT(($AH19&gt;INDEX('Methodology &amp; Sources'!$B$279:$J$286,0,IF(Inputs!$C$12="MFJ",1,IF(Inputs!$C$12="HoH",7,4))))*($AH19-INDEX('Methodology &amp; Sources'!$B$279:$J$286,0,IF(Inputs!$C$12="MFJ",1,IF(Inputs!$C$12="HoH",7,4))))*INDEX('Methodology &amp; Sources'!$B$279:$J$286,0,IF(Inputs!$C$12="MFJ",1,IF(Inputs!$C$12="HoH",7,4))+2)),SUMPRODUCT(($AH19&gt;INDEX('Methodology &amp; Sources'!$B$269:$J$276,0,IF(Inputs!$C$12="MFJ",1,IF(Inputs!$C$12="HoH",7,4))))*($AH19-INDEX('Methodology &amp; Sources'!$B$269:$J$276,0,IF(Inputs!$C$12="MFJ",1,IF(Inputs!$C$12="HoH",7,4))))*INDEX('Methodology &amp; Sources'!$B$269:$J$276,0,IF(Inputs!$C$12="MFJ",1,IF(Inputs!$C$12="HoH",7,4))+2)))),'Methodology &amp; Sources'!$C$260*$D19),2)))</f>
      </c>
      <c r="Q19" s="7">
        <f>IF($B19="","",ROUND('Methodology &amp; Sources'!$C$254*MIN($N19,MAX(0,'Methodology &amp; Sources'!$C$253-($AX19+$AB18-$AW19))),2))</f>
      </c>
      <c r="R19" s="7">
        <f>IF($B19="","",ROUND('Methodology &amp; Sources'!$C$255*$N19,2))</f>
      </c>
      <c r="S19" s="7">
        <f>IF($B19="","",ROUND('Methodology &amp; Sources'!$C$256*MAX(0,MIN($N19,$AG18+$N19-'Methodology &amp; Sources'!$C$257)),2))</f>
      </c>
      <c r="T19" s="7">
        <f>IF($B19="","",IF(Inputs!$C$26,0,IF($AN19="CA",ROUND(IF($AI19&lt;=IF(($AS19+$AT19)&gt;=2,VLOOKUP($AN19,'StateTables 2026'!$A$6:$AB$56,10,FALSE),VLOOKUP($AN19,'StateTables 2026'!$A$6:$AB$56,9,FALSE)),0,MAX(0,SUMPRODUCT(($AJ19&gt;INDEX('Methodology &amp; Sources'!$B$289:$J$298,0,IF($AU19="Married",4,IF($AU19="Head of household",7,1))))*($AJ19-INDEX('Methodology &amp; Sources'!$B$289:$J$298,0,IF($AU19="Married",4,IF($AU19="Head of household",7,1))))*INDEX('Methodology &amp; Sources'!$B$289:$J$298,0,IF($AU19="Married",4,IF($AU19="Head of household",7,1))+2))-VLOOKUP($AN19,'StateTables 2026'!$A$6:$AB$56,11,FALSE)*$AS19)/Inputs!$C$8)+Inputs!$C$25+VLOOKUP($AN19,'StateTables 2026'!$A$6:$AB$56,13,FALSE)*$D19,2),IF(VLOOKUP($AN19,'StateTables 2026'!$A$6:$AB$56,4,FALSE)="None",0,IF(ISNUMBER(SEARCH("MANUAL",VLOOKUP($AN19,'StateTables 2026'!$A$6:$AB$56,5,FALSE))),Inputs!$C$28,ROUND(MAX(0,$BA19+$BB19)/Inputs!$C$8+Inputs!$C$25+$BC19,2))))))</f>
      </c>
      <c r="U19" s="7">
        <f>IF($B19="","",IF(VLOOKUP($AN19,'StateTables 2026'!$A$6:$AB$56,24,FALSE)="flatq",IF(OR(MONTH($B19)=1,MONTH($B19)=4,MONTH($B19)=7,MONTH($B19)=10),VLOOKUP($AN19,'StateTables 2026'!$A$6:$AB$56,25,FALSE),0),IF(VLOOKUP($AN19,'StateTables 2026'!$A$6:$AB$56,24,FALSE)="dbl",MIN(ROUND(0.005*$N19,2),ROUND(0.6*52/Inputs!$C$8,2)),IF(OR(VLOOKUP($AN19,'StateTables 2026'!$A$6:$AB$56,15,FALSE)="",VLOOKUP($AN19,'StateTables 2026'!$A$6:$AB$56,15,FALSE)=0),0,ROUND(VLOOKUP($AN19,'StateTables 2026'!$A$6:$AB$56,15,FALSE)*IF(OR(VLOOKUP($AN19,'StateTables 2026'!$A$6:$AB$56,16,FALSE)="",VLOOKUP($AN19,'StateTables 2026'!$A$6:$AB$56,16,FALSE)=0),$N19,MIN($N19,MAX(0,VLOOKUP($AN19,'StateTables 2026'!$A$6:$AB$56,16,FALSE)-($AX19+$AB18-$AW19)))),2))))+IF(VLOOKUP($AN19,'StateTables 2026'!$A$6:$AB$56,27,FALSE)="flatq",IF(OR(MONTH($B19)=1,MONTH($B19)=4,MONTH($B19)=7,MONTH($B19)=10),VLOOKUP($AN19,'StateTables 2026'!$A$6:$AB$56,28,FALSE),0),IF(VLOOKUP($AN19,'StateTables 2026'!$A$6:$AB$56,27,FALSE)="dbl",MIN(ROUND(0.005*$N19,2),ROUND(0.6*52/Inputs!$C$8,2)),IF(OR(VLOOKUP($AN19,'StateTables 2026'!$A$6:$AB$56,18,FALSE)="",VLOOKUP($AN19,'StateTables 2026'!$A$6:$AB$56,18,FALSE)=0),0,ROUND(VLOOKUP($AN19,'StateTables 2026'!$A$6:$AB$56,18,FALSE)*IF(OR(VLOOKUP($AN19,'StateTables 2026'!$A$6:$AB$56,19,FALSE)="",VLOOKUP($AN19,'StateTables 2026'!$A$6:$AB$56,19,FALSE)=0),$N19,MIN($N19,MAX(0,VLOOKUP($AN19,'StateTables 2026'!$A$6:$AB$56,19,FALSE)-($AX19+$AB18-$AW19)))),2)))))</f>
      </c>
      <c r="V19" s="7">
        <f>IF($B19="","",IF($AN19="NY",IF(Inputs!$C$78,ROUND(SUMPRODUCT((MAX(0,($O19-$D19)*Inputs!$C$8-(IF($AU19="Married",5500,5000)+1000*$AS19))&gt;INDEX('Methodology &amp; Sources'!$B$434:$J$448,0,4))*(MAX(0,($O19-$D19)*Inputs!$C$8-(IF($AU19="Married",5500,5000)+1000*$AS19))-INDEX('Methodology &amp; Sources'!$B$434:$J$448,0,4))*INDEX('Methodology &amp; Sources'!$B$434:$J$448,0,4+2))/Inputs!$C$8+0.0425*$D19,2),0)+IF(Inputs!$C$79="Resident",ROUND(0.1675*$T19,2),IF(Inputs!$C$79="Nonresident",ROUND(0.005*MAX(0,($O19-$D19)-(IF($AU19="Married",7950,7400)+1000*$AS19)/Inputs!$C$8),2),0)),IF($AN19="PA",IF(Inputs!$C$80="None",Inputs!$C$27+ROUND(Inputs!$C$81*($C19+$D19),2),ROUND(IF(Inputs!$C$80="Resident",IF($B19&lt;DATE(2026,7,1),0.0374,0.03735),IF($B19&lt;DATE(2026,7,1),0.0343,0.03425))*($C19+$D19),2)),IF($BF19=0,ROUND(Inputs!$C$81*($C19+$D19),2),Inputs!$C$27+ROUND(Inputs!$C$81*($C19+$D19),2)))))</f>
      </c>
      <c r="W19" s="7">
        <f>IF($B19="","",IF($BF19=0,0,$BP19))</f>
      </c>
      <c r="X19" s="7">
        <f>IF($B19="","",SUM($E19:$K19)+$P19+$Q19+$R19+$S19+$T19+$U19+$V19+$W19)</f>
      </c>
      <c r="Y19" s="22">
        <f>IF($B19="","",$C19+$D19-$X19)</f>
      </c>
      <c r="Z19" s="7">
        <f>IF($B19="","",$Z18+$C19+$D19)</f>
      </c>
      <c r="AA19" s="7">
        <f>IF($B19="","",$AA18+$Y19)</f>
      </c>
      <c r="AB19" s="7">
        <f>IF($B19="","",$AB18+MIN($N19,MAX(0,'Methodology &amp; Sources'!$C$253-($AX19+$AB18-$AW19))))</f>
      </c>
      <c r="AC19" s="7">
        <f>IF($B19="","",$AC18+$E19+$F19)</f>
      </c>
      <c r="AD19" s="3">
        <f>IF($B19="","",IF(AND($AB18&lt;'Methodology &amp; Sources'!$C$253,$AB19&gt;='Methodology &amp; Sources'!$C$253),"★ Social Security maxed on this check — from the next check your net rises by about $"&amp;TEXT(ROUND('Methodology &amp; Sources'!$C$254*$N19,2),"#,##0.00")&amp;". ","")&amp;IF(AND($AC18&lt;Inputs!$C$91,$AC19&gt;=Inputs!$C$91),"★ 401(k) reaches the $"&amp;TEXT(Inputs!$C$91,"#,##0")&amp;" cap on this check — deferrals stop and net pay rises. ","")&amp;IF(AND($AG18&lt;'Methodology &amp; Sources'!$C$257,$AG19&gt;='Methodology &amp; Sources'!$C$257),"★ Wages pass $200,000 — the 0.9% Additional Medicare Tax starts here. ","")&amp;IF(AND($BJ19&gt;0,$H19&gt;0,$BG18&lt;MIN($BJ19,'Methodology &amp; Sources'!$C$263),$BG18+$H19&gt;=MIN($BJ19,'Methodology &amp; Sources'!$C$263)),"★ Health FSA election is now fully deferred for the year. ",""))</f>
      </c>
      <c r="AE19" s="41" t="n"/>
      <c r="AF19" s="7">
        <f>IF(OR($B19="",$AE19=""),"",$AE19-$Y19)</f>
      </c>
      <c r="AG19" s="7">
        <f>IF($B19="","",$AG18+$N19)</f>
      </c>
      <c r="AH19" s="7">
        <f>IF($B19="","",MAX(0,($M19-$D19)*Inputs!$C$8+$AP19-$AQ19-IF(Inputs!$C$13,0,IF(Inputs!$C$12="MFJ",'Methodology &amp; Sources'!$C$258,'Methodology &amp; Sources'!$C$259))))</f>
      </c>
      <c r="AI19" s="7">
        <f>IF($B19="","",$O19*Inputs!$C$8)</f>
      </c>
      <c r="AJ19" s="7">
        <f>IF($B19="","",MAX(0,$AI19-VLOOKUP($AN19,'StateTables 2026'!$A$6:$AB$56,12,FALSE)*$AT19-IF(($AS19+$AT19)&gt;=2,VLOOKUP($AN19,'StateTables 2026'!$A$6:$AB$56,8,FALSE),VLOOKUP($AN19,'StateTables 2026'!$A$6:$AB$56,7,FALSE))))</f>
      </c>
      <c r="AK19" s="7">
        <f>IF($B19="","",IFERROR(LOOKUP(2,1/((Events!$C$6:$C$17="Salary change")*(Events!$B$6:$B$17&lt;=$B19)*(Events!$B$6:$B$17&lt;&gt;"")),Events!$D$6:$D$17),IF(Inputs!$C$4="Annual salary",Inputs!$C$5,Inputs!$C$6)))</f>
      </c>
      <c r="AL19">
        <f>IF($B19="","",IFERROR(LOOKUP(2,1/((Events!$C$6:$C$17="401(k) change")*(Events!$B$6:$B$17&lt;=$B19)*(Events!$B$6:$B$17&lt;&gt;"")),Events!$D$6:$D$17),Inputs!$C$30))</f>
      </c>
      <c r="AM19" s="7">
        <f>IF($B19="","",IFERROR(LOOKUP(2,1/((Events!$C$6:$C$17="401(k) change")*(Events!$B$6:$B$17&lt;=$B19)*(Events!$B$6:$B$17&lt;&gt;"")),Events!$E$6:$E$17),Inputs!$D$30))</f>
      </c>
      <c r="AN19">
        <f>IF($B19="","",IFERROR(LOOKUP(2,1/((Events!$C$6:$C$17="State move")*(Events!$B$6:$B$17&lt;=$B19)*(Events!$B$6:$B$17&lt;&gt;"")),Events!$D$6:$D$17),Inputs!$C$21))</f>
      </c>
      <c r="AO19" s="7">
        <f>IF($B19="","",IFERROR(LOOKUP(2,1/((Events!$C$6:$C$17="W-4 change")*(Events!$B$6:$B$17&lt;=$B19)*(Events!$B$6:$B$17&lt;&gt;"")),Events!$D$6:$D$17),Inputs!$C$14))</f>
      </c>
      <c r="AP19" s="7">
        <f>IF($B19="","",IFERROR(LOOKUP(2,1/((Events!$C$6:$C$17="W-4 change")*(Events!$B$6:$B$17&lt;=$B19)*(Events!$B$6:$B$17&lt;&gt;"")),Events!$E$6:$E$17),Inputs!$C$15))</f>
      </c>
      <c r="AQ19" s="7">
        <f>IF($B19="","",IFERROR(LOOKUP(2,1/((Events!$C$6:$C$17="W-4 change")*(Events!$B$6:$B$17&lt;=$B19)*(Events!$B$6:$B$17&lt;&gt;"")),Events!$F$6:$F$17),Inputs!$C$16))</f>
      </c>
      <c r="AR19" s="7">
        <f>IF($B19="","",IFERROR(LOOKUP(2,1/((Events!$C$6:$C$17="W-4 change")*(Events!$B$6:$B$17&lt;=$B19)*(Events!$B$6:$B$17&lt;&gt;"")),Events!$G$6:$G$17),Inputs!$C$17))</f>
      </c>
      <c r="AS19" s="6">
        <f>IF($B19="","",IFERROR(LOOKUP(2,1/(((Events!$C$6:$C$17="State move")+(Events!$C$6:$C$17="State cert change"))*(Events!$B$6:$B$17&lt;=$B19)*(Events!$B$6:$B$17&lt;&gt;"")),Events!$F$6:$F$17),Inputs!$C$23))</f>
      </c>
      <c r="AT19" s="6">
        <f>IF($B19="","",IFERROR(LOOKUP(2,1/(((Events!$C$6:$C$17="State move")+(Events!$C$6:$C$17="State cert change"))*(Events!$B$6:$B$17&lt;=$B19)*(Events!$B$6:$B$17&lt;&gt;"")),Events!$G$6:$G$17),Inputs!$C$24))</f>
      </c>
      <c r="AU19">
        <f>IF($B19="","",IFERROR(LOOKUP(2,1/((Events!$C$6:$C$17="State move")*(Events!$B$6:$B$17&lt;=$B19)*(Events!$B$6:$B$17&lt;&gt;"")),Events!$E$6:$E$17),Inputs!$C$22))</f>
      </c>
      <c r="AV19" s="6">
        <f>IF($B19="","",1+COUNTIFS(Events!$C$6:$C$17,"Employer change",Events!$B$6:$B$17,"&lt;="&amp;$B19,Events!$B$6:$B$17,"&lt;&gt;"))</f>
      </c>
      <c r="AW19" s="7">
        <f>IF($B19="","",IF($AV19=1,Inputs!$C$49,IF(IFERROR(MATCH(IFERROR(LOOKUP(2,1/((Events!$C$6:$C$17="Employer change")*(Events!$B$6:$B$17&lt;=$B19)*(Events!$B$6:$B$17&lt;&gt;"")),Events!$B$6:$B$17),""),$B$6:$B$68,1),1)&lt;=1,Inputs!$C$49,INDEX($AB$6:$AB$68,MATCH(IFERROR(LOOKUP(2,1/((Events!$C$6:$C$17="Employer change")*(Events!$B$6:$B$17&lt;=$B19)*(Events!$B$6:$B$17&lt;&gt;"")),Events!$B$6:$B$17),""),$B$6:$B$68,1)-1))))</f>
      </c>
      <c r="AX19" s="7">
        <f>IF($B19="","",IF($AV19=1,Inputs!$C$49,IFERROR(LOOKUP(2,1/((Events!$C$6:$C$17="Employer change")*(Events!$B$6:$B$17&lt;=$B19)*(Events!$B$6:$B$17&lt;&gt;"")),Events!$D$6:$D$17),0)))</f>
      </c>
      <c r="AY19" s="7">
        <f>IF($B19="","",($O19-$D19)*Inputs!$C$8)</f>
      </c>
      <c r="AZ19" s="7">
        <f>IF($B19="","",IF($AN19="AL",MAX(0,$AY19-IF($AU19="Married",IF($AY19&lt;=25999,8500,MAX(5000,8500-175*CEILING(($AY19-25999)/500,1))),IF($AU19="Head of household",IF($AY19&lt;=25999,5200,MAX(2500,5200-135*CEILING(($AY19-25999)/500,1))),IF($AY19&lt;=25999,3000,MAX(2500,3000-25*CEILING(($AY19-25999)/500,1)))))-($P19-'Methodology &amp; Sources'!$C$260*$D19)*Inputs!$C$8-IF(OR($AU19="Married",$AU19="Head of household"),3000,1500)-$AT19*IF($AY19&lt;=50000,1000,IF($AY19&lt;=100000,500,300))),IF($AN19="AR",IF(MAX(0,$AY19-2470)&lt;97701,INT(MAX(0,$AY19-2470)/100)*100+50,MAX(0,$AY19-2470)),IF($AN19="DE",MAX(0,$AI19-3250),IF($AN19="HI",MAX(0,$AI19-1144*$AS19-4350),IF($AN19="KS",MAX(0,$AI19-(9160*IF($AU19="Married",2,1)+2320*$AT19+IF($AU19="Head of household",2320,0))),IF($AN19="MD",MAX(0,$AI19-3400-3200*$AS19),IF($AN19="MN",MAX(0,$AY19-5300*$AS19),IF($AN19="MO",MAX(0,$AI19-IF($AU19="Head of household",24150,IF($AU19="Married",IF(Inputs!$C$83,16100,32200),16100))),IF($AN19="MT",$AY19,IF($AN19="ND",($C19+$L19)*Inputs!$C$8,IF($AN19="NE",MAX(0,$AY19-2440*$AS19),IF($AN19="NJ",MAX(0,$AY19-1000*$AS19),IF($AN19="NY",MAX(0,$AY19-(IF($AU19="Married",7950,7400)+1000*$AS19)),IF($AN19="OH",MAX(0,$AY19-650*$AS19),IF($AN19="OK",MAX(0,$AY19-1000*$AS19),IF($AN19="RI",MAX(0,$AI19-1000*$AS19),IF($AN19="SC",MAX(0,$AI19-5000*$AS19-IF($AS19=0,0,MIN(0.1*$AI19,7500))),IF($AN19="VA",MAX(0,$AI19-IF($AU19="Married",17500,8750)-930*$AS19-800*$AT19),IF($AN19="VT",MAX(0,$AI19-5400*$AS19),IF($AN19="WI",MAX(0,$AI19-MAX(0,IF($AU19="Married",9461-0.2*MAX(0,$AI19-25727),6702-0.12*MAX(0,$AI19-17780)))-400*$AS19),IF($AN19="WV",MAX(0,$AI19-2000*$AS19),$AI19))))))))))))))))))))))</f>
      </c>
      <c r="BA19" s="7">
        <f>IF($B19="","",IF($BW19&lt;&gt;"",$BW19,IF($BX19&lt;&gt;"",$BX19,IF($BY19&lt;&gt;"",$BY19,0))))</f>
      </c>
      <c r="BB19" s="7">
        <f>IF($B19="","",IF($AN19="AR",-29*$AS19,IF($AN19="DE",-110*$AS19,IF($AN19="MD",$AZ19*Inputs!$C$74,IF($AN19="AZ",Inputs!$C$82*($M19-$D19)*Inputs!$C$8,IF($AN19="CO",0.044*MAX(0,$AY19-IF($AU19="Married",10000,5000)),IF($AN19="IA",MAX(0,0.038*MAX(0,$AY19-IF($AU19="Head of household",19500,IF($AU19="Married",26000,13000)))-40*$AS19),IF($AN19="ID",0.053*MAX(0,$AY19-IF($AU19="Married",32000,16094)),IF($AN19="IL",0.0495*MAX(0,$AY19-(2925*$AS19+1000*$AT19)),IF($AN19="IN",(0.0295+Inputs!$C$76)*MAX(0,$AY19-(1000*$AS19+1500*$AT19+3000*Inputs!$C$86)),IF($AN19="KY",0.035*MAX(0,$AI19-3360),IF($AN19="LA",IF(Inputs!$C$84="0",0.0309*$AI19,0.0309*MAX(0,$AI19-IF(Inputs!$C$84="2",25750,12875))),IF($AN19="MA",0.05*MIN(MAX(0,$AY19-MIN(($BD18+$Q19+$R19+$S19),2000)-IF($AS19=0,0,IF($AS19=1,4400,1000*$AS19+3400))),1107750)+0.09*MAX(0,MAX(0,$AY19-MIN(($BD18+$Q19+$R19+$S19),2000)-IF($AS19=0,0,IF($AS19=1,4400,1000*$AS19+3400)))-1107750)-IF($AU19="Head of household",120,0)-110*Inputs!$C$75,IF($AN19="MI",0.0425*MAX(0,$AY19-5900*$AS19),IF($AN19="MS",0.04*MAX(0,$AI19-IF($AU19="Head of household",3400,IF($AU19="Married",4600,2300))-Inputs!$C$85-10000),IF($AN19="OR",IF(OR($AU19="Married",AND($AU19="Single",$AS19&gt;=3)),SUMPRODUCT((MAX(0,$AY19-MIN(($P19-'Methodology &amp; Sources'!$C$260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Sources'!$B$461:$J$464,0,4))*(MAX(0,$AY19-MIN(($P19-'Methodology &amp; Sources'!$C$260*$D19)*Inputs!$C$8,IF(OR($AU19="Married",AND($AU19="Single",$AS19&gt;=3)),IF($AY19&lt;250000,8750,IF($AY19&lt;260000,7000,IF($AY19&lt;270000,5250,IF($AY19&lt;280000,3500,IF($AY19&lt;290000,1750,0))))),IF($AY19&lt;125000,8750,IF($AY19&lt;130000,7000,IF($AY19&lt;135000,5250,IF($AY19&lt;140000,3500,IF($AY19&lt;145000,1750,0)))))))-IF(OR($AU19="Married",AND($AU19="Single",$AS19&gt;=3)),5820,2910))-INDEX('Methodology &amp; Sources'!$B$461:$J$464,0,4))*INDEX('Methodology &amp; Sources'!$B$461:$J$464,0,4+2)),SUMPRODUCT((MAX(0,$AY19-MIN(($P19-'Methodology &amp; Sources'!$C$260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Sources'!$B$461:$J$464,0,1))*(MAX(0,$AY19-MIN(($P19-'Methodology &amp; Sources'!$C$260*$D19)*Inputs!$C$8,IF(OR($AU19="Married",AND($AU19="Single",$AS19&gt;=3)),IF($AY19&lt;250000,8750,IF($AY19&lt;260000,7000,IF($AY19&lt;270000,5250,IF($AY19&lt;280000,3500,IF($AY19&lt;290000,1750,0))))),IF($AY19&lt;125000,8750,IF($AY19&lt;130000,7000,IF($AY19&lt;135000,5250,IF($AY19&lt;140000,3500,IF($AY19&lt;145000,1750,0)))))))-IF(OR($AU19="Married",AND($AU19="Single",$AS19&gt;=3)),5820,2910))-INDEX('Methodology &amp; Sources'!$B$461:$J$464,0,1))*INDEX('Methodology &amp; Sources'!$B$461:$J$464,0,1+2)))+263-263*IF(IF($AU19="Married",$AY19&gt;200000,$AY19&gt;100000),0,$AS19),IF($AN19="PA",0.0307*(($O19+$E19+$G19)*Inputs!$C$8),IF($AN19="NY",IF($AU19="Married",IF($AZ19&gt;=2155350,0,IF($AZ19&gt;=1077550,0.48,IF($AZ19&gt;=373200,1.21,IF($AZ19&gt;=323200,0.21,IF($AZ19&gt;=211550,-0.19,IF($AZ19&gt;=157650,-2.8,IF($AZ19&gt;=107650,-0.8,IF($AZ19&gt;=96800,0.05,IF($AZ19&gt;=80650,-0.1,IF($AZ19&gt;=13900,0.4,IF($AZ19&gt;=11700,-0.3,IF($AZ19&gt;=8500,0.5,0)))))))))))),IF($AZ19&gt;=1077550,0,IF($AZ19&gt;=265400,4.29,IF($AZ19&gt;=215400,2.29,IF($AZ19&gt;=157650,2.29,IF($AZ19&gt;=107650,0.29,IF($AZ19&gt;=96800,0.05,IF($AZ19&gt;=80650,-0.1,IF($AZ19&gt;=13900,0.4,IF($AZ19&gt;=11700,-0.3,IF($AZ19&gt;=8500,0.5,0))))))))))),0))))))))))))))))))</f>
      </c>
      <c r="BC19" s="7">
        <f>IF($B19="","",IF($AN19="AL",0.05*$D19,IF($AN19="AR",0.039*$D19,IF($AN19="ID",0.053*$D19,IF($AN19="IN",(0.0295+Inputs!$C$76)*$D19,IF($AN19="KS",0.05*$D19,IF($AN19="MA",0.09*MIN($D19,MAX(0,MAX(0,$AY19-MIN(($BD18+$Q19+$R19+$S19),2000)-IF($AS19=0,0,IF($AS19=1,4400,1000*$AS19+3400)))+$D19-1107750))+0.05*($D19-MIN($D19,MAX(0,MAX(0,$AY19-MIN(($BD18+$Q19+$R19+$S19),2000)-IF($AS19=0,0,IF($AS19=1,4400,1000*$AS19+3400)))+$D19-1107750))),IF($AN19="MD",(0.065+Inputs!$C$74)*$D19,IF($AN19="MI",0.0425*$D19,IF($AN19="MN",0.0625*$D19,IF($AN19="MO",0.047*$D19,IF($AN19="MT",0.05*$D19,IF($AN19="ND",0.015*$D19,IF($AN19="NE",0.035*$D19,IF($AN19="NJ",IF(Inputs!$C$77="B",SUMPRODUCT(($D19*Inputs!$C$8&gt;INDEX('Methodology &amp; Sources'!$B$405:$J$412,0,4))*($D19*Inputs!$C$8-INDEX('Methodology &amp; Sources'!$B$405:$J$412,0,4))*INDEX('Methodology &amp; Sources'!$B$405:$J$412,0,4+2)),IF(Inputs!$C$77="C",SUMPRODUCT(($D19*Inputs!$C$8&gt;INDEX('Methodology &amp; Sources'!$B$405:$J$412,0,7))*($D19*Inputs!$C$8-INDEX('Methodology &amp; Sources'!$B$405:$J$412,0,7))*INDEX('Methodology &amp; Sources'!$B$405:$J$412,0,7+2)),IF(Inputs!$C$77="D",SUMPRODUCT(($D19*Inputs!$C$8&gt;INDEX('Methodology &amp; Sources'!$B$417:$J$429,0,1))*($D19*Inputs!$C$8-INDEX('Methodology &amp; Sources'!$B$417:$J$429,0,1))*INDEX('Methodology &amp; Sources'!$B$417:$J$429,0,1+2)),IF(Inputs!$C$77="E",SUMPRODUCT(($D19*Inputs!$C$8&gt;INDEX('Methodology &amp; Sources'!$B$417:$J$429,0,4))*($D19*Inputs!$C$8-INDEX('Methodology &amp; Sources'!$B$417:$J$429,0,4))*INDEX('Methodology &amp; Sources'!$B$417:$J$429,0,4+2)),SUMPRODUCT(($D19*Inputs!$C$8&gt;INDEX('Methodology &amp; Sources'!$B$405:$J$412,0,1))*($D19*Inputs!$C$8-INDEX('Methodology &amp; Sources'!$B$405:$J$412,0,1))*INDEX('Methodology &amp; Sources'!$B$405:$J$412,0,1+2))))))/Inputs!$C$8,IF($AN19="NY",0.117*$D19,IF($AN19="OH",0.0275*$D19,IF($AN19="OK",0.045*$D19,IF($AN19="OR",0.08*$D19,IF($AN19="WI",IF($AY19&lt;12760,0.0354,IF($AY19&lt;25520,0.0465,IF($AY19&lt;280950,0.053,0.0765)))*$D19,0))))))))))))))))))))</f>
      </c>
      <c r="BD19" s="7">
        <f>IF($B19="","",$BD18+$Q19+$R19+$S19)</f>
      </c>
      <c r="BE19" s="6">
        <f>IF($B19="",$BE18,$BE18+$BF19)</f>
      </c>
      <c r="BF19" s="6">
        <f>IF($B19="","",IF(AND(IF(YEAR(IF(Inputs!$C$7="Weekly",Inputs!$C$9+7*(($BE18+1)-1),IF(Inputs!$C$7="Biweekly",Inputs!$C$9+14*(($BE18+1)-1),IF(Inputs!$C$7="Semimonthly",DATE(YEAR(Inputs!$C$9),MONTH(Inputs!$C$9)+INT((($BE18+1)-1)/2),MIN(DAY(Inputs!$C$9),DAY(EOMONTH(DATE(YEAR(Inputs!$C$9),MONTH(Inputs!$C$9)+INT((($BE18+1)-1)/2),1),0))))+IF(MOD(($BE18+1)-1,2)=1,15,0),EDATE(Inputs!$C$9,($BE18+1)-1)))))&lt;&gt;2026,"",IF(Inputs!$C$7="Weekly",Inputs!$C$9+7*(($BE18+1)-1),IF(Inputs!$C$7="Biweekly",Inputs!$C$9+14*(($BE18+1)-1),IF(Inputs!$C$7="Semimonthly",DATE(YEAR(Inputs!$C$9),MONTH(Inputs!$C$9)+INT((($BE18+1)-1)/2),MIN(DAY(Inputs!$C$9),DAY(EOMONTH(DATE(YEAR(Inputs!$C$9),MONTH(Inputs!$C$9)+INT((($BE18+1)-1)/2),1),0))))+IF(MOD(($BE18+1)-1,2)=1,15,0),EDATE(Inputs!$C$9,($BE18+1)-1)))))&lt;&gt;"",$B19=IF(YEAR(IF(Inputs!$C$7="Weekly",Inputs!$C$9+7*(($BE18+1)-1),IF(Inputs!$C$7="Biweekly",Inputs!$C$9+14*(($BE18+1)-1),IF(Inputs!$C$7="Semimonthly",DATE(YEAR(Inputs!$C$9),MONTH(Inputs!$C$9)+INT((($BE18+1)-1)/2),MIN(DAY(Inputs!$C$9),DAY(EOMONTH(DATE(YEAR(Inputs!$C$9),MONTH(Inputs!$C$9)+INT((($BE18+1)-1)/2),1),0))))+IF(MOD(($BE18+1)-1,2)=1,15,0),EDATE(Inputs!$C$9,($BE18+1)-1)))))&lt;&gt;2026,"",IF(Inputs!$C$7="Weekly",Inputs!$C$9+7*(($BE18+1)-1),IF(Inputs!$C$7="Biweekly",Inputs!$C$9+14*(($BE18+1)-1),IF(Inputs!$C$7="Semimonthly",DATE(YEAR(Inputs!$C$9),MONTH(Inputs!$C$9)+INT((($BE18+1)-1)/2),MIN(DAY(Inputs!$C$9),DAY(EOMONTH(DATE(YEAR(Inputs!$C$9),MONTH(Inputs!$C$9)+INT((($BE18+1)-1)/2),1),0))))+IF(MOD(($BE18+1)-1,2)=1,15,0),EDATE(Inputs!$C$9,($BE18+1)-1)))))),1,0))</f>
      </c>
      <c r="BG19" s="7">
        <f>IF($B19="","",$BG18+$H19)</f>
      </c>
      <c r="BH19" s="7">
        <f>IF($B19="","",$BH18+$I19)</f>
      </c>
      <c r="BI19" s="7">
        <f>IF($B19="","",$BI18+$G19)</f>
      </c>
      <c r="BJ19" s="7">
        <f>IF($B19="","",IFERROR(LOOKUP(2,1/((((Events!$C$6:$C$17="Deduction start"))*(Events!$D$6:$D$17="Health FSA"))*(Events!$B$6:$B$17&lt;=$B19)*(Events!$B$6:$B$17&lt;&gt;"")),Events!$E$6:$E$17),Inputs!$D$38))</f>
      </c>
      <c r="BK19" s="7">
        <f>IF($B19="","",IFERROR(LOOKUP(2,1/((((Events!$C$6:$C$17="Deduction start"))*(Events!$D$6:$D$17="Dependent-care FSA"))*(Events!$B$6:$B$17&lt;=$B19)*(Events!$B$6:$B$17&lt;&gt;"")),Events!$E$6:$E$17),Inputs!$D$39))</f>
      </c>
      <c r="BL19" s="7">
        <f>IF($B19="","",IFERROR(LOOKUP(2,1/((((Events!$C$6:$C$17="Deduction start")+(Events!$C$6:$C$17="Deduction stop"))*(Events!$D$6:$D$17="HSA"))*(Events!$B$6:$B$17&lt;=$B19)*(Events!$B$6:$B$17&lt;&gt;"")),Events!$I$6:$I$17),Inputs!$D$35))</f>
      </c>
      <c r="BM19" s="7">
        <f>IF($B19="","",IFERROR(LOOKUP(2,1/((((Events!$C$6:$C$17="Deduction start")+(Events!$C$6:$C$17="Deduction stop"))*(Events!$D$6:$D$17="Premiums"))*(Events!$B$6:$B$17&lt;=$B19)*(Events!$B$6:$B$17&lt;&gt;"")),Events!$I$6:$I$17),Inputs!$D$40+Inputs!$D$41+Inputs!$D$42))</f>
      </c>
      <c r="BN19" s="7">
        <f>IF($B19="","",IFERROR(LOOKUP(2,1/((((Events!$C$6:$C$17="Deduction start")+(Events!$C$6:$C$17="Deduction stop"))*(Events!$D$6:$D$17="Commuter"))*(Events!$B$6:$B$17&lt;=$B19)*(Events!$B$6:$B$17&lt;&gt;"")),Events!$I$6:$I$17),Inputs!$D$43))</f>
      </c>
      <c r="BO19" s="7">
        <f>IF($B19="","",IFERROR(LOOKUP(2,1/((((Events!$C$6:$C$17="Deduction start")+(Events!$C$6:$C$17="Deduction stop"))*(Events!$D$6:$D$17="Other pre-tax"))*(Events!$B$6:$B$17&lt;=$B19)*(Events!$B$6:$B$17&lt;&gt;"")),Events!$I$6:$I$17),Inputs!$D$44))</f>
      </c>
      <c r="BP19" s="7">
        <f>IF($B19="","",IFERROR(LOOKUP(2,1/((((Events!$C$6:$C$17="Deduction start")+(Events!$C$6:$C$17="Deduction stop"))*(Events!$D$6:$D$17="Other post-tax"))*(Events!$B$6:$B$17&lt;=$B19)*(Events!$B$6:$B$17&lt;&gt;"")),Events!$I$6:$I$17),Inputs!$D$45))</f>
      </c>
      <c r="BQ19" s="6">
        <f>IF($B19="","",IFERROR(LOOKUP(2,1/((((Events!$C$6:$C$17="Deduction start")+(Events!$C$6:$C$17="Deduction stop"))*(Events!$D$6:$D$17="Health FSA"))*(Events!$B$6:$B$17&lt;=$B19)*(Events!$B$6:$B$17&lt;&gt;"")),Events!$J$6:$J$17),0))</f>
      </c>
      <c r="BR19" s="6">
        <f>IF($B19="","",IFERROR(LOOKUP(2,1/((((Events!$C$6:$C$17="Deduction start")+(Events!$C$6:$C$17="Deduction stop"))*(Events!$D$6:$D$17="Dependent-care FSA"))*(Events!$B$6:$B$17&lt;=$B19)*(Events!$B$6:$B$17&lt;&gt;"")),Events!$J$6:$J$17),0))</f>
      </c>
      <c r="BS19" s="6">
        <f>IF($B19="","",IF(SUMPRODUCT((Events!$C$6:$C$17="Deduction start")*(Events!$B$6:$B$17&lt;=$B19)*(Events!$B$6:$B$17&lt;&gt;"")*(Events!$D$6:$D$17="Health FSA"))&gt;0,1,0))</f>
      </c>
      <c r="BT19" s="6">
        <f>IF($B19="","",IF(SUMPRODUCT((Events!$C$6:$C$17="Deduction start")*(Events!$B$6:$B$17&lt;=$B19)*(Events!$B$6:$B$17&lt;&gt;"")*(Events!$D$6:$D$17="Dependent-care FSA"))&gt;0,1,0))</f>
      </c>
      <c r="BU19" s="24">
        <f>IF($B19="","",IF(Inputs!$C$13,SUMPRODUCT(($AH19&gt;=INDEX('Methodology &amp; Sources'!$B$279:$J$286,0,IF(Inputs!$C$12="MFJ",1,IF(Inputs!$C$12="HoH",7,4))))*INDEX('Methodology &amp; Sources'!$B$279:$J$286,0,IF(Inputs!$C$12="MFJ",1,IF(Inputs!$C$12="HoH",7,4))+2)),SUMPRODUCT(($AH19&gt;=INDEX('Methodology &amp; Sources'!$B$269:$J$276,0,IF(Inputs!$C$12="MFJ",1,IF(Inputs!$C$12="HoH",7,4))))*INDEX('Methodology &amp; Sources'!$B$269:$J$276,0,IF(Inputs!$C$12="MFJ",1,IF(Inputs!$C$12="HoH",7,4))+2))))</f>
      </c>
      <c r="BV19" s="24">
        <f>IF($B19="","",IF($BZ19&lt;&gt;"",$BZ19,IF($CA19&lt;&gt;"",$CA19,IF($CB19&lt;&gt;"",$CB19,IF($CC19&lt;&gt;"",$CC19,0)))))</f>
      </c>
      <c r="BW19" s="7">
        <f>IF($B19="","",IF($AN19="MD",IF(OR($AU19="Married",$AU19="Head of household"),SUMPRODUCT(($AZ19&gt;INDEX('Methodology &amp; Sources'!$B$364:$J$370,0,1))*($AZ19-INDEX('Methodology &amp; Sources'!$B$364:$J$370,0,1))*INDEX('Methodology &amp; Sources'!$B$364:$J$370,0,1+2)),SUMPRODUCT(($AZ19&gt;INDEX('Methodology &amp; Sources'!$B$353:$J$359,0,7))*($AZ19-INDEX('Methodology &amp; Sources'!$B$353:$J$359,0,7))*INDEX('Methodology &amp; Sources'!$B$353:$J$359,0,7+2))),IF($AN19="MO",SUMPRODUCT(($AZ19&gt;INDEX('Methodology &amp; Sources'!$B$375:$J$382,0,1))*($AZ19-INDEX('Methodology &amp; Sources'!$B$375:$J$382,0,1))*INDEX('Methodology &amp; Sources'!$B$375:$J$382,0,1+2)),IF($AN19="MT",IF($AU19="Head of household",SUMPRODUCT(($AZ19&gt;INDEX('Methodology &amp; Sources'!$B$387:$J$389,0,1))*($AZ19-INDEX('Methodology &amp; Sources'!$B$387:$J$389,0,1))*INDEX('Methodology &amp; Sources'!$B$387:$J$389,0,1+2)),IF($AU19="Married",SUMPRODUCT(($AZ19&gt;INDEX('Methodology &amp; Sources'!$B$375:$J$382,0,7))*($AZ19-INDEX('Methodology &amp; Sources'!$B$375:$J$382,0,7))*INDEX('Methodology &amp; Sources'!$B$375:$J$382,0,7+2)),SUMPRODUCT(($AZ19&gt;INDEX('Methodology &amp; Sources'!$B$375:$J$382,0,4))*($AZ19-INDEX('Methodology &amp; Sources'!$B$375:$J$382,0,4))*INDEX('Methodology &amp; Sources'!$B$375:$J$382,0,4+2)))),IF($AN19="ND",IF($AU19="Head of household",SUMPRODUCT(($AZ19&gt;INDEX('Methodology &amp; Sources'!$B$394:$J$400,0,1))*($AZ19-INDEX('Methodology &amp; Sources'!$B$394:$J$400,0,1))*INDEX('Methodology &amp; Sources'!$B$394:$J$400,0,1+2)),IF($AU19="Married",SUMPRODUCT(($AZ19&gt;INDEX('Methodology &amp; Sources'!$B$387:$J$389,0,7))*($AZ19-INDEX('Methodology &amp; Sources'!$B$387:$J$389,0,7))*INDEX('Methodology &amp; Sources'!$B$387:$J$389,0,7+2)),SUMPRODUCT(($AZ19&gt;INDEX('Methodology &amp; Sources'!$B$387:$J$389,0,4))*($AZ19-INDEX('Methodology &amp; Sources'!$B$387:$J$389,0,4))*INDEX('Methodology &amp; Sources'!$B$387:$J$389,0,4+2)))),IF($AN19="NJ",IF(Inputs!$C$77="B",SUMPRODUCT(($AZ19&gt;INDEX('Methodology &amp; Sources'!$B$405:$J$412,0,4))*($AZ19-INDEX('Methodology &amp; Sources'!$B$405:$J$412,0,4))*INDEX('Methodology &amp; Sources'!$B$405:$J$412,0,4+2)),IF(Inputs!$C$77="C",SUMPRODUCT(($AZ19&gt;INDEX('Methodology &amp; Sources'!$B$405:$J$412,0,7))*($AZ19-INDEX('Methodology &amp; Sources'!$B$405:$J$412,0,7))*INDEX('Methodology &amp; Sources'!$B$405:$J$412,0,7+2)),IF(Inputs!$C$77="D",SUMPRODUCT(($AZ19&gt;INDEX('Methodology &amp; Sources'!$B$417:$J$429,0,1))*($AZ19-INDEX('Methodology &amp; Sources'!$B$417:$J$429,0,1))*INDEX('Methodology &amp; Sources'!$B$417:$J$429,0,1+2)),IF(Inputs!$C$77="E",SUMPRODUCT(($AZ19&gt;INDEX('Methodology &amp; Sources'!$B$417:$J$429,0,4))*($AZ19-INDEX('Methodology &amp; Sources'!$B$417:$J$429,0,4))*INDEX('Methodology &amp; Sources'!$B$417:$J$429,0,4+2)),SUMPRODUCT(($AZ19&gt;INDEX('Methodology &amp; Sources'!$B$405:$J$412,0,1))*($AZ19-INDEX('Methodology &amp; Sources'!$B$405:$J$412,0,1))*INDEX('Methodology &amp; Sources'!$B$405:$J$412,0,1+2)))))),IF($AN19="NY",IF($AU19="Married",IF($AZ19&gt;=2155350,$AZ19*IF($AZ19&gt;25000000,0.117,IF($AZ19&gt;5000000,0.111,0.1045)),SUMPRODUCT(($AZ19&gt;INDEX('Methodology &amp; Sources'!$B$434:$J$448,0,1))*($AZ19-INDEX('Methodology &amp; Sources'!$B$434:$J$448,0,1))*INDEX('Methodology &amp; Sources'!$B$434:$J$448,0,1+2))),IF($AZ19&gt;=1077550,$AZ19*IF($AZ19&gt;25000000,0.117,IF($AZ19&gt;5000000,0.111,0.1045)),SUMPRODUCT(($AZ19&gt;INDEX('Methodology &amp; Sources'!$B$417:$J$429,0,7))*($AZ19-INDEX('Methodology &amp; Sources'!$B$417:$J$429,0,7))*INDEX('Methodology &amp; Sources'!$B$417:$J$429,0,7+2)))),"")))))))</f>
      </c>
      <c r="BX19" s="7">
        <f>IF($B19="","",IF($AN19="AL",IF(OR($AU19="Married",$AU19="Head of household"),SUMPRODUCT(($AZ19&gt;INDEX('Methodology &amp; Sources'!$B$332:$J$336,0,4))*($AZ19-INDEX('Methodology &amp; Sources'!$B$332:$J$336,0,4))*INDEX('Methodology &amp; Sources'!$B$332:$J$336,0,4+2)),SUMPRODUCT(($AZ19&gt;INDEX('Methodology &amp; Sources'!$B$332:$J$336,0,1))*($AZ19-INDEX('Methodology &amp; Sources'!$B$332:$J$336,0,1))*INDEX('Methodology &amp; Sources'!$B$332:$J$336,0,1+2))),IF($AN19="KS",IF($AU19="Married",SUMPRODUCT(($AZ19&gt;INDEX('Methodology &amp; Sources'!$B$353:$J$359,0,4))*($AZ19-INDEX('Methodology &amp; Sources'!$B$353:$J$359,0,4))*INDEX('Methodology &amp; Sources'!$B$353:$J$359,0,4+2)),SUMPRODUCT(($AZ19&gt;INDEX('Methodology &amp; Sources'!$B$353:$J$359,0,1))*($AZ19-INDEX('Methodology &amp; Sources'!$B$353:$J$359,0,1))*INDEX('Methodology &amp; Sources'!$B$353:$J$359,0,1+2))),IF($AN19="MN",IF($AU19="Married",SUMPRODUCT(($AZ19&gt;INDEX('Methodology &amp; Sources'!$B$364:$J$370,0,7))*($AZ19-INDEX('Methodology &amp; Sources'!$B$364:$J$370,0,7))*INDEX('Methodology &amp; Sources'!$B$364:$J$370,0,7+2)),SUMPRODUCT(($AZ19&gt;INDEX('Methodology &amp; Sources'!$B$364:$J$370,0,4))*($AZ19-INDEX('Methodology &amp; Sources'!$B$364:$J$370,0,4))*INDEX('Methodology &amp; Sources'!$B$364:$J$370,0,4+2))),IF($AN19="NE",MAX(IF($AU19="Married",SUMPRODUCT(($AZ19&gt;INDEX('Methodology &amp; Sources'!$B$394:$J$400,0,7))*($AZ19-INDEX('Methodology &amp; Sources'!$B$394:$J$400,0,7))*INDEX('Methodology &amp; Sources'!$B$394:$J$400,0,7+2)),SUMPRODUCT(($AZ19&gt;INDEX('Methodology &amp; Sources'!$B$394:$J$400,0,4))*($AZ19-INDEX('Methodology &amp; Sources'!$B$394:$J$400,0,4))*INDEX('Methodology &amp; Sources'!$B$394:$J$400,0,4+2))),0.015*$AZ19),IF($AN19="OH",IF($B19&gt;=DATE(2026,8,1),SUMPRODUCT(($AZ19&gt;INDEX('Methodology &amp; Sources'!$B$453:$J$456,0,1))*($AZ19-INDEX('Methodology &amp; Sources'!$B$453:$J$456,0,1))*INDEX('Methodology &amp; Sources'!$B$453:$J$456,0,1+2)),SUMPRODUCT(($AZ19&gt;INDEX('Methodology &amp; Sources'!$B$434:$J$448,0,7))*($AZ19-INDEX('Methodology &amp; Sources'!$B$434:$J$448,0,7))*INDEX('Methodology &amp; Sources'!$B$434:$J$448,0,7+2))),IF($AN19="OK",IF($AU19="Married",SUMPRODUCT(($AZ19&gt;INDEX('Methodology &amp; Sources'!$B$453:$J$456,0,7))*($AZ19-INDEX('Methodology &amp; Sources'!$B$453:$J$456,0,7))*INDEX('Methodology &amp; Sources'!$B$453:$J$456,0,7+2)),SUMPRODUCT(($AZ19&gt;INDEX('Methodology &amp; Sources'!$B$453:$J$456,0,4))*($AZ19-INDEX('Methodology &amp; Sources'!$B$453:$J$456,0,4))*INDEX('Methodology &amp; Sources'!$B$453:$J$456,0,4+2))),IF($AN19="RI",SUMPRODUCT(($AZ19&gt;INDEX('Methodology &amp; Sources'!$B$461:$J$464,0,7))*($AZ19-INDEX('Methodology &amp; Sources'!$B$461:$J$464,0,7))*INDEX('Methodology &amp; Sources'!$B$461:$J$464,0,7+2)),IF($AN19="VT",IF($AU19="Married",SUMPRODUCT(($AZ19&gt;INDEX('Methodology &amp; Sources'!$B$478:$J$482,0,1))*($AZ19-INDEX('Methodology &amp; Sources'!$B$478:$J$482,0,1))*INDEX('Methodology &amp; Sources'!$B$478:$J$482,0,1+2)),SUMPRODUCT(($AZ19&gt;INDEX('Methodology &amp; Sources'!$B$469:$J$473,0,7))*($AZ19-INDEX('Methodology &amp; Sources'!$B$469:$J$473,0,7))*INDEX('Methodology &amp; Sources'!$B$469:$J$473,0,7+2))),IF($AN19="WV",IF($AU19="Married",SUMPRODUCT(($AZ19&gt;INDEX('Methodology &amp; Sources'!$B$487:$J$491,0,7))*($AZ19-INDEX('Methodology &amp; Sources'!$B$487:$J$491,0,7))*INDEX('Methodology &amp; Sources'!$B$487:$J$491,0,7+2)),SUMPRODUCT(($AZ19&gt;INDEX('Methodology &amp; Sources'!$B$478:$J$482,0,7))*($AZ19-INDEX('Methodology &amp; Sources'!$B$478:$J$482,0,7))*INDEX('Methodology &amp; Sources'!$B$478:$J$482,0,7+2))),""))))))))))</f>
      </c>
      <c r="BY19" s="7">
        <f>IF($B19="","",IF($AN19="AR",SUMPRODUCT(($AZ19&gt;INDEX('Methodology &amp; Sources'!$B$332:$J$336,0,7))*($AZ19-INDEX('Methodology &amp; Sources'!$B$332:$J$336,0,7))*INDEX('Methodology &amp; Sources'!$B$332:$J$336,0,7+2)),IF($AN19="DE",SUMPRODUCT(($AZ19&gt;INDEX('Methodology &amp; Sources'!$B$341:$J$348,0,1))*($AZ19-INDEX('Methodology &amp; Sources'!$B$341:$J$348,0,1))*INDEX('Methodology &amp; Sources'!$B$341:$J$348,0,1+2)),IF($AN19="HI",IF($AU19="Married",SUMPRODUCT(($AZ19&gt;INDEX('Methodology &amp; Sources'!$B$341:$J$348,0,7))*($AZ19-INDEX('Methodology &amp; Sources'!$B$341:$J$348,0,7))*INDEX('Methodology &amp; Sources'!$B$341:$J$348,0,7+2)),SUMPRODUCT(($AZ19&gt;INDEX('Methodology &amp; Sources'!$B$341:$J$348,0,4))*($AZ19-INDEX('Methodology &amp; Sources'!$B$341:$J$348,0,4))*INDEX('Methodology &amp; Sources'!$B$341:$J$348,0,4+2))),IF($AN19="SC",SUMPRODUCT(($AZ19&gt;INDEX('Methodology &amp; Sources'!$B$469:$J$473,0,1))*($AZ19-INDEX('Methodology &amp; Sources'!$B$469:$J$473,0,1))*INDEX('Methodology &amp; Sources'!$B$469:$J$473,0,1+2)),IF($AN19="VA",SUMPRODUCT(($AZ19&gt;INDEX('Methodology &amp; Sources'!$B$469:$J$473,0,4))*($AZ19-INDEX('Methodology &amp; Sources'!$B$469:$J$473,0,4))*INDEX('Methodology &amp; Sources'!$B$469:$J$473,0,4+2)),IF($AN19="WI",SUMPRODUCT(($AZ19&gt;INDEX('Methodology &amp; Sources'!$B$478:$J$482,0,4))*($AZ19-INDEX('Methodology &amp; Sources'!$B$478:$J$482,0,4))*INDEX('Methodology &amp; Sources'!$B$478:$J$482,0,4+2)),"")))))))</f>
      </c>
      <c r="BZ19" s="24">
        <f>IF($B19="","",IF($AN19="NJ",IF(Inputs!$C$77="B",SUMPRODUCT(($AZ19&gt;=INDEX('Methodology &amp; Sources'!$B$405:$J$412,0,4))*INDEX('Methodology &amp; Sources'!$B$405:$J$412,0,4+2)),IF(Inputs!$C$77="C",SUMPRODUCT(($AZ19&gt;=INDEX('Methodology &amp; Sources'!$B$405:$J$412,0,7))*INDEX('Methodology &amp; Sources'!$B$405:$J$412,0,7+2)),IF(Inputs!$C$77="D",SUMPRODUCT(($AZ19&gt;=INDEX('Methodology &amp; Sources'!$B$417:$J$429,0,1))*INDEX('Methodology &amp; Sources'!$B$417:$J$429,0,1+2)),IF(Inputs!$C$77="E",SUMPRODUCT(($AZ19&gt;=INDEX('Methodology &amp; Sources'!$B$417:$J$429,0,4))*INDEX('Methodology &amp; Sources'!$B$417:$J$429,0,4+2)),SUMPRODUCT(($AZ19&gt;=INDEX('Methodology &amp; Sources'!$B$405:$J$412,0,1))*INDEX('Methodology &amp; Sources'!$B$405:$J$412,0,1+2)))))),IF($AN19="OR",IF(OR($AU19="Married",AND($AU19="Single",$AS19&gt;=3)),SUMPRODUCT((MAX(0,$AY19-MIN(($P19-'Methodology &amp; Sources'!$C$260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Sources'!$B$461:$J$464,0,4))*INDEX('Methodology &amp; Sources'!$B$461:$J$464,0,4+2)),SUMPRODUCT((MAX(0,$AY19-MIN(($P19-'Methodology &amp; Sources'!$C$260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Sources'!$B$461:$J$464,0,1))*INDEX('Methodology &amp; Sources'!$B$461:$J$464,0,1+2)))*IF(($P19-'Methodology &amp; Sources'!$C$260*$D19)*Inputs!$C$8&gt;=IF(OR($AU19="Married",AND($AU19="Single",$AS19&gt;=3)),IF($AY19&lt;250000,8750,IF($AY19&lt;260000,7000,IF($AY19&lt;270000,5250,IF($AY19&lt;280000,3500,IF($AY19&lt;290000,1750,0))))),IF($AY19&lt;125000,8750,IF($AY19&lt;130000,7000,IF($AY19&lt;135000,5250,IF($AY19&lt;140000,3500,IF($AY19&lt;145000,1750,0)))))),1,1-IF(Inputs!$C$13,SUMPRODUCT(($AH19&gt;=INDEX('Methodology &amp; Sources'!$B$279:$J$286,0,IF(Inputs!$C$12="MFJ",1,IF(Inputs!$C$12="HoH",7,4))))*INDEX('Methodology &amp; Sources'!$B$279:$J$286,0,IF(Inputs!$C$12="MFJ",1,IF(Inputs!$C$12="HoH",7,4))+2)),SUMPRODUCT(($AH19&gt;=INDEX('Methodology &amp; Sources'!$B$269:$J$276,0,IF(Inputs!$C$12="MFJ",1,IF(Inputs!$C$12="HoH",7,4))))*INDEX('Methodology &amp; Sources'!$B$269:$J$276,0,IF(Inputs!$C$12="MFJ",1,IF(Inputs!$C$12="HoH",7,4))+2)))),IF($AN19="MI",IF($AY19&gt;5900*$AS19,0.0425,0),""))))</f>
      </c>
      <c r="CA19" s="24">
        <f>IF($B19="","",IF($AN19="AL",IF(OR($AU19="Married",$AU19="Head of household"),SUMPRODUCT(($AZ19&gt;=INDEX('Methodology &amp; Sources'!$B$332:$J$336,0,4))*INDEX('Methodology &amp; Sources'!$B$332:$J$336,0,4+2)),SUMPRODUCT(($AZ19&gt;=INDEX('Methodology &amp; Sources'!$B$332:$J$336,0,1))*INDEX('Methodology &amp; Sources'!$B$332:$J$336,0,1+2)))*(1-IF(Inputs!$C$13,SUMPRODUCT(($AH19&gt;=INDEX('Methodology &amp; Sources'!$B$279:$J$286,0,IF(Inputs!$C$12="MFJ",1,IF(Inputs!$C$12="HoH",7,4))))*INDEX('Methodology &amp; Sources'!$B$279:$J$286,0,IF(Inputs!$C$12="MFJ",1,IF(Inputs!$C$12="HoH",7,4))+2)),SUMPRODUCT(($AH19&gt;=INDEX('Methodology &amp; Sources'!$B$269:$J$276,0,IF(Inputs!$C$12="MFJ",1,IF(Inputs!$C$12="HoH",7,4))))*INDEX('Methodology &amp; Sources'!$B$269:$J$276,0,IF(Inputs!$C$12="MFJ",1,IF(Inputs!$C$12="HoH",7,4))+2)))),IF($AN19="KS",IF($AU19="Married",SUMPRODUCT(($AZ19&gt;=INDEX('Methodology &amp; Sources'!$B$353:$J$359,0,4))*INDEX('Methodology &amp; Sources'!$B$353:$J$359,0,4+2)),SUMPRODUCT(($AZ19&gt;=INDEX('Methodology &amp; Sources'!$B$353:$J$359,0,1))*INDEX('Methodology &amp; Sources'!$B$353:$J$359,0,1+2))),IF($AN19="MD",IF(OR($AU19="Married",$AU19="Head of household"),SUMPRODUCT(($AZ19&gt;=INDEX('Methodology &amp; Sources'!$B$364:$J$370,0,1))*INDEX('Methodology &amp; Sources'!$B$364:$J$370,0,1+2)),SUMPRODUCT(($AZ19&gt;=INDEX('Methodology &amp; Sources'!$B$353:$J$359,0,7))*INDEX('Methodology &amp; Sources'!$B$353:$J$359,0,7+2)))+Inputs!$C$74,IF($AN19="MT",IF($AU19="Head of household",SUMPRODUCT(($AZ19&gt;=INDEX('Methodology &amp; Sources'!$B$387:$J$389,0,1))*INDEX('Methodology &amp; Sources'!$B$387:$J$389,0,1+2)),IF($AU19="Married",SUMPRODUCT(($AZ19&gt;=INDEX('Methodology &amp; Sources'!$B$375:$J$382,0,7))*INDEX('Methodology &amp; Sources'!$B$375:$J$382,0,7+2)),SUMPRODUCT(($AZ19&gt;=INDEX('Methodology &amp; Sources'!$B$375:$J$382,0,4))*INDEX('Methodology &amp; Sources'!$B$375:$J$382,0,4+2)))),IF($AN19="ND",IF($AU19="Head of household",SUMPRODUCT(($AZ19&gt;=INDEX('Methodology &amp; Sources'!$B$394:$J$400,0,1))*INDEX('Methodology &amp; Sources'!$B$394:$J$400,0,1+2)),IF($AU19="Married",SUMPRODUCT(($AZ19&gt;=INDEX('Methodology &amp; Sources'!$B$387:$J$389,0,7))*INDEX('Methodology &amp; Sources'!$B$387:$J$389,0,7+2)),SUMPRODUCT(($AZ19&gt;=INDEX('Methodology &amp; Sources'!$B$387:$J$389,0,4))*INDEX('Methodology &amp; Sources'!$B$387:$J$389,0,4+2)))),IF($AN19="NY",IF($AU19="Married",IF($AZ19&gt;=2155350,IF($AZ19&gt;25000000,0.117,IF($AZ19&gt;5000000,0.111,0.1045)),SUMPRODUCT(($AZ19&gt;=INDEX('Methodology &amp; Sources'!$B$434:$J$448,0,1))*INDEX('Methodology &amp; Sources'!$B$434:$J$448,0,1+2))),IF($AZ19&gt;=1077550,IF($AZ19&gt;25000000,0.117,IF($AZ19&gt;5000000,0.111,0.1045)),SUMPRODUCT(($AZ19&gt;=INDEX('Methodology &amp; Sources'!$B$417:$J$429,0,7))*INDEX('Methodology &amp; Sources'!$B$417:$J$429,0,7+2)))),"")))))))</f>
      </c>
      <c r="CB19" s="24">
        <f>IF($B19="","",IF($AN19="CA",SUMPRODUCT(($AJ19&gt;=INDEX('Methodology &amp; Sources'!$B$289:$J$298,0,IF($AU19="Married",4,IF($AU19="Head of household",7,1))))*INDEX('Methodology &amp; Sources'!$B$289:$J$298,0,IF($AU19="Married",4,IF($AU19="Head of household",7,1))+2)),IF($AN19="HI",IF($AU19="Married",SUMPRODUCT(($AZ19&gt;=INDEX('Methodology &amp; Sources'!$B$341:$J$348,0,7))*INDEX('Methodology &amp; Sources'!$B$341:$J$348,0,7+2)),SUMPRODUCT(($AZ19&gt;=INDEX('Methodology &amp; Sources'!$B$341:$J$348,0,4))*INDEX('Methodology &amp; Sources'!$B$341:$J$348,0,4+2))),IF($AN19="MN",IF($AU19="Married",SUMPRODUCT(($AZ19&gt;=INDEX('Methodology &amp; Sources'!$B$364:$J$370,0,7))*INDEX('Methodology &amp; Sources'!$B$364:$J$370,0,7+2)),SUMPRODUCT(($AZ19&gt;=INDEX('Methodology &amp; Sources'!$B$364:$J$370,0,4))*INDEX('Methodology &amp; Sources'!$B$364:$J$370,0,4+2))),IF($AN19="MO",SUMPRODUCT(($AZ19&gt;=INDEX('Methodology &amp; Sources'!$B$375:$J$382,0,1))*INDEX('Methodology &amp; Sources'!$B$375:$J$382,0,1+2)),IF($AN19="NE",MAX(IF($AU19="Married",SUMPRODUCT(($AZ19&gt;=INDEX('Methodology &amp; Sources'!$B$394:$J$400,0,7))*INDEX('Methodology &amp; Sources'!$B$394:$J$400,0,7+2)),SUMPRODUCT(($AZ19&gt;=INDEX('Methodology &amp; Sources'!$B$394:$J$400,0,4))*INDEX('Methodology &amp; Sources'!$B$394:$J$400,0,4+2))),0.015),IF($AN19="OH",IF($B19&gt;=DATE(2026,8,1),SUMPRODUCT(($AZ19&gt;=INDEX('Methodology &amp; Sources'!$B$453:$J$456,0,1))*INDEX('Methodology &amp; Sources'!$B$453:$J$456,0,1+2)),SUMPRODUCT(($AZ19&gt;=INDEX('Methodology &amp; Sources'!$B$434:$J$448,0,7))*INDEX('Methodology &amp; Sources'!$B$434:$J$448,0,7+2))),IF($AN19="OK",IF($AU19="Married",SUMPRODUCT(($AZ19&gt;=INDEX('Methodology &amp; Sources'!$B$453:$J$456,0,7))*INDEX('Methodology &amp; Sources'!$B$453:$J$456,0,7+2)),SUMPRODUCT(($AZ19&gt;=INDEX('Methodology &amp; Sources'!$B$453:$J$456,0,4))*INDEX('Methodology &amp; Sources'!$B$453:$J$456,0,4+2))),IF($AN19="RI",SUMPRODUCT(($AZ19&gt;=INDEX('Methodology &amp; Sources'!$B$461:$J$464,0,7))*INDEX('Methodology &amp; Sources'!$B$461:$J$464,0,7+2)),IF($AN19="SC",SUMPRODUCT(($AZ19&gt;=INDEX('Methodology &amp; Sources'!$B$469:$J$473,0,1))*INDEX('Methodology &amp; Sources'!$B$469:$J$473,0,1+2)),IF($AN19="VT",IF($AU19="Married",SUMPRODUCT(($AZ19&gt;=INDEX('Methodology &amp; Sources'!$B$478:$J$482,0,1))*INDEX('Methodology &amp; Sources'!$B$478:$J$482,0,1+2)),SUMPRODUCT(($AZ19&gt;=INDEX('Methodology &amp; Sources'!$B$469:$J$473,0,7))*INDEX('Methodology &amp; Sources'!$B$469:$J$473,0,7+2))),IF($AN19="WV",IF($AU19="Married",SUMPRODUCT(($AZ19&gt;=INDEX('Methodology &amp; Sources'!$B$487:$J$491,0,7))*INDEX('Methodology &amp; Sources'!$B$487:$J$491,0,7+2)),SUMPRODUCT(($AZ19&gt;=INDEX('Methodology &amp; Sources'!$B$478:$J$482,0,7))*INDEX('Methodology &amp; Sources'!$B$478:$J$482,0,7+2))),IF($AN19="IN",(0.0295+Inputs!$C$76),"")))))))))))))</f>
      </c>
      <c r="CC19" s="24">
        <f>IF($B19="","",IF($AN19="AR",SUMPRODUCT(($AZ19&gt;=INDEX('Methodology &amp; Sources'!$B$332:$J$336,0,7))*INDEX('Methodology &amp; Sources'!$B$332:$J$336,0,7+2)),IF($AN19="DE",SUMPRODUCT(($AZ19&gt;=INDEX('Methodology &amp; Sources'!$B$341:$J$348,0,1))*INDEX('Methodology &amp; Sources'!$B$341:$J$348,0,1+2)),IF($AN19="VA",SUMPRODUCT(($AZ19&gt;=INDEX('Methodology &amp; Sources'!$B$469:$J$473,0,4))*INDEX('Methodology &amp; Sources'!$B$469:$J$473,0,4+2)),IF($AN19="WI",SUMPRODUCT(($AZ19&gt;=INDEX('Methodology &amp; Sources'!$B$478:$J$482,0,4))*INDEX('Methodology &amp; Sources'!$B$478:$J$482,0,4+2)),IF($AN19="AZ",Inputs!$C$82,IF($AN19="CO",IF($AY19&gt;IF($AU19="Married",10000,5000),0.044,0),IF($AN19="IA",IF($AY19&gt;IF($AU19="Head of household",19500,IF($AU19="Married",26000,13000)),0.038,0),IF($AN19="ID",IF($AY19&gt;IF($AU19="Married",32000,16094),0.053,0),IF($AN19="IL",IF($AY19&gt;(2925*$AS19+1000*$AT19),0.0495,0),IF($AN19="KY",IF($AI19&gt;3360,0.035,0),IF($AN19="LA",0.0309,IF($AN19="MA",IF(MAX(0,$AY19-MIN(($BD18+$Q19+$R19+$S19),2000)-IF($AS19=0,0,IF($AS19=1,4400,1000*$AS19+3400)))&gt;=1107750,0.09,0.05),IF($AN19="MS",IF($AI19-IF($AU19="Head of household",3400,IF($AU19="Married",4600,2300))-Inputs!$C$85&gt;10000,0.04,0),IF($AN19="PA",0.0307,"")))))))))))))))</f>
      </c>
      <c r="CD19" s="21">
        <f>IF(YEAR(IF(Inputs!$C$7="Weekly",Inputs!$C$9+7*(($BE18+1)-1),IF(Inputs!$C$7="Biweekly",Inputs!$C$9+14*(($BE18+1)-1),IF(Inputs!$C$7="Semimonthly",DATE(YEAR(Inputs!$C$9),MONTH(Inputs!$C$9)+INT((($BE18+1)-1)/2),MIN(DAY(Inputs!$C$9),DAY(EOMONTH(DATE(YEAR(Inputs!$C$9),MONTH(Inputs!$C$9)+INT((($BE18+1)-1)/2),1),0))))+IF(MOD(($BE18+1)-1,2)=1,15,0),EDATE(Inputs!$C$9,($BE18+1)-1)))))&lt;&gt;2026,"",IF(Inputs!$C$7="Weekly",Inputs!$C$9+7*(($BE18+1)-1),IF(Inputs!$C$7="Biweekly",Inputs!$C$9+14*(($BE18+1)-1),IF(Inputs!$C$7="Semimonthly",DATE(YEAR(Inputs!$C$9),MONTH(Inputs!$C$9)+INT((($BE18+1)-1)/2),MIN(DAY(Inputs!$C$9),DAY(EOMONTH(DATE(YEAR(Inputs!$C$9),MONTH(Inputs!$C$9)+INT((($BE18+1)-1)/2),1),0))))+IF(MOD(($BE18+1)-1,2)=1,15,0),EDATE(Inputs!$C$9,($BE18+1)-1)))))</f>
      </c>
      <c r="CE19" s="21">
        <f>IF(SUMPRODUCT(MIN(IF((Inputs!$C$58:$C$67&gt;MAX($B$6:$B18))*(Inputs!$C$58:$C$67&gt;=DATE(2026,1,1))*(Inputs!$C$58:$C$67&lt;=DATE(2026,12,31)),Inputs!$C$58:$C$67,999999)))=999999,"",SUMPRODUCT(MIN(IF((Inputs!$C$58:$C$67&gt;MAX($B$6:$B18))*(Inputs!$C$58:$C$67&gt;=DATE(2026,1,1))*(Inputs!$C$58:$C$67&lt;=DATE(2026,12,31)),Inputs!$C$58:$C$67,999999))))</f>
      </c>
    </row>
    <row r="20">
      <c r="A20" t="n">
        <v>15</v>
      </c>
      <c r="B20" s="21">
        <f>IF(AND($CD20="",$CE20=""),"",IF($CE20="",$CD20,IF($CD20="",$CE20,MIN($CD20,$CE20))))</f>
      </c>
      <c r="C20" s="7">
        <f>IF($B20="","",IF($BF20=0,0,IF(Inputs!$C$4="Annual salary",ROUND($AK20/IF(AND(Inputs!$C$88="Actual paydays",MONTH(Inputs!$C$9)=1),MAX(1,MAX($BE$6:$BE$68)),Inputs!$C$8),2),$AK20)))</f>
      </c>
      <c r="D20" s="7">
        <f>IF($B20="","",SUMIF(Inputs!$C$58:$C$67,$B20,Inputs!$D$58:$D$67))</f>
      </c>
      <c r="E20" s="7">
        <f>IF($B20="","",ROUND(MAX(0,MIN(IF($AL20="Percent",$AM20*($C20+$D20),$AM20),MAX(0,Inputs!$C$91-$AC19))),2))</f>
      </c>
      <c r="F20" s="7">
        <f>IF($B20="","",ROUND(MAX(0,MIN(IF(Inputs!$C$32="Percent",Inputs!$D$32*($C20+$D20),Inputs!$D$32),MAX(0,Inputs!$C$91-$AC19-$E20))),2))</f>
      </c>
      <c r="G20" s="7">
        <f>IF($B20="","",IF($BF20=0,0,ROUND(MAX(0,MIN($BL20,Inputs!$C$92-Inputs!$C$54-$BI19)),2)))</f>
      </c>
      <c r="H20" s="7">
        <f>IF($B20="","",IF(OR($BF20=0,$BQ20=1),0,ROUND(MAX(0,MIN(IF($BS20=1,ROUND(MAX(0,MIN($BJ20,'Methodology &amp; Sources'!$C$263)-$BG19)/MAX(1,MAX($BE$6:$BE$68)-($BE19)),2),ROUND(MIN($BJ20,'Methodology &amp; Sources'!$C$263)/Inputs!$C$8,2)),MIN($BJ20,'Methodology &amp; Sources'!$C$263)-$BG19)),2)))</f>
      </c>
      <c r="I20" s="7">
        <f>IF($B20="","",IF(OR($BF20=0,$BR20=1),0,ROUND(MAX(0,MIN(IF($BT20=1,ROUND(MAX(0,MIN($BK20,IF(Inputs!$C$12="MFJ",'Methodology &amp; Sources'!$C$264,'Methodology &amp; Sources'!$C$265))-$BH19)/MAX(1,MAX($BE$6:$BE$68)-($BE19)),2),ROUND(MIN($BK20,IF(Inputs!$C$12="MFJ",'Methodology &amp; Sources'!$C$264,'Methodology &amp; Sources'!$C$265))/Inputs!$C$8,2)),MIN($BK20,IF(Inputs!$C$12="MFJ",'Methodology &amp; Sources'!$C$264,'Methodology &amp; Sources'!$C$265))-$BH19)),2)))</f>
      </c>
      <c r="J20" s="7">
        <f>IF($B20="","",IF($BF20=0,0,$BM20))</f>
      </c>
      <c r="K20" s="7">
        <f>IF($B20="","",IF($BF20=0,0,$BN20+$BO20))</f>
      </c>
      <c r="L20" s="7">
        <f>IF($B20="","",IF($BF20=0,0,Inputs!$D$46))</f>
      </c>
      <c r="M20" s="7">
        <f>IF($B20="","",$C20+$D20+$L20-$E20-$G20-$H20-$I20-$J20-$K20)</f>
      </c>
      <c r="N20" s="7">
        <f>IF($B20="","",$C20+$D20+$L20-$G20-$H20-$I20-$J20-$K20)</f>
      </c>
      <c r="O20" s="7">
        <f>IF($B20="","",$C20+$D20+$L20-$E20-$H20-$I20-$J20-$K20-IF(OR($AN20="CA",$AN20="NJ"),0,$G20))</f>
      </c>
      <c r="P20" s="7">
        <f>IF($B20="","",IF(Inputs!$C$18,0,ROUND(MAX(0,IF(Inputs!$C$13,SUMPRODUCT(($AH20&gt;INDEX('Methodology &amp; Sources'!$B$279:$J$286,0,IF(Inputs!$C$12="MFJ",1,IF(Inputs!$C$12="HoH",7,4))))*($AH20-INDEX('Methodology &amp; Sources'!$B$279:$J$286,0,IF(Inputs!$C$12="MFJ",1,IF(Inputs!$C$12="HoH",7,4))))*INDEX('Methodology &amp; Sources'!$B$279:$J$286,0,IF(Inputs!$C$12="MFJ",1,IF(Inputs!$C$12="HoH",7,4))+2)),SUMPRODUCT(($AH20&gt;INDEX('Methodology &amp; Sources'!$B$269:$J$276,0,IF(Inputs!$C$12="MFJ",1,IF(Inputs!$C$12="HoH",7,4))))*($AH20-INDEX('Methodology &amp; Sources'!$B$269:$J$276,0,IF(Inputs!$C$12="MFJ",1,IF(Inputs!$C$12="HoH",7,4))))*INDEX('Methodology &amp; Sources'!$B$269:$J$276,0,IF(Inputs!$C$12="MFJ",1,IF(Inputs!$C$12="HoH",7,4))+2)))/Inputs!$C$8-$AO20/Inputs!$C$8)+$AR20+IF(Inputs!$C$89="Aggregate",MAX(0,IF(Inputs!$C$13,SUMPRODUCT((($AH20+$D20)&gt;INDEX('Methodology &amp; Sources'!$B$279:$J$286,0,IF(Inputs!$C$12="MFJ",1,IF(Inputs!$C$12="HoH",7,4))))*(($AH20+$D20)-INDEX('Methodology &amp; Sources'!$B$279:$J$286,0,IF(Inputs!$C$12="MFJ",1,IF(Inputs!$C$12="HoH",7,4))))*INDEX('Methodology &amp; Sources'!$B$279:$J$286,0,IF(Inputs!$C$12="MFJ",1,IF(Inputs!$C$12="HoH",7,4))+2)),SUMPRODUCT((($AH20+$D20)&gt;INDEX('Methodology &amp; Sources'!$B$269:$J$276,0,IF(Inputs!$C$12="MFJ",1,IF(Inputs!$C$12="HoH",7,4))))*(($AH20+$D20)-INDEX('Methodology &amp; Sources'!$B$269:$J$276,0,IF(Inputs!$C$12="MFJ",1,IF(Inputs!$C$12="HoH",7,4))))*INDEX('Methodology &amp; Sources'!$B$269:$J$276,0,IF(Inputs!$C$12="MFJ",1,IF(Inputs!$C$12="HoH",7,4))+2)))-IF(Inputs!$C$13,SUMPRODUCT(($AH20&gt;INDEX('Methodology &amp; Sources'!$B$279:$J$286,0,IF(Inputs!$C$12="MFJ",1,IF(Inputs!$C$12="HoH",7,4))))*($AH20-INDEX('Methodology &amp; Sources'!$B$279:$J$286,0,IF(Inputs!$C$12="MFJ",1,IF(Inputs!$C$12="HoH",7,4))))*INDEX('Methodology &amp; Sources'!$B$279:$J$286,0,IF(Inputs!$C$12="MFJ",1,IF(Inputs!$C$12="HoH",7,4))+2)),SUMPRODUCT(($AH20&gt;INDEX('Methodology &amp; Sources'!$B$269:$J$276,0,IF(Inputs!$C$12="MFJ",1,IF(Inputs!$C$12="HoH",7,4))))*($AH20-INDEX('Methodology &amp; Sources'!$B$269:$J$276,0,IF(Inputs!$C$12="MFJ",1,IF(Inputs!$C$12="HoH",7,4))))*INDEX('Methodology &amp; Sources'!$B$269:$J$276,0,IF(Inputs!$C$12="MFJ",1,IF(Inputs!$C$12="HoH",7,4))+2)))),'Methodology &amp; Sources'!$C$260*$D20),2)))</f>
      </c>
      <c r="Q20" s="7">
        <f>IF($B20="","",ROUND('Methodology &amp; Sources'!$C$254*MIN($N20,MAX(0,'Methodology &amp; Sources'!$C$253-($AX20+$AB19-$AW20))),2))</f>
      </c>
      <c r="R20" s="7">
        <f>IF($B20="","",ROUND('Methodology &amp; Sources'!$C$255*$N20,2))</f>
      </c>
      <c r="S20" s="7">
        <f>IF($B20="","",ROUND('Methodology &amp; Sources'!$C$256*MAX(0,MIN($N20,$AG19+$N20-'Methodology &amp; Sources'!$C$257)),2))</f>
      </c>
      <c r="T20" s="7">
        <f>IF($B20="","",IF(Inputs!$C$26,0,IF($AN20="CA",ROUND(IF($AI20&lt;=IF(($AS20+$AT20)&gt;=2,VLOOKUP($AN20,'StateTables 2026'!$A$6:$AB$56,10,FALSE),VLOOKUP($AN20,'StateTables 2026'!$A$6:$AB$56,9,FALSE)),0,MAX(0,SUMPRODUCT(($AJ20&gt;INDEX('Methodology &amp; Sources'!$B$289:$J$298,0,IF($AU20="Married",4,IF($AU20="Head of household",7,1))))*($AJ20-INDEX('Methodology &amp; Sources'!$B$289:$J$298,0,IF($AU20="Married",4,IF($AU20="Head of household",7,1))))*INDEX('Methodology &amp; Sources'!$B$289:$J$298,0,IF($AU20="Married",4,IF($AU20="Head of household",7,1))+2))-VLOOKUP($AN20,'StateTables 2026'!$A$6:$AB$56,11,FALSE)*$AS20)/Inputs!$C$8)+Inputs!$C$25+VLOOKUP($AN20,'StateTables 2026'!$A$6:$AB$56,13,FALSE)*$D20,2),IF(VLOOKUP($AN20,'StateTables 2026'!$A$6:$AB$56,4,FALSE)="None",0,IF(ISNUMBER(SEARCH("MANUAL",VLOOKUP($AN20,'StateTables 2026'!$A$6:$AB$56,5,FALSE))),Inputs!$C$28,ROUND(MAX(0,$BA20+$BB20)/Inputs!$C$8+Inputs!$C$25+$BC20,2))))))</f>
      </c>
      <c r="U20" s="7">
        <f>IF($B20="","",IF(VLOOKUP($AN20,'StateTables 2026'!$A$6:$AB$56,24,FALSE)="flatq",IF(OR(MONTH($B20)=1,MONTH($B20)=4,MONTH($B20)=7,MONTH($B20)=10),VLOOKUP($AN20,'StateTables 2026'!$A$6:$AB$56,25,FALSE),0),IF(VLOOKUP($AN20,'StateTables 2026'!$A$6:$AB$56,24,FALSE)="dbl",MIN(ROUND(0.005*$N20,2),ROUND(0.6*52/Inputs!$C$8,2)),IF(OR(VLOOKUP($AN20,'StateTables 2026'!$A$6:$AB$56,15,FALSE)="",VLOOKUP($AN20,'StateTables 2026'!$A$6:$AB$56,15,FALSE)=0),0,ROUND(VLOOKUP($AN20,'StateTables 2026'!$A$6:$AB$56,15,FALSE)*IF(OR(VLOOKUP($AN20,'StateTables 2026'!$A$6:$AB$56,16,FALSE)="",VLOOKUP($AN20,'StateTables 2026'!$A$6:$AB$56,16,FALSE)=0),$N20,MIN($N20,MAX(0,VLOOKUP($AN20,'StateTables 2026'!$A$6:$AB$56,16,FALSE)-($AX20+$AB19-$AW20)))),2))))+IF(VLOOKUP($AN20,'StateTables 2026'!$A$6:$AB$56,27,FALSE)="flatq",IF(OR(MONTH($B20)=1,MONTH($B20)=4,MONTH($B20)=7,MONTH($B20)=10),VLOOKUP($AN20,'StateTables 2026'!$A$6:$AB$56,28,FALSE),0),IF(VLOOKUP($AN20,'StateTables 2026'!$A$6:$AB$56,27,FALSE)="dbl",MIN(ROUND(0.005*$N20,2),ROUND(0.6*52/Inputs!$C$8,2)),IF(OR(VLOOKUP($AN20,'StateTables 2026'!$A$6:$AB$56,18,FALSE)="",VLOOKUP($AN20,'StateTables 2026'!$A$6:$AB$56,18,FALSE)=0),0,ROUND(VLOOKUP($AN20,'StateTables 2026'!$A$6:$AB$56,18,FALSE)*IF(OR(VLOOKUP($AN20,'StateTables 2026'!$A$6:$AB$56,19,FALSE)="",VLOOKUP($AN20,'StateTables 2026'!$A$6:$AB$56,19,FALSE)=0),$N20,MIN($N20,MAX(0,VLOOKUP($AN20,'StateTables 2026'!$A$6:$AB$56,19,FALSE)-($AX20+$AB19-$AW20)))),2)))))</f>
      </c>
      <c r="V20" s="7">
        <f>IF($B20="","",IF($AN20="NY",IF(Inputs!$C$78,ROUND(SUMPRODUCT((MAX(0,($O20-$D20)*Inputs!$C$8-(IF($AU20="Married",5500,5000)+1000*$AS20))&gt;INDEX('Methodology &amp; Sources'!$B$434:$J$448,0,4))*(MAX(0,($O20-$D20)*Inputs!$C$8-(IF($AU20="Married",5500,5000)+1000*$AS20))-INDEX('Methodology &amp; Sources'!$B$434:$J$448,0,4))*INDEX('Methodology &amp; Sources'!$B$434:$J$448,0,4+2))/Inputs!$C$8+0.0425*$D20,2),0)+IF(Inputs!$C$79="Resident",ROUND(0.1675*$T20,2),IF(Inputs!$C$79="Nonresident",ROUND(0.005*MAX(0,($O20-$D20)-(IF($AU20="Married",7950,7400)+1000*$AS20)/Inputs!$C$8),2),0)),IF($AN20="PA",IF(Inputs!$C$80="None",Inputs!$C$27+ROUND(Inputs!$C$81*($C20+$D20),2),ROUND(IF(Inputs!$C$80="Resident",IF($B20&lt;DATE(2026,7,1),0.0374,0.03735),IF($B20&lt;DATE(2026,7,1),0.0343,0.03425))*($C20+$D20),2)),IF($BF20=0,ROUND(Inputs!$C$81*($C20+$D20),2),Inputs!$C$27+ROUND(Inputs!$C$81*($C20+$D20),2)))))</f>
      </c>
      <c r="W20" s="7">
        <f>IF($B20="","",IF($BF20=0,0,$BP20))</f>
      </c>
      <c r="X20" s="7">
        <f>IF($B20="","",SUM($E20:$K20)+$P20+$Q20+$R20+$S20+$T20+$U20+$V20+$W20)</f>
      </c>
      <c r="Y20" s="22">
        <f>IF($B20="","",$C20+$D20-$X20)</f>
      </c>
      <c r="Z20" s="7">
        <f>IF($B20="","",$Z19+$C20+$D20)</f>
      </c>
      <c r="AA20" s="7">
        <f>IF($B20="","",$AA19+$Y20)</f>
      </c>
      <c r="AB20" s="7">
        <f>IF($B20="","",$AB19+MIN($N20,MAX(0,'Methodology &amp; Sources'!$C$253-($AX20+$AB19-$AW20))))</f>
      </c>
      <c r="AC20" s="7">
        <f>IF($B20="","",$AC19+$E20+$F20)</f>
      </c>
      <c r="AD20" s="3">
        <f>IF($B20="","",IF(AND($AB19&lt;'Methodology &amp; Sources'!$C$253,$AB20&gt;='Methodology &amp; Sources'!$C$253),"★ Social Security maxed on this check — from the next check your net rises by about $"&amp;TEXT(ROUND('Methodology &amp; Sources'!$C$254*$N20,2),"#,##0.00")&amp;". ","")&amp;IF(AND($AC19&lt;Inputs!$C$91,$AC20&gt;=Inputs!$C$91),"★ 401(k) reaches the $"&amp;TEXT(Inputs!$C$91,"#,##0")&amp;" cap on this check — deferrals stop and net pay rises. ","")&amp;IF(AND($AG19&lt;'Methodology &amp; Sources'!$C$257,$AG20&gt;='Methodology &amp; Sources'!$C$257),"★ Wages pass $200,000 — the 0.9% Additional Medicare Tax starts here. ","")&amp;IF(AND($BJ20&gt;0,$H20&gt;0,$BG19&lt;MIN($BJ20,'Methodology &amp; Sources'!$C$263),$BG19+$H20&gt;=MIN($BJ20,'Methodology &amp; Sources'!$C$263)),"★ Health FSA election is now fully deferred for the year. ",""))</f>
      </c>
      <c r="AE20" s="41" t="n"/>
      <c r="AF20" s="7">
        <f>IF(OR($B20="",$AE20=""),"",$AE20-$Y20)</f>
      </c>
      <c r="AG20" s="7">
        <f>IF($B20="","",$AG19+$N20)</f>
      </c>
      <c r="AH20" s="7">
        <f>IF($B20="","",MAX(0,($M20-$D20)*Inputs!$C$8+$AP20-$AQ20-IF(Inputs!$C$13,0,IF(Inputs!$C$12="MFJ",'Methodology &amp; Sources'!$C$258,'Methodology &amp; Sources'!$C$259))))</f>
      </c>
      <c r="AI20" s="7">
        <f>IF($B20="","",$O20*Inputs!$C$8)</f>
      </c>
      <c r="AJ20" s="7">
        <f>IF($B20="","",MAX(0,$AI20-VLOOKUP($AN20,'StateTables 2026'!$A$6:$AB$56,12,FALSE)*$AT20-IF(($AS20+$AT20)&gt;=2,VLOOKUP($AN20,'StateTables 2026'!$A$6:$AB$56,8,FALSE),VLOOKUP($AN20,'StateTables 2026'!$A$6:$AB$56,7,FALSE))))</f>
      </c>
      <c r="AK20" s="7">
        <f>IF($B20="","",IFERROR(LOOKUP(2,1/((Events!$C$6:$C$17="Salary change")*(Events!$B$6:$B$17&lt;=$B20)*(Events!$B$6:$B$17&lt;&gt;"")),Events!$D$6:$D$17),IF(Inputs!$C$4="Annual salary",Inputs!$C$5,Inputs!$C$6)))</f>
      </c>
      <c r="AL20">
        <f>IF($B20="","",IFERROR(LOOKUP(2,1/((Events!$C$6:$C$17="401(k) change")*(Events!$B$6:$B$17&lt;=$B20)*(Events!$B$6:$B$17&lt;&gt;"")),Events!$D$6:$D$17),Inputs!$C$30))</f>
      </c>
      <c r="AM20" s="7">
        <f>IF($B20="","",IFERROR(LOOKUP(2,1/((Events!$C$6:$C$17="401(k) change")*(Events!$B$6:$B$17&lt;=$B20)*(Events!$B$6:$B$17&lt;&gt;"")),Events!$E$6:$E$17),Inputs!$D$30))</f>
      </c>
      <c r="AN20">
        <f>IF($B20="","",IFERROR(LOOKUP(2,1/((Events!$C$6:$C$17="State move")*(Events!$B$6:$B$17&lt;=$B20)*(Events!$B$6:$B$17&lt;&gt;"")),Events!$D$6:$D$17),Inputs!$C$21))</f>
      </c>
      <c r="AO20" s="7">
        <f>IF($B20="","",IFERROR(LOOKUP(2,1/((Events!$C$6:$C$17="W-4 change")*(Events!$B$6:$B$17&lt;=$B20)*(Events!$B$6:$B$17&lt;&gt;"")),Events!$D$6:$D$17),Inputs!$C$14))</f>
      </c>
      <c r="AP20" s="7">
        <f>IF($B20="","",IFERROR(LOOKUP(2,1/((Events!$C$6:$C$17="W-4 change")*(Events!$B$6:$B$17&lt;=$B20)*(Events!$B$6:$B$17&lt;&gt;"")),Events!$E$6:$E$17),Inputs!$C$15))</f>
      </c>
      <c r="AQ20" s="7">
        <f>IF($B20="","",IFERROR(LOOKUP(2,1/((Events!$C$6:$C$17="W-4 change")*(Events!$B$6:$B$17&lt;=$B20)*(Events!$B$6:$B$17&lt;&gt;"")),Events!$F$6:$F$17),Inputs!$C$16))</f>
      </c>
      <c r="AR20" s="7">
        <f>IF($B20="","",IFERROR(LOOKUP(2,1/((Events!$C$6:$C$17="W-4 change")*(Events!$B$6:$B$17&lt;=$B20)*(Events!$B$6:$B$17&lt;&gt;"")),Events!$G$6:$G$17),Inputs!$C$17))</f>
      </c>
      <c r="AS20" s="6">
        <f>IF($B20="","",IFERROR(LOOKUP(2,1/(((Events!$C$6:$C$17="State move")+(Events!$C$6:$C$17="State cert change"))*(Events!$B$6:$B$17&lt;=$B20)*(Events!$B$6:$B$17&lt;&gt;"")),Events!$F$6:$F$17),Inputs!$C$23))</f>
      </c>
      <c r="AT20" s="6">
        <f>IF($B20="","",IFERROR(LOOKUP(2,1/(((Events!$C$6:$C$17="State move")+(Events!$C$6:$C$17="State cert change"))*(Events!$B$6:$B$17&lt;=$B20)*(Events!$B$6:$B$17&lt;&gt;"")),Events!$G$6:$G$17),Inputs!$C$24))</f>
      </c>
      <c r="AU20">
        <f>IF($B20="","",IFERROR(LOOKUP(2,1/((Events!$C$6:$C$17="State move")*(Events!$B$6:$B$17&lt;=$B20)*(Events!$B$6:$B$17&lt;&gt;"")),Events!$E$6:$E$17),Inputs!$C$22))</f>
      </c>
      <c r="AV20" s="6">
        <f>IF($B20="","",1+COUNTIFS(Events!$C$6:$C$17,"Employer change",Events!$B$6:$B$17,"&lt;="&amp;$B20,Events!$B$6:$B$17,"&lt;&gt;"))</f>
      </c>
      <c r="AW20" s="7">
        <f>IF($B20="","",IF($AV20=1,Inputs!$C$49,IF(IFERROR(MATCH(IFERROR(LOOKUP(2,1/((Events!$C$6:$C$17="Employer change")*(Events!$B$6:$B$17&lt;=$B20)*(Events!$B$6:$B$17&lt;&gt;"")),Events!$B$6:$B$17),""),$B$6:$B$68,1),1)&lt;=1,Inputs!$C$49,INDEX($AB$6:$AB$68,MATCH(IFERROR(LOOKUP(2,1/((Events!$C$6:$C$17="Employer change")*(Events!$B$6:$B$17&lt;=$B20)*(Events!$B$6:$B$17&lt;&gt;"")),Events!$B$6:$B$17),""),$B$6:$B$68,1)-1))))</f>
      </c>
      <c r="AX20" s="7">
        <f>IF($B20="","",IF($AV20=1,Inputs!$C$49,IFERROR(LOOKUP(2,1/((Events!$C$6:$C$17="Employer change")*(Events!$B$6:$B$17&lt;=$B20)*(Events!$B$6:$B$17&lt;&gt;"")),Events!$D$6:$D$17),0)))</f>
      </c>
      <c r="AY20" s="7">
        <f>IF($B20="","",($O20-$D20)*Inputs!$C$8)</f>
      </c>
      <c r="AZ20" s="7">
        <f>IF($B20="","",IF($AN20="AL",MAX(0,$AY20-IF($AU20="Married",IF($AY20&lt;=25999,8500,MAX(5000,8500-175*CEILING(($AY20-25999)/500,1))),IF($AU20="Head of household",IF($AY20&lt;=25999,5200,MAX(2500,5200-135*CEILING(($AY20-25999)/500,1))),IF($AY20&lt;=25999,3000,MAX(2500,3000-25*CEILING(($AY20-25999)/500,1)))))-($P20-'Methodology &amp; Sources'!$C$260*$D20)*Inputs!$C$8-IF(OR($AU20="Married",$AU20="Head of household"),3000,1500)-$AT20*IF($AY20&lt;=50000,1000,IF($AY20&lt;=100000,500,300))),IF($AN20="AR",IF(MAX(0,$AY20-2470)&lt;97701,INT(MAX(0,$AY20-2470)/100)*100+50,MAX(0,$AY20-2470)),IF($AN20="DE",MAX(0,$AI20-3250),IF($AN20="HI",MAX(0,$AI20-1144*$AS20-4350),IF($AN20="KS",MAX(0,$AI20-(9160*IF($AU20="Married",2,1)+2320*$AT20+IF($AU20="Head of household",2320,0))),IF($AN20="MD",MAX(0,$AI20-3400-3200*$AS20),IF($AN20="MN",MAX(0,$AY20-5300*$AS20),IF($AN20="MO",MAX(0,$AI20-IF($AU20="Head of household",24150,IF($AU20="Married",IF(Inputs!$C$83,16100,32200),16100))),IF($AN20="MT",$AY20,IF($AN20="ND",($C20+$L20)*Inputs!$C$8,IF($AN20="NE",MAX(0,$AY20-2440*$AS20),IF($AN20="NJ",MAX(0,$AY20-1000*$AS20),IF($AN20="NY",MAX(0,$AY20-(IF($AU20="Married",7950,7400)+1000*$AS20)),IF($AN20="OH",MAX(0,$AY20-650*$AS20),IF($AN20="OK",MAX(0,$AY20-1000*$AS20),IF($AN20="RI",MAX(0,$AI20-1000*$AS20),IF($AN20="SC",MAX(0,$AI20-5000*$AS20-IF($AS20=0,0,MIN(0.1*$AI20,7500))),IF($AN20="VA",MAX(0,$AI20-IF($AU20="Married",17500,8750)-930*$AS20-800*$AT20),IF($AN20="VT",MAX(0,$AI20-5400*$AS20),IF($AN20="WI",MAX(0,$AI20-MAX(0,IF($AU20="Married",9461-0.2*MAX(0,$AI20-25727),6702-0.12*MAX(0,$AI20-17780)))-400*$AS20),IF($AN20="WV",MAX(0,$AI20-2000*$AS20),$AI20))))))))))))))))))))))</f>
      </c>
      <c r="BA20" s="7">
        <f>IF($B20="","",IF($BW20&lt;&gt;"",$BW20,IF($BX20&lt;&gt;"",$BX20,IF($BY20&lt;&gt;"",$BY20,0))))</f>
      </c>
      <c r="BB20" s="7">
        <f>IF($B20="","",IF($AN20="AR",-29*$AS20,IF($AN20="DE",-110*$AS20,IF($AN20="MD",$AZ20*Inputs!$C$74,IF($AN20="AZ",Inputs!$C$82*($M20-$D20)*Inputs!$C$8,IF($AN20="CO",0.044*MAX(0,$AY20-IF($AU20="Married",10000,5000)),IF($AN20="IA",MAX(0,0.038*MAX(0,$AY20-IF($AU20="Head of household",19500,IF($AU20="Married",26000,13000)))-40*$AS20),IF($AN20="ID",0.053*MAX(0,$AY20-IF($AU20="Married",32000,16094)),IF($AN20="IL",0.0495*MAX(0,$AY20-(2925*$AS20+1000*$AT20)),IF($AN20="IN",(0.0295+Inputs!$C$76)*MAX(0,$AY20-(1000*$AS20+1500*$AT20+3000*Inputs!$C$86)),IF($AN20="KY",0.035*MAX(0,$AI20-3360),IF($AN20="LA",IF(Inputs!$C$84="0",0.0309*$AI20,0.0309*MAX(0,$AI20-IF(Inputs!$C$84="2",25750,12875))),IF($AN20="MA",0.05*MIN(MAX(0,$AY20-MIN(($BD19+$Q20+$R20+$S20),2000)-IF($AS20=0,0,IF($AS20=1,4400,1000*$AS20+3400))),1107750)+0.09*MAX(0,MAX(0,$AY20-MIN(($BD19+$Q20+$R20+$S20),2000)-IF($AS20=0,0,IF($AS20=1,4400,1000*$AS20+3400)))-1107750)-IF($AU20="Head of household",120,0)-110*Inputs!$C$75,IF($AN20="MI",0.0425*MAX(0,$AY20-5900*$AS20),IF($AN20="MS",0.04*MAX(0,$AI20-IF($AU20="Head of household",3400,IF($AU20="Married",4600,2300))-Inputs!$C$85-10000),IF($AN20="OR",IF(OR($AU20="Married",AND($AU20="Single",$AS20&gt;=3)),SUMPRODUCT((MAX(0,$AY20-MIN(($P20-'Methodology &amp; Sources'!$C$260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Sources'!$B$461:$J$464,0,4))*(MAX(0,$AY20-MIN(($P20-'Methodology &amp; Sources'!$C$260*$D20)*Inputs!$C$8,IF(OR($AU20="Married",AND($AU20="Single",$AS20&gt;=3)),IF($AY20&lt;250000,8750,IF($AY20&lt;260000,7000,IF($AY20&lt;270000,5250,IF($AY20&lt;280000,3500,IF($AY20&lt;290000,1750,0))))),IF($AY20&lt;125000,8750,IF($AY20&lt;130000,7000,IF($AY20&lt;135000,5250,IF($AY20&lt;140000,3500,IF($AY20&lt;145000,1750,0)))))))-IF(OR($AU20="Married",AND($AU20="Single",$AS20&gt;=3)),5820,2910))-INDEX('Methodology &amp; Sources'!$B$461:$J$464,0,4))*INDEX('Methodology &amp; Sources'!$B$461:$J$464,0,4+2)),SUMPRODUCT((MAX(0,$AY20-MIN(($P20-'Methodology &amp; Sources'!$C$260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Sources'!$B$461:$J$464,0,1))*(MAX(0,$AY20-MIN(($P20-'Methodology &amp; Sources'!$C$260*$D20)*Inputs!$C$8,IF(OR($AU20="Married",AND($AU20="Single",$AS20&gt;=3)),IF($AY20&lt;250000,8750,IF($AY20&lt;260000,7000,IF($AY20&lt;270000,5250,IF($AY20&lt;280000,3500,IF($AY20&lt;290000,1750,0))))),IF($AY20&lt;125000,8750,IF($AY20&lt;130000,7000,IF($AY20&lt;135000,5250,IF($AY20&lt;140000,3500,IF($AY20&lt;145000,1750,0)))))))-IF(OR($AU20="Married",AND($AU20="Single",$AS20&gt;=3)),5820,2910))-INDEX('Methodology &amp; Sources'!$B$461:$J$464,0,1))*INDEX('Methodology &amp; Sources'!$B$461:$J$464,0,1+2)))+263-263*IF(IF($AU20="Married",$AY20&gt;200000,$AY20&gt;100000),0,$AS20),IF($AN20="PA",0.0307*(($O20+$E20+$G20)*Inputs!$C$8),IF($AN20="NY",IF($AU20="Married",IF($AZ20&gt;=2155350,0,IF($AZ20&gt;=1077550,0.48,IF($AZ20&gt;=373200,1.21,IF($AZ20&gt;=323200,0.21,IF($AZ20&gt;=211550,-0.19,IF($AZ20&gt;=157650,-2.8,IF($AZ20&gt;=107650,-0.8,IF($AZ20&gt;=96800,0.05,IF($AZ20&gt;=80650,-0.1,IF($AZ20&gt;=13900,0.4,IF($AZ20&gt;=11700,-0.3,IF($AZ20&gt;=8500,0.5,0)))))))))))),IF($AZ20&gt;=1077550,0,IF($AZ20&gt;=265400,4.29,IF($AZ20&gt;=215400,2.29,IF($AZ20&gt;=157650,2.29,IF($AZ20&gt;=107650,0.29,IF($AZ20&gt;=96800,0.05,IF($AZ20&gt;=80650,-0.1,IF($AZ20&gt;=13900,0.4,IF($AZ20&gt;=11700,-0.3,IF($AZ20&gt;=8500,0.5,0))))))))))),0))))))))))))))))))</f>
      </c>
      <c r="BC20" s="7">
        <f>IF($B20="","",IF($AN20="AL",0.05*$D20,IF($AN20="AR",0.039*$D20,IF($AN20="ID",0.053*$D20,IF($AN20="IN",(0.0295+Inputs!$C$76)*$D20,IF($AN20="KS",0.05*$D20,IF($AN20="MA",0.09*MIN($D20,MAX(0,MAX(0,$AY20-MIN(($BD19+$Q20+$R20+$S20),2000)-IF($AS20=0,0,IF($AS20=1,4400,1000*$AS20+3400)))+$D20-1107750))+0.05*($D20-MIN($D20,MAX(0,MAX(0,$AY20-MIN(($BD19+$Q20+$R20+$S20),2000)-IF($AS20=0,0,IF($AS20=1,4400,1000*$AS20+3400)))+$D20-1107750))),IF($AN20="MD",(0.065+Inputs!$C$74)*$D20,IF($AN20="MI",0.0425*$D20,IF($AN20="MN",0.0625*$D20,IF($AN20="MO",0.047*$D20,IF($AN20="MT",0.05*$D20,IF($AN20="ND",0.015*$D20,IF($AN20="NE",0.035*$D20,IF($AN20="NJ",IF(Inputs!$C$77="B",SUMPRODUCT(($D20*Inputs!$C$8&gt;INDEX('Methodology &amp; Sources'!$B$405:$J$412,0,4))*($D20*Inputs!$C$8-INDEX('Methodology &amp; Sources'!$B$405:$J$412,0,4))*INDEX('Methodology &amp; Sources'!$B$405:$J$412,0,4+2)),IF(Inputs!$C$77="C",SUMPRODUCT(($D20*Inputs!$C$8&gt;INDEX('Methodology &amp; Sources'!$B$405:$J$412,0,7))*($D20*Inputs!$C$8-INDEX('Methodology &amp; Sources'!$B$405:$J$412,0,7))*INDEX('Methodology &amp; Sources'!$B$405:$J$412,0,7+2)),IF(Inputs!$C$77="D",SUMPRODUCT(($D20*Inputs!$C$8&gt;INDEX('Methodology &amp; Sources'!$B$417:$J$429,0,1))*($D20*Inputs!$C$8-INDEX('Methodology &amp; Sources'!$B$417:$J$429,0,1))*INDEX('Methodology &amp; Sources'!$B$417:$J$429,0,1+2)),IF(Inputs!$C$77="E",SUMPRODUCT(($D20*Inputs!$C$8&gt;INDEX('Methodology &amp; Sources'!$B$417:$J$429,0,4))*($D20*Inputs!$C$8-INDEX('Methodology &amp; Sources'!$B$417:$J$429,0,4))*INDEX('Methodology &amp; Sources'!$B$417:$J$429,0,4+2)),SUMPRODUCT(($D20*Inputs!$C$8&gt;INDEX('Methodology &amp; Sources'!$B$405:$J$412,0,1))*($D20*Inputs!$C$8-INDEX('Methodology &amp; Sources'!$B$405:$J$412,0,1))*INDEX('Methodology &amp; Sources'!$B$405:$J$412,0,1+2))))))/Inputs!$C$8,IF($AN20="NY",0.117*$D20,IF($AN20="OH",0.0275*$D20,IF($AN20="OK",0.045*$D20,IF($AN20="OR",0.08*$D20,IF($AN20="WI",IF($AY20&lt;12760,0.0354,IF($AY20&lt;25520,0.0465,IF($AY20&lt;280950,0.053,0.0765)))*$D20,0))))))))))))))))))))</f>
      </c>
      <c r="BD20" s="7">
        <f>IF($B20="","",$BD19+$Q20+$R20+$S20)</f>
      </c>
      <c r="BE20" s="6">
        <f>IF($B20="",$BE19,$BE19+$BF20)</f>
      </c>
      <c r="BF20" s="6">
        <f>IF($B20="","",IF(AND(IF(YEAR(IF(Inputs!$C$7="Weekly",Inputs!$C$9+7*(($BE19+1)-1),IF(Inputs!$C$7="Biweekly",Inputs!$C$9+14*(($BE19+1)-1),IF(Inputs!$C$7="Semimonthly",DATE(YEAR(Inputs!$C$9),MONTH(Inputs!$C$9)+INT((($BE19+1)-1)/2),MIN(DAY(Inputs!$C$9),DAY(EOMONTH(DATE(YEAR(Inputs!$C$9),MONTH(Inputs!$C$9)+INT((($BE19+1)-1)/2),1),0))))+IF(MOD(($BE19+1)-1,2)=1,15,0),EDATE(Inputs!$C$9,($BE19+1)-1)))))&lt;&gt;2026,"",IF(Inputs!$C$7="Weekly",Inputs!$C$9+7*(($BE19+1)-1),IF(Inputs!$C$7="Biweekly",Inputs!$C$9+14*(($BE19+1)-1),IF(Inputs!$C$7="Semimonthly",DATE(YEAR(Inputs!$C$9),MONTH(Inputs!$C$9)+INT((($BE19+1)-1)/2),MIN(DAY(Inputs!$C$9),DAY(EOMONTH(DATE(YEAR(Inputs!$C$9),MONTH(Inputs!$C$9)+INT((($BE19+1)-1)/2),1),0))))+IF(MOD(($BE19+1)-1,2)=1,15,0),EDATE(Inputs!$C$9,($BE19+1)-1)))))&lt;&gt;"",$B20=IF(YEAR(IF(Inputs!$C$7="Weekly",Inputs!$C$9+7*(($BE19+1)-1),IF(Inputs!$C$7="Biweekly",Inputs!$C$9+14*(($BE19+1)-1),IF(Inputs!$C$7="Semimonthly",DATE(YEAR(Inputs!$C$9),MONTH(Inputs!$C$9)+INT((($BE19+1)-1)/2),MIN(DAY(Inputs!$C$9),DAY(EOMONTH(DATE(YEAR(Inputs!$C$9),MONTH(Inputs!$C$9)+INT((($BE19+1)-1)/2),1),0))))+IF(MOD(($BE19+1)-1,2)=1,15,0),EDATE(Inputs!$C$9,($BE19+1)-1)))))&lt;&gt;2026,"",IF(Inputs!$C$7="Weekly",Inputs!$C$9+7*(($BE19+1)-1),IF(Inputs!$C$7="Biweekly",Inputs!$C$9+14*(($BE19+1)-1),IF(Inputs!$C$7="Semimonthly",DATE(YEAR(Inputs!$C$9),MONTH(Inputs!$C$9)+INT((($BE19+1)-1)/2),MIN(DAY(Inputs!$C$9),DAY(EOMONTH(DATE(YEAR(Inputs!$C$9),MONTH(Inputs!$C$9)+INT((($BE19+1)-1)/2),1),0))))+IF(MOD(($BE19+1)-1,2)=1,15,0),EDATE(Inputs!$C$9,($BE19+1)-1)))))),1,0))</f>
      </c>
      <c r="BG20" s="7">
        <f>IF($B20="","",$BG19+$H20)</f>
      </c>
      <c r="BH20" s="7">
        <f>IF($B20="","",$BH19+$I20)</f>
      </c>
      <c r="BI20" s="7">
        <f>IF($B20="","",$BI19+$G20)</f>
      </c>
      <c r="BJ20" s="7">
        <f>IF($B20="","",IFERROR(LOOKUP(2,1/((((Events!$C$6:$C$17="Deduction start"))*(Events!$D$6:$D$17="Health FSA"))*(Events!$B$6:$B$17&lt;=$B20)*(Events!$B$6:$B$17&lt;&gt;"")),Events!$E$6:$E$17),Inputs!$D$38))</f>
      </c>
      <c r="BK20" s="7">
        <f>IF($B20="","",IFERROR(LOOKUP(2,1/((((Events!$C$6:$C$17="Deduction start"))*(Events!$D$6:$D$17="Dependent-care FSA"))*(Events!$B$6:$B$17&lt;=$B20)*(Events!$B$6:$B$17&lt;&gt;"")),Events!$E$6:$E$17),Inputs!$D$39))</f>
      </c>
      <c r="BL20" s="7">
        <f>IF($B20="","",IFERROR(LOOKUP(2,1/((((Events!$C$6:$C$17="Deduction start")+(Events!$C$6:$C$17="Deduction stop"))*(Events!$D$6:$D$17="HSA"))*(Events!$B$6:$B$17&lt;=$B20)*(Events!$B$6:$B$17&lt;&gt;"")),Events!$I$6:$I$17),Inputs!$D$35))</f>
      </c>
      <c r="BM20" s="7">
        <f>IF($B20="","",IFERROR(LOOKUP(2,1/((((Events!$C$6:$C$17="Deduction start")+(Events!$C$6:$C$17="Deduction stop"))*(Events!$D$6:$D$17="Premiums"))*(Events!$B$6:$B$17&lt;=$B20)*(Events!$B$6:$B$17&lt;&gt;"")),Events!$I$6:$I$17),Inputs!$D$40+Inputs!$D$41+Inputs!$D$42))</f>
      </c>
      <c r="BN20" s="7">
        <f>IF($B20="","",IFERROR(LOOKUP(2,1/((((Events!$C$6:$C$17="Deduction start")+(Events!$C$6:$C$17="Deduction stop"))*(Events!$D$6:$D$17="Commuter"))*(Events!$B$6:$B$17&lt;=$B20)*(Events!$B$6:$B$17&lt;&gt;"")),Events!$I$6:$I$17),Inputs!$D$43))</f>
      </c>
      <c r="BO20" s="7">
        <f>IF($B20="","",IFERROR(LOOKUP(2,1/((((Events!$C$6:$C$17="Deduction start")+(Events!$C$6:$C$17="Deduction stop"))*(Events!$D$6:$D$17="Other pre-tax"))*(Events!$B$6:$B$17&lt;=$B20)*(Events!$B$6:$B$17&lt;&gt;"")),Events!$I$6:$I$17),Inputs!$D$44))</f>
      </c>
      <c r="BP20" s="7">
        <f>IF($B20="","",IFERROR(LOOKUP(2,1/((((Events!$C$6:$C$17="Deduction start")+(Events!$C$6:$C$17="Deduction stop"))*(Events!$D$6:$D$17="Other post-tax"))*(Events!$B$6:$B$17&lt;=$B20)*(Events!$B$6:$B$17&lt;&gt;"")),Events!$I$6:$I$17),Inputs!$D$45))</f>
      </c>
      <c r="BQ20" s="6">
        <f>IF($B20="","",IFERROR(LOOKUP(2,1/((((Events!$C$6:$C$17="Deduction start")+(Events!$C$6:$C$17="Deduction stop"))*(Events!$D$6:$D$17="Health FSA"))*(Events!$B$6:$B$17&lt;=$B20)*(Events!$B$6:$B$17&lt;&gt;"")),Events!$J$6:$J$17),0))</f>
      </c>
      <c r="BR20" s="6">
        <f>IF($B20="","",IFERROR(LOOKUP(2,1/((((Events!$C$6:$C$17="Deduction start")+(Events!$C$6:$C$17="Deduction stop"))*(Events!$D$6:$D$17="Dependent-care FSA"))*(Events!$B$6:$B$17&lt;=$B20)*(Events!$B$6:$B$17&lt;&gt;"")),Events!$J$6:$J$17),0))</f>
      </c>
      <c r="BS20" s="6">
        <f>IF($B20="","",IF(SUMPRODUCT((Events!$C$6:$C$17="Deduction start")*(Events!$B$6:$B$17&lt;=$B20)*(Events!$B$6:$B$17&lt;&gt;"")*(Events!$D$6:$D$17="Health FSA"))&gt;0,1,0))</f>
      </c>
      <c r="BT20" s="6">
        <f>IF($B20="","",IF(SUMPRODUCT((Events!$C$6:$C$17="Deduction start")*(Events!$B$6:$B$17&lt;=$B20)*(Events!$B$6:$B$17&lt;&gt;"")*(Events!$D$6:$D$17="Dependent-care FSA"))&gt;0,1,0))</f>
      </c>
      <c r="BU20" s="24">
        <f>IF($B20="","",IF(Inputs!$C$13,SUMPRODUCT(($AH20&gt;=INDEX('Methodology &amp; Sources'!$B$279:$J$286,0,IF(Inputs!$C$12="MFJ",1,IF(Inputs!$C$12="HoH",7,4))))*INDEX('Methodology &amp; Sources'!$B$279:$J$286,0,IF(Inputs!$C$12="MFJ",1,IF(Inputs!$C$12="HoH",7,4))+2)),SUMPRODUCT(($AH20&gt;=INDEX('Methodology &amp; Sources'!$B$269:$J$276,0,IF(Inputs!$C$12="MFJ",1,IF(Inputs!$C$12="HoH",7,4))))*INDEX('Methodology &amp; Sources'!$B$269:$J$276,0,IF(Inputs!$C$12="MFJ",1,IF(Inputs!$C$12="HoH",7,4))+2))))</f>
      </c>
      <c r="BV20" s="24">
        <f>IF($B20="","",IF($BZ20&lt;&gt;"",$BZ20,IF($CA20&lt;&gt;"",$CA20,IF($CB20&lt;&gt;"",$CB20,IF($CC20&lt;&gt;"",$CC20,0)))))</f>
      </c>
      <c r="BW20" s="7">
        <f>IF($B20="","",IF($AN20="MD",IF(OR($AU20="Married",$AU20="Head of household"),SUMPRODUCT(($AZ20&gt;INDEX('Methodology &amp; Sources'!$B$364:$J$370,0,1))*($AZ20-INDEX('Methodology &amp; Sources'!$B$364:$J$370,0,1))*INDEX('Methodology &amp; Sources'!$B$364:$J$370,0,1+2)),SUMPRODUCT(($AZ20&gt;INDEX('Methodology &amp; Sources'!$B$353:$J$359,0,7))*($AZ20-INDEX('Methodology &amp; Sources'!$B$353:$J$359,0,7))*INDEX('Methodology &amp; Sources'!$B$353:$J$359,0,7+2))),IF($AN20="MO",SUMPRODUCT(($AZ20&gt;INDEX('Methodology &amp; Sources'!$B$375:$J$382,0,1))*($AZ20-INDEX('Methodology &amp; Sources'!$B$375:$J$382,0,1))*INDEX('Methodology &amp; Sources'!$B$375:$J$382,0,1+2)),IF($AN20="MT",IF($AU20="Head of household",SUMPRODUCT(($AZ20&gt;INDEX('Methodology &amp; Sources'!$B$387:$J$389,0,1))*($AZ20-INDEX('Methodology &amp; Sources'!$B$387:$J$389,0,1))*INDEX('Methodology &amp; Sources'!$B$387:$J$389,0,1+2)),IF($AU20="Married",SUMPRODUCT(($AZ20&gt;INDEX('Methodology &amp; Sources'!$B$375:$J$382,0,7))*($AZ20-INDEX('Methodology &amp; Sources'!$B$375:$J$382,0,7))*INDEX('Methodology &amp; Sources'!$B$375:$J$382,0,7+2)),SUMPRODUCT(($AZ20&gt;INDEX('Methodology &amp; Sources'!$B$375:$J$382,0,4))*($AZ20-INDEX('Methodology &amp; Sources'!$B$375:$J$382,0,4))*INDEX('Methodology &amp; Sources'!$B$375:$J$382,0,4+2)))),IF($AN20="ND",IF($AU20="Head of household",SUMPRODUCT(($AZ20&gt;INDEX('Methodology &amp; Sources'!$B$394:$J$400,0,1))*($AZ20-INDEX('Methodology &amp; Sources'!$B$394:$J$400,0,1))*INDEX('Methodology &amp; Sources'!$B$394:$J$400,0,1+2)),IF($AU20="Married",SUMPRODUCT(($AZ20&gt;INDEX('Methodology &amp; Sources'!$B$387:$J$389,0,7))*($AZ20-INDEX('Methodology &amp; Sources'!$B$387:$J$389,0,7))*INDEX('Methodology &amp; Sources'!$B$387:$J$389,0,7+2)),SUMPRODUCT(($AZ20&gt;INDEX('Methodology &amp; Sources'!$B$387:$J$389,0,4))*($AZ20-INDEX('Methodology &amp; Sources'!$B$387:$J$389,0,4))*INDEX('Methodology &amp; Sources'!$B$387:$J$389,0,4+2)))),IF($AN20="NJ",IF(Inputs!$C$77="B",SUMPRODUCT(($AZ20&gt;INDEX('Methodology &amp; Sources'!$B$405:$J$412,0,4))*($AZ20-INDEX('Methodology &amp; Sources'!$B$405:$J$412,0,4))*INDEX('Methodology &amp; Sources'!$B$405:$J$412,0,4+2)),IF(Inputs!$C$77="C",SUMPRODUCT(($AZ20&gt;INDEX('Methodology &amp; Sources'!$B$405:$J$412,0,7))*($AZ20-INDEX('Methodology &amp; Sources'!$B$405:$J$412,0,7))*INDEX('Methodology &amp; Sources'!$B$405:$J$412,0,7+2)),IF(Inputs!$C$77="D",SUMPRODUCT(($AZ20&gt;INDEX('Methodology &amp; Sources'!$B$417:$J$429,0,1))*($AZ20-INDEX('Methodology &amp; Sources'!$B$417:$J$429,0,1))*INDEX('Methodology &amp; Sources'!$B$417:$J$429,0,1+2)),IF(Inputs!$C$77="E",SUMPRODUCT(($AZ20&gt;INDEX('Methodology &amp; Sources'!$B$417:$J$429,0,4))*($AZ20-INDEX('Methodology &amp; Sources'!$B$417:$J$429,0,4))*INDEX('Methodology &amp; Sources'!$B$417:$J$429,0,4+2)),SUMPRODUCT(($AZ20&gt;INDEX('Methodology &amp; Sources'!$B$405:$J$412,0,1))*($AZ20-INDEX('Methodology &amp; Sources'!$B$405:$J$412,0,1))*INDEX('Methodology &amp; Sources'!$B$405:$J$412,0,1+2)))))),IF($AN20="NY",IF($AU20="Married",IF($AZ20&gt;=2155350,$AZ20*IF($AZ20&gt;25000000,0.117,IF($AZ20&gt;5000000,0.111,0.1045)),SUMPRODUCT(($AZ20&gt;INDEX('Methodology &amp; Sources'!$B$434:$J$448,0,1))*($AZ20-INDEX('Methodology &amp; Sources'!$B$434:$J$448,0,1))*INDEX('Methodology &amp; Sources'!$B$434:$J$448,0,1+2))),IF($AZ20&gt;=1077550,$AZ20*IF($AZ20&gt;25000000,0.117,IF($AZ20&gt;5000000,0.111,0.1045)),SUMPRODUCT(($AZ20&gt;INDEX('Methodology &amp; Sources'!$B$417:$J$429,0,7))*($AZ20-INDEX('Methodology &amp; Sources'!$B$417:$J$429,0,7))*INDEX('Methodology &amp; Sources'!$B$417:$J$429,0,7+2)))),"")))))))</f>
      </c>
      <c r="BX20" s="7">
        <f>IF($B20="","",IF($AN20="AL",IF(OR($AU20="Married",$AU20="Head of household"),SUMPRODUCT(($AZ20&gt;INDEX('Methodology &amp; Sources'!$B$332:$J$336,0,4))*($AZ20-INDEX('Methodology &amp; Sources'!$B$332:$J$336,0,4))*INDEX('Methodology &amp; Sources'!$B$332:$J$336,0,4+2)),SUMPRODUCT(($AZ20&gt;INDEX('Methodology &amp; Sources'!$B$332:$J$336,0,1))*($AZ20-INDEX('Methodology &amp; Sources'!$B$332:$J$336,0,1))*INDEX('Methodology &amp; Sources'!$B$332:$J$336,0,1+2))),IF($AN20="KS",IF($AU20="Married",SUMPRODUCT(($AZ20&gt;INDEX('Methodology &amp; Sources'!$B$353:$J$359,0,4))*($AZ20-INDEX('Methodology &amp; Sources'!$B$353:$J$359,0,4))*INDEX('Methodology &amp; Sources'!$B$353:$J$359,0,4+2)),SUMPRODUCT(($AZ20&gt;INDEX('Methodology &amp; Sources'!$B$353:$J$359,0,1))*($AZ20-INDEX('Methodology &amp; Sources'!$B$353:$J$359,0,1))*INDEX('Methodology &amp; Sources'!$B$353:$J$359,0,1+2))),IF($AN20="MN",IF($AU20="Married",SUMPRODUCT(($AZ20&gt;INDEX('Methodology &amp; Sources'!$B$364:$J$370,0,7))*($AZ20-INDEX('Methodology &amp; Sources'!$B$364:$J$370,0,7))*INDEX('Methodology &amp; Sources'!$B$364:$J$370,0,7+2)),SUMPRODUCT(($AZ20&gt;INDEX('Methodology &amp; Sources'!$B$364:$J$370,0,4))*($AZ20-INDEX('Methodology &amp; Sources'!$B$364:$J$370,0,4))*INDEX('Methodology &amp; Sources'!$B$364:$J$370,0,4+2))),IF($AN20="NE",MAX(IF($AU20="Married",SUMPRODUCT(($AZ20&gt;INDEX('Methodology &amp; Sources'!$B$394:$J$400,0,7))*($AZ20-INDEX('Methodology &amp; Sources'!$B$394:$J$400,0,7))*INDEX('Methodology &amp; Sources'!$B$394:$J$400,0,7+2)),SUMPRODUCT(($AZ20&gt;INDEX('Methodology &amp; Sources'!$B$394:$J$400,0,4))*($AZ20-INDEX('Methodology &amp; Sources'!$B$394:$J$400,0,4))*INDEX('Methodology &amp; Sources'!$B$394:$J$400,0,4+2))),0.015*$AZ20),IF($AN20="OH",IF($B20&gt;=DATE(2026,8,1),SUMPRODUCT(($AZ20&gt;INDEX('Methodology &amp; Sources'!$B$453:$J$456,0,1))*($AZ20-INDEX('Methodology &amp; Sources'!$B$453:$J$456,0,1))*INDEX('Methodology &amp; Sources'!$B$453:$J$456,0,1+2)),SUMPRODUCT(($AZ20&gt;INDEX('Methodology &amp; Sources'!$B$434:$J$448,0,7))*($AZ20-INDEX('Methodology &amp; Sources'!$B$434:$J$448,0,7))*INDEX('Methodology &amp; Sources'!$B$434:$J$448,0,7+2))),IF($AN20="OK",IF($AU20="Married",SUMPRODUCT(($AZ20&gt;INDEX('Methodology &amp; Sources'!$B$453:$J$456,0,7))*($AZ20-INDEX('Methodology &amp; Sources'!$B$453:$J$456,0,7))*INDEX('Methodology &amp; Sources'!$B$453:$J$456,0,7+2)),SUMPRODUCT(($AZ20&gt;INDEX('Methodology &amp; Sources'!$B$453:$J$456,0,4))*($AZ20-INDEX('Methodology &amp; Sources'!$B$453:$J$456,0,4))*INDEX('Methodology &amp; Sources'!$B$453:$J$456,0,4+2))),IF($AN20="RI",SUMPRODUCT(($AZ20&gt;INDEX('Methodology &amp; Sources'!$B$461:$J$464,0,7))*($AZ20-INDEX('Methodology &amp; Sources'!$B$461:$J$464,0,7))*INDEX('Methodology &amp; Sources'!$B$461:$J$464,0,7+2)),IF($AN20="VT",IF($AU20="Married",SUMPRODUCT(($AZ20&gt;INDEX('Methodology &amp; Sources'!$B$478:$J$482,0,1))*($AZ20-INDEX('Methodology &amp; Sources'!$B$478:$J$482,0,1))*INDEX('Methodology &amp; Sources'!$B$478:$J$482,0,1+2)),SUMPRODUCT(($AZ20&gt;INDEX('Methodology &amp; Sources'!$B$469:$J$473,0,7))*($AZ20-INDEX('Methodology &amp; Sources'!$B$469:$J$473,0,7))*INDEX('Methodology &amp; Sources'!$B$469:$J$473,0,7+2))),IF($AN20="WV",IF($AU20="Married",SUMPRODUCT(($AZ20&gt;INDEX('Methodology &amp; Sources'!$B$487:$J$491,0,7))*($AZ20-INDEX('Methodology &amp; Sources'!$B$487:$J$491,0,7))*INDEX('Methodology &amp; Sources'!$B$487:$J$491,0,7+2)),SUMPRODUCT(($AZ20&gt;INDEX('Methodology &amp; Sources'!$B$478:$J$482,0,7))*($AZ20-INDEX('Methodology &amp; Sources'!$B$478:$J$482,0,7))*INDEX('Methodology &amp; Sources'!$B$478:$J$482,0,7+2))),""))))))))))</f>
      </c>
      <c r="BY20" s="7">
        <f>IF($B20="","",IF($AN20="AR",SUMPRODUCT(($AZ20&gt;INDEX('Methodology &amp; Sources'!$B$332:$J$336,0,7))*($AZ20-INDEX('Methodology &amp; Sources'!$B$332:$J$336,0,7))*INDEX('Methodology &amp; Sources'!$B$332:$J$336,0,7+2)),IF($AN20="DE",SUMPRODUCT(($AZ20&gt;INDEX('Methodology &amp; Sources'!$B$341:$J$348,0,1))*($AZ20-INDEX('Methodology &amp; Sources'!$B$341:$J$348,0,1))*INDEX('Methodology &amp; Sources'!$B$341:$J$348,0,1+2)),IF($AN20="HI",IF($AU20="Married",SUMPRODUCT(($AZ20&gt;INDEX('Methodology &amp; Sources'!$B$341:$J$348,0,7))*($AZ20-INDEX('Methodology &amp; Sources'!$B$341:$J$348,0,7))*INDEX('Methodology &amp; Sources'!$B$341:$J$348,0,7+2)),SUMPRODUCT(($AZ20&gt;INDEX('Methodology &amp; Sources'!$B$341:$J$348,0,4))*($AZ20-INDEX('Methodology &amp; Sources'!$B$341:$J$348,0,4))*INDEX('Methodology &amp; Sources'!$B$341:$J$348,0,4+2))),IF($AN20="SC",SUMPRODUCT(($AZ20&gt;INDEX('Methodology &amp; Sources'!$B$469:$J$473,0,1))*($AZ20-INDEX('Methodology &amp; Sources'!$B$469:$J$473,0,1))*INDEX('Methodology &amp; Sources'!$B$469:$J$473,0,1+2)),IF($AN20="VA",SUMPRODUCT(($AZ20&gt;INDEX('Methodology &amp; Sources'!$B$469:$J$473,0,4))*($AZ20-INDEX('Methodology &amp; Sources'!$B$469:$J$473,0,4))*INDEX('Methodology &amp; Sources'!$B$469:$J$473,0,4+2)),IF($AN20="WI",SUMPRODUCT(($AZ20&gt;INDEX('Methodology &amp; Sources'!$B$478:$J$482,0,4))*($AZ20-INDEX('Methodology &amp; Sources'!$B$478:$J$482,0,4))*INDEX('Methodology &amp; Sources'!$B$478:$J$482,0,4+2)),"")))))))</f>
      </c>
      <c r="BZ20" s="24">
        <f>IF($B20="","",IF($AN20="NJ",IF(Inputs!$C$77="B",SUMPRODUCT(($AZ20&gt;=INDEX('Methodology &amp; Sources'!$B$405:$J$412,0,4))*INDEX('Methodology &amp; Sources'!$B$405:$J$412,0,4+2)),IF(Inputs!$C$77="C",SUMPRODUCT(($AZ20&gt;=INDEX('Methodology &amp; Sources'!$B$405:$J$412,0,7))*INDEX('Methodology &amp; Sources'!$B$405:$J$412,0,7+2)),IF(Inputs!$C$77="D",SUMPRODUCT(($AZ20&gt;=INDEX('Methodology &amp; Sources'!$B$417:$J$429,0,1))*INDEX('Methodology &amp; Sources'!$B$417:$J$429,0,1+2)),IF(Inputs!$C$77="E",SUMPRODUCT(($AZ20&gt;=INDEX('Methodology &amp; Sources'!$B$417:$J$429,0,4))*INDEX('Methodology &amp; Sources'!$B$417:$J$429,0,4+2)),SUMPRODUCT(($AZ20&gt;=INDEX('Methodology &amp; Sources'!$B$405:$J$412,0,1))*INDEX('Methodology &amp; Sources'!$B$405:$J$412,0,1+2)))))),IF($AN20="OR",IF(OR($AU20="Married",AND($AU20="Single",$AS20&gt;=3)),SUMPRODUCT((MAX(0,$AY20-MIN(($P20-'Methodology &amp; Sources'!$C$260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Sources'!$B$461:$J$464,0,4))*INDEX('Methodology &amp; Sources'!$B$461:$J$464,0,4+2)),SUMPRODUCT((MAX(0,$AY20-MIN(($P20-'Methodology &amp; Sources'!$C$260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Sources'!$B$461:$J$464,0,1))*INDEX('Methodology &amp; Sources'!$B$461:$J$464,0,1+2)))*IF(($P20-'Methodology &amp; Sources'!$C$260*$D20)*Inputs!$C$8&gt;=IF(OR($AU20="Married",AND($AU20="Single",$AS20&gt;=3)),IF($AY20&lt;250000,8750,IF($AY20&lt;260000,7000,IF($AY20&lt;270000,5250,IF($AY20&lt;280000,3500,IF($AY20&lt;290000,1750,0))))),IF($AY20&lt;125000,8750,IF($AY20&lt;130000,7000,IF($AY20&lt;135000,5250,IF($AY20&lt;140000,3500,IF($AY20&lt;145000,1750,0)))))),1,1-IF(Inputs!$C$13,SUMPRODUCT(($AH20&gt;=INDEX('Methodology &amp; Sources'!$B$279:$J$286,0,IF(Inputs!$C$12="MFJ",1,IF(Inputs!$C$12="HoH",7,4))))*INDEX('Methodology &amp; Sources'!$B$279:$J$286,0,IF(Inputs!$C$12="MFJ",1,IF(Inputs!$C$12="HoH",7,4))+2)),SUMPRODUCT(($AH20&gt;=INDEX('Methodology &amp; Sources'!$B$269:$J$276,0,IF(Inputs!$C$12="MFJ",1,IF(Inputs!$C$12="HoH",7,4))))*INDEX('Methodology &amp; Sources'!$B$269:$J$276,0,IF(Inputs!$C$12="MFJ",1,IF(Inputs!$C$12="HoH",7,4))+2)))),IF($AN20="MI",IF($AY20&gt;5900*$AS20,0.0425,0),""))))</f>
      </c>
      <c r="CA20" s="24">
        <f>IF($B20="","",IF($AN20="AL",IF(OR($AU20="Married",$AU20="Head of household"),SUMPRODUCT(($AZ20&gt;=INDEX('Methodology &amp; Sources'!$B$332:$J$336,0,4))*INDEX('Methodology &amp; Sources'!$B$332:$J$336,0,4+2)),SUMPRODUCT(($AZ20&gt;=INDEX('Methodology &amp; Sources'!$B$332:$J$336,0,1))*INDEX('Methodology &amp; Sources'!$B$332:$J$336,0,1+2)))*(1-IF(Inputs!$C$13,SUMPRODUCT(($AH20&gt;=INDEX('Methodology &amp; Sources'!$B$279:$J$286,0,IF(Inputs!$C$12="MFJ",1,IF(Inputs!$C$12="HoH",7,4))))*INDEX('Methodology &amp; Sources'!$B$279:$J$286,0,IF(Inputs!$C$12="MFJ",1,IF(Inputs!$C$12="HoH",7,4))+2)),SUMPRODUCT(($AH20&gt;=INDEX('Methodology &amp; Sources'!$B$269:$J$276,0,IF(Inputs!$C$12="MFJ",1,IF(Inputs!$C$12="HoH",7,4))))*INDEX('Methodology &amp; Sources'!$B$269:$J$276,0,IF(Inputs!$C$12="MFJ",1,IF(Inputs!$C$12="HoH",7,4))+2)))),IF($AN20="KS",IF($AU20="Married",SUMPRODUCT(($AZ20&gt;=INDEX('Methodology &amp; Sources'!$B$353:$J$359,0,4))*INDEX('Methodology &amp; Sources'!$B$353:$J$359,0,4+2)),SUMPRODUCT(($AZ20&gt;=INDEX('Methodology &amp; Sources'!$B$353:$J$359,0,1))*INDEX('Methodology &amp; Sources'!$B$353:$J$359,0,1+2))),IF($AN20="MD",IF(OR($AU20="Married",$AU20="Head of household"),SUMPRODUCT(($AZ20&gt;=INDEX('Methodology &amp; Sources'!$B$364:$J$370,0,1))*INDEX('Methodology &amp; Sources'!$B$364:$J$370,0,1+2)),SUMPRODUCT(($AZ20&gt;=INDEX('Methodology &amp; Sources'!$B$353:$J$359,0,7))*INDEX('Methodology &amp; Sources'!$B$353:$J$359,0,7+2)))+Inputs!$C$74,IF($AN20="MT",IF($AU20="Head of household",SUMPRODUCT(($AZ20&gt;=INDEX('Methodology &amp; Sources'!$B$387:$J$389,0,1))*INDEX('Methodology &amp; Sources'!$B$387:$J$389,0,1+2)),IF($AU20="Married",SUMPRODUCT(($AZ20&gt;=INDEX('Methodology &amp; Sources'!$B$375:$J$382,0,7))*INDEX('Methodology &amp; Sources'!$B$375:$J$382,0,7+2)),SUMPRODUCT(($AZ20&gt;=INDEX('Methodology &amp; Sources'!$B$375:$J$382,0,4))*INDEX('Methodology &amp; Sources'!$B$375:$J$382,0,4+2)))),IF($AN20="ND",IF($AU20="Head of household",SUMPRODUCT(($AZ20&gt;=INDEX('Methodology &amp; Sources'!$B$394:$J$400,0,1))*INDEX('Methodology &amp; Sources'!$B$394:$J$400,0,1+2)),IF($AU20="Married",SUMPRODUCT(($AZ20&gt;=INDEX('Methodology &amp; Sources'!$B$387:$J$389,0,7))*INDEX('Methodology &amp; Sources'!$B$387:$J$389,0,7+2)),SUMPRODUCT(($AZ20&gt;=INDEX('Methodology &amp; Sources'!$B$387:$J$389,0,4))*INDEX('Methodology &amp; Sources'!$B$387:$J$389,0,4+2)))),IF($AN20="NY",IF($AU20="Married",IF($AZ20&gt;=2155350,IF($AZ20&gt;25000000,0.117,IF($AZ20&gt;5000000,0.111,0.1045)),SUMPRODUCT(($AZ20&gt;=INDEX('Methodology &amp; Sources'!$B$434:$J$448,0,1))*INDEX('Methodology &amp; Sources'!$B$434:$J$448,0,1+2))),IF($AZ20&gt;=1077550,IF($AZ20&gt;25000000,0.117,IF($AZ20&gt;5000000,0.111,0.1045)),SUMPRODUCT(($AZ20&gt;=INDEX('Methodology &amp; Sources'!$B$417:$J$429,0,7))*INDEX('Methodology &amp; Sources'!$B$417:$J$429,0,7+2)))),"")))))))</f>
      </c>
      <c r="CB20" s="24">
        <f>IF($B20="","",IF($AN20="CA",SUMPRODUCT(($AJ20&gt;=INDEX('Methodology &amp; Sources'!$B$289:$J$298,0,IF($AU20="Married",4,IF($AU20="Head of household",7,1))))*INDEX('Methodology &amp; Sources'!$B$289:$J$298,0,IF($AU20="Married",4,IF($AU20="Head of household",7,1))+2)),IF($AN20="HI",IF($AU20="Married",SUMPRODUCT(($AZ20&gt;=INDEX('Methodology &amp; Sources'!$B$341:$J$348,0,7))*INDEX('Methodology &amp; Sources'!$B$341:$J$348,0,7+2)),SUMPRODUCT(($AZ20&gt;=INDEX('Methodology &amp; Sources'!$B$341:$J$348,0,4))*INDEX('Methodology &amp; Sources'!$B$341:$J$348,0,4+2))),IF($AN20="MN",IF($AU20="Married",SUMPRODUCT(($AZ20&gt;=INDEX('Methodology &amp; Sources'!$B$364:$J$370,0,7))*INDEX('Methodology &amp; Sources'!$B$364:$J$370,0,7+2)),SUMPRODUCT(($AZ20&gt;=INDEX('Methodology &amp; Sources'!$B$364:$J$370,0,4))*INDEX('Methodology &amp; Sources'!$B$364:$J$370,0,4+2))),IF($AN20="MO",SUMPRODUCT(($AZ20&gt;=INDEX('Methodology &amp; Sources'!$B$375:$J$382,0,1))*INDEX('Methodology &amp; Sources'!$B$375:$J$382,0,1+2)),IF($AN20="NE",MAX(IF($AU20="Married",SUMPRODUCT(($AZ20&gt;=INDEX('Methodology &amp; Sources'!$B$394:$J$400,0,7))*INDEX('Methodology &amp; Sources'!$B$394:$J$400,0,7+2)),SUMPRODUCT(($AZ20&gt;=INDEX('Methodology &amp; Sources'!$B$394:$J$400,0,4))*INDEX('Methodology &amp; Sources'!$B$394:$J$400,0,4+2))),0.015),IF($AN20="OH",IF($B20&gt;=DATE(2026,8,1),SUMPRODUCT(($AZ20&gt;=INDEX('Methodology &amp; Sources'!$B$453:$J$456,0,1))*INDEX('Methodology &amp; Sources'!$B$453:$J$456,0,1+2)),SUMPRODUCT(($AZ20&gt;=INDEX('Methodology &amp; Sources'!$B$434:$J$448,0,7))*INDEX('Methodology &amp; Sources'!$B$434:$J$448,0,7+2))),IF($AN20="OK",IF($AU20="Married",SUMPRODUCT(($AZ20&gt;=INDEX('Methodology &amp; Sources'!$B$453:$J$456,0,7))*INDEX('Methodology &amp; Sources'!$B$453:$J$456,0,7+2)),SUMPRODUCT(($AZ20&gt;=INDEX('Methodology &amp; Sources'!$B$453:$J$456,0,4))*INDEX('Methodology &amp; Sources'!$B$453:$J$456,0,4+2))),IF($AN20="RI",SUMPRODUCT(($AZ20&gt;=INDEX('Methodology &amp; Sources'!$B$461:$J$464,0,7))*INDEX('Methodology &amp; Sources'!$B$461:$J$464,0,7+2)),IF($AN20="SC",SUMPRODUCT(($AZ20&gt;=INDEX('Methodology &amp; Sources'!$B$469:$J$473,0,1))*INDEX('Methodology &amp; Sources'!$B$469:$J$473,0,1+2)),IF($AN20="VT",IF($AU20="Married",SUMPRODUCT(($AZ20&gt;=INDEX('Methodology &amp; Sources'!$B$478:$J$482,0,1))*INDEX('Methodology &amp; Sources'!$B$478:$J$482,0,1+2)),SUMPRODUCT(($AZ20&gt;=INDEX('Methodology &amp; Sources'!$B$469:$J$473,0,7))*INDEX('Methodology &amp; Sources'!$B$469:$J$473,0,7+2))),IF($AN20="WV",IF($AU20="Married",SUMPRODUCT(($AZ20&gt;=INDEX('Methodology &amp; Sources'!$B$487:$J$491,0,7))*INDEX('Methodology &amp; Sources'!$B$487:$J$491,0,7+2)),SUMPRODUCT(($AZ20&gt;=INDEX('Methodology &amp; Sources'!$B$478:$J$482,0,7))*INDEX('Methodology &amp; Sources'!$B$478:$J$482,0,7+2))),IF($AN20="IN",(0.0295+Inputs!$C$76),"")))))))))))))</f>
      </c>
      <c r="CC20" s="24">
        <f>IF($B20="","",IF($AN20="AR",SUMPRODUCT(($AZ20&gt;=INDEX('Methodology &amp; Sources'!$B$332:$J$336,0,7))*INDEX('Methodology &amp; Sources'!$B$332:$J$336,0,7+2)),IF($AN20="DE",SUMPRODUCT(($AZ20&gt;=INDEX('Methodology &amp; Sources'!$B$341:$J$348,0,1))*INDEX('Methodology &amp; Sources'!$B$341:$J$348,0,1+2)),IF($AN20="VA",SUMPRODUCT(($AZ20&gt;=INDEX('Methodology &amp; Sources'!$B$469:$J$473,0,4))*INDEX('Methodology &amp; Sources'!$B$469:$J$473,0,4+2)),IF($AN20="WI",SUMPRODUCT(($AZ20&gt;=INDEX('Methodology &amp; Sources'!$B$478:$J$482,0,4))*INDEX('Methodology &amp; Sources'!$B$478:$J$482,0,4+2)),IF($AN20="AZ",Inputs!$C$82,IF($AN20="CO",IF($AY20&gt;IF($AU20="Married",10000,5000),0.044,0),IF($AN20="IA",IF($AY20&gt;IF($AU20="Head of household",19500,IF($AU20="Married",26000,13000)),0.038,0),IF($AN20="ID",IF($AY20&gt;IF($AU20="Married",32000,16094),0.053,0),IF($AN20="IL",IF($AY20&gt;(2925*$AS20+1000*$AT20),0.0495,0),IF($AN20="KY",IF($AI20&gt;3360,0.035,0),IF($AN20="LA",0.0309,IF($AN20="MA",IF(MAX(0,$AY20-MIN(($BD19+$Q20+$R20+$S20),2000)-IF($AS20=0,0,IF($AS20=1,4400,1000*$AS20+3400)))&gt;=1107750,0.09,0.05),IF($AN20="MS",IF($AI20-IF($AU20="Head of household",3400,IF($AU20="Married",4600,2300))-Inputs!$C$85&gt;10000,0.04,0),IF($AN20="PA",0.0307,"")))))))))))))))</f>
      </c>
      <c r="CD20" s="21">
        <f>IF(YEAR(IF(Inputs!$C$7="Weekly",Inputs!$C$9+7*(($BE19+1)-1),IF(Inputs!$C$7="Biweekly",Inputs!$C$9+14*(($BE19+1)-1),IF(Inputs!$C$7="Semimonthly",DATE(YEAR(Inputs!$C$9),MONTH(Inputs!$C$9)+INT((($BE19+1)-1)/2),MIN(DAY(Inputs!$C$9),DAY(EOMONTH(DATE(YEAR(Inputs!$C$9),MONTH(Inputs!$C$9)+INT((($BE19+1)-1)/2),1),0))))+IF(MOD(($BE19+1)-1,2)=1,15,0),EDATE(Inputs!$C$9,($BE19+1)-1)))))&lt;&gt;2026,"",IF(Inputs!$C$7="Weekly",Inputs!$C$9+7*(($BE19+1)-1),IF(Inputs!$C$7="Biweekly",Inputs!$C$9+14*(($BE19+1)-1),IF(Inputs!$C$7="Semimonthly",DATE(YEAR(Inputs!$C$9),MONTH(Inputs!$C$9)+INT((($BE19+1)-1)/2),MIN(DAY(Inputs!$C$9),DAY(EOMONTH(DATE(YEAR(Inputs!$C$9),MONTH(Inputs!$C$9)+INT((($BE19+1)-1)/2),1),0))))+IF(MOD(($BE19+1)-1,2)=1,15,0),EDATE(Inputs!$C$9,($BE19+1)-1)))))</f>
      </c>
      <c r="CE20" s="21">
        <f>IF(SUMPRODUCT(MIN(IF((Inputs!$C$58:$C$67&gt;MAX($B$6:$B19))*(Inputs!$C$58:$C$67&gt;=DATE(2026,1,1))*(Inputs!$C$58:$C$67&lt;=DATE(2026,12,31)),Inputs!$C$58:$C$67,999999)))=999999,"",SUMPRODUCT(MIN(IF((Inputs!$C$58:$C$67&gt;MAX($B$6:$B19))*(Inputs!$C$58:$C$67&gt;=DATE(2026,1,1))*(Inputs!$C$58:$C$67&lt;=DATE(2026,12,31)),Inputs!$C$58:$C$67,999999))))</f>
      </c>
    </row>
    <row r="21">
      <c r="A21" t="n">
        <v>16</v>
      </c>
      <c r="B21" s="21">
        <f>IF(AND($CD21="",$CE21=""),"",IF($CE21="",$CD21,IF($CD21="",$CE21,MIN($CD21,$CE21))))</f>
      </c>
      <c r="C21" s="7">
        <f>IF($B21="","",IF($BF21=0,0,IF(Inputs!$C$4="Annual salary",ROUND($AK21/IF(AND(Inputs!$C$88="Actual paydays",MONTH(Inputs!$C$9)=1),MAX(1,MAX($BE$6:$BE$68)),Inputs!$C$8),2),$AK21)))</f>
      </c>
      <c r="D21" s="7">
        <f>IF($B21="","",SUMIF(Inputs!$C$58:$C$67,$B21,Inputs!$D$58:$D$67))</f>
      </c>
      <c r="E21" s="7">
        <f>IF($B21="","",ROUND(MAX(0,MIN(IF($AL21="Percent",$AM21*($C21+$D21),$AM21),MAX(0,Inputs!$C$91-$AC20))),2))</f>
      </c>
      <c r="F21" s="7">
        <f>IF($B21="","",ROUND(MAX(0,MIN(IF(Inputs!$C$32="Percent",Inputs!$D$32*($C21+$D21),Inputs!$D$32),MAX(0,Inputs!$C$91-$AC20-$E21))),2))</f>
      </c>
      <c r="G21" s="7">
        <f>IF($B21="","",IF($BF21=0,0,ROUND(MAX(0,MIN($BL21,Inputs!$C$92-Inputs!$C$54-$BI20)),2)))</f>
      </c>
      <c r="H21" s="7">
        <f>IF($B21="","",IF(OR($BF21=0,$BQ21=1),0,ROUND(MAX(0,MIN(IF($BS21=1,ROUND(MAX(0,MIN($BJ21,'Methodology &amp; Sources'!$C$263)-$BG20)/MAX(1,MAX($BE$6:$BE$68)-($BE20)),2),ROUND(MIN($BJ21,'Methodology &amp; Sources'!$C$263)/Inputs!$C$8,2)),MIN($BJ21,'Methodology &amp; Sources'!$C$263)-$BG20)),2)))</f>
      </c>
      <c r="I21" s="7">
        <f>IF($B21="","",IF(OR($BF21=0,$BR21=1),0,ROUND(MAX(0,MIN(IF($BT21=1,ROUND(MAX(0,MIN($BK21,IF(Inputs!$C$12="MFJ",'Methodology &amp; Sources'!$C$264,'Methodology &amp; Sources'!$C$265))-$BH20)/MAX(1,MAX($BE$6:$BE$68)-($BE20)),2),ROUND(MIN($BK21,IF(Inputs!$C$12="MFJ",'Methodology &amp; Sources'!$C$264,'Methodology &amp; Sources'!$C$265))/Inputs!$C$8,2)),MIN($BK21,IF(Inputs!$C$12="MFJ",'Methodology &amp; Sources'!$C$264,'Methodology &amp; Sources'!$C$265))-$BH20)),2)))</f>
      </c>
      <c r="J21" s="7">
        <f>IF($B21="","",IF($BF21=0,0,$BM21))</f>
      </c>
      <c r="K21" s="7">
        <f>IF($B21="","",IF($BF21=0,0,$BN21+$BO21))</f>
      </c>
      <c r="L21" s="7">
        <f>IF($B21="","",IF($BF21=0,0,Inputs!$D$46))</f>
      </c>
      <c r="M21" s="7">
        <f>IF($B21="","",$C21+$D21+$L21-$E21-$G21-$H21-$I21-$J21-$K21)</f>
      </c>
      <c r="N21" s="7">
        <f>IF($B21="","",$C21+$D21+$L21-$G21-$H21-$I21-$J21-$K21)</f>
      </c>
      <c r="O21" s="7">
        <f>IF($B21="","",$C21+$D21+$L21-$E21-$H21-$I21-$J21-$K21-IF(OR($AN21="CA",$AN21="NJ"),0,$G21))</f>
      </c>
      <c r="P21" s="7">
        <f>IF($B21="","",IF(Inputs!$C$18,0,ROUND(MAX(0,IF(Inputs!$C$13,SUMPRODUCT(($AH21&gt;INDEX('Methodology &amp; Sources'!$B$279:$J$286,0,IF(Inputs!$C$12="MFJ",1,IF(Inputs!$C$12="HoH",7,4))))*($AH21-INDEX('Methodology &amp; Sources'!$B$279:$J$286,0,IF(Inputs!$C$12="MFJ",1,IF(Inputs!$C$12="HoH",7,4))))*INDEX('Methodology &amp; Sources'!$B$279:$J$286,0,IF(Inputs!$C$12="MFJ",1,IF(Inputs!$C$12="HoH",7,4))+2)),SUMPRODUCT(($AH21&gt;INDEX('Methodology &amp; Sources'!$B$269:$J$276,0,IF(Inputs!$C$12="MFJ",1,IF(Inputs!$C$12="HoH",7,4))))*($AH21-INDEX('Methodology &amp; Sources'!$B$269:$J$276,0,IF(Inputs!$C$12="MFJ",1,IF(Inputs!$C$12="HoH",7,4))))*INDEX('Methodology &amp; Sources'!$B$269:$J$276,0,IF(Inputs!$C$12="MFJ",1,IF(Inputs!$C$12="HoH",7,4))+2)))/Inputs!$C$8-$AO21/Inputs!$C$8)+$AR21+IF(Inputs!$C$89="Aggregate",MAX(0,IF(Inputs!$C$13,SUMPRODUCT((($AH21+$D21)&gt;INDEX('Methodology &amp; Sources'!$B$279:$J$286,0,IF(Inputs!$C$12="MFJ",1,IF(Inputs!$C$12="HoH",7,4))))*(($AH21+$D21)-INDEX('Methodology &amp; Sources'!$B$279:$J$286,0,IF(Inputs!$C$12="MFJ",1,IF(Inputs!$C$12="HoH",7,4))))*INDEX('Methodology &amp; Sources'!$B$279:$J$286,0,IF(Inputs!$C$12="MFJ",1,IF(Inputs!$C$12="HoH",7,4))+2)),SUMPRODUCT((($AH21+$D21)&gt;INDEX('Methodology &amp; Sources'!$B$269:$J$276,0,IF(Inputs!$C$12="MFJ",1,IF(Inputs!$C$12="HoH",7,4))))*(($AH21+$D21)-INDEX('Methodology &amp; Sources'!$B$269:$J$276,0,IF(Inputs!$C$12="MFJ",1,IF(Inputs!$C$12="HoH",7,4))))*INDEX('Methodology &amp; Sources'!$B$269:$J$276,0,IF(Inputs!$C$12="MFJ",1,IF(Inputs!$C$12="HoH",7,4))+2)))-IF(Inputs!$C$13,SUMPRODUCT(($AH21&gt;INDEX('Methodology &amp; Sources'!$B$279:$J$286,0,IF(Inputs!$C$12="MFJ",1,IF(Inputs!$C$12="HoH",7,4))))*($AH21-INDEX('Methodology &amp; Sources'!$B$279:$J$286,0,IF(Inputs!$C$12="MFJ",1,IF(Inputs!$C$12="HoH",7,4))))*INDEX('Methodology &amp; Sources'!$B$279:$J$286,0,IF(Inputs!$C$12="MFJ",1,IF(Inputs!$C$12="HoH",7,4))+2)),SUMPRODUCT(($AH21&gt;INDEX('Methodology &amp; Sources'!$B$269:$J$276,0,IF(Inputs!$C$12="MFJ",1,IF(Inputs!$C$12="HoH",7,4))))*($AH21-INDEX('Methodology &amp; Sources'!$B$269:$J$276,0,IF(Inputs!$C$12="MFJ",1,IF(Inputs!$C$12="HoH",7,4))))*INDEX('Methodology &amp; Sources'!$B$269:$J$276,0,IF(Inputs!$C$12="MFJ",1,IF(Inputs!$C$12="HoH",7,4))+2)))),'Methodology &amp; Sources'!$C$260*$D21),2)))</f>
      </c>
      <c r="Q21" s="7">
        <f>IF($B21="","",ROUND('Methodology &amp; Sources'!$C$254*MIN($N21,MAX(0,'Methodology &amp; Sources'!$C$253-($AX21+$AB20-$AW21))),2))</f>
      </c>
      <c r="R21" s="7">
        <f>IF($B21="","",ROUND('Methodology &amp; Sources'!$C$255*$N21,2))</f>
      </c>
      <c r="S21" s="7">
        <f>IF($B21="","",ROUND('Methodology &amp; Sources'!$C$256*MAX(0,MIN($N21,$AG20+$N21-'Methodology &amp; Sources'!$C$257)),2))</f>
      </c>
      <c r="T21" s="7">
        <f>IF($B21="","",IF(Inputs!$C$26,0,IF($AN21="CA",ROUND(IF($AI21&lt;=IF(($AS21+$AT21)&gt;=2,VLOOKUP($AN21,'StateTables 2026'!$A$6:$AB$56,10,FALSE),VLOOKUP($AN21,'StateTables 2026'!$A$6:$AB$56,9,FALSE)),0,MAX(0,SUMPRODUCT(($AJ21&gt;INDEX('Methodology &amp; Sources'!$B$289:$J$298,0,IF($AU21="Married",4,IF($AU21="Head of household",7,1))))*($AJ21-INDEX('Methodology &amp; Sources'!$B$289:$J$298,0,IF($AU21="Married",4,IF($AU21="Head of household",7,1))))*INDEX('Methodology &amp; Sources'!$B$289:$J$298,0,IF($AU21="Married",4,IF($AU21="Head of household",7,1))+2))-VLOOKUP($AN21,'StateTables 2026'!$A$6:$AB$56,11,FALSE)*$AS21)/Inputs!$C$8)+Inputs!$C$25+VLOOKUP($AN21,'StateTables 2026'!$A$6:$AB$56,13,FALSE)*$D21,2),IF(VLOOKUP($AN21,'StateTables 2026'!$A$6:$AB$56,4,FALSE)="None",0,IF(ISNUMBER(SEARCH("MANUAL",VLOOKUP($AN21,'StateTables 2026'!$A$6:$AB$56,5,FALSE))),Inputs!$C$28,ROUND(MAX(0,$BA21+$BB21)/Inputs!$C$8+Inputs!$C$25+$BC21,2))))))</f>
      </c>
      <c r="U21" s="7">
        <f>IF($B21="","",IF(VLOOKUP($AN21,'StateTables 2026'!$A$6:$AB$56,24,FALSE)="flatq",IF(OR(MONTH($B21)=1,MONTH($B21)=4,MONTH($B21)=7,MONTH($B21)=10),VLOOKUP($AN21,'StateTables 2026'!$A$6:$AB$56,25,FALSE),0),IF(VLOOKUP($AN21,'StateTables 2026'!$A$6:$AB$56,24,FALSE)="dbl",MIN(ROUND(0.005*$N21,2),ROUND(0.6*52/Inputs!$C$8,2)),IF(OR(VLOOKUP($AN21,'StateTables 2026'!$A$6:$AB$56,15,FALSE)="",VLOOKUP($AN21,'StateTables 2026'!$A$6:$AB$56,15,FALSE)=0),0,ROUND(VLOOKUP($AN21,'StateTables 2026'!$A$6:$AB$56,15,FALSE)*IF(OR(VLOOKUP($AN21,'StateTables 2026'!$A$6:$AB$56,16,FALSE)="",VLOOKUP($AN21,'StateTables 2026'!$A$6:$AB$56,16,FALSE)=0),$N21,MIN($N21,MAX(0,VLOOKUP($AN21,'StateTables 2026'!$A$6:$AB$56,16,FALSE)-($AX21+$AB20-$AW21)))),2))))+IF(VLOOKUP($AN21,'StateTables 2026'!$A$6:$AB$56,27,FALSE)="flatq",IF(OR(MONTH($B21)=1,MONTH($B21)=4,MONTH($B21)=7,MONTH($B21)=10),VLOOKUP($AN21,'StateTables 2026'!$A$6:$AB$56,28,FALSE),0),IF(VLOOKUP($AN21,'StateTables 2026'!$A$6:$AB$56,27,FALSE)="dbl",MIN(ROUND(0.005*$N21,2),ROUND(0.6*52/Inputs!$C$8,2)),IF(OR(VLOOKUP($AN21,'StateTables 2026'!$A$6:$AB$56,18,FALSE)="",VLOOKUP($AN21,'StateTables 2026'!$A$6:$AB$56,18,FALSE)=0),0,ROUND(VLOOKUP($AN21,'StateTables 2026'!$A$6:$AB$56,18,FALSE)*IF(OR(VLOOKUP($AN21,'StateTables 2026'!$A$6:$AB$56,19,FALSE)="",VLOOKUP($AN21,'StateTables 2026'!$A$6:$AB$56,19,FALSE)=0),$N21,MIN($N21,MAX(0,VLOOKUP($AN21,'StateTables 2026'!$A$6:$AB$56,19,FALSE)-($AX21+$AB20-$AW21)))),2)))))</f>
      </c>
      <c r="V21" s="7">
        <f>IF($B21="","",IF($AN21="NY",IF(Inputs!$C$78,ROUND(SUMPRODUCT((MAX(0,($O21-$D21)*Inputs!$C$8-(IF($AU21="Married",5500,5000)+1000*$AS21))&gt;INDEX('Methodology &amp; Sources'!$B$434:$J$448,0,4))*(MAX(0,($O21-$D21)*Inputs!$C$8-(IF($AU21="Married",5500,5000)+1000*$AS21))-INDEX('Methodology &amp; Sources'!$B$434:$J$448,0,4))*INDEX('Methodology &amp; Sources'!$B$434:$J$448,0,4+2))/Inputs!$C$8+0.0425*$D21,2),0)+IF(Inputs!$C$79="Resident",ROUND(0.1675*$T21,2),IF(Inputs!$C$79="Nonresident",ROUND(0.005*MAX(0,($O21-$D21)-(IF($AU21="Married",7950,7400)+1000*$AS21)/Inputs!$C$8),2),0)),IF($AN21="PA",IF(Inputs!$C$80="None",Inputs!$C$27+ROUND(Inputs!$C$81*($C21+$D21),2),ROUND(IF(Inputs!$C$80="Resident",IF($B21&lt;DATE(2026,7,1),0.0374,0.03735),IF($B21&lt;DATE(2026,7,1),0.0343,0.03425))*($C21+$D21),2)),IF($BF21=0,ROUND(Inputs!$C$81*($C21+$D21),2),Inputs!$C$27+ROUND(Inputs!$C$81*($C21+$D21),2)))))</f>
      </c>
      <c r="W21" s="7">
        <f>IF($B21="","",IF($BF21=0,0,$BP21))</f>
      </c>
      <c r="X21" s="7">
        <f>IF($B21="","",SUM($E21:$K21)+$P21+$Q21+$R21+$S21+$T21+$U21+$V21+$W21)</f>
      </c>
      <c r="Y21" s="22">
        <f>IF($B21="","",$C21+$D21-$X21)</f>
      </c>
      <c r="Z21" s="7">
        <f>IF($B21="","",$Z20+$C21+$D21)</f>
      </c>
      <c r="AA21" s="7">
        <f>IF($B21="","",$AA20+$Y21)</f>
      </c>
      <c r="AB21" s="7">
        <f>IF($B21="","",$AB20+MIN($N21,MAX(0,'Methodology &amp; Sources'!$C$253-($AX21+$AB20-$AW21))))</f>
      </c>
      <c r="AC21" s="7">
        <f>IF($B21="","",$AC20+$E21+$F21)</f>
      </c>
      <c r="AD21" s="3">
        <f>IF($B21="","",IF(AND($AB20&lt;'Methodology &amp; Sources'!$C$253,$AB21&gt;='Methodology &amp; Sources'!$C$253),"★ Social Security maxed on this check — from the next check your net rises by about $"&amp;TEXT(ROUND('Methodology &amp; Sources'!$C$254*$N21,2),"#,##0.00")&amp;". ","")&amp;IF(AND($AC20&lt;Inputs!$C$91,$AC21&gt;=Inputs!$C$91),"★ 401(k) reaches the $"&amp;TEXT(Inputs!$C$91,"#,##0")&amp;" cap on this check — deferrals stop and net pay rises. ","")&amp;IF(AND($AG20&lt;'Methodology &amp; Sources'!$C$257,$AG21&gt;='Methodology &amp; Sources'!$C$257),"★ Wages pass $200,000 — the 0.9% Additional Medicare Tax starts here. ","")&amp;IF(AND($BJ21&gt;0,$H21&gt;0,$BG20&lt;MIN($BJ21,'Methodology &amp; Sources'!$C$263),$BG20+$H21&gt;=MIN($BJ21,'Methodology &amp; Sources'!$C$263)),"★ Health FSA election is now fully deferred for the year. ",""))</f>
      </c>
      <c r="AE21" s="41" t="n"/>
      <c r="AF21" s="7">
        <f>IF(OR($B21="",$AE21=""),"",$AE21-$Y21)</f>
      </c>
      <c r="AG21" s="7">
        <f>IF($B21="","",$AG20+$N21)</f>
      </c>
      <c r="AH21" s="7">
        <f>IF($B21="","",MAX(0,($M21-$D21)*Inputs!$C$8+$AP21-$AQ21-IF(Inputs!$C$13,0,IF(Inputs!$C$12="MFJ",'Methodology &amp; Sources'!$C$258,'Methodology &amp; Sources'!$C$259))))</f>
      </c>
      <c r="AI21" s="7">
        <f>IF($B21="","",$O21*Inputs!$C$8)</f>
      </c>
      <c r="AJ21" s="7">
        <f>IF($B21="","",MAX(0,$AI21-VLOOKUP($AN21,'StateTables 2026'!$A$6:$AB$56,12,FALSE)*$AT21-IF(($AS21+$AT21)&gt;=2,VLOOKUP($AN21,'StateTables 2026'!$A$6:$AB$56,8,FALSE),VLOOKUP($AN21,'StateTables 2026'!$A$6:$AB$56,7,FALSE))))</f>
      </c>
      <c r="AK21" s="7">
        <f>IF($B21="","",IFERROR(LOOKUP(2,1/((Events!$C$6:$C$17="Salary change")*(Events!$B$6:$B$17&lt;=$B21)*(Events!$B$6:$B$17&lt;&gt;"")),Events!$D$6:$D$17),IF(Inputs!$C$4="Annual salary",Inputs!$C$5,Inputs!$C$6)))</f>
      </c>
      <c r="AL21">
        <f>IF($B21="","",IFERROR(LOOKUP(2,1/((Events!$C$6:$C$17="401(k) change")*(Events!$B$6:$B$17&lt;=$B21)*(Events!$B$6:$B$17&lt;&gt;"")),Events!$D$6:$D$17),Inputs!$C$30))</f>
      </c>
      <c r="AM21" s="7">
        <f>IF($B21="","",IFERROR(LOOKUP(2,1/((Events!$C$6:$C$17="401(k) change")*(Events!$B$6:$B$17&lt;=$B21)*(Events!$B$6:$B$17&lt;&gt;"")),Events!$E$6:$E$17),Inputs!$D$30))</f>
      </c>
      <c r="AN21">
        <f>IF($B21="","",IFERROR(LOOKUP(2,1/((Events!$C$6:$C$17="State move")*(Events!$B$6:$B$17&lt;=$B21)*(Events!$B$6:$B$17&lt;&gt;"")),Events!$D$6:$D$17),Inputs!$C$21))</f>
      </c>
      <c r="AO21" s="7">
        <f>IF($B21="","",IFERROR(LOOKUP(2,1/((Events!$C$6:$C$17="W-4 change")*(Events!$B$6:$B$17&lt;=$B21)*(Events!$B$6:$B$17&lt;&gt;"")),Events!$D$6:$D$17),Inputs!$C$14))</f>
      </c>
      <c r="AP21" s="7">
        <f>IF($B21="","",IFERROR(LOOKUP(2,1/((Events!$C$6:$C$17="W-4 change")*(Events!$B$6:$B$17&lt;=$B21)*(Events!$B$6:$B$17&lt;&gt;"")),Events!$E$6:$E$17),Inputs!$C$15))</f>
      </c>
      <c r="AQ21" s="7">
        <f>IF($B21="","",IFERROR(LOOKUP(2,1/((Events!$C$6:$C$17="W-4 change")*(Events!$B$6:$B$17&lt;=$B21)*(Events!$B$6:$B$17&lt;&gt;"")),Events!$F$6:$F$17),Inputs!$C$16))</f>
      </c>
      <c r="AR21" s="7">
        <f>IF($B21="","",IFERROR(LOOKUP(2,1/((Events!$C$6:$C$17="W-4 change")*(Events!$B$6:$B$17&lt;=$B21)*(Events!$B$6:$B$17&lt;&gt;"")),Events!$G$6:$G$17),Inputs!$C$17))</f>
      </c>
      <c r="AS21" s="6">
        <f>IF($B21="","",IFERROR(LOOKUP(2,1/(((Events!$C$6:$C$17="State move")+(Events!$C$6:$C$17="State cert change"))*(Events!$B$6:$B$17&lt;=$B21)*(Events!$B$6:$B$17&lt;&gt;"")),Events!$F$6:$F$17),Inputs!$C$23))</f>
      </c>
      <c r="AT21" s="6">
        <f>IF($B21="","",IFERROR(LOOKUP(2,1/(((Events!$C$6:$C$17="State move")+(Events!$C$6:$C$17="State cert change"))*(Events!$B$6:$B$17&lt;=$B21)*(Events!$B$6:$B$17&lt;&gt;"")),Events!$G$6:$G$17),Inputs!$C$24))</f>
      </c>
      <c r="AU21">
        <f>IF($B21="","",IFERROR(LOOKUP(2,1/((Events!$C$6:$C$17="State move")*(Events!$B$6:$B$17&lt;=$B21)*(Events!$B$6:$B$17&lt;&gt;"")),Events!$E$6:$E$17),Inputs!$C$22))</f>
      </c>
      <c r="AV21" s="6">
        <f>IF($B21="","",1+COUNTIFS(Events!$C$6:$C$17,"Employer change",Events!$B$6:$B$17,"&lt;="&amp;$B21,Events!$B$6:$B$17,"&lt;&gt;"))</f>
      </c>
      <c r="AW21" s="7">
        <f>IF($B21="","",IF($AV21=1,Inputs!$C$49,IF(IFERROR(MATCH(IFERROR(LOOKUP(2,1/((Events!$C$6:$C$17="Employer change")*(Events!$B$6:$B$17&lt;=$B21)*(Events!$B$6:$B$17&lt;&gt;"")),Events!$B$6:$B$17),""),$B$6:$B$68,1),1)&lt;=1,Inputs!$C$49,INDEX($AB$6:$AB$68,MATCH(IFERROR(LOOKUP(2,1/((Events!$C$6:$C$17="Employer change")*(Events!$B$6:$B$17&lt;=$B21)*(Events!$B$6:$B$17&lt;&gt;"")),Events!$B$6:$B$17),""),$B$6:$B$68,1)-1))))</f>
      </c>
      <c r="AX21" s="7">
        <f>IF($B21="","",IF($AV21=1,Inputs!$C$49,IFERROR(LOOKUP(2,1/((Events!$C$6:$C$17="Employer change")*(Events!$B$6:$B$17&lt;=$B21)*(Events!$B$6:$B$17&lt;&gt;"")),Events!$D$6:$D$17),0)))</f>
      </c>
      <c r="AY21" s="7">
        <f>IF($B21="","",($O21-$D21)*Inputs!$C$8)</f>
      </c>
      <c r="AZ21" s="7">
        <f>IF($B21="","",IF($AN21="AL",MAX(0,$AY21-IF($AU21="Married",IF($AY21&lt;=25999,8500,MAX(5000,8500-175*CEILING(($AY21-25999)/500,1))),IF($AU21="Head of household",IF($AY21&lt;=25999,5200,MAX(2500,5200-135*CEILING(($AY21-25999)/500,1))),IF($AY21&lt;=25999,3000,MAX(2500,3000-25*CEILING(($AY21-25999)/500,1)))))-($P21-'Methodology &amp; Sources'!$C$260*$D21)*Inputs!$C$8-IF(OR($AU21="Married",$AU21="Head of household"),3000,1500)-$AT21*IF($AY21&lt;=50000,1000,IF($AY21&lt;=100000,500,300))),IF($AN21="AR",IF(MAX(0,$AY21-2470)&lt;97701,INT(MAX(0,$AY21-2470)/100)*100+50,MAX(0,$AY21-2470)),IF($AN21="DE",MAX(0,$AI21-3250),IF($AN21="HI",MAX(0,$AI21-1144*$AS21-4350),IF($AN21="KS",MAX(0,$AI21-(9160*IF($AU21="Married",2,1)+2320*$AT21+IF($AU21="Head of household",2320,0))),IF($AN21="MD",MAX(0,$AI21-3400-3200*$AS21),IF($AN21="MN",MAX(0,$AY21-5300*$AS21),IF($AN21="MO",MAX(0,$AI21-IF($AU21="Head of household",24150,IF($AU21="Married",IF(Inputs!$C$83,16100,32200),16100))),IF($AN21="MT",$AY21,IF($AN21="ND",($C21+$L21)*Inputs!$C$8,IF($AN21="NE",MAX(0,$AY21-2440*$AS21),IF($AN21="NJ",MAX(0,$AY21-1000*$AS21),IF($AN21="NY",MAX(0,$AY21-(IF($AU21="Married",7950,7400)+1000*$AS21)),IF($AN21="OH",MAX(0,$AY21-650*$AS21),IF($AN21="OK",MAX(0,$AY21-1000*$AS21),IF($AN21="RI",MAX(0,$AI21-1000*$AS21),IF($AN21="SC",MAX(0,$AI21-5000*$AS21-IF($AS21=0,0,MIN(0.1*$AI21,7500))),IF($AN21="VA",MAX(0,$AI21-IF($AU21="Married",17500,8750)-930*$AS21-800*$AT21),IF($AN21="VT",MAX(0,$AI21-5400*$AS21),IF($AN21="WI",MAX(0,$AI21-MAX(0,IF($AU21="Married",9461-0.2*MAX(0,$AI21-25727),6702-0.12*MAX(0,$AI21-17780)))-400*$AS21),IF($AN21="WV",MAX(0,$AI21-2000*$AS21),$AI21))))))))))))))))))))))</f>
      </c>
      <c r="BA21" s="7">
        <f>IF($B21="","",IF($BW21&lt;&gt;"",$BW21,IF($BX21&lt;&gt;"",$BX21,IF($BY21&lt;&gt;"",$BY21,0))))</f>
      </c>
      <c r="BB21" s="7">
        <f>IF($B21="","",IF($AN21="AR",-29*$AS21,IF($AN21="DE",-110*$AS21,IF($AN21="MD",$AZ21*Inputs!$C$74,IF($AN21="AZ",Inputs!$C$82*($M21-$D21)*Inputs!$C$8,IF($AN21="CO",0.044*MAX(0,$AY21-IF($AU21="Married",10000,5000)),IF($AN21="IA",MAX(0,0.038*MAX(0,$AY21-IF($AU21="Head of household",19500,IF($AU21="Married",26000,13000)))-40*$AS21),IF($AN21="ID",0.053*MAX(0,$AY21-IF($AU21="Married",32000,16094)),IF($AN21="IL",0.0495*MAX(0,$AY21-(2925*$AS21+1000*$AT21)),IF($AN21="IN",(0.0295+Inputs!$C$76)*MAX(0,$AY21-(1000*$AS21+1500*$AT21+3000*Inputs!$C$86)),IF($AN21="KY",0.035*MAX(0,$AI21-3360),IF($AN21="LA",IF(Inputs!$C$84="0",0.0309*$AI21,0.0309*MAX(0,$AI21-IF(Inputs!$C$84="2",25750,12875))),IF($AN21="MA",0.05*MIN(MAX(0,$AY21-MIN(($BD20+$Q21+$R21+$S21),2000)-IF($AS21=0,0,IF($AS21=1,4400,1000*$AS21+3400))),1107750)+0.09*MAX(0,MAX(0,$AY21-MIN(($BD20+$Q21+$R21+$S21),2000)-IF($AS21=0,0,IF($AS21=1,4400,1000*$AS21+3400)))-1107750)-IF($AU21="Head of household",120,0)-110*Inputs!$C$75,IF($AN21="MI",0.0425*MAX(0,$AY21-5900*$AS21),IF($AN21="MS",0.04*MAX(0,$AI21-IF($AU21="Head of household",3400,IF($AU21="Married",4600,2300))-Inputs!$C$85-10000),IF($AN21="OR",IF(OR($AU21="Married",AND($AU21="Single",$AS21&gt;=3)),SUMPRODUCT((MAX(0,$AY21-MIN(($P21-'Methodology &amp; Sources'!$C$260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Sources'!$B$461:$J$464,0,4))*(MAX(0,$AY21-MIN(($P21-'Methodology &amp; Sources'!$C$260*$D21)*Inputs!$C$8,IF(OR($AU21="Married",AND($AU21="Single",$AS21&gt;=3)),IF($AY21&lt;250000,8750,IF($AY21&lt;260000,7000,IF($AY21&lt;270000,5250,IF($AY21&lt;280000,3500,IF($AY21&lt;290000,1750,0))))),IF($AY21&lt;125000,8750,IF($AY21&lt;130000,7000,IF($AY21&lt;135000,5250,IF($AY21&lt;140000,3500,IF($AY21&lt;145000,1750,0)))))))-IF(OR($AU21="Married",AND($AU21="Single",$AS21&gt;=3)),5820,2910))-INDEX('Methodology &amp; Sources'!$B$461:$J$464,0,4))*INDEX('Methodology &amp; Sources'!$B$461:$J$464,0,4+2)),SUMPRODUCT((MAX(0,$AY21-MIN(($P21-'Methodology &amp; Sources'!$C$260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Sources'!$B$461:$J$464,0,1))*(MAX(0,$AY21-MIN(($P21-'Methodology &amp; Sources'!$C$260*$D21)*Inputs!$C$8,IF(OR($AU21="Married",AND($AU21="Single",$AS21&gt;=3)),IF($AY21&lt;250000,8750,IF($AY21&lt;260000,7000,IF($AY21&lt;270000,5250,IF($AY21&lt;280000,3500,IF($AY21&lt;290000,1750,0))))),IF($AY21&lt;125000,8750,IF($AY21&lt;130000,7000,IF($AY21&lt;135000,5250,IF($AY21&lt;140000,3500,IF($AY21&lt;145000,1750,0)))))))-IF(OR($AU21="Married",AND($AU21="Single",$AS21&gt;=3)),5820,2910))-INDEX('Methodology &amp; Sources'!$B$461:$J$464,0,1))*INDEX('Methodology &amp; Sources'!$B$461:$J$464,0,1+2)))+263-263*IF(IF($AU21="Married",$AY21&gt;200000,$AY21&gt;100000),0,$AS21),IF($AN21="PA",0.0307*(($O21+$E21+$G21)*Inputs!$C$8),IF($AN21="NY",IF($AU21="Married",IF($AZ21&gt;=2155350,0,IF($AZ21&gt;=1077550,0.48,IF($AZ21&gt;=373200,1.21,IF($AZ21&gt;=323200,0.21,IF($AZ21&gt;=211550,-0.19,IF($AZ21&gt;=157650,-2.8,IF($AZ21&gt;=107650,-0.8,IF($AZ21&gt;=96800,0.05,IF($AZ21&gt;=80650,-0.1,IF($AZ21&gt;=13900,0.4,IF($AZ21&gt;=11700,-0.3,IF($AZ21&gt;=8500,0.5,0)))))))))))),IF($AZ21&gt;=1077550,0,IF($AZ21&gt;=265400,4.29,IF($AZ21&gt;=215400,2.29,IF($AZ21&gt;=157650,2.29,IF($AZ21&gt;=107650,0.29,IF($AZ21&gt;=96800,0.05,IF($AZ21&gt;=80650,-0.1,IF($AZ21&gt;=13900,0.4,IF($AZ21&gt;=11700,-0.3,IF($AZ21&gt;=8500,0.5,0))))))))))),0))))))))))))))))))</f>
      </c>
      <c r="BC21" s="7">
        <f>IF($B21="","",IF($AN21="AL",0.05*$D21,IF($AN21="AR",0.039*$D21,IF($AN21="ID",0.053*$D21,IF($AN21="IN",(0.0295+Inputs!$C$76)*$D21,IF($AN21="KS",0.05*$D21,IF($AN21="MA",0.09*MIN($D21,MAX(0,MAX(0,$AY21-MIN(($BD20+$Q21+$R21+$S21),2000)-IF($AS21=0,0,IF($AS21=1,4400,1000*$AS21+3400)))+$D21-1107750))+0.05*($D21-MIN($D21,MAX(0,MAX(0,$AY21-MIN(($BD20+$Q21+$R21+$S21),2000)-IF($AS21=0,0,IF($AS21=1,4400,1000*$AS21+3400)))+$D21-1107750))),IF($AN21="MD",(0.065+Inputs!$C$74)*$D21,IF($AN21="MI",0.0425*$D21,IF($AN21="MN",0.0625*$D21,IF($AN21="MO",0.047*$D21,IF($AN21="MT",0.05*$D21,IF($AN21="ND",0.015*$D21,IF($AN21="NE",0.035*$D21,IF($AN21="NJ",IF(Inputs!$C$77="B",SUMPRODUCT(($D21*Inputs!$C$8&gt;INDEX('Methodology &amp; Sources'!$B$405:$J$412,0,4))*($D21*Inputs!$C$8-INDEX('Methodology &amp; Sources'!$B$405:$J$412,0,4))*INDEX('Methodology &amp; Sources'!$B$405:$J$412,0,4+2)),IF(Inputs!$C$77="C",SUMPRODUCT(($D21*Inputs!$C$8&gt;INDEX('Methodology &amp; Sources'!$B$405:$J$412,0,7))*($D21*Inputs!$C$8-INDEX('Methodology &amp; Sources'!$B$405:$J$412,0,7))*INDEX('Methodology &amp; Sources'!$B$405:$J$412,0,7+2)),IF(Inputs!$C$77="D",SUMPRODUCT(($D21*Inputs!$C$8&gt;INDEX('Methodology &amp; Sources'!$B$417:$J$429,0,1))*($D21*Inputs!$C$8-INDEX('Methodology &amp; Sources'!$B$417:$J$429,0,1))*INDEX('Methodology &amp; Sources'!$B$417:$J$429,0,1+2)),IF(Inputs!$C$77="E",SUMPRODUCT(($D21*Inputs!$C$8&gt;INDEX('Methodology &amp; Sources'!$B$417:$J$429,0,4))*($D21*Inputs!$C$8-INDEX('Methodology &amp; Sources'!$B$417:$J$429,0,4))*INDEX('Methodology &amp; Sources'!$B$417:$J$429,0,4+2)),SUMPRODUCT(($D21*Inputs!$C$8&gt;INDEX('Methodology &amp; Sources'!$B$405:$J$412,0,1))*($D21*Inputs!$C$8-INDEX('Methodology &amp; Sources'!$B$405:$J$412,0,1))*INDEX('Methodology &amp; Sources'!$B$405:$J$412,0,1+2))))))/Inputs!$C$8,IF($AN21="NY",0.117*$D21,IF($AN21="OH",0.0275*$D21,IF($AN21="OK",0.045*$D21,IF($AN21="OR",0.08*$D21,IF($AN21="WI",IF($AY21&lt;12760,0.0354,IF($AY21&lt;25520,0.0465,IF($AY21&lt;280950,0.053,0.0765)))*$D21,0))))))))))))))))))))</f>
      </c>
      <c r="BD21" s="7">
        <f>IF($B21="","",$BD20+$Q21+$R21+$S21)</f>
      </c>
      <c r="BE21" s="6">
        <f>IF($B21="",$BE20,$BE20+$BF21)</f>
      </c>
      <c r="BF21" s="6">
        <f>IF($B21="","",IF(AND(IF(YEAR(IF(Inputs!$C$7="Weekly",Inputs!$C$9+7*(($BE20+1)-1),IF(Inputs!$C$7="Biweekly",Inputs!$C$9+14*(($BE20+1)-1),IF(Inputs!$C$7="Semimonthly",DATE(YEAR(Inputs!$C$9),MONTH(Inputs!$C$9)+INT((($BE20+1)-1)/2),MIN(DAY(Inputs!$C$9),DAY(EOMONTH(DATE(YEAR(Inputs!$C$9),MONTH(Inputs!$C$9)+INT((($BE20+1)-1)/2),1),0))))+IF(MOD(($BE20+1)-1,2)=1,15,0),EDATE(Inputs!$C$9,($BE20+1)-1)))))&lt;&gt;2026,"",IF(Inputs!$C$7="Weekly",Inputs!$C$9+7*(($BE20+1)-1),IF(Inputs!$C$7="Biweekly",Inputs!$C$9+14*(($BE20+1)-1),IF(Inputs!$C$7="Semimonthly",DATE(YEAR(Inputs!$C$9),MONTH(Inputs!$C$9)+INT((($BE20+1)-1)/2),MIN(DAY(Inputs!$C$9),DAY(EOMONTH(DATE(YEAR(Inputs!$C$9),MONTH(Inputs!$C$9)+INT((($BE20+1)-1)/2),1),0))))+IF(MOD(($BE20+1)-1,2)=1,15,0),EDATE(Inputs!$C$9,($BE20+1)-1)))))&lt;&gt;"",$B21=IF(YEAR(IF(Inputs!$C$7="Weekly",Inputs!$C$9+7*(($BE20+1)-1),IF(Inputs!$C$7="Biweekly",Inputs!$C$9+14*(($BE20+1)-1),IF(Inputs!$C$7="Semimonthly",DATE(YEAR(Inputs!$C$9),MONTH(Inputs!$C$9)+INT((($BE20+1)-1)/2),MIN(DAY(Inputs!$C$9),DAY(EOMONTH(DATE(YEAR(Inputs!$C$9),MONTH(Inputs!$C$9)+INT((($BE20+1)-1)/2),1),0))))+IF(MOD(($BE20+1)-1,2)=1,15,0),EDATE(Inputs!$C$9,($BE20+1)-1)))))&lt;&gt;2026,"",IF(Inputs!$C$7="Weekly",Inputs!$C$9+7*(($BE20+1)-1),IF(Inputs!$C$7="Biweekly",Inputs!$C$9+14*(($BE20+1)-1),IF(Inputs!$C$7="Semimonthly",DATE(YEAR(Inputs!$C$9),MONTH(Inputs!$C$9)+INT((($BE20+1)-1)/2),MIN(DAY(Inputs!$C$9),DAY(EOMONTH(DATE(YEAR(Inputs!$C$9),MONTH(Inputs!$C$9)+INT((($BE20+1)-1)/2),1),0))))+IF(MOD(($BE20+1)-1,2)=1,15,0),EDATE(Inputs!$C$9,($BE20+1)-1)))))),1,0))</f>
      </c>
      <c r="BG21" s="7">
        <f>IF($B21="","",$BG20+$H21)</f>
      </c>
      <c r="BH21" s="7">
        <f>IF($B21="","",$BH20+$I21)</f>
      </c>
      <c r="BI21" s="7">
        <f>IF($B21="","",$BI20+$G21)</f>
      </c>
      <c r="BJ21" s="7">
        <f>IF($B21="","",IFERROR(LOOKUP(2,1/((((Events!$C$6:$C$17="Deduction start"))*(Events!$D$6:$D$17="Health FSA"))*(Events!$B$6:$B$17&lt;=$B21)*(Events!$B$6:$B$17&lt;&gt;"")),Events!$E$6:$E$17),Inputs!$D$38))</f>
      </c>
      <c r="BK21" s="7">
        <f>IF($B21="","",IFERROR(LOOKUP(2,1/((((Events!$C$6:$C$17="Deduction start"))*(Events!$D$6:$D$17="Dependent-care FSA"))*(Events!$B$6:$B$17&lt;=$B21)*(Events!$B$6:$B$17&lt;&gt;"")),Events!$E$6:$E$17),Inputs!$D$39))</f>
      </c>
      <c r="BL21" s="7">
        <f>IF($B21="","",IFERROR(LOOKUP(2,1/((((Events!$C$6:$C$17="Deduction start")+(Events!$C$6:$C$17="Deduction stop"))*(Events!$D$6:$D$17="HSA"))*(Events!$B$6:$B$17&lt;=$B21)*(Events!$B$6:$B$17&lt;&gt;"")),Events!$I$6:$I$17),Inputs!$D$35))</f>
      </c>
      <c r="BM21" s="7">
        <f>IF($B21="","",IFERROR(LOOKUP(2,1/((((Events!$C$6:$C$17="Deduction start")+(Events!$C$6:$C$17="Deduction stop"))*(Events!$D$6:$D$17="Premiums"))*(Events!$B$6:$B$17&lt;=$B21)*(Events!$B$6:$B$17&lt;&gt;"")),Events!$I$6:$I$17),Inputs!$D$40+Inputs!$D$41+Inputs!$D$42))</f>
      </c>
      <c r="BN21" s="7">
        <f>IF($B21="","",IFERROR(LOOKUP(2,1/((((Events!$C$6:$C$17="Deduction start")+(Events!$C$6:$C$17="Deduction stop"))*(Events!$D$6:$D$17="Commuter"))*(Events!$B$6:$B$17&lt;=$B21)*(Events!$B$6:$B$17&lt;&gt;"")),Events!$I$6:$I$17),Inputs!$D$43))</f>
      </c>
      <c r="BO21" s="7">
        <f>IF($B21="","",IFERROR(LOOKUP(2,1/((((Events!$C$6:$C$17="Deduction start")+(Events!$C$6:$C$17="Deduction stop"))*(Events!$D$6:$D$17="Other pre-tax"))*(Events!$B$6:$B$17&lt;=$B21)*(Events!$B$6:$B$17&lt;&gt;"")),Events!$I$6:$I$17),Inputs!$D$44))</f>
      </c>
      <c r="BP21" s="7">
        <f>IF($B21="","",IFERROR(LOOKUP(2,1/((((Events!$C$6:$C$17="Deduction start")+(Events!$C$6:$C$17="Deduction stop"))*(Events!$D$6:$D$17="Other post-tax"))*(Events!$B$6:$B$17&lt;=$B21)*(Events!$B$6:$B$17&lt;&gt;"")),Events!$I$6:$I$17),Inputs!$D$45))</f>
      </c>
      <c r="BQ21" s="6">
        <f>IF($B21="","",IFERROR(LOOKUP(2,1/((((Events!$C$6:$C$17="Deduction start")+(Events!$C$6:$C$17="Deduction stop"))*(Events!$D$6:$D$17="Health FSA"))*(Events!$B$6:$B$17&lt;=$B21)*(Events!$B$6:$B$17&lt;&gt;"")),Events!$J$6:$J$17),0))</f>
      </c>
      <c r="BR21" s="6">
        <f>IF($B21="","",IFERROR(LOOKUP(2,1/((((Events!$C$6:$C$17="Deduction start")+(Events!$C$6:$C$17="Deduction stop"))*(Events!$D$6:$D$17="Dependent-care FSA"))*(Events!$B$6:$B$17&lt;=$B21)*(Events!$B$6:$B$17&lt;&gt;"")),Events!$J$6:$J$17),0))</f>
      </c>
      <c r="BS21" s="6">
        <f>IF($B21="","",IF(SUMPRODUCT((Events!$C$6:$C$17="Deduction start")*(Events!$B$6:$B$17&lt;=$B21)*(Events!$B$6:$B$17&lt;&gt;"")*(Events!$D$6:$D$17="Health FSA"))&gt;0,1,0))</f>
      </c>
      <c r="BT21" s="6">
        <f>IF($B21="","",IF(SUMPRODUCT((Events!$C$6:$C$17="Deduction start")*(Events!$B$6:$B$17&lt;=$B21)*(Events!$B$6:$B$17&lt;&gt;"")*(Events!$D$6:$D$17="Dependent-care FSA"))&gt;0,1,0))</f>
      </c>
      <c r="BU21" s="24">
        <f>IF($B21="","",IF(Inputs!$C$13,SUMPRODUCT(($AH21&gt;=INDEX('Methodology &amp; Sources'!$B$279:$J$286,0,IF(Inputs!$C$12="MFJ",1,IF(Inputs!$C$12="HoH",7,4))))*INDEX('Methodology &amp; Sources'!$B$279:$J$286,0,IF(Inputs!$C$12="MFJ",1,IF(Inputs!$C$12="HoH",7,4))+2)),SUMPRODUCT(($AH21&gt;=INDEX('Methodology &amp; Sources'!$B$269:$J$276,0,IF(Inputs!$C$12="MFJ",1,IF(Inputs!$C$12="HoH",7,4))))*INDEX('Methodology &amp; Sources'!$B$269:$J$276,0,IF(Inputs!$C$12="MFJ",1,IF(Inputs!$C$12="HoH",7,4))+2))))</f>
      </c>
      <c r="BV21" s="24">
        <f>IF($B21="","",IF($BZ21&lt;&gt;"",$BZ21,IF($CA21&lt;&gt;"",$CA21,IF($CB21&lt;&gt;"",$CB21,IF($CC21&lt;&gt;"",$CC21,0)))))</f>
      </c>
      <c r="BW21" s="7">
        <f>IF($B21="","",IF($AN21="MD",IF(OR($AU21="Married",$AU21="Head of household"),SUMPRODUCT(($AZ21&gt;INDEX('Methodology &amp; Sources'!$B$364:$J$370,0,1))*($AZ21-INDEX('Methodology &amp; Sources'!$B$364:$J$370,0,1))*INDEX('Methodology &amp; Sources'!$B$364:$J$370,0,1+2)),SUMPRODUCT(($AZ21&gt;INDEX('Methodology &amp; Sources'!$B$353:$J$359,0,7))*($AZ21-INDEX('Methodology &amp; Sources'!$B$353:$J$359,0,7))*INDEX('Methodology &amp; Sources'!$B$353:$J$359,0,7+2))),IF($AN21="MO",SUMPRODUCT(($AZ21&gt;INDEX('Methodology &amp; Sources'!$B$375:$J$382,0,1))*($AZ21-INDEX('Methodology &amp; Sources'!$B$375:$J$382,0,1))*INDEX('Methodology &amp; Sources'!$B$375:$J$382,0,1+2)),IF($AN21="MT",IF($AU21="Head of household",SUMPRODUCT(($AZ21&gt;INDEX('Methodology &amp; Sources'!$B$387:$J$389,0,1))*($AZ21-INDEX('Methodology &amp; Sources'!$B$387:$J$389,0,1))*INDEX('Methodology &amp; Sources'!$B$387:$J$389,0,1+2)),IF($AU21="Married",SUMPRODUCT(($AZ21&gt;INDEX('Methodology &amp; Sources'!$B$375:$J$382,0,7))*($AZ21-INDEX('Methodology &amp; Sources'!$B$375:$J$382,0,7))*INDEX('Methodology &amp; Sources'!$B$375:$J$382,0,7+2)),SUMPRODUCT(($AZ21&gt;INDEX('Methodology &amp; Sources'!$B$375:$J$382,0,4))*($AZ21-INDEX('Methodology &amp; Sources'!$B$375:$J$382,0,4))*INDEX('Methodology &amp; Sources'!$B$375:$J$382,0,4+2)))),IF($AN21="ND",IF($AU21="Head of household",SUMPRODUCT(($AZ21&gt;INDEX('Methodology &amp; Sources'!$B$394:$J$400,0,1))*($AZ21-INDEX('Methodology &amp; Sources'!$B$394:$J$400,0,1))*INDEX('Methodology &amp; Sources'!$B$394:$J$400,0,1+2)),IF($AU21="Married",SUMPRODUCT(($AZ21&gt;INDEX('Methodology &amp; Sources'!$B$387:$J$389,0,7))*($AZ21-INDEX('Methodology &amp; Sources'!$B$387:$J$389,0,7))*INDEX('Methodology &amp; Sources'!$B$387:$J$389,0,7+2)),SUMPRODUCT(($AZ21&gt;INDEX('Methodology &amp; Sources'!$B$387:$J$389,0,4))*($AZ21-INDEX('Methodology &amp; Sources'!$B$387:$J$389,0,4))*INDEX('Methodology &amp; Sources'!$B$387:$J$389,0,4+2)))),IF($AN21="NJ",IF(Inputs!$C$77="B",SUMPRODUCT(($AZ21&gt;INDEX('Methodology &amp; Sources'!$B$405:$J$412,0,4))*($AZ21-INDEX('Methodology &amp; Sources'!$B$405:$J$412,0,4))*INDEX('Methodology &amp; Sources'!$B$405:$J$412,0,4+2)),IF(Inputs!$C$77="C",SUMPRODUCT(($AZ21&gt;INDEX('Methodology &amp; Sources'!$B$405:$J$412,0,7))*($AZ21-INDEX('Methodology &amp; Sources'!$B$405:$J$412,0,7))*INDEX('Methodology &amp; Sources'!$B$405:$J$412,0,7+2)),IF(Inputs!$C$77="D",SUMPRODUCT(($AZ21&gt;INDEX('Methodology &amp; Sources'!$B$417:$J$429,0,1))*($AZ21-INDEX('Methodology &amp; Sources'!$B$417:$J$429,0,1))*INDEX('Methodology &amp; Sources'!$B$417:$J$429,0,1+2)),IF(Inputs!$C$77="E",SUMPRODUCT(($AZ21&gt;INDEX('Methodology &amp; Sources'!$B$417:$J$429,0,4))*($AZ21-INDEX('Methodology &amp; Sources'!$B$417:$J$429,0,4))*INDEX('Methodology &amp; Sources'!$B$417:$J$429,0,4+2)),SUMPRODUCT(($AZ21&gt;INDEX('Methodology &amp; Sources'!$B$405:$J$412,0,1))*($AZ21-INDEX('Methodology &amp; Sources'!$B$405:$J$412,0,1))*INDEX('Methodology &amp; Sources'!$B$405:$J$412,0,1+2)))))),IF($AN21="NY",IF($AU21="Married",IF($AZ21&gt;=2155350,$AZ21*IF($AZ21&gt;25000000,0.117,IF($AZ21&gt;5000000,0.111,0.1045)),SUMPRODUCT(($AZ21&gt;INDEX('Methodology &amp; Sources'!$B$434:$J$448,0,1))*($AZ21-INDEX('Methodology &amp; Sources'!$B$434:$J$448,0,1))*INDEX('Methodology &amp; Sources'!$B$434:$J$448,0,1+2))),IF($AZ21&gt;=1077550,$AZ21*IF($AZ21&gt;25000000,0.117,IF($AZ21&gt;5000000,0.111,0.1045)),SUMPRODUCT(($AZ21&gt;INDEX('Methodology &amp; Sources'!$B$417:$J$429,0,7))*($AZ21-INDEX('Methodology &amp; Sources'!$B$417:$J$429,0,7))*INDEX('Methodology &amp; Sources'!$B$417:$J$429,0,7+2)))),"")))))))</f>
      </c>
      <c r="BX21" s="7">
        <f>IF($B21="","",IF($AN21="AL",IF(OR($AU21="Married",$AU21="Head of household"),SUMPRODUCT(($AZ21&gt;INDEX('Methodology &amp; Sources'!$B$332:$J$336,0,4))*($AZ21-INDEX('Methodology &amp; Sources'!$B$332:$J$336,0,4))*INDEX('Methodology &amp; Sources'!$B$332:$J$336,0,4+2)),SUMPRODUCT(($AZ21&gt;INDEX('Methodology &amp; Sources'!$B$332:$J$336,0,1))*($AZ21-INDEX('Methodology &amp; Sources'!$B$332:$J$336,0,1))*INDEX('Methodology &amp; Sources'!$B$332:$J$336,0,1+2))),IF($AN21="KS",IF($AU21="Married",SUMPRODUCT(($AZ21&gt;INDEX('Methodology &amp; Sources'!$B$353:$J$359,0,4))*($AZ21-INDEX('Methodology &amp; Sources'!$B$353:$J$359,0,4))*INDEX('Methodology &amp; Sources'!$B$353:$J$359,0,4+2)),SUMPRODUCT(($AZ21&gt;INDEX('Methodology &amp; Sources'!$B$353:$J$359,0,1))*($AZ21-INDEX('Methodology &amp; Sources'!$B$353:$J$359,0,1))*INDEX('Methodology &amp; Sources'!$B$353:$J$359,0,1+2))),IF($AN21="MN",IF($AU21="Married",SUMPRODUCT(($AZ21&gt;INDEX('Methodology &amp; Sources'!$B$364:$J$370,0,7))*($AZ21-INDEX('Methodology &amp; Sources'!$B$364:$J$370,0,7))*INDEX('Methodology &amp; Sources'!$B$364:$J$370,0,7+2)),SUMPRODUCT(($AZ21&gt;INDEX('Methodology &amp; Sources'!$B$364:$J$370,0,4))*($AZ21-INDEX('Methodology &amp; Sources'!$B$364:$J$370,0,4))*INDEX('Methodology &amp; Sources'!$B$364:$J$370,0,4+2))),IF($AN21="NE",MAX(IF($AU21="Married",SUMPRODUCT(($AZ21&gt;INDEX('Methodology &amp; Sources'!$B$394:$J$400,0,7))*($AZ21-INDEX('Methodology &amp; Sources'!$B$394:$J$400,0,7))*INDEX('Methodology &amp; Sources'!$B$394:$J$400,0,7+2)),SUMPRODUCT(($AZ21&gt;INDEX('Methodology &amp; Sources'!$B$394:$J$400,0,4))*($AZ21-INDEX('Methodology &amp; Sources'!$B$394:$J$400,0,4))*INDEX('Methodology &amp; Sources'!$B$394:$J$400,0,4+2))),0.015*$AZ21),IF($AN21="OH",IF($B21&gt;=DATE(2026,8,1),SUMPRODUCT(($AZ21&gt;INDEX('Methodology &amp; Sources'!$B$453:$J$456,0,1))*($AZ21-INDEX('Methodology &amp; Sources'!$B$453:$J$456,0,1))*INDEX('Methodology &amp; Sources'!$B$453:$J$456,0,1+2)),SUMPRODUCT(($AZ21&gt;INDEX('Methodology &amp; Sources'!$B$434:$J$448,0,7))*($AZ21-INDEX('Methodology &amp; Sources'!$B$434:$J$448,0,7))*INDEX('Methodology &amp; Sources'!$B$434:$J$448,0,7+2))),IF($AN21="OK",IF($AU21="Married",SUMPRODUCT(($AZ21&gt;INDEX('Methodology &amp; Sources'!$B$453:$J$456,0,7))*($AZ21-INDEX('Methodology &amp; Sources'!$B$453:$J$456,0,7))*INDEX('Methodology &amp; Sources'!$B$453:$J$456,0,7+2)),SUMPRODUCT(($AZ21&gt;INDEX('Methodology &amp; Sources'!$B$453:$J$456,0,4))*($AZ21-INDEX('Methodology &amp; Sources'!$B$453:$J$456,0,4))*INDEX('Methodology &amp; Sources'!$B$453:$J$456,0,4+2))),IF($AN21="RI",SUMPRODUCT(($AZ21&gt;INDEX('Methodology &amp; Sources'!$B$461:$J$464,0,7))*($AZ21-INDEX('Methodology &amp; Sources'!$B$461:$J$464,0,7))*INDEX('Methodology &amp; Sources'!$B$461:$J$464,0,7+2)),IF($AN21="VT",IF($AU21="Married",SUMPRODUCT(($AZ21&gt;INDEX('Methodology &amp; Sources'!$B$478:$J$482,0,1))*($AZ21-INDEX('Methodology &amp; Sources'!$B$478:$J$482,0,1))*INDEX('Methodology &amp; Sources'!$B$478:$J$482,0,1+2)),SUMPRODUCT(($AZ21&gt;INDEX('Methodology &amp; Sources'!$B$469:$J$473,0,7))*($AZ21-INDEX('Methodology &amp; Sources'!$B$469:$J$473,0,7))*INDEX('Methodology &amp; Sources'!$B$469:$J$473,0,7+2))),IF($AN21="WV",IF($AU21="Married",SUMPRODUCT(($AZ21&gt;INDEX('Methodology &amp; Sources'!$B$487:$J$491,0,7))*($AZ21-INDEX('Methodology &amp; Sources'!$B$487:$J$491,0,7))*INDEX('Methodology &amp; Sources'!$B$487:$J$491,0,7+2)),SUMPRODUCT(($AZ21&gt;INDEX('Methodology &amp; Sources'!$B$478:$J$482,0,7))*($AZ21-INDEX('Methodology &amp; Sources'!$B$478:$J$482,0,7))*INDEX('Methodology &amp; Sources'!$B$478:$J$482,0,7+2))),""))))))))))</f>
      </c>
      <c r="BY21" s="7">
        <f>IF($B21="","",IF($AN21="AR",SUMPRODUCT(($AZ21&gt;INDEX('Methodology &amp; Sources'!$B$332:$J$336,0,7))*($AZ21-INDEX('Methodology &amp; Sources'!$B$332:$J$336,0,7))*INDEX('Methodology &amp; Sources'!$B$332:$J$336,0,7+2)),IF($AN21="DE",SUMPRODUCT(($AZ21&gt;INDEX('Methodology &amp; Sources'!$B$341:$J$348,0,1))*($AZ21-INDEX('Methodology &amp; Sources'!$B$341:$J$348,0,1))*INDEX('Methodology &amp; Sources'!$B$341:$J$348,0,1+2)),IF($AN21="HI",IF($AU21="Married",SUMPRODUCT(($AZ21&gt;INDEX('Methodology &amp; Sources'!$B$341:$J$348,0,7))*($AZ21-INDEX('Methodology &amp; Sources'!$B$341:$J$348,0,7))*INDEX('Methodology &amp; Sources'!$B$341:$J$348,0,7+2)),SUMPRODUCT(($AZ21&gt;INDEX('Methodology &amp; Sources'!$B$341:$J$348,0,4))*($AZ21-INDEX('Methodology &amp; Sources'!$B$341:$J$348,0,4))*INDEX('Methodology &amp; Sources'!$B$341:$J$348,0,4+2))),IF($AN21="SC",SUMPRODUCT(($AZ21&gt;INDEX('Methodology &amp; Sources'!$B$469:$J$473,0,1))*($AZ21-INDEX('Methodology &amp; Sources'!$B$469:$J$473,0,1))*INDEX('Methodology &amp; Sources'!$B$469:$J$473,0,1+2)),IF($AN21="VA",SUMPRODUCT(($AZ21&gt;INDEX('Methodology &amp; Sources'!$B$469:$J$473,0,4))*($AZ21-INDEX('Methodology &amp; Sources'!$B$469:$J$473,0,4))*INDEX('Methodology &amp; Sources'!$B$469:$J$473,0,4+2)),IF($AN21="WI",SUMPRODUCT(($AZ21&gt;INDEX('Methodology &amp; Sources'!$B$478:$J$482,0,4))*($AZ21-INDEX('Methodology &amp; Sources'!$B$478:$J$482,0,4))*INDEX('Methodology &amp; Sources'!$B$478:$J$482,0,4+2)),"")))))))</f>
      </c>
      <c r="BZ21" s="24">
        <f>IF($B21="","",IF($AN21="NJ",IF(Inputs!$C$77="B",SUMPRODUCT(($AZ21&gt;=INDEX('Methodology &amp; Sources'!$B$405:$J$412,0,4))*INDEX('Methodology &amp; Sources'!$B$405:$J$412,0,4+2)),IF(Inputs!$C$77="C",SUMPRODUCT(($AZ21&gt;=INDEX('Methodology &amp; Sources'!$B$405:$J$412,0,7))*INDEX('Methodology &amp; Sources'!$B$405:$J$412,0,7+2)),IF(Inputs!$C$77="D",SUMPRODUCT(($AZ21&gt;=INDEX('Methodology &amp; Sources'!$B$417:$J$429,0,1))*INDEX('Methodology &amp; Sources'!$B$417:$J$429,0,1+2)),IF(Inputs!$C$77="E",SUMPRODUCT(($AZ21&gt;=INDEX('Methodology &amp; Sources'!$B$417:$J$429,0,4))*INDEX('Methodology &amp; Sources'!$B$417:$J$429,0,4+2)),SUMPRODUCT(($AZ21&gt;=INDEX('Methodology &amp; Sources'!$B$405:$J$412,0,1))*INDEX('Methodology &amp; Sources'!$B$405:$J$412,0,1+2)))))),IF($AN21="OR",IF(OR($AU21="Married",AND($AU21="Single",$AS21&gt;=3)),SUMPRODUCT((MAX(0,$AY21-MIN(($P21-'Methodology &amp; Sources'!$C$260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Sources'!$B$461:$J$464,0,4))*INDEX('Methodology &amp; Sources'!$B$461:$J$464,0,4+2)),SUMPRODUCT((MAX(0,$AY21-MIN(($P21-'Methodology &amp; Sources'!$C$260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Sources'!$B$461:$J$464,0,1))*INDEX('Methodology &amp; Sources'!$B$461:$J$464,0,1+2)))*IF(($P21-'Methodology &amp; Sources'!$C$260*$D21)*Inputs!$C$8&gt;=IF(OR($AU21="Married",AND($AU21="Single",$AS21&gt;=3)),IF($AY21&lt;250000,8750,IF($AY21&lt;260000,7000,IF($AY21&lt;270000,5250,IF($AY21&lt;280000,3500,IF($AY21&lt;290000,1750,0))))),IF($AY21&lt;125000,8750,IF($AY21&lt;130000,7000,IF($AY21&lt;135000,5250,IF($AY21&lt;140000,3500,IF($AY21&lt;145000,1750,0)))))),1,1-IF(Inputs!$C$13,SUMPRODUCT(($AH21&gt;=INDEX('Methodology &amp; Sources'!$B$279:$J$286,0,IF(Inputs!$C$12="MFJ",1,IF(Inputs!$C$12="HoH",7,4))))*INDEX('Methodology &amp; Sources'!$B$279:$J$286,0,IF(Inputs!$C$12="MFJ",1,IF(Inputs!$C$12="HoH",7,4))+2)),SUMPRODUCT(($AH21&gt;=INDEX('Methodology &amp; Sources'!$B$269:$J$276,0,IF(Inputs!$C$12="MFJ",1,IF(Inputs!$C$12="HoH",7,4))))*INDEX('Methodology &amp; Sources'!$B$269:$J$276,0,IF(Inputs!$C$12="MFJ",1,IF(Inputs!$C$12="HoH",7,4))+2)))),IF($AN21="MI",IF($AY21&gt;5900*$AS21,0.0425,0),""))))</f>
      </c>
      <c r="CA21" s="24">
        <f>IF($B21="","",IF($AN21="AL",IF(OR($AU21="Married",$AU21="Head of household"),SUMPRODUCT(($AZ21&gt;=INDEX('Methodology &amp; Sources'!$B$332:$J$336,0,4))*INDEX('Methodology &amp; Sources'!$B$332:$J$336,0,4+2)),SUMPRODUCT(($AZ21&gt;=INDEX('Methodology &amp; Sources'!$B$332:$J$336,0,1))*INDEX('Methodology &amp; Sources'!$B$332:$J$336,0,1+2)))*(1-IF(Inputs!$C$13,SUMPRODUCT(($AH21&gt;=INDEX('Methodology &amp; Sources'!$B$279:$J$286,0,IF(Inputs!$C$12="MFJ",1,IF(Inputs!$C$12="HoH",7,4))))*INDEX('Methodology &amp; Sources'!$B$279:$J$286,0,IF(Inputs!$C$12="MFJ",1,IF(Inputs!$C$12="HoH",7,4))+2)),SUMPRODUCT(($AH21&gt;=INDEX('Methodology &amp; Sources'!$B$269:$J$276,0,IF(Inputs!$C$12="MFJ",1,IF(Inputs!$C$12="HoH",7,4))))*INDEX('Methodology &amp; Sources'!$B$269:$J$276,0,IF(Inputs!$C$12="MFJ",1,IF(Inputs!$C$12="HoH",7,4))+2)))),IF($AN21="KS",IF($AU21="Married",SUMPRODUCT(($AZ21&gt;=INDEX('Methodology &amp; Sources'!$B$353:$J$359,0,4))*INDEX('Methodology &amp; Sources'!$B$353:$J$359,0,4+2)),SUMPRODUCT(($AZ21&gt;=INDEX('Methodology &amp; Sources'!$B$353:$J$359,0,1))*INDEX('Methodology &amp; Sources'!$B$353:$J$359,0,1+2))),IF($AN21="MD",IF(OR($AU21="Married",$AU21="Head of household"),SUMPRODUCT(($AZ21&gt;=INDEX('Methodology &amp; Sources'!$B$364:$J$370,0,1))*INDEX('Methodology &amp; Sources'!$B$364:$J$370,0,1+2)),SUMPRODUCT(($AZ21&gt;=INDEX('Methodology &amp; Sources'!$B$353:$J$359,0,7))*INDEX('Methodology &amp; Sources'!$B$353:$J$359,0,7+2)))+Inputs!$C$74,IF($AN21="MT",IF($AU21="Head of household",SUMPRODUCT(($AZ21&gt;=INDEX('Methodology &amp; Sources'!$B$387:$J$389,0,1))*INDEX('Methodology &amp; Sources'!$B$387:$J$389,0,1+2)),IF($AU21="Married",SUMPRODUCT(($AZ21&gt;=INDEX('Methodology &amp; Sources'!$B$375:$J$382,0,7))*INDEX('Methodology &amp; Sources'!$B$375:$J$382,0,7+2)),SUMPRODUCT(($AZ21&gt;=INDEX('Methodology &amp; Sources'!$B$375:$J$382,0,4))*INDEX('Methodology &amp; Sources'!$B$375:$J$382,0,4+2)))),IF($AN21="ND",IF($AU21="Head of household",SUMPRODUCT(($AZ21&gt;=INDEX('Methodology &amp; Sources'!$B$394:$J$400,0,1))*INDEX('Methodology &amp; Sources'!$B$394:$J$400,0,1+2)),IF($AU21="Married",SUMPRODUCT(($AZ21&gt;=INDEX('Methodology &amp; Sources'!$B$387:$J$389,0,7))*INDEX('Methodology &amp; Sources'!$B$387:$J$389,0,7+2)),SUMPRODUCT(($AZ21&gt;=INDEX('Methodology &amp; Sources'!$B$387:$J$389,0,4))*INDEX('Methodology &amp; Sources'!$B$387:$J$389,0,4+2)))),IF($AN21="NY",IF($AU21="Married",IF($AZ21&gt;=2155350,IF($AZ21&gt;25000000,0.117,IF($AZ21&gt;5000000,0.111,0.1045)),SUMPRODUCT(($AZ21&gt;=INDEX('Methodology &amp; Sources'!$B$434:$J$448,0,1))*INDEX('Methodology &amp; Sources'!$B$434:$J$448,0,1+2))),IF($AZ21&gt;=1077550,IF($AZ21&gt;25000000,0.117,IF($AZ21&gt;5000000,0.111,0.1045)),SUMPRODUCT(($AZ21&gt;=INDEX('Methodology &amp; Sources'!$B$417:$J$429,0,7))*INDEX('Methodology &amp; Sources'!$B$417:$J$429,0,7+2)))),"")))))))</f>
      </c>
      <c r="CB21" s="24">
        <f>IF($B21="","",IF($AN21="CA",SUMPRODUCT(($AJ21&gt;=INDEX('Methodology &amp; Sources'!$B$289:$J$298,0,IF($AU21="Married",4,IF($AU21="Head of household",7,1))))*INDEX('Methodology &amp; Sources'!$B$289:$J$298,0,IF($AU21="Married",4,IF($AU21="Head of household",7,1))+2)),IF($AN21="HI",IF($AU21="Married",SUMPRODUCT(($AZ21&gt;=INDEX('Methodology &amp; Sources'!$B$341:$J$348,0,7))*INDEX('Methodology &amp; Sources'!$B$341:$J$348,0,7+2)),SUMPRODUCT(($AZ21&gt;=INDEX('Methodology &amp; Sources'!$B$341:$J$348,0,4))*INDEX('Methodology &amp; Sources'!$B$341:$J$348,0,4+2))),IF($AN21="MN",IF($AU21="Married",SUMPRODUCT(($AZ21&gt;=INDEX('Methodology &amp; Sources'!$B$364:$J$370,0,7))*INDEX('Methodology &amp; Sources'!$B$364:$J$370,0,7+2)),SUMPRODUCT(($AZ21&gt;=INDEX('Methodology &amp; Sources'!$B$364:$J$370,0,4))*INDEX('Methodology &amp; Sources'!$B$364:$J$370,0,4+2))),IF($AN21="MO",SUMPRODUCT(($AZ21&gt;=INDEX('Methodology &amp; Sources'!$B$375:$J$382,0,1))*INDEX('Methodology &amp; Sources'!$B$375:$J$382,0,1+2)),IF($AN21="NE",MAX(IF($AU21="Married",SUMPRODUCT(($AZ21&gt;=INDEX('Methodology &amp; Sources'!$B$394:$J$400,0,7))*INDEX('Methodology &amp; Sources'!$B$394:$J$400,0,7+2)),SUMPRODUCT(($AZ21&gt;=INDEX('Methodology &amp; Sources'!$B$394:$J$400,0,4))*INDEX('Methodology &amp; Sources'!$B$394:$J$400,0,4+2))),0.015),IF($AN21="OH",IF($B21&gt;=DATE(2026,8,1),SUMPRODUCT(($AZ21&gt;=INDEX('Methodology &amp; Sources'!$B$453:$J$456,0,1))*INDEX('Methodology &amp; Sources'!$B$453:$J$456,0,1+2)),SUMPRODUCT(($AZ21&gt;=INDEX('Methodology &amp; Sources'!$B$434:$J$448,0,7))*INDEX('Methodology &amp; Sources'!$B$434:$J$448,0,7+2))),IF($AN21="OK",IF($AU21="Married",SUMPRODUCT(($AZ21&gt;=INDEX('Methodology &amp; Sources'!$B$453:$J$456,0,7))*INDEX('Methodology &amp; Sources'!$B$453:$J$456,0,7+2)),SUMPRODUCT(($AZ21&gt;=INDEX('Methodology &amp; Sources'!$B$453:$J$456,0,4))*INDEX('Methodology &amp; Sources'!$B$453:$J$456,0,4+2))),IF($AN21="RI",SUMPRODUCT(($AZ21&gt;=INDEX('Methodology &amp; Sources'!$B$461:$J$464,0,7))*INDEX('Methodology &amp; Sources'!$B$461:$J$464,0,7+2)),IF($AN21="SC",SUMPRODUCT(($AZ21&gt;=INDEX('Methodology &amp; Sources'!$B$469:$J$473,0,1))*INDEX('Methodology &amp; Sources'!$B$469:$J$473,0,1+2)),IF($AN21="VT",IF($AU21="Married",SUMPRODUCT(($AZ21&gt;=INDEX('Methodology &amp; Sources'!$B$478:$J$482,0,1))*INDEX('Methodology &amp; Sources'!$B$478:$J$482,0,1+2)),SUMPRODUCT(($AZ21&gt;=INDEX('Methodology &amp; Sources'!$B$469:$J$473,0,7))*INDEX('Methodology &amp; Sources'!$B$469:$J$473,0,7+2))),IF($AN21="WV",IF($AU21="Married",SUMPRODUCT(($AZ21&gt;=INDEX('Methodology &amp; Sources'!$B$487:$J$491,0,7))*INDEX('Methodology &amp; Sources'!$B$487:$J$491,0,7+2)),SUMPRODUCT(($AZ21&gt;=INDEX('Methodology &amp; Sources'!$B$478:$J$482,0,7))*INDEX('Methodology &amp; Sources'!$B$478:$J$482,0,7+2))),IF($AN21="IN",(0.0295+Inputs!$C$76),"")))))))))))))</f>
      </c>
      <c r="CC21" s="24">
        <f>IF($B21="","",IF($AN21="AR",SUMPRODUCT(($AZ21&gt;=INDEX('Methodology &amp; Sources'!$B$332:$J$336,0,7))*INDEX('Methodology &amp; Sources'!$B$332:$J$336,0,7+2)),IF($AN21="DE",SUMPRODUCT(($AZ21&gt;=INDEX('Methodology &amp; Sources'!$B$341:$J$348,0,1))*INDEX('Methodology &amp; Sources'!$B$341:$J$348,0,1+2)),IF($AN21="VA",SUMPRODUCT(($AZ21&gt;=INDEX('Methodology &amp; Sources'!$B$469:$J$473,0,4))*INDEX('Methodology &amp; Sources'!$B$469:$J$473,0,4+2)),IF($AN21="WI",SUMPRODUCT(($AZ21&gt;=INDEX('Methodology &amp; Sources'!$B$478:$J$482,0,4))*INDEX('Methodology &amp; Sources'!$B$478:$J$482,0,4+2)),IF($AN21="AZ",Inputs!$C$82,IF($AN21="CO",IF($AY21&gt;IF($AU21="Married",10000,5000),0.044,0),IF($AN21="IA",IF($AY21&gt;IF($AU21="Head of household",19500,IF($AU21="Married",26000,13000)),0.038,0),IF($AN21="ID",IF($AY21&gt;IF($AU21="Married",32000,16094),0.053,0),IF($AN21="IL",IF($AY21&gt;(2925*$AS21+1000*$AT21),0.0495,0),IF($AN21="KY",IF($AI21&gt;3360,0.035,0),IF($AN21="LA",0.0309,IF($AN21="MA",IF(MAX(0,$AY21-MIN(($BD20+$Q21+$R21+$S21),2000)-IF($AS21=0,0,IF($AS21=1,4400,1000*$AS21+3400)))&gt;=1107750,0.09,0.05),IF($AN21="MS",IF($AI21-IF($AU21="Head of household",3400,IF($AU21="Married",4600,2300))-Inputs!$C$85&gt;10000,0.04,0),IF($AN21="PA",0.0307,"")))))))))))))))</f>
      </c>
      <c r="CD21" s="21">
        <f>IF(YEAR(IF(Inputs!$C$7="Weekly",Inputs!$C$9+7*(($BE20+1)-1),IF(Inputs!$C$7="Biweekly",Inputs!$C$9+14*(($BE20+1)-1),IF(Inputs!$C$7="Semimonthly",DATE(YEAR(Inputs!$C$9),MONTH(Inputs!$C$9)+INT((($BE20+1)-1)/2),MIN(DAY(Inputs!$C$9),DAY(EOMONTH(DATE(YEAR(Inputs!$C$9),MONTH(Inputs!$C$9)+INT((($BE20+1)-1)/2),1),0))))+IF(MOD(($BE20+1)-1,2)=1,15,0),EDATE(Inputs!$C$9,($BE20+1)-1)))))&lt;&gt;2026,"",IF(Inputs!$C$7="Weekly",Inputs!$C$9+7*(($BE20+1)-1),IF(Inputs!$C$7="Biweekly",Inputs!$C$9+14*(($BE20+1)-1),IF(Inputs!$C$7="Semimonthly",DATE(YEAR(Inputs!$C$9),MONTH(Inputs!$C$9)+INT((($BE20+1)-1)/2),MIN(DAY(Inputs!$C$9),DAY(EOMONTH(DATE(YEAR(Inputs!$C$9),MONTH(Inputs!$C$9)+INT((($BE20+1)-1)/2),1),0))))+IF(MOD(($BE20+1)-1,2)=1,15,0),EDATE(Inputs!$C$9,($BE20+1)-1)))))</f>
      </c>
      <c r="CE21" s="21">
        <f>IF(SUMPRODUCT(MIN(IF((Inputs!$C$58:$C$67&gt;MAX($B$6:$B20))*(Inputs!$C$58:$C$67&gt;=DATE(2026,1,1))*(Inputs!$C$58:$C$67&lt;=DATE(2026,12,31)),Inputs!$C$58:$C$67,999999)))=999999,"",SUMPRODUCT(MIN(IF((Inputs!$C$58:$C$67&gt;MAX($B$6:$B20))*(Inputs!$C$58:$C$67&gt;=DATE(2026,1,1))*(Inputs!$C$58:$C$67&lt;=DATE(2026,12,31)),Inputs!$C$58:$C$67,999999))))</f>
      </c>
    </row>
    <row r="22">
      <c r="A22" t="n">
        <v>17</v>
      </c>
      <c r="B22" s="21">
        <f>IF(AND($CD22="",$CE22=""),"",IF($CE22="",$CD22,IF($CD22="",$CE22,MIN($CD22,$CE22))))</f>
      </c>
      <c r="C22" s="7">
        <f>IF($B22="","",IF($BF22=0,0,IF(Inputs!$C$4="Annual salary",ROUND($AK22/IF(AND(Inputs!$C$88="Actual paydays",MONTH(Inputs!$C$9)=1),MAX(1,MAX($BE$6:$BE$68)),Inputs!$C$8),2),$AK22)))</f>
      </c>
      <c r="D22" s="7">
        <f>IF($B22="","",SUMIF(Inputs!$C$58:$C$67,$B22,Inputs!$D$58:$D$67))</f>
      </c>
      <c r="E22" s="7">
        <f>IF($B22="","",ROUND(MAX(0,MIN(IF($AL22="Percent",$AM22*($C22+$D22),$AM22),MAX(0,Inputs!$C$91-$AC21))),2))</f>
      </c>
      <c r="F22" s="7">
        <f>IF($B22="","",ROUND(MAX(0,MIN(IF(Inputs!$C$32="Percent",Inputs!$D$32*($C22+$D22),Inputs!$D$32),MAX(0,Inputs!$C$91-$AC21-$E22))),2))</f>
      </c>
      <c r="G22" s="7">
        <f>IF($B22="","",IF($BF22=0,0,ROUND(MAX(0,MIN($BL22,Inputs!$C$92-Inputs!$C$54-$BI21)),2)))</f>
      </c>
      <c r="H22" s="7">
        <f>IF($B22="","",IF(OR($BF22=0,$BQ22=1),0,ROUND(MAX(0,MIN(IF($BS22=1,ROUND(MAX(0,MIN($BJ22,'Methodology &amp; Sources'!$C$263)-$BG21)/MAX(1,MAX($BE$6:$BE$68)-($BE21)),2),ROUND(MIN($BJ22,'Methodology &amp; Sources'!$C$263)/Inputs!$C$8,2)),MIN($BJ22,'Methodology &amp; Sources'!$C$263)-$BG21)),2)))</f>
      </c>
      <c r="I22" s="7">
        <f>IF($B22="","",IF(OR($BF22=0,$BR22=1),0,ROUND(MAX(0,MIN(IF($BT22=1,ROUND(MAX(0,MIN($BK22,IF(Inputs!$C$12="MFJ",'Methodology &amp; Sources'!$C$264,'Methodology &amp; Sources'!$C$265))-$BH21)/MAX(1,MAX($BE$6:$BE$68)-($BE21)),2),ROUND(MIN($BK22,IF(Inputs!$C$12="MFJ",'Methodology &amp; Sources'!$C$264,'Methodology &amp; Sources'!$C$265))/Inputs!$C$8,2)),MIN($BK22,IF(Inputs!$C$12="MFJ",'Methodology &amp; Sources'!$C$264,'Methodology &amp; Sources'!$C$265))-$BH21)),2)))</f>
      </c>
      <c r="J22" s="7">
        <f>IF($B22="","",IF($BF22=0,0,$BM22))</f>
      </c>
      <c r="K22" s="7">
        <f>IF($B22="","",IF($BF22=0,0,$BN22+$BO22))</f>
      </c>
      <c r="L22" s="7">
        <f>IF($B22="","",IF($BF22=0,0,Inputs!$D$46))</f>
      </c>
      <c r="M22" s="7">
        <f>IF($B22="","",$C22+$D22+$L22-$E22-$G22-$H22-$I22-$J22-$K22)</f>
      </c>
      <c r="N22" s="7">
        <f>IF($B22="","",$C22+$D22+$L22-$G22-$H22-$I22-$J22-$K22)</f>
      </c>
      <c r="O22" s="7">
        <f>IF($B22="","",$C22+$D22+$L22-$E22-$H22-$I22-$J22-$K22-IF(OR($AN22="CA",$AN22="NJ"),0,$G22))</f>
      </c>
      <c r="P22" s="7">
        <f>IF($B22="","",IF(Inputs!$C$18,0,ROUND(MAX(0,IF(Inputs!$C$13,SUMPRODUCT(($AH22&gt;INDEX('Methodology &amp; Sources'!$B$279:$J$286,0,IF(Inputs!$C$12="MFJ",1,IF(Inputs!$C$12="HoH",7,4))))*($AH22-INDEX('Methodology &amp; Sources'!$B$279:$J$286,0,IF(Inputs!$C$12="MFJ",1,IF(Inputs!$C$12="HoH",7,4))))*INDEX('Methodology &amp; Sources'!$B$279:$J$286,0,IF(Inputs!$C$12="MFJ",1,IF(Inputs!$C$12="HoH",7,4))+2)),SUMPRODUCT(($AH22&gt;INDEX('Methodology &amp; Sources'!$B$269:$J$276,0,IF(Inputs!$C$12="MFJ",1,IF(Inputs!$C$12="HoH",7,4))))*($AH22-INDEX('Methodology &amp; Sources'!$B$269:$J$276,0,IF(Inputs!$C$12="MFJ",1,IF(Inputs!$C$12="HoH",7,4))))*INDEX('Methodology &amp; Sources'!$B$269:$J$276,0,IF(Inputs!$C$12="MFJ",1,IF(Inputs!$C$12="HoH",7,4))+2)))/Inputs!$C$8-$AO22/Inputs!$C$8)+$AR22+IF(Inputs!$C$89="Aggregate",MAX(0,IF(Inputs!$C$13,SUMPRODUCT((($AH22+$D22)&gt;INDEX('Methodology &amp; Sources'!$B$279:$J$286,0,IF(Inputs!$C$12="MFJ",1,IF(Inputs!$C$12="HoH",7,4))))*(($AH22+$D22)-INDEX('Methodology &amp; Sources'!$B$279:$J$286,0,IF(Inputs!$C$12="MFJ",1,IF(Inputs!$C$12="HoH",7,4))))*INDEX('Methodology &amp; Sources'!$B$279:$J$286,0,IF(Inputs!$C$12="MFJ",1,IF(Inputs!$C$12="HoH",7,4))+2)),SUMPRODUCT((($AH22+$D22)&gt;INDEX('Methodology &amp; Sources'!$B$269:$J$276,0,IF(Inputs!$C$12="MFJ",1,IF(Inputs!$C$12="HoH",7,4))))*(($AH22+$D22)-INDEX('Methodology &amp; Sources'!$B$269:$J$276,0,IF(Inputs!$C$12="MFJ",1,IF(Inputs!$C$12="HoH",7,4))))*INDEX('Methodology &amp; Sources'!$B$269:$J$276,0,IF(Inputs!$C$12="MFJ",1,IF(Inputs!$C$12="HoH",7,4))+2)))-IF(Inputs!$C$13,SUMPRODUCT(($AH22&gt;INDEX('Methodology &amp; Sources'!$B$279:$J$286,0,IF(Inputs!$C$12="MFJ",1,IF(Inputs!$C$12="HoH",7,4))))*($AH22-INDEX('Methodology &amp; Sources'!$B$279:$J$286,0,IF(Inputs!$C$12="MFJ",1,IF(Inputs!$C$12="HoH",7,4))))*INDEX('Methodology &amp; Sources'!$B$279:$J$286,0,IF(Inputs!$C$12="MFJ",1,IF(Inputs!$C$12="HoH",7,4))+2)),SUMPRODUCT(($AH22&gt;INDEX('Methodology &amp; Sources'!$B$269:$J$276,0,IF(Inputs!$C$12="MFJ",1,IF(Inputs!$C$12="HoH",7,4))))*($AH22-INDEX('Methodology &amp; Sources'!$B$269:$J$276,0,IF(Inputs!$C$12="MFJ",1,IF(Inputs!$C$12="HoH",7,4))))*INDEX('Methodology &amp; Sources'!$B$269:$J$276,0,IF(Inputs!$C$12="MFJ",1,IF(Inputs!$C$12="HoH",7,4))+2)))),'Methodology &amp; Sources'!$C$260*$D22),2)))</f>
      </c>
      <c r="Q22" s="7">
        <f>IF($B22="","",ROUND('Methodology &amp; Sources'!$C$254*MIN($N22,MAX(0,'Methodology &amp; Sources'!$C$253-($AX22+$AB21-$AW22))),2))</f>
      </c>
      <c r="R22" s="7">
        <f>IF($B22="","",ROUND('Methodology &amp; Sources'!$C$255*$N22,2))</f>
      </c>
      <c r="S22" s="7">
        <f>IF($B22="","",ROUND('Methodology &amp; Sources'!$C$256*MAX(0,MIN($N22,$AG21+$N22-'Methodology &amp; Sources'!$C$257)),2))</f>
      </c>
      <c r="T22" s="7">
        <f>IF($B22="","",IF(Inputs!$C$26,0,IF($AN22="CA",ROUND(IF($AI22&lt;=IF(($AS22+$AT22)&gt;=2,VLOOKUP($AN22,'StateTables 2026'!$A$6:$AB$56,10,FALSE),VLOOKUP($AN22,'StateTables 2026'!$A$6:$AB$56,9,FALSE)),0,MAX(0,SUMPRODUCT(($AJ22&gt;INDEX('Methodology &amp; Sources'!$B$289:$J$298,0,IF($AU22="Married",4,IF($AU22="Head of household",7,1))))*($AJ22-INDEX('Methodology &amp; Sources'!$B$289:$J$298,0,IF($AU22="Married",4,IF($AU22="Head of household",7,1))))*INDEX('Methodology &amp; Sources'!$B$289:$J$298,0,IF($AU22="Married",4,IF($AU22="Head of household",7,1))+2))-VLOOKUP($AN22,'StateTables 2026'!$A$6:$AB$56,11,FALSE)*$AS22)/Inputs!$C$8)+Inputs!$C$25+VLOOKUP($AN22,'StateTables 2026'!$A$6:$AB$56,13,FALSE)*$D22,2),IF(VLOOKUP($AN22,'StateTables 2026'!$A$6:$AB$56,4,FALSE)="None",0,IF(ISNUMBER(SEARCH("MANUAL",VLOOKUP($AN22,'StateTables 2026'!$A$6:$AB$56,5,FALSE))),Inputs!$C$28,ROUND(MAX(0,$BA22+$BB22)/Inputs!$C$8+Inputs!$C$25+$BC22,2))))))</f>
      </c>
      <c r="U22" s="7">
        <f>IF($B22="","",IF(VLOOKUP($AN22,'StateTables 2026'!$A$6:$AB$56,24,FALSE)="flatq",IF(OR(MONTH($B22)=1,MONTH($B22)=4,MONTH($B22)=7,MONTH($B22)=10),VLOOKUP($AN22,'StateTables 2026'!$A$6:$AB$56,25,FALSE),0),IF(VLOOKUP($AN22,'StateTables 2026'!$A$6:$AB$56,24,FALSE)="dbl",MIN(ROUND(0.005*$N22,2),ROUND(0.6*52/Inputs!$C$8,2)),IF(OR(VLOOKUP($AN22,'StateTables 2026'!$A$6:$AB$56,15,FALSE)="",VLOOKUP($AN22,'StateTables 2026'!$A$6:$AB$56,15,FALSE)=0),0,ROUND(VLOOKUP($AN22,'StateTables 2026'!$A$6:$AB$56,15,FALSE)*IF(OR(VLOOKUP($AN22,'StateTables 2026'!$A$6:$AB$56,16,FALSE)="",VLOOKUP($AN22,'StateTables 2026'!$A$6:$AB$56,16,FALSE)=0),$N22,MIN($N22,MAX(0,VLOOKUP($AN22,'StateTables 2026'!$A$6:$AB$56,16,FALSE)-($AX22+$AB21-$AW22)))),2))))+IF(VLOOKUP($AN22,'StateTables 2026'!$A$6:$AB$56,27,FALSE)="flatq",IF(OR(MONTH($B22)=1,MONTH($B22)=4,MONTH($B22)=7,MONTH($B22)=10),VLOOKUP($AN22,'StateTables 2026'!$A$6:$AB$56,28,FALSE),0),IF(VLOOKUP($AN22,'StateTables 2026'!$A$6:$AB$56,27,FALSE)="dbl",MIN(ROUND(0.005*$N22,2),ROUND(0.6*52/Inputs!$C$8,2)),IF(OR(VLOOKUP($AN22,'StateTables 2026'!$A$6:$AB$56,18,FALSE)="",VLOOKUP($AN22,'StateTables 2026'!$A$6:$AB$56,18,FALSE)=0),0,ROUND(VLOOKUP($AN22,'StateTables 2026'!$A$6:$AB$56,18,FALSE)*IF(OR(VLOOKUP($AN22,'StateTables 2026'!$A$6:$AB$56,19,FALSE)="",VLOOKUP($AN22,'StateTables 2026'!$A$6:$AB$56,19,FALSE)=0),$N22,MIN($N22,MAX(0,VLOOKUP($AN22,'StateTables 2026'!$A$6:$AB$56,19,FALSE)-($AX22+$AB21-$AW22)))),2)))))</f>
      </c>
      <c r="V22" s="7">
        <f>IF($B22="","",IF($AN22="NY",IF(Inputs!$C$78,ROUND(SUMPRODUCT((MAX(0,($O22-$D22)*Inputs!$C$8-(IF($AU22="Married",5500,5000)+1000*$AS22))&gt;INDEX('Methodology &amp; Sources'!$B$434:$J$448,0,4))*(MAX(0,($O22-$D22)*Inputs!$C$8-(IF($AU22="Married",5500,5000)+1000*$AS22))-INDEX('Methodology &amp; Sources'!$B$434:$J$448,0,4))*INDEX('Methodology &amp; Sources'!$B$434:$J$448,0,4+2))/Inputs!$C$8+0.0425*$D22,2),0)+IF(Inputs!$C$79="Resident",ROUND(0.1675*$T22,2),IF(Inputs!$C$79="Nonresident",ROUND(0.005*MAX(0,($O22-$D22)-(IF($AU22="Married",7950,7400)+1000*$AS22)/Inputs!$C$8),2),0)),IF($AN22="PA",IF(Inputs!$C$80="None",Inputs!$C$27+ROUND(Inputs!$C$81*($C22+$D22),2),ROUND(IF(Inputs!$C$80="Resident",IF($B22&lt;DATE(2026,7,1),0.0374,0.03735),IF($B22&lt;DATE(2026,7,1),0.0343,0.03425))*($C22+$D22),2)),IF($BF22=0,ROUND(Inputs!$C$81*($C22+$D22),2),Inputs!$C$27+ROUND(Inputs!$C$81*($C22+$D22),2)))))</f>
      </c>
      <c r="W22" s="7">
        <f>IF($B22="","",IF($BF22=0,0,$BP22))</f>
      </c>
      <c r="X22" s="7">
        <f>IF($B22="","",SUM($E22:$K22)+$P22+$Q22+$R22+$S22+$T22+$U22+$V22+$W22)</f>
      </c>
      <c r="Y22" s="22">
        <f>IF($B22="","",$C22+$D22-$X22)</f>
      </c>
      <c r="Z22" s="7">
        <f>IF($B22="","",$Z21+$C22+$D22)</f>
      </c>
      <c r="AA22" s="7">
        <f>IF($B22="","",$AA21+$Y22)</f>
      </c>
      <c r="AB22" s="7">
        <f>IF($B22="","",$AB21+MIN($N22,MAX(0,'Methodology &amp; Sources'!$C$253-($AX22+$AB21-$AW22))))</f>
      </c>
      <c r="AC22" s="7">
        <f>IF($B22="","",$AC21+$E22+$F22)</f>
      </c>
      <c r="AD22" s="3">
        <f>IF($B22="","",IF(AND($AB21&lt;'Methodology &amp; Sources'!$C$253,$AB22&gt;='Methodology &amp; Sources'!$C$253),"★ Social Security maxed on this check — from the next check your net rises by about $"&amp;TEXT(ROUND('Methodology &amp; Sources'!$C$254*$N22,2),"#,##0.00")&amp;". ","")&amp;IF(AND($AC21&lt;Inputs!$C$91,$AC22&gt;=Inputs!$C$91),"★ 401(k) reaches the $"&amp;TEXT(Inputs!$C$91,"#,##0")&amp;" cap on this check — deferrals stop and net pay rises. ","")&amp;IF(AND($AG21&lt;'Methodology &amp; Sources'!$C$257,$AG22&gt;='Methodology &amp; Sources'!$C$257),"★ Wages pass $200,000 — the 0.9% Additional Medicare Tax starts here. ","")&amp;IF(AND($BJ22&gt;0,$H22&gt;0,$BG21&lt;MIN($BJ22,'Methodology &amp; Sources'!$C$263),$BG21+$H22&gt;=MIN($BJ22,'Methodology &amp; Sources'!$C$263)),"★ Health FSA election is now fully deferred for the year. ",""))</f>
      </c>
      <c r="AE22" s="41" t="n"/>
      <c r="AF22" s="7">
        <f>IF(OR($B22="",$AE22=""),"",$AE22-$Y22)</f>
      </c>
      <c r="AG22" s="7">
        <f>IF($B22="","",$AG21+$N22)</f>
      </c>
      <c r="AH22" s="7">
        <f>IF($B22="","",MAX(0,($M22-$D22)*Inputs!$C$8+$AP22-$AQ22-IF(Inputs!$C$13,0,IF(Inputs!$C$12="MFJ",'Methodology &amp; Sources'!$C$258,'Methodology &amp; Sources'!$C$259))))</f>
      </c>
      <c r="AI22" s="7">
        <f>IF($B22="","",$O22*Inputs!$C$8)</f>
      </c>
      <c r="AJ22" s="7">
        <f>IF($B22="","",MAX(0,$AI22-VLOOKUP($AN22,'StateTables 2026'!$A$6:$AB$56,12,FALSE)*$AT22-IF(($AS22+$AT22)&gt;=2,VLOOKUP($AN22,'StateTables 2026'!$A$6:$AB$56,8,FALSE),VLOOKUP($AN22,'StateTables 2026'!$A$6:$AB$56,7,FALSE))))</f>
      </c>
      <c r="AK22" s="7">
        <f>IF($B22="","",IFERROR(LOOKUP(2,1/((Events!$C$6:$C$17="Salary change")*(Events!$B$6:$B$17&lt;=$B22)*(Events!$B$6:$B$17&lt;&gt;"")),Events!$D$6:$D$17),IF(Inputs!$C$4="Annual salary",Inputs!$C$5,Inputs!$C$6)))</f>
      </c>
      <c r="AL22">
        <f>IF($B22="","",IFERROR(LOOKUP(2,1/((Events!$C$6:$C$17="401(k) change")*(Events!$B$6:$B$17&lt;=$B22)*(Events!$B$6:$B$17&lt;&gt;"")),Events!$D$6:$D$17),Inputs!$C$30))</f>
      </c>
      <c r="AM22" s="7">
        <f>IF($B22="","",IFERROR(LOOKUP(2,1/((Events!$C$6:$C$17="401(k) change")*(Events!$B$6:$B$17&lt;=$B22)*(Events!$B$6:$B$17&lt;&gt;"")),Events!$E$6:$E$17),Inputs!$D$30))</f>
      </c>
      <c r="AN22">
        <f>IF($B22="","",IFERROR(LOOKUP(2,1/((Events!$C$6:$C$17="State move")*(Events!$B$6:$B$17&lt;=$B22)*(Events!$B$6:$B$17&lt;&gt;"")),Events!$D$6:$D$17),Inputs!$C$21))</f>
      </c>
      <c r="AO22" s="7">
        <f>IF($B22="","",IFERROR(LOOKUP(2,1/((Events!$C$6:$C$17="W-4 change")*(Events!$B$6:$B$17&lt;=$B22)*(Events!$B$6:$B$17&lt;&gt;"")),Events!$D$6:$D$17),Inputs!$C$14))</f>
      </c>
      <c r="AP22" s="7">
        <f>IF($B22="","",IFERROR(LOOKUP(2,1/((Events!$C$6:$C$17="W-4 change")*(Events!$B$6:$B$17&lt;=$B22)*(Events!$B$6:$B$17&lt;&gt;"")),Events!$E$6:$E$17),Inputs!$C$15))</f>
      </c>
      <c r="AQ22" s="7">
        <f>IF($B22="","",IFERROR(LOOKUP(2,1/((Events!$C$6:$C$17="W-4 change")*(Events!$B$6:$B$17&lt;=$B22)*(Events!$B$6:$B$17&lt;&gt;"")),Events!$F$6:$F$17),Inputs!$C$16))</f>
      </c>
      <c r="AR22" s="7">
        <f>IF($B22="","",IFERROR(LOOKUP(2,1/((Events!$C$6:$C$17="W-4 change")*(Events!$B$6:$B$17&lt;=$B22)*(Events!$B$6:$B$17&lt;&gt;"")),Events!$G$6:$G$17),Inputs!$C$17))</f>
      </c>
      <c r="AS22" s="6">
        <f>IF($B22="","",IFERROR(LOOKUP(2,1/(((Events!$C$6:$C$17="State move")+(Events!$C$6:$C$17="State cert change"))*(Events!$B$6:$B$17&lt;=$B22)*(Events!$B$6:$B$17&lt;&gt;"")),Events!$F$6:$F$17),Inputs!$C$23))</f>
      </c>
      <c r="AT22" s="6">
        <f>IF($B22="","",IFERROR(LOOKUP(2,1/(((Events!$C$6:$C$17="State move")+(Events!$C$6:$C$17="State cert change"))*(Events!$B$6:$B$17&lt;=$B22)*(Events!$B$6:$B$17&lt;&gt;"")),Events!$G$6:$G$17),Inputs!$C$24))</f>
      </c>
      <c r="AU22">
        <f>IF($B22="","",IFERROR(LOOKUP(2,1/((Events!$C$6:$C$17="State move")*(Events!$B$6:$B$17&lt;=$B22)*(Events!$B$6:$B$17&lt;&gt;"")),Events!$E$6:$E$17),Inputs!$C$22))</f>
      </c>
      <c r="AV22" s="6">
        <f>IF($B22="","",1+COUNTIFS(Events!$C$6:$C$17,"Employer change",Events!$B$6:$B$17,"&lt;="&amp;$B22,Events!$B$6:$B$17,"&lt;&gt;"))</f>
      </c>
      <c r="AW22" s="7">
        <f>IF($B22="","",IF($AV22=1,Inputs!$C$49,IF(IFERROR(MATCH(IFERROR(LOOKUP(2,1/((Events!$C$6:$C$17="Employer change")*(Events!$B$6:$B$17&lt;=$B22)*(Events!$B$6:$B$17&lt;&gt;"")),Events!$B$6:$B$17),""),$B$6:$B$68,1),1)&lt;=1,Inputs!$C$49,INDEX($AB$6:$AB$68,MATCH(IFERROR(LOOKUP(2,1/((Events!$C$6:$C$17="Employer change")*(Events!$B$6:$B$17&lt;=$B22)*(Events!$B$6:$B$17&lt;&gt;"")),Events!$B$6:$B$17),""),$B$6:$B$68,1)-1))))</f>
      </c>
      <c r="AX22" s="7">
        <f>IF($B22="","",IF($AV22=1,Inputs!$C$49,IFERROR(LOOKUP(2,1/((Events!$C$6:$C$17="Employer change")*(Events!$B$6:$B$17&lt;=$B22)*(Events!$B$6:$B$17&lt;&gt;"")),Events!$D$6:$D$17),0)))</f>
      </c>
      <c r="AY22" s="7">
        <f>IF($B22="","",($O22-$D22)*Inputs!$C$8)</f>
      </c>
      <c r="AZ22" s="7">
        <f>IF($B22="","",IF($AN22="AL",MAX(0,$AY22-IF($AU22="Married",IF($AY22&lt;=25999,8500,MAX(5000,8500-175*CEILING(($AY22-25999)/500,1))),IF($AU22="Head of household",IF($AY22&lt;=25999,5200,MAX(2500,5200-135*CEILING(($AY22-25999)/500,1))),IF($AY22&lt;=25999,3000,MAX(2500,3000-25*CEILING(($AY22-25999)/500,1)))))-($P22-'Methodology &amp; Sources'!$C$260*$D22)*Inputs!$C$8-IF(OR($AU22="Married",$AU22="Head of household"),3000,1500)-$AT22*IF($AY22&lt;=50000,1000,IF($AY22&lt;=100000,500,300))),IF($AN22="AR",IF(MAX(0,$AY22-2470)&lt;97701,INT(MAX(0,$AY22-2470)/100)*100+50,MAX(0,$AY22-2470)),IF($AN22="DE",MAX(0,$AI22-3250),IF($AN22="HI",MAX(0,$AI22-1144*$AS22-4350),IF($AN22="KS",MAX(0,$AI22-(9160*IF($AU22="Married",2,1)+2320*$AT22+IF($AU22="Head of household",2320,0))),IF($AN22="MD",MAX(0,$AI22-3400-3200*$AS22),IF($AN22="MN",MAX(0,$AY22-5300*$AS22),IF($AN22="MO",MAX(0,$AI22-IF($AU22="Head of household",24150,IF($AU22="Married",IF(Inputs!$C$83,16100,32200),16100))),IF($AN22="MT",$AY22,IF($AN22="ND",($C22+$L22)*Inputs!$C$8,IF($AN22="NE",MAX(0,$AY22-2440*$AS22),IF($AN22="NJ",MAX(0,$AY22-1000*$AS22),IF($AN22="NY",MAX(0,$AY22-(IF($AU22="Married",7950,7400)+1000*$AS22)),IF($AN22="OH",MAX(0,$AY22-650*$AS22),IF($AN22="OK",MAX(0,$AY22-1000*$AS22),IF($AN22="RI",MAX(0,$AI22-1000*$AS22),IF($AN22="SC",MAX(0,$AI22-5000*$AS22-IF($AS22=0,0,MIN(0.1*$AI22,7500))),IF($AN22="VA",MAX(0,$AI22-IF($AU22="Married",17500,8750)-930*$AS22-800*$AT22),IF($AN22="VT",MAX(0,$AI22-5400*$AS22),IF($AN22="WI",MAX(0,$AI22-MAX(0,IF($AU22="Married",9461-0.2*MAX(0,$AI22-25727),6702-0.12*MAX(0,$AI22-17780)))-400*$AS22),IF($AN22="WV",MAX(0,$AI22-2000*$AS22),$AI22))))))))))))))))))))))</f>
      </c>
      <c r="BA22" s="7">
        <f>IF($B22="","",IF($BW22&lt;&gt;"",$BW22,IF($BX22&lt;&gt;"",$BX22,IF($BY22&lt;&gt;"",$BY22,0))))</f>
      </c>
      <c r="BB22" s="7">
        <f>IF($B22="","",IF($AN22="AR",-29*$AS22,IF($AN22="DE",-110*$AS22,IF($AN22="MD",$AZ22*Inputs!$C$74,IF($AN22="AZ",Inputs!$C$82*($M22-$D22)*Inputs!$C$8,IF($AN22="CO",0.044*MAX(0,$AY22-IF($AU22="Married",10000,5000)),IF($AN22="IA",MAX(0,0.038*MAX(0,$AY22-IF($AU22="Head of household",19500,IF($AU22="Married",26000,13000)))-40*$AS22),IF($AN22="ID",0.053*MAX(0,$AY22-IF($AU22="Married",32000,16094)),IF($AN22="IL",0.0495*MAX(0,$AY22-(2925*$AS22+1000*$AT22)),IF($AN22="IN",(0.0295+Inputs!$C$76)*MAX(0,$AY22-(1000*$AS22+1500*$AT22+3000*Inputs!$C$86)),IF($AN22="KY",0.035*MAX(0,$AI22-3360),IF($AN22="LA",IF(Inputs!$C$84="0",0.0309*$AI22,0.0309*MAX(0,$AI22-IF(Inputs!$C$84="2",25750,12875))),IF($AN22="MA",0.05*MIN(MAX(0,$AY22-MIN(($BD21+$Q22+$R22+$S22),2000)-IF($AS22=0,0,IF($AS22=1,4400,1000*$AS22+3400))),1107750)+0.09*MAX(0,MAX(0,$AY22-MIN(($BD21+$Q22+$R22+$S22),2000)-IF($AS22=0,0,IF($AS22=1,4400,1000*$AS22+3400)))-1107750)-IF($AU22="Head of household",120,0)-110*Inputs!$C$75,IF($AN22="MI",0.0425*MAX(0,$AY22-5900*$AS22),IF($AN22="MS",0.04*MAX(0,$AI22-IF($AU22="Head of household",3400,IF($AU22="Married",4600,2300))-Inputs!$C$85-10000),IF($AN22="OR",IF(OR($AU22="Married",AND($AU22="Single",$AS22&gt;=3)),SUMPRODUCT((MAX(0,$AY22-MIN(($P22-'Methodology &amp; Sources'!$C$260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Sources'!$B$461:$J$464,0,4))*(MAX(0,$AY22-MIN(($P22-'Methodology &amp; Sources'!$C$260*$D22)*Inputs!$C$8,IF(OR($AU22="Married",AND($AU22="Single",$AS22&gt;=3)),IF($AY22&lt;250000,8750,IF($AY22&lt;260000,7000,IF($AY22&lt;270000,5250,IF($AY22&lt;280000,3500,IF($AY22&lt;290000,1750,0))))),IF($AY22&lt;125000,8750,IF($AY22&lt;130000,7000,IF($AY22&lt;135000,5250,IF($AY22&lt;140000,3500,IF($AY22&lt;145000,1750,0)))))))-IF(OR($AU22="Married",AND($AU22="Single",$AS22&gt;=3)),5820,2910))-INDEX('Methodology &amp; Sources'!$B$461:$J$464,0,4))*INDEX('Methodology &amp; Sources'!$B$461:$J$464,0,4+2)),SUMPRODUCT((MAX(0,$AY22-MIN(($P22-'Methodology &amp; Sources'!$C$260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Sources'!$B$461:$J$464,0,1))*(MAX(0,$AY22-MIN(($P22-'Methodology &amp; Sources'!$C$260*$D22)*Inputs!$C$8,IF(OR($AU22="Married",AND($AU22="Single",$AS22&gt;=3)),IF($AY22&lt;250000,8750,IF($AY22&lt;260000,7000,IF($AY22&lt;270000,5250,IF($AY22&lt;280000,3500,IF($AY22&lt;290000,1750,0))))),IF($AY22&lt;125000,8750,IF($AY22&lt;130000,7000,IF($AY22&lt;135000,5250,IF($AY22&lt;140000,3500,IF($AY22&lt;145000,1750,0)))))))-IF(OR($AU22="Married",AND($AU22="Single",$AS22&gt;=3)),5820,2910))-INDEX('Methodology &amp; Sources'!$B$461:$J$464,0,1))*INDEX('Methodology &amp; Sources'!$B$461:$J$464,0,1+2)))+263-263*IF(IF($AU22="Married",$AY22&gt;200000,$AY22&gt;100000),0,$AS22),IF($AN22="PA",0.0307*(($O22+$E22+$G22)*Inputs!$C$8),IF($AN22="NY",IF($AU22="Married",IF($AZ22&gt;=2155350,0,IF($AZ22&gt;=1077550,0.48,IF($AZ22&gt;=373200,1.21,IF($AZ22&gt;=323200,0.21,IF($AZ22&gt;=211550,-0.19,IF($AZ22&gt;=157650,-2.8,IF($AZ22&gt;=107650,-0.8,IF($AZ22&gt;=96800,0.05,IF($AZ22&gt;=80650,-0.1,IF($AZ22&gt;=13900,0.4,IF($AZ22&gt;=11700,-0.3,IF($AZ22&gt;=8500,0.5,0)))))))))))),IF($AZ22&gt;=1077550,0,IF($AZ22&gt;=265400,4.29,IF($AZ22&gt;=215400,2.29,IF($AZ22&gt;=157650,2.29,IF($AZ22&gt;=107650,0.29,IF($AZ22&gt;=96800,0.05,IF($AZ22&gt;=80650,-0.1,IF($AZ22&gt;=13900,0.4,IF($AZ22&gt;=11700,-0.3,IF($AZ22&gt;=8500,0.5,0))))))))))),0))))))))))))))))))</f>
      </c>
      <c r="BC22" s="7">
        <f>IF($B22="","",IF($AN22="AL",0.05*$D22,IF($AN22="AR",0.039*$D22,IF($AN22="ID",0.053*$D22,IF($AN22="IN",(0.0295+Inputs!$C$76)*$D22,IF($AN22="KS",0.05*$D22,IF($AN22="MA",0.09*MIN($D22,MAX(0,MAX(0,$AY22-MIN(($BD21+$Q22+$R22+$S22),2000)-IF($AS22=0,0,IF($AS22=1,4400,1000*$AS22+3400)))+$D22-1107750))+0.05*($D22-MIN($D22,MAX(0,MAX(0,$AY22-MIN(($BD21+$Q22+$R22+$S22),2000)-IF($AS22=0,0,IF($AS22=1,4400,1000*$AS22+3400)))+$D22-1107750))),IF($AN22="MD",(0.065+Inputs!$C$74)*$D22,IF($AN22="MI",0.0425*$D22,IF($AN22="MN",0.0625*$D22,IF($AN22="MO",0.047*$D22,IF($AN22="MT",0.05*$D22,IF($AN22="ND",0.015*$D22,IF($AN22="NE",0.035*$D22,IF($AN22="NJ",IF(Inputs!$C$77="B",SUMPRODUCT(($D22*Inputs!$C$8&gt;INDEX('Methodology &amp; Sources'!$B$405:$J$412,0,4))*($D22*Inputs!$C$8-INDEX('Methodology &amp; Sources'!$B$405:$J$412,0,4))*INDEX('Methodology &amp; Sources'!$B$405:$J$412,0,4+2)),IF(Inputs!$C$77="C",SUMPRODUCT(($D22*Inputs!$C$8&gt;INDEX('Methodology &amp; Sources'!$B$405:$J$412,0,7))*($D22*Inputs!$C$8-INDEX('Methodology &amp; Sources'!$B$405:$J$412,0,7))*INDEX('Methodology &amp; Sources'!$B$405:$J$412,0,7+2)),IF(Inputs!$C$77="D",SUMPRODUCT(($D22*Inputs!$C$8&gt;INDEX('Methodology &amp; Sources'!$B$417:$J$429,0,1))*($D22*Inputs!$C$8-INDEX('Methodology &amp; Sources'!$B$417:$J$429,0,1))*INDEX('Methodology &amp; Sources'!$B$417:$J$429,0,1+2)),IF(Inputs!$C$77="E",SUMPRODUCT(($D22*Inputs!$C$8&gt;INDEX('Methodology &amp; Sources'!$B$417:$J$429,0,4))*($D22*Inputs!$C$8-INDEX('Methodology &amp; Sources'!$B$417:$J$429,0,4))*INDEX('Methodology &amp; Sources'!$B$417:$J$429,0,4+2)),SUMPRODUCT(($D22*Inputs!$C$8&gt;INDEX('Methodology &amp; Sources'!$B$405:$J$412,0,1))*($D22*Inputs!$C$8-INDEX('Methodology &amp; Sources'!$B$405:$J$412,0,1))*INDEX('Methodology &amp; Sources'!$B$405:$J$412,0,1+2))))))/Inputs!$C$8,IF($AN22="NY",0.117*$D22,IF($AN22="OH",0.0275*$D22,IF($AN22="OK",0.045*$D22,IF($AN22="OR",0.08*$D22,IF($AN22="WI",IF($AY22&lt;12760,0.0354,IF($AY22&lt;25520,0.0465,IF($AY22&lt;280950,0.053,0.0765)))*$D22,0))))))))))))))))))))</f>
      </c>
      <c r="BD22" s="7">
        <f>IF($B22="","",$BD21+$Q22+$R22+$S22)</f>
      </c>
      <c r="BE22" s="6">
        <f>IF($B22="",$BE21,$BE21+$BF22)</f>
      </c>
      <c r="BF22" s="6">
        <f>IF($B22="","",IF(AND(IF(YEAR(IF(Inputs!$C$7="Weekly",Inputs!$C$9+7*(($BE21+1)-1),IF(Inputs!$C$7="Biweekly",Inputs!$C$9+14*(($BE21+1)-1),IF(Inputs!$C$7="Semimonthly",DATE(YEAR(Inputs!$C$9),MONTH(Inputs!$C$9)+INT((($BE21+1)-1)/2),MIN(DAY(Inputs!$C$9),DAY(EOMONTH(DATE(YEAR(Inputs!$C$9),MONTH(Inputs!$C$9)+INT((($BE21+1)-1)/2),1),0))))+IF(MOD(($BE21+1)-1,2)=1,15,0),EDATE(Inputs!$C$9,($BE21+1)-1)))))&lt;&gt;2026,"",IF(Inputs!$C$7="Weekly",Inputs!$C$9+7*(($BE21+1)-1),IF(Inputs!$C$7="Biweekly",Inputs!$C$9+14*(($BE21+1)-1),IF(Inputs!$C$7="Semimonthly",DATE(YEAR(Inputs!$C$9),MONTH(Inputs!$C$9)+INT((($BE21+1)-1)/2),MIN(DAY(Inputs!$C$9),DAY(EOMONTH(DATE(YEAR(Inputs!$C$9),MONTH(Inputs!$C$9)+INT((($BE21+1)-1)/2),1),0))))+IF(MOD(($BE21+1)-1,2)=1,15,0),EDATE(Inputs!$C$9,($BE21+1)-1)))))&lt;&gt;"",$B22=IF(YEAR(IF(Inputs!$C$7="Weekly",Inputs!$C$9+7*(($BE21+1)-1),IF(Inputs!$C$7="Biweekly",Inputs!$C$9+14*(($BE21+1)-1),IF(Inputs!$C$7="Semimonthly",DATE(YEAR(Inputs!$C$9),MONTH(Inputs!$C$9)+INT((($BE21+1)-1)/2),MIN(DAY(Inputs!$C$9),DAY(EOMONTH(DATE(YEAR(Inputs!$C$9),MONTH(Inputs!$C$9)+INT((($BE21+1)-1)/2),1),0))))+IF(MOD(($BE21+1)-1,2)=1,15,0),EDATE(Inputs!$C$9,($BE21+1)-1)))))&lt;&gt;2026,"",IF(Inputs!$C$7="Weekly",Inputs!$C$9+7*(($BE21+1)-1),IF(Inputs!$C$7="Biweekly",Inputs!$C$9+14*(($BE21+1)-1),IF(Inputs!$C$7="Semimonthly",DATE(YEAR(Inputs!$C$9),MONTH(Inputs!$C$9)+INT((($BE21+1)-1)/2),MIN(DAY(Inputs!$C$9),DAY(EOMONTH(DATE(YEAR(Inputs!$C$9),MONTH(Inputs!$C$9)+INT((($BE21+1)-1)/2),1),0))))+IF(MOD(($BE21+1)-1,2)=1,15,0),EDATE(Inputs!$C$9,($BE21+1)-1)))))),1,0))</f>
      </c>
      <c r="BG22" s="7">
        <f>IF($B22="","",$BG21+$H22)</f>
      </c>
      <c r="BH22" s="7">
        <f>IF($B22="","",$BH21+$I22)</f>
      </c>
      <c r="BI22" s="7">
        <f>IF($B22="","",$BI21+$G22)</f>
      </c>
      <c r="BJ22" s="7">
        <f>IF($B22="","",IFERROR(LOOKUP(2,1/((((Events!$C$6:$C$17="Deduction start"))*(Events!$D$6:$D$17="Health FSA"))*(Events!$B$6:$B$17&lt;=$B22)*(Events!$B$6:$B$17&lt;&gt;"")),Events!$E$6:$E$17),Inputs!$D$38))</f>
      </c>
      <c r="BK22" s="7">
        <f>IF($B22="","",IFERROR(LOOKUP(2,1/((((Events!$C$6:$C$17="Deduction start"))*(Events!$D$6:$D$17="Dependent-care FSA"))*(Events!$B$6:$B$17&lt;=$B22)*(Events!$B$6:$B$17&lt;&gt;"")),Events!$E$6:$E$17),Inputs!$D$39))</f>
      </c>
      <c r="BL22" s="7">
        <f>IF($B22="","",IFERROR(LOOKUP(2,1/((((Events!$C$6:$C$17="Deduction start")+(Events!$C$6:$C$17="Deduction stop"))*(Events!$D$6:$D$17="HSA"))*(Events!$B$6:$B$17&lt;=$B22)*(Events!$B$6:$B$17&lt;&gt;"")),Events!$I$6:$I$17),Inputs!$D$35))</f>
      </c>
      <c r="BM22" s="7">
        <f>IF($B22="","",IFERROR(LOOKUP(2,1/((((Events!$C$6:$C$17="Deduction start")+(Events!$C$6:$C$17="Deduction stop"))*(Events!$D$6:$D$17="Premiums"))*(Events!$B$6:$B$17&lt;=$B22)*(Events!$B$6:$B$17&lt;&gt;"")),Events!$I$6:$I$17),Inputs!$D$40+Inputs!$D$41+Inputs!$D$42))</f>
      </c>
      <c r="BN22" s="7">
        <f>IF($B22="","",IFERROR(LOOKUP(2,1/((((Events!$C$6:$C$17="Deduction start")+(Events!$C$6:$C$17="Deduction stop"))*(Events!$D$6:$D$17="Commuter"))*(Events!$B$6:$B$17&lt;=$B22)*(Events!$B$6:$B$17&lt;&gt;"")),Events!$I$6:$I$17),Inputs!$D$43))</f>
      </c>
      <c r="BO22" s="7">
        <f>IF($B22="","",IFERROR(LOOKUP(2,1/((((Events!$C$6:$C$17="Deduction start")+(Events!$C$6:$C$17="Deduction stop"))*(Events!$D$6:$D$17="Other pre-tax"))*(Events!$B$6:$B$17&lt;=$B22)*(Events!$B$6:$B$17&lt;&gt;"")),Events!$I$6:$I$17),Inputs!$D$44))</f>
      </c>
      <c r="BP22" s="7">
        <f>IF($B22="","",IFERROR(LOOKUP(2,1/((((Events!$C$6:$C$17="Deduction start")+(Events!$C$6:$C$17="Deduction stop"))*(Events!$D$6:$D$17="Other post-tax"))*(Events!$B$6:$B$17&lt;=$B22)*(Events!$B$6:$B$17&lt;&gt;"")),Events!$I$6:$I$17),Inputs!$D$45))</f>
      </c>
      <c r="BQ22" s="6">
        <f>IF($B22="","",IFERROR(LOOKUP(2,1/((((Events!$C$6:$C$17="Deduction start")+(Events!$C$6:$C$17="Deduction stop"))*(Events!$D$6:$D$17="Health FSA"))*(Events!$B$6:$B$17&lt;=$B22)*(Events!$B$6:$B$17&lt;&gt;"")),Events!$J$6:$J$17),0))</f>
      </c>
      <c r="BR22" s="6">
        <f>IF($B22="","",IFERROR(LOOKUP(2,1/((((Events!$C$6:$C$17="Deduction start")+(Events!$C$6:$C$17="Deduction stop"))*(Events!$D$6:$D$17="Dependent-care FSA"))*(Events!$B$6:$B$17&lt;=$B22)*(Events!$B$6:$B$17&lt;&gt;"")),Events!$J$6:$J$17),0))</f>
      </c>
      <c r="BS22" s="6">
        <f>IF($B22="","",IF(SUMPRODUCT((Events!$C$6:$C$17="Deduction start")*(Events!$B$6:$B$17&lt;=$B22)*(Events!$B$6:$B$17&lt;&gt;"")*(Events!$D$6:$D$17="Health FSA"))&gt;0,1,0))</f>
      </c>
      <c r="BT22" s="6">
        <f>IF($B22="","",IF(SUMPRODUCT((Events!$C$6:$C$17="Deduction start")*(Events!$B$6:$B$17&lt;=$B22)*(Events!$B$6:$B$17&lt;&gt;"")*(Events!$D$6:$D$17="Dependent-care FSA"))&gt;0,1,0))</f>
      </c>
      <c r="BU22" s="24">
        <f>IF($B22="","",IF(Inputs!$C$13,SUMPRODUCT(($AH22&gt;=INDEX('Methodology &amp; Sources'!$B$279:$J$286,0,IF(Inputs!$C$12="MFJ",1,IF(Inputs!$C$12="HoH",7,4))))*INDEX('Methodology &amp; Sources'!$B$279:$J$286,0,IF(Inputs!$C$12="MFJ",1,IF(Inputs!$C$12="HoH",7,4))+2)),SUMPRODUCT(($AH22&gt;=INDEX('Methodology &amp; Sources'!$B$269:$J$276,0,IF(Inputs!$C$12="MFJ",1,IF(Inputs!$C$12="HoH",7,4))))*INDEX('Methodology &amp; Sources'!$B$269:$J$276,0,IF(Inputs!$C$12="MFJ",1,IF(Inputs!$C$12="HoH",7,4))+2))))</f>
      </c>
      <c r="BV22" s="24">
        <f>IF($B22="","",IF($BZ22&lt;&gt;"",$BZ22,IF($CA22&lt;&gt;"",$CA22,IF($CB22&lt;&gt;"",$CB22,IF($CC22&lt;&gt;"",$CC22,0)))))</f>
      </c>
      <c r="BW22" s="7">
        <f>IF($B22="","",IF($AN22="MD",IF(OR($AU22="Married",$AU22="Head of household"),SUMPRODUCT(($AZ22&gt;INDEX('Methodology &amp; Sources'!$B$364:$J$370,0,1))*($AZ22-INDEX('Methodology &amp; Sources'!$B$364:$J$370,0,1))*INDEX('Methodology &amp; Sources'!$B$364:$J$370,0,1+2)),SUMPRODUCT(($AZ22&gt;INDEX('Methodology &amp; Sources'!$B$353:$J$359,0,7))*($AZ22-INDEX('Methodology &amp; Sources'!$B$353:$J$359,0,7))*INDEX('Methodology &amp; Sources'!$B$353:$J$359,0,7+2))),IF($AN22="MO",SUMPRODUCT(($AZ22&gt;INDEX('Methodology &amp; Sources'!$B$375:$J$382,0,1))*($AZ22-INDEX('Methodology &amp; Sources'!$B$375:$J$382,0,1))*INDEX('Methodology &amp; Sources'!$B$375:$J$382,0,1+2)),IF($AN22="MT",IF($AU22="Head of household",SUMPRODUCT(($AZ22&gt;INDEX('Methodology &amp; Sources'!$B$387:$J$389,0,1))*($AZ22-INDEX('Methodology &amp; Sources'!$B$387:$J$389,0,1))*INDEX('Methodology &amp; Sources'!$B$387:$J$389,0,1+2)),IF($AU22="Married",SUMPRODUCT(($AZ22&gt;INDEX('Methodology &amp; Sources'!$B$375:$J$382,0,7))*($AZ22-INDEX('Methodology &amp; Sources'!$B$375:$J$382,0,7))*INDEX('Methodology &amp; Sources'!$B$375:$J$382,0,7+2)),SUMPRODUCT(($AZ22&gt;INDEX('Methodology &amp; Sources'!$B$375:$J$382,0,4))*($AZ22-INDEX('Methodology &amp; Sources'!$B$375:$J$382,0,4))*INDEX('Methodology &amp; Sources'!$B$375:$J$382,0,4+2)))),IF($AN22="ND",IF($AU22="Head of household",SUMPRODUCT(($AZ22&gt;INDEX('Methodology &amp; Sources'!$B$394:$J$400,0,1))*($AZ22-INDEX('Methodology &amp; Sources'!$B$394:$J$400,0,1))*INDEX('Methodology &amp; Sources'!$B$394:$J$400,0,1+2)),IF($AU22="Married",SUMPRODUCT(($AZ22&gt;INDEX('Methodology &amp; Sources'!$B$387:$J$389,0,7))*($AZ22-INDEX('Methodology &amp; Sources'!$B$387:$J$389,0,7))*INDEX('Methodology &amp; Sources'!$B$387:$J$389,0,7+2)),SUMPRODUCT(($AZ22&gt;INDEX('Methodology &amp; Sources'!$B$387:$J$389,0,4))*($AZ22-INDEX('Methodology &amp; Sources'!$B$387:$J$389,0,4))*INDEX('Methodology &amp; Sources'!$B$387:$J$389,0,4+2)))),IF($AN22="NJ",IF(Inputs!$C$77="B",SUMPRODUCT(($AZ22&gt;INDEX('Methodology &amp; Sources'!$B$405:$J$412,0,4))*($AZ22-INDEX('Methodology &amp; Sources'!$B$405:$J$412,0,4))*INDEX('Methodology &amp; Sources'!$B$405:$J$412,0,4+2)),IF(Inputs!$C$77="C",SUMPRODUCT(($AZ22&gt;INDEX('Methodology &amp; Sources'!$B$405:$J$412,0,7))*($AZ22-INDEX('Methodology &amp; Sources'!$B$405:$J$412,0,7))*INDEX('Methodology &amp; Sources'!$B$405:$J$412,0,7+2)),IF(Inputs!$C$77="D",SUMPRODUCT(($AZ22&gt;INDEX('Methodology &amp; Sources'!$B$417:$J$429,0,1))*($AZ22-INDEX('Methodology &amp; Sources'!$B$417:$J$429,0,1))*INDEX('Methodology &amp; Sources'!$B$417:$J$429,0,1+2)),IF(Inputs!$C$77="E",SUMPRODUCT(($AZ22&gt;INDEX('Methodology &amp; Sources'!$B$417:$J$429,0,4))*($AZ22-INDEX('Methodology &amp; Sources'!$B$417:$J$429,0,4))*INDEX('Methodology &amp; Sources'!$B$417:$J$429,0,4+2)),SUMPRODUCT(($AZ22&gt;INDEX('Methodology &amp; Sources'!$B$405:$J$412,0,1))*($AZ22-INDEX('Methodology &amp; Sources'!$B$405:$J$412,0,1))*INDEX('Methodology &amp; Sources'!$B$405:$J$412,0,1+2)))))),IF($AN22="NY",IF($AU22="Married",IF($AZ22&gt;=2155350,$AZ22*IF($AZ22&gt;25000000,0.117,IF($AZ22&gt;5000000,0.111,0.1045)),SUMPRODUCT(($AZ22&gt;INDEX('Methodology &amp; Sources'!$B$434:$J$448,0,1))*($AZ22-INDEX('Methodology &amp; Sources'!$B$434:$J$448,0,1))*INDEX('Methodology &amp; Sources'!$B$434:$J$448,0,1+2))),IF($AZ22&gt;=1077550,$AZ22*IF($AZ22&gt;25000000,0.117,IF($AZ22&gt;5000000,0.111,0.1045)),SUMPRODUCT(($AZ22&gt;INDEX('Methodology &amp; Sources'!$B$417:$J$429,0,7))*($AZ22-INDEX('Methodology &amp; Sources'!$B$417:$J$429,0,7))*INDEX('Methodology &amp; Sources'!$B$417:$J$429,0,7+2)))),"")))))))</f>
      </c>
      <c r="BX22" s="7">
        <f>IF($B22="","",IF($AN22="AL",IF(OR($AU22="Married",$AU22="Head of household"),SUMPRODUCT(($AZ22&gt;INDEX('Methodology &amp; Sources'!$B$332:$J$336,0,4))*($AZ22-INDEX('Methodology &amp; Sources'!$B$332:$J$336,0,4))*INDEX('Methodology &amp; Sources'!$B$332:$J$336,0,4+2)),SUMPRODUCT(($AZ22&gt;INDEX('Methodology &amp; Sources'!$B$332:$J$336,0,1))*($AZ22-INDEX('Methodology &amp; Sources'!$B$332:$J$336,0,1))*INDEX('Methodology &amp; Sources'!$B$332:$J$336,0,1+2))),IF($AN22="KS",IF($AU22="Married",SUMPRODUCT(($AZ22&gt;INDEX('Methodology &amp; Sources'!$B$353:$J$359,0,4))*($AZ22-INDEX('Methodology &amp; Sources'!$B$353:$J$359,0,4))*INDEX('Methodology &amp; Sources'!$B$353:$J$359,0,4+2)),SUMPRODUCT(($AZ22&gt;INDEX('Methodology &amp; Sources'!$B$353:$J$359,0,1))*($AZ22-INDEX('Methodology &amp; Sources'!$B$353:$J$359,0,1))*INDEX('Methodology &amp; Sources'!$B$353:$J$359,0,1+2))),IF($AN22="MN",IF($AU22="Married",SUMPRODUCT(($AZ22&gt;INDEX('Methodology &amp; Sources'!$B$364:$J$370,0,7))*($AZ22-INDEX('Methodology &amp; Sources'!$B$364:$J$370,0,7))*INDEX('Methodology &amp; Sources'!$B$364:$J$370,0,7+2)),SUMPRODUCT(($AZ22&gt;INDEX('Methodology &amp; Sources'!$B$364:$J$370,0,4))*($AZ22-INDEX('Methodology &amp; Sources'!$B$364:$J$370,0,4))*INDEX('Methodology &amp; Sources'!$B$364:$J$370,0,4+2))),IF($AN22="NE",MAX(IF($AU22="Married",SUMPRODUCT(($AZ22&gt;INDEX('Methodology &amp; Sources'!$B$394:$J$400,0,7))*($AZ22-INDEX('Methodology &amp; Sources'!$B$394:$J$400,0,7))*INDEX('Methodology &amp; Sources'!$B$394:$J$400,0,7+2)),SUMPRODUCT(($AZ22&gt;INDEX('Methodology &amp; Sources'!$B$394:$J$400,0,4))*($AZ22-INDEX('Methodology &amp; Sources'!$B$394:$J$400,0,4))*INDEX('Methodology &amp; Sources'!$B$394:$J$400,0,4+2))),0.015*$AZ22),IF($AN22="OH",IF($B22&gt;=DATE(2026,8,1),SUMPRODUCT(($AZ22&gt;INDEX('Methodology &amp; Sources'!$B$453:$J$456,0,1))*($AZ22-INDEX('Methodology &amp; Sources'!$B$453:$J$456,0,1))*INDEX('Methodology &amp; Sources'!$B$453:$J$456,0,1+2)),SUMPRODUCT(($AZ22&gt;INDEX('Methodology &amp; Sources'!$B$434:$J$448,0,7))*($AZ22-INDEX('Methodology &amp; Sources'!$B$434:$J$448,0,7))*INDEX('Methodology &amp; Sources'!$B$434:$J$448,0,7+2))),IF($AN22="OK",IF($AU22="Married",SUMPRODUCT(($AZ22&gt;INDEX('Methodology &amp; Sources'!$B$453:$J$456,0,7))*($AZ22-INDEX('Methodology &amp; Sources'!$B$453:$J$456,0,7))*INDEX('Methodology &amp; Sources'!$B$453:$J$456,0,7+2)),SUMPRODUCT(($AZ22&gt;INDEX('Methodology &amp; Sources'!$B$453:$J$456,0,4))*($AZ22-INDEX('Methodology &amp; Sources'!$B$453:$J$456,0,4))*INDEX('Methodology &amp; Sources'!$B$453:$J$456,0,4+2))),IF($AN22="RI",SUMPRODUCT(($AZ22&gt;INDEX('Methodology &amp; Sources'!$B$461:$J$464,0,7))*($AZ22-INDEX('Methodology &amp; Sources'!$B$461:$J$464,0,7))*INDEX('Methodology &amp; Sources'!$B$461:$J$464,0,7+2)),IF($AN22="VT",IF($AU22="Married",SUMPRODUCT(($AZ22&gt;INDEX('Methodology &amp; Sources'!$B$478:$J$482,0,1))*($AZ22-INDEX('Methodology &amp; Sources'!$B$478:$J$482,0,1))*INDEX('Methodology &amp; Sources'!$B$478:$J$482,0,1+2)),SUMPRODUCT(($AZ22&gt;INDEX('Methodology &amp; Sources'!$B$469:$J$473,0,7))*($AZ22-INDEX('Methodology &amp; Sources'!$B$469:$J$473,0,7))*INDEX('Methodology &amp; Sources'!$B$469:$J$473,0,7+2))),IF($AN22="WV",IF($AU22="Married",SUMPRODUCT(($AZ22&gt;INDEX('Methodology &amp; Sources'!$B$487:$J$491,0,7))*($AZ22-INDEX('Methodology &amp; Sources'!$B$487:$J$491,0,7))*INDEX('Methodology &amp; Sources'!$B$487:$J$491,0,7+2)),SUMPRODUCT(($AZ22&gt;INDEX('Methodology &amp; Sources'!$B$478:$J$482,0,7))*($AZ22-INDEX('Methodology &amp; Sources'!$B$478:$J$482,0,7))*INDEX('Methodology &amp; Sources'!$B$478:$J$482,0,7+2))),""))))))))))</f>
      </c>
      <c r="BY22" s="7">
        <f>IF($B22="","",IF($AN22="AR",SUMPRODUCT(($AZ22&gt;INDEX('Methodology &amp; Sources'!$B$332:$J$336,0,7))*($AZ22-INDEX('Methodology &amp; Sources'!$B$332:$J$336,0,7))*INDEX('Methodology &amp; Sources'!$B$332:$J$336,0,7+2)),IF($AN22="DE",SUMPRODUCT(($AZ22&gt;INDEX('Methodology &amp; Sources'!$B$341:$J$348,0,1))*($AZ22-INDEX('Methodology &amp; Sources'!$B$341:$J$348,0,1))*INDEX('Methodology &amp; Sources'!$B$341:$J$348,0,1+2)),IF($AN22="HI",IF($AU22="Married",SUMPRODUCT(($AZ22&gt;INDEX('Methodology &amp; Sources'!$B$341:$J$348,0,7))*($AZ22-INDEX('Methodology &amp; Sources'!$B$341:$J$348,0,7))*INDEX('Methodology &amp; Sources'!$B$341:$J$348,0,7+2)),SUMPRODUCT(($AZ22&gt;INDEX('Methodology &amp; Sources'!$B$341:$J$348,0,4))*($AZ22-INDEX('Methodology &amp; Sources'!$B$341:$J$348,0,4))*INDEX('Methodology &amp; Sources'!$B$341:$J$348,0,4+2))),IF($AN22="SC",SUMPRODUCT(($AZ22&gt;INDEX('Methodology &amp; Sources'!$B$469:$J$473,0,1))*($AZ22-INDEX('Methodology &amp; Sources'!$B$469:$J$473,0,1))*INDEX('Methodology &amp; Sources'!$B$469:$J$473,0,1+2)),IF($AN22="VA",SUMPRODUCT(($AZ22&gt;INDEX('Methodology &amp; Sources'!$B$469:$J$473,0,4))*($AZ22-INDEX('Methodology &amp; Sources'!$B$469:$J$473,0,4))*INDEX('Methodology &amp; Sources'!$B$469:$J$473,0,4+2)),IF($AN22="WI",SUMPRODUCT(($AZ22&gt;INDEX('Methodology &amp; Sources'!$B$478:$J$482,0,4))*($AZ22-INDEX('Methodology &amp; Sources'!$B$478:$J$482,0,4))*INDEX('Methodology &amp; Sources'!$B$478:$J$482,0,4+2)),"")))))))</f>
      </c>
      <c r="BZ22" s="24">
        <f>IF($B22="","",IF($AN22="NJ",IF(Inputs!$C$77="B",SUMPRODUCT(($AZ22&gt;=INDEX('Methodology &amp; Sources'!$B$405:$J$412,0,4))*INDEX('Methodology &amp; Sources'!$B$405:$J$412,0,4+2)),IF(Inputs!$C$77="C",SUMPRODUCT(($AZ22&gt;=INDEX('Methodology &amp; Sources'!$B$405:$J$412,0,7))*INDEX('Methodology &amp; Sources'!$B$405:$J$412,0,7+2)),IF(Inputs!$C$77="D",SUMPRODUCT(($AZ22&gt;=INDEX('Methodology &amp; Sources'!$B$417:$J$429,0,1))*INDEX('Methodology &amp; Sources'!$B$417:$J$429,0,1+2)),IF(Inputs!$C$77="E",SUMPRODUCT(($AZ22&gt;=INDEX('Methodology &amp; Sources'!$B$417:$J$429,0,4))*INDEX('Methodology &amp; Sources'!$B$417:$J$429,0,4+2)),SUMPRODUCT(($AZ22&gt;=INDEX('Methodology &amp; Sources'!$B$405:$J$412,0,1))*INDEX('Methodology &amp; Sources'!$B$405:$J$412,0,1+2)))))),IF($AN22="OR",IF(OR($AU22="Married",AND($AU22="Single",$AS22&gt;=3)),SUMPRODUCT((MAX(0,$AY22-MIN(($P22-'Methodology &amp; Sources'!$C$260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Sources'!$B$461:$J$464,0,4))*INDEX('Methodology &amp; Sources'!$B$461:$J$464,0,4+2)),SUMPRODUCT((MAX(0,$AY22-MIN(($P22-'Methodology &amp; Sources'!$C$260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Sources'!$B$461:$J$464,0,1))*INDEX('Methodology &amp; Sources'!$B$461:$J$464,0,1+2)))*IF(($P22-'Methodology &amp; Sources'!$C$260*$D22)*Inputs!$C$8&gt;=IF(OR($AU22="Married",AND($AU22="Single",$AS22&gt;=3)),IF($AY22&lt;250000,8750,IF($AY22&lt;260000,7000,IF($AY22&lt;270000,5250,IF($AY22&lt;280000,3500,IF($AY22&lt;290000,1750,0))))),IF($AY22&lt;125000,8750,IF($AY22&lt;130000,7000,IF($AY22&lt;135000,5250,IF($AY22&lt;140000,3500,IF($AY22&lt;145000,1750,0)))))),1,1-IF(Inputs!$C$13,SUMPRODUCT(($AH22&gt;=INDEX('Methodology &amp; Sources'!$B$279:$J$286,0,IF(Inputs!$C$12="MFJ",1,IF(Inputs!$C$12="HoH",7,4))))*INDEX('Methodology &amp; Sources'!$B$279:$J$286,0,IF(Inputs!$C$12="MFJ",1,IF(Inputs!$C$12="HoH",7,4))+2)),SUMPRODUCT(($AH22&gt;=INDEX('Methodology &amp; Sources'!$B$269:$J$276,0,IF(Inputs!$C$12="MFJ",1,IF(Inputs!$C$12="HoH",7,4))))*INDEX('Methodology &amp; Sources'!$B$269:$J$276,0,IF(Inputs!$C$12="MFJ",1,IF(Inputs!$C$12="HoH",7,4))+2)))),IF($AN22="MI",IF($AY22&gt;5900*$AS22,0.0425,0),""))))</f>
      </c>
      <c r="CA22" s="24">
        <f>IF($B22="","",IF($AN22="AL",IF(OR($AU22="Married",$AU22="Head of household"),SUMPRODUCT(($AZ22&gt;=INDEX('Methodology &amp; Sources'!$B$332:$J$336,0,4))*INDEX('Methodology &amp; Sources'!$B$332:$J$336,0,4+2)),SUMPRODUCT(($AZ22&gt;=INDEX('Methodology &amp; Sources'!$B$332:$J$336,0,1))*INDEX('Methodology &amp; Sources'!$B$332:$J$336,0,1+2)))*(1-IF(Inputs!$C$13,SUMPRODUCT(($AH22&gt;=INDEX('Methodology &amp; Sources'!$B$279:$J$286,0,IF(Inputs!$C$12="MFJ",1,IF(Inputs!$C$12="HoH",7,4))))*INDEX('Methodology &amp; Sources'!$B$279:$J$286,0,IF(Inputs!$C$12="MFJ",1,IF(Inputs!$C$12="HoH",7,4))+2)),SUMPRODUCT(($AH22&gt;=INDEX('Methodology &amp; Sources'!$B$269:$J$276,0,IF(Inputs!$C$12="MFJ",1,IF(Inputs!$C$12="HoH",7,4))))*INDEX('Methodology &amp; Sources'!$B$269:$J$276,0,IF(Inputs!$C$12="MFJ",1,IF(Inputs!$C$12="HoH",7,4))+2)))),IF($AN22="KS",IF($AU22="Married",SUMPRODUCT(($AZ22&gt;=INDEX('Methodology &amp; Sources'!$B$353:$J$359,0,4))*INDEX('Methodology &amp; Sources'!$B$353:$J$359,0,4+2)),SUMPRODUCT(($AZ22&gt;=INDEX('Methodology &amp; Sources'!$B$353:$J$359,0,1))*INDEX('Methodology &amp; Sources'!$B$353:$J$359,0,1+2))),IF($AN22="MD",IF(OR($AU22="Married",$AU22="Head of household"),SUMPRODUCT(($AZ22&gt;=INDEX('Methodology &amp; Sources'!$B$364:$J$370,0,1))*INDEX('Methodology &amp; Sources'!$B$364:$J$370,0,1+2)),SUMPRODUCT(($AZ22&gt;=INDEX('Methodology &amp; Sources'!$B$353:$J$359,0,7))*INDEX('Methodology &amp; Sources'!$B$353:$J$359,0,7+2)))+Inputs!$C$74,IF($AN22="MT",IF($AU22="Head of household",SUMPRODUCT(($AZ22&gt;=INDEX('Methodology &amp; Sources'!$B$387:$J$389,0,1))*INDEX('Methodology &amp; Sources'!$B$387:$J$389,0,1+2)),IF($AU22="Married",SUMPRODUCT(($AZ22&gt;=INDEX('Methodology &amp; Sources'!$B$375:$J$382,0,7))*INDEX('Methodology &amp; Sources'!$B$375:$J$382,0,7+2)),SUMPRODUCT(($AZ22&gt;=INDEX('Methodology &amp; Sources'!$B$375:$J$382,0,4))*INDEX('Methodology &amp; Sources'!$B$375:$J$382,0,4+2)))),IF($AN22="ND",IF($AU22="Head of household",SUMPRODUCT(($AZ22&gt;=INDEX('Methodology &amp; Sources'!$B$394:$J$400,0,1))*INDEX('Methodology &amp; Sources'!$B$394:$J$400,0,1+2)),IF($AU22="Married",SUMPRODUCT(($AZ22&gt;=INDEX('Methodology &amp; Sources'!$B$387:$J$389,0,7))*INDEX('Methodology &amp; Sources'!$B$387:$J$389,0,7+2)),SUMPRODUCT(($AZ22&gt;=INDEX('Methodology &amp; Sources'!$B$387:$J$389,0,4))*INDEX('Methodology &amp; Sources'!$B$387:$J$389,0,4+2)))),IF($AN22="NY",IF($AU22="Married",IF($AZ22&gt;=2155350,IF($AZ22&gt;25000000,0.117,IF($AZ22&gt;5000000,0.111,0.1045)),SUMPRODUCT(($AZ22&gt;=INDEX('Methodology &amp; Sources'!$B$434:$J$448,0,1))*INDEX('Methodology &amp; Sources'!$B$434:$J$448,0,1+2))),IF($AZ22&gt;=1077550,IF($AZ22&gt;25000000,0.117,IF($AZ22&gt;5000000,0.111,0.1045)),SUMPRODUCT(($AZ22&gt;=INDEX('Methodology &amp; Sources'!$B$417:$J$429,0,7))*INDEX('Methodology &amp; Sources'!$B$417:$J$429,0,7+2)))),"")))))))</f>
      </c>
      <c r="CB22" s="24">
        <f>IF($B22="","",IF($AN22="CA",SUMPRODUCT(($AJ22&gt;=INDEX('Methodology &amp; Sources'!$B$289:$J$298,0,IF($AU22="Married",4,IF($AU22="Head of household",7,1))))*INDEX('Methodology &amp; Sources'!$B$289:$J$298,0,IF($AU22="Married",4,IF($AU22="Head of household",7,1))+2)),IF($AN22="HI",IF($AU22="Married",SUMPRODUCT(($AZ22&gt;=INDEX('Methodology &amp; Sources'!$B$341:$J$348,0,7))*INDEX('Methodology &amp; Sources'!$B$341:$J$348,0,7+2)),SUMPRODUCT(($AZ22&gt;=INDEX('Methodology &amp; Sources'!$B$341:$J$348,0,4))*INDEX('Methodology &amp; Sources'!$B$341:$J$348,0,4+2))),IF($AN22="MN",IF($AU22="Married",SUMPRODUCT(($AZ22&gt;=INDEX('Methodology &amp; Sources'!$B$364:$J$370,0,7))*INDEX('Methodology &amp; Sources'!$B$364:$J$370,0,7+2)),SUMPRODUCT(($AZ22&gt;=INDEX('Methodology &amp; Sources'!$B$364:$J$370,0,4))*INDEX('Methodology &amp; Sources'!$B$364:$J$370,0,4+2))),IF($AN22="MO",SUMPRODUCT(($AZ22&gt;=INDEX('Methodology &amp; Sources'!$B$375:$J$382,0,1))*INDEX('Methodology &amp; Sources'!$B$375:$J$382,0,1+2)),IF($AN22="NE",MAX(IF($AU22="Married",SUMPRODUCT(($AZ22&gt;=INDEX('Methodology &amp; Sources'!$B$394:$J$400,0,7))*INDEX('Methodology &amp; Sources'!$B$394:$J$400,0,7+2)),SUMPRODUCT(($AZ22&gt;=INDEX('Methodology &amp; Sources'!$B$394:$J$400,0,4))*INDEX('Methodology &amp; Sources'!$B$394:$J$400,0,4+2))),0.015),IF($AN22="OH",IF($B22&gt;=DATE(2026,8,1),SUMPRODUCT(($AZ22&gt;=INDEX('Methodology &amp; Sources'!$B$453:$J$456,0,1))*INDEX('Methodology &amp; Sources'!$B$453:$J$456,0,1+2)),SUMPRODUCT(($AZ22&gt;=INDEX('Methodology &amp; Sources'!$B$434:$J$448,0,7))*INDEX('Methodology &amp; Sources'!$B$434:$J$448,0,7+2))),IF($AN22="OK",IF($AU22="Married",SUMPRODUCT(($AZ22&gt;=INDEX('Methodology &amp; Sources'!$B$453:$J$456,0,7))*INDEX('Methodology &amp; Sources'!$B$453:$J$456,0,7+2)),SUMPRODUCT(($AZ22&gt;=INDEX('Methodology &amp; Sources'!$B$453:$J$456,0,4))*INDEX('Methodology &amp; Sources'!$B$453:$J$456,0,4+2))),IF($AN22="RI",SUMPRODUCT(($AZ22&gt;=INDEX('Methodology &amp; Sources'!$B$461:$J$464,0,7))*INDEX('Methodology &amp; Sources'!$B$461:$J$464,0,7+2)),IF($AN22="SC",SUMPRODUCT(($AZ22&gt;=INDEX('Methodology &amp; Sources'!$B$469:$J$473,0,1))*INDEX('Methodology &amp; Sources'!$B$469:$J$473,0,1+2)),IF($AN22="VT",IF($AU22="Married",SUMPRODUCT(($AZ22&gt;=INDEX('Methodology &amp; Sources'!$B$478:$J$482,0,1))*INDEX('Methodology &amp; Sources'!$B$478:$J$482,0,1+2)),SUMPRODUCT(($AZ22&gt;=INDEX('Methodology &amp; Sources'!$B$469:$J$473,0,7))*INDEX('Methodology &amp; Sources'!$B$469:$J$473,0,7+2))),IF($AN22="WV",IF($AU22="Married",SUMPRODUCT(($AZ22&gt;=INDEX('Methodology &amp; Sources'!$B$487:$J$491,0,7))*INDEX('Methodology &amp; Sources'!$B$487:$J$491,0,7+2)),SUMPRODUCT(($AZ22&gt;=INDEX('Methodology &amp; Sources'!$B$478:$J$482,0,7))*INDEX('Methodology &amp; Sources'!$B$478:$J$482,0,7+2))),IF($AN22="IN",(0.0295+Inputs!$C$76),"")))))))))))))</f>
      </c>
      <c r="CC22" s="24">
        <f>IF($B22="","",IF($AN22="AR",SUMPRODUCT(($AZ22&gt;=INDEX('Methodology &amp; Sources'!$B$332:$J$336,0,7))*INDEX('Methodology &amp; Sources'!$B$332:$J$336,0,7+2)),IF($AN22="DE",SUMPRODUCT(($AZ22&gt;=INDEX('Methodology &amp; Sources'!$B$341:$J$348,0,1))*INDEX('Methodology &amp; Sources'!$B$341:$J$348,0,1+2)),IF($AN22="VA",SUMPRODUCT(($AZ22&gt;=INDEX('Methodology &amp; Sources'!$B$469:$J$473,0,4))*INDEX('Methodology &amp; Sources'!$B$469:$J$473,0,4+2)),IF($AN22="WI",SUMPRODUCT(($AZ22&gt;=INDEX('Methodology &amp; Sources'!$B$478:$J$482,0,4))*INDEX('Methodology &amp; Sources'!$B$478:$J$482,0,4+2)),IF($AN22="AZ",Inputs!$C$82,IF($AN22="CO",IF($AY22&gt;IF($AU22="Married",10000,5000),0.044,0),IF($AN22="IA",IF($AY22&gt;IF($AU22="Head of household",19500,IF($AU22="Married",26000,13000)),0.038,0),IF($AN22="ID",IF($AY22&gt;IF($AU22="Married",32000,16094),0.053,0),IF($AN22="IL",IF($AY22&gt;(2925*$AS22+1000*$AT22),0.0495,0),IF($AN22="KY",IF($AI22&gt;3360,0.035,0),IF($AN22="LA",0.0309,IF($AN22="MA",IF(MAX(0,$AY22-MIN(($BD21+$Q22+$R22+$S22),2000)-IF($AS22=0,0,IF($AS22=1,4400,1000*$AS22+3400)))&gt;=1107750,0.09,0.05),IF($AN22="MS",IF($AI22-IF($AU22="Head of household",3400,IF($AU22="Married",4600,2300))-Inputs!$C$85&gt;10000,0.04,0),IF($AN22="PA",0.0307,"")))))))))))))))</f>
      </c>
      <c r="CD22" s="21">
        <f>IF(YEAR(IF(Inputs!$C$7="Weekly",Inputs!$C$9+7*(($BE21+1)-1),IF(Inputs!$C$7="Biweekly",Inputs!$C$9+14*(($BE21+1)-1),IF(Inputs!$C$7="Semimonthly",DATE(YEAR(Inputs!$C$9),MONTH(Inputs!$C$9)+INT((($BE21+1)-1)/2),MIN(DAY(Inputs!$C$9),DAY(EOMONTH(DATE(YEAR(Inputs!$C$9),MONTH(Inputs!$C$9)+INT((($BE21+1)-1)/2),1),0))))+IF(MOD(($BE21+1)-1,2)=1,15,0),EDATE(Inputs!$C$9,($BE21+1)-1)))))&lt;&gt;2026,"",IF(Inputs!$C$7="Weekly",Inputs!$C$9+7*(($BE21+1)-1),IF(Inputs!$C$7="Biweekly",Inputs!$C$9+14*(($BE21+1)-1),IF(Inputs!$C$7="Semimonthly",DATE(YEAR(Inputs!$C$9),MONTH(Inputs!$C$9)+INT((($BE21+1)-1)/2),MIN(DAY(Inputs!$C$9),DAY(EOMONTH(DATE(YEAR(Inputs!$C$9),MONTH(Inputs!$C$9)+INT((($BE21+1)-1)/2),1),0))))+IF(MOD(($BE21+1)-1,2)=1,15,0),EDATE(Inputs!$C$9,($BE21+1)-1)))))</f>
      </c>
      <c r="CE22" s="21">
        <f>IF(SUMPRODUCT(MIN(IF((Inputs!$C$58:$C$67&gt;MAX($B$6:$B21))*(Inputs!$C$58:$C$67&gt;=DATE(2026,1,1))*(Inputs!$C$58:$C$67&lt;=DATE(2026,12,31)),Inputs!$C$58:$C$67,999999)))=999999,"",SUMPRODUCT(MIN(IF((Inputs!$C$58:$C$67&gt;MAX($B$6:$B21))*(Inputs!$C$58:$C$67&gt;=DATE(2026,1,1))*(Inputs!$C$58:$C$67&lt;=DATE(2026,12,31)),Inputs!$C$58:$C$67,999999))))</f>
      </c>
    </row>
    <row r="23">
      <c r="A23" t="n">
        <v>18</v>
      </c>
      <c r="B23" s="21">
        <f>IF(AND($CD23="",$CE23=""),"",IF($CE23="",$CD23,IF($CD23="",$CE23,MIN($CD23,$CE23))))</f>
      </c>
      <c r="C23" s="7">
        <f>IF($B23="","",IF($BF23=0,0,IF(Inputs!$C$4="Annual salary",ROUND($AK23/IF(AND(Inputs!$C$88="Actual paydays",MONTH(Inputs!$C$9)=1),MAX(1,MAX($BE$6:$BE$68)),Inputs!$C$8),2),$AK23)))</f>
      </c>
      <c r="D23" s="7">
        <f>IF($B23="","",SUMIF(Inputs!$C$58:$C$67,$B23,Inputs!$D$58:$D$67))</f>
      </c>
      <c r="E23" s="7">
        <f>IF($B23="","",ROUND(MAX(0,MIN(IF($AL23="Percent",$AM23*($C23+$D23),$AM23),MAX(0,Inputs!$C$91-$AC22))),2))</f>
      </c>
      <c r="F23" s="7">
        <f>IF($B23="","",ROUND(MAX(0,MIN(IF(Inputs!$C$32="Percent",Inputs!$D$32*($C23+$D23),Inputs!$D$32),MAX(0,Inputs!$C$91-$AC22-$E23))),2))</f>
      </c>
      <c r="G23" s="7">
        <f>IF($B23="","",IF($BF23=0,0,ROUND(MAX(0,MIN($BL23,Inputs!$C$92-Inputs!$C$54-$BI22)),2)))</f>
      </c>
      <c r="H23" s="7">
        <f>IF($B23="","",IF(OR($BF23=0,$BQ23=1),0,ROUND(MAX(0,MIN(IF($BS23=1,ROUND(MAX(0,MIN($BJ23,'Methodology &amp; Sources'!$C$263)-$BG22)/MAX(1,MAX($BE$6:$BE$68)-($BE22)),2),ROUND(MIN($BJ23,'Methodology &amp; Sources'!$C$263)/Inputs!$C$8,2)),MIN($BJ23,'Methodology &amp; Sources'!$C$263)-$BG22)),2)))</f>
      </c>
      <c r="I23" s="7">
        <f>IF($B23="","",IF(OR($BF23=0,$BR23=1),0,ROUND(MAX(0,MIN(IF($BT23=1,ROUND(MAX(0,MIN($BK23,IF(Inputs!$C$12="MFJ",'Methodology &amp; Sources'!$C$264,'Methodology &amp; Sources'!$C$265))-$BH22)/MAX(1,MAX($BE$6:$BE$68)-($BE22)),2),ROUND(MIN($BK23,IF(Inputs!$C$12="MFJ",'Methodology &amp; Sources'!$C$264,'Methodology &amp; Sources'!$C$265))/Inputs!$C$8,2)),MIN($BK23,IF(Inputs!$C$12="MFJ",'Methodology &amp; Sources'!$C$264,'Methodology &amp; Sources'!$C$265))-$BH22)),2)))</f>
      </c>
      <c r="J23" s="7">
        <f>IF($B23="","",IF($BF23=0,0,$BM23))</f>
      </c>
      <c r="K23" s="7">
        <f>IF($B23="","",IF($BF23=0,0,$BN23+$BO23))</f>
      </c>
      <c r="L23" s="7">
        <f>IF($B23="","",IF($BF23=0,0,Inputs!$D$46))</f>
      </c>
      <c r="M23" s="7">
        <f>IF($B23="","",$C23+$D23+$L23-$E23-$G23-$H23-$I23-$J23-$K23)</f>
      </c>
      <c r="N23" s="7">
        <f>IF($B23="","",$C23+$D23+$L23-$G23-$H23-$I23-$J23-$K23)</f>
      </c>
      <c r="O23" s="7">
        <f>IF($B23="","",$C23+$D23+$L23-$E23-$H23-$I23-$J23-$K23-IF(OR($AN23="CA",$AN23="NJ"),0,$G23))</f>
      </c>
      <c r="P23" s="7">
        <f>IF($B23="","",IF(Inputs!$C$18,0,ROUND(MAX(0,IF(Inputs!$C$13,SUMPRODUCT(($AH23&gt;INDEX('Methodology &amp; Sources'!$B$279:$J$286,0,IF(Inputs!$C$12="MFJ",1,IF(Inputs!$C$12="HoH",7,4))))*($AH23-INDEX('Methodology &amp; Sources'!$B$279:$J$286,0,IF(Inputs!$C$12="MFJ",1,IF(Inputs!$C$12="HoH",7,4))))*INDEX('Methodology &amp; Sources'!$B$279:$J$286,0,IF(Inputs!$C$12="MFJ",1,IF(Inputs!$C$12="HoH",7,4))+2)),SUMPRODUCT(($AH23&gt;INDEX('Methodology &amp; Sources'!$B$269:$J$276,0,IF(Inputs!$C$12="MFJ",1,IF(Inputs!$C$12="HoH",7,4))))*($AH23-INDEX('Methodology &amp; Sources'!$B$269:$J$276,0,IF(Inputs!$C$12="MFJ",1,IF(Inputs!$C$12="HoH",7,4))))*INDEX('Methodology &amp; Sources'!$B$269:$J$276,0,IF(Inputs!$C$12="MFJ",1,IF(Inputs!$C$12="HoH",7,4))+2)))/Inputs!$C$8-$AO23/Inputs!$C$8)+$AR23+IF(Inputs!$C$89="Aggregate",MAX(0,IF(Inputs!$C$13,SUMPRODUCT((($AH23+$D23)&gt;INDEX('Methodology &amp; Sources'!$B$279:$J$286,0,IF(Inputs!$C$12="MFJ",1,IF(Inputs!$C$12="HoH",7,4))))*(($AH23+$D23)-INDEX('Methodology &amp; Sources'!$B$279:$J$286,0,IF(Inputs!$C$12="MFJ",1,IF(Inputs!$C$12="HoH",7,4))))*INDEX('Methodology &amp; Sources'!$B$279:$J$286,0,IF(Inputs!$C$12="MFJ",1,IF(Inputs!$C$12="HoH",7,4))+2)),SUMPRODUCT((($AH23+$D23)&gt;INDEX('Methodology &amp; Sources'!$B$269:$J$276,0,IF(Inputs!$C$12="MFJ",1,IF(Inputs!$C$12="HoH",7,4))))*(($AH23+$D23)-INDEX('Methodology &amp; Sources'!$B$269:$J$276,0,IF(Inputs!$C$12="MFJ",1,IF(Inputs!$C$12="HoH",7,4))))*INDEX('Methodology &amp; Sources'!$B$269:$J$276,0,IF(Inputs!$C$12="MFJ",1,IF(Inputs!$C$12="HoH",7,4))+2)))-IF(Inputs!$C$13,SUMPRODUCT(($AH23&gt;INDEX('Methodology &amp; Sources'!$B$279:$J$286,0,IF(Inputs!$C$12="MFJ",1,IF(Inputs!$C$12="HoH",7,4))))*($AH23-INDEX('Methodology &amp; Sources'!$B$279:$J$286,0,IF(Inputs!$C$12="MFJ",1,IF(Inputs!$C$12="HoH",7,4))))*INDEX('Methodology &amp; Sources'!$B$279:$J$286,0,IF(Inputs!$C$12="MFJ",1,IF(Inputs!$C$12="HoH",7,4))+2)),SUMPRODUCT(($AH23&gt;INDEX('Methodology &amp; Sources'!$B$269:$J$276,0,IF(Inputs!$C$12="MFJ",1,IF(Inputs!$C$12="HoH",7,4))))*($AH23-INDEX('Methodology &amp; Sources'!$B$269:$J$276,0,IF(Inputs!$C$12="MFJ",1,IF(Inputs!$C$12="HoH",7,4))))*INDEX('Methodology &amp; Sources'!$B$269:$J$276,0,IF(Inputs!$C$12="MFJ",1,IF(Inputs!$C$12="HoH",7,4))+2)))),'Methodology &amp; Sources'!$C$260*$D23),2)))</f>
      </c>
      <c r="Q23" s="7">
        <f>IF($B23="","",ROUND('Methodology &amp; Sources'!$C$254*MIN($N23,MAX(0,'Methodology &amp; Sources'!$C$253-($AX23+$AB22-$AW23))),2))</f>
      </c>
      <c r="R23" s="7">
        <f>IF($B23="","",ROUND('Methodology &amp; Sources'!$C$255*$N23,2))</f>
      </c>
      <c r="S23" s="7">
        <f>IF($B23="","",ROUND('Methodology &amp; Sources'!$C$256*MAX(0,MIN($N23,$AG22+$N23-'Methodology &amp; Sources'!$C$257)),2))</f>
      </c>
      <c r="T23" s="7">
        <f>IF($B23="","",IF(Inputs!$C$26,0,IF($AN23="CA",ROUND(IF($AI23&lt;=IF(($AS23+$AT23)&gt;=2,VLOOKUP($AN23,'StateTables 2026'!$A$6:$AB$56,10,FALSE),VLOOKUP($AN23,'StateTables 2026'!$A$6:$AB$56,9,FALSE)),0,MAX(0,SUMPRODUCT(($AJ23&gt;INDEX('Methodology &amp; Sources'!$B$289:$J$298,0,IF($AU23="Married",4,IF($AU23="Head of household",7,1))))*($AJ23-INDEX('Methodology &amp; Sources'!$B$289:$J$298,0,IF($AU23="Married",4,IF($AU23="Head of household",7,1))))*INDEX('Methodology &amp; Sources'!$B$289:$J$298,0,IF($AU23="Married",4,IF($AU23="Head of household",7,1))+2))-VLOOKUP($AN23,'StateTables 2026'!$A$6:$AB$56,11,FALSE)*$AS23)/Inputs!$C$8)+Inputs!$C$25+VLOOKUP($AN23,'StateTables 2026'!$A$6:$AB$56,13,FALSE)*$D23,2),IF(VLOOKUP($AN23,'StateTables 2026'!$A$6:$AB$56,4,FALSE)="None",0,IF(ISNUMBER(SEARCH("MANUAL",VLOOKUP($AN23,'StateTables 2026'!$A$6:$AB$56,5,FALSE))),Inputs!$C$28,ROUND(MAX(0,$BA23+$BB23)/Inputs!$C$8+Inputs!$C$25+$BC23,2))))))</f>
      </c>
      <c r="U23" s="7">
        <f>IF($B23="","",IF(VLOOKUP($AN23,'StateTables 2026'!$A$6:$AB$56,24,FALSE)="flatq",IF(OR(MONTH($B23)=1,MONTH($B23)=4,MONTH($B23)=7,MONTH($B23)=10),VLOOKUP($AN23,'StateTables 2026'!$A$6:$AB$56,25,FALSE),0),IF(VLOOKUP($AN23,'StateTables 2026'!$A$6:$AB$56,24,FALSE)="dbl",MIN(ROUND(0.005*$N23,2),ROUND(0.6*52/Inputs!$C$8,2)),IF(OR(VLOOKUP($AN23,'StateTables 2026'!$A$6:$AB$56,15,FALSE)="",VLOOKUP($AN23,'StateTables 2026'!$A$6:$AB$56,15,FALSE)=0),0,ROUND(VLOOKUP($AN23,'StateTables 2026'!$A$6:$AB$56,15,FALSE)*IF(OR(VLOOKUP($AN23,'StateTables 2026'!$A$6:$AB$56,16,FALSE)="",VLOOKUP($AN23,'StateTables 2026'!$A$6:$AB$56,16,FALSE)=0),$N23,MIN($N23,MAX(0,VLOOKUP($AN23,'StateTables 2026'!$A$6:$AB$56,16,FALSE)-($AX23+$AB22-$AW23)))),2))))+IF(VLOOKUP($AN23,'StateTables 2026'!$A$6:$AB$56,27,FALSE)="flatq",IF(OR(MONTH($B23)=1,MONTH($B23)=4,MONTH($B23)=7,MONTH($B23)=10),VLOOKUP($AN23,'StateTables 2026'!$A$6:$AB$56,28,FALSE),0),IF(VLOOKUP($AN23,'StateTables 2026'!$A$6:$AB$56,27,FALSE)="dbl",MIN(ROUND(0.005*$N23,2),ROUND(0.6*52/Inputs!$C$8,2)),IF(OR(VLOOKUP($AN23,'StateTables 2026'!$A$6:$AB$56,18,FALSE)="",VLOOKUP($AN23,'StateTables 2026'!$A$6:$AB$56,18,FALSE)=0),0,ROUND(VLOOKUP($AN23,'StateTables 2026'!$A$6:$AB$56,18,FALSE)*IF(OR(VLOOKUP($AN23,'StateTables 2026'!$A$6:$AB$56,19,FALSE)="",VLOOKUP($AN23,'StateTables 2026'!$A$6:$AB$56,19,FALSE)=0),$N23,MIN($N23,MAX(0,VLOOKUP($AN23,'StateTables 2026'!$A$6:$AB$56,19,FALSE)-($AX23+$AB22-$AW23)))),2)))))</f>
      </c>
      <c r="V23" s="7">
        <f>IF($B23="","",IF($AN23="NY",IF(Inputs!$C$78,ROUND(SUMPRODUCT((MAX(0,($O23-$D23)*Inputs!$C$8-(IF($AU23="Married",5500,5000)+1000*$AS23))&gt;INDEX('Methodology &amp; Sources'!$B$434:$J$448,0,4))*(MAX(0,($O23-$D23)*Inputs!$C$8-(IF($AU23="Married",5500,5000)+1000*$AS23))-INDEX('Methodology &amp; Sources'!$B$434:$J$448,0,4))*INDEX('Methodology &amp; Sources'!$B$434:$J$448,0,4+2))/Inputs!$C$8+0.0425*$D23,2),0)+IF(Inputs!$C$79="Resident",ROUND(0.1675*$T23,2),IF(Inputs!$C$79="Nonresident",ROUND(0.005*MAX(0,($O23-$D23)-(IF($AU23="Married",7950,7400)+1000*$AS23)/Inputs!$C$8),2),0)),IF($AN23="PA",IF(Inputs!$C$80="None",Inputs!$C$27+ROUND(Inputs!$C$81*($C23+$D23),2),ROUND(IF(Inputs!$C$80="Resident",IF($B23&lt;DATE(2026,7,1),0.0374,0.03735),IF($B23&lt;DATE(2026,7,1),0.0343,0.03425))*($C23+$D23),2)),IF($BF23=0,ROUND(Inputs!$C$81*($C23+$D23),2),Inputs!$C$27+ROUND(Inputs!$C$81*($C23+$D23),2)))))</f>
      </c>
      <c r="W23" s="7">
        <f>IF($B23="","",IF($BF23=0,0,$BP23))</f>
      </c>
      <c r="X23" s="7">
        <f>IF($B23="","",SUM($E23:$K23)+$P23+$Q23+$R23+$S23+$T23+$U23+$V23+$W23)</f>
      </c>
      <c r="Y23" s="22">
        <f>IF($B23="","",$C23+$D23-$X23)</f>
      </c>
      <c r="Z23" s="7">
        <f>IF($B23="","",$Z22+$C23+$D23)</f>
      </c>
      <c r="AA23" s="7">
        <f>IF($B23="","",$AA22+$Y23)</f>
      </c>
      <c r="AB23" s="7">
        <f>IF($B23="","",$AB22+MIN($N23,MAX(0,'Methodology &amp; Sources'!$C$253-($AX23+$AB22-$AW23))))</f>
      </c>
      <c r="AC23" s="7">
        <f>IF($B23="","",$AC22+$E23+$F23)</f>
      </c>
      <c r="AD23" s="3">
        <f>IF($B23="","",IF(AND($AB22&lt;'Methodology &amp; Sources'!$C$253,$AB23&gt;='Methodology &amp; Sources'!$C$253),"★ Social Security maxed on this check — from the next check your net rises by about $"&amp;TEXT(ROUND('Methodology &amp; Sources'!$C$254*$N23,2),"#,##0.00")&amp;". ","")&amp;IF(AND($AC22&lt;Inputs!$C$91,$AC23&gt;=Inputs!$C$91),"★ 401(k) reaches the $"&amp;TEXT(Inputs!$C$91,"#,##0")&amp;" cap on this check — deferrals stop and net pay rises. ","")&amp;IF(AND($AG22&lt;'Methodology &amp; Sources'!$C$257,$AG23&gt;='Methodology &amp; Sources'!$C$257),"★ Wages pass $200,000 — the 0.9% Additional Medicare Tax starts here. ","")&amp;IF(AND($BJ23&gt;0,$H23&gt;0,$BG22&lt;MIN($BJ23,'Methodology &amp; Sources'!$C$263),$BG22+$H23&gt;=MIN($BJ23,'Methodology &amp; Sources'!$C$263)),"★ Health FSA election is now fully deferred for the year. ",""))</f>
      </c>
      <c r="AE23" s="41" t="n"/>
      <c r="AF23" s="7">
        <f>IF(OR($B23="",$AE23=""),"",$AE23-$Y23)</f>
      </c>
      <c r="AG23" s="7">
        <f>IF($B23="","",$AG22+$N23)</f>
      </c>
      <c r="AH23" s="7">
        <f>IF($B23="","",MAX(0,($M23-$D23)*Inputs!$C$8+$AP23-$AQ23-IF(Inputs!$C$13,0,IF(Inputs!$C$12="MFJ",'Methodology &amp; Sources'!$C$258,'Methodology &amp; Sources'!$C$259))))</f>
      </c>
      <c r="AI23" s="7">
        <f>IF($B23="","",$O23*Inputs!$C$8)</f>
      </c>
      <c r="AJ23" s="7">
        <f>IF($B23="","",MAX(0,$AI23-VLOOKUP($AN23,'StateTables 2026'!$A$6:$AB$56,12,FALSE)*$AT23-IF(($AS23+$AT23)&gt;=2,VLOOKUP($AN23,'StateTables 2026'!$A$6:$AB$56,8,FALSE),VLOOKUP($AN23,'StateTables 2026'!$A$6:$AB$56,7,FALSE))))</f>
      </c>
      <c r="AK23" s="7">
        <f>IF($B23="","",IFERROR(LOOKUP(2,1/((Events!$C$6:$C$17="Salary change")*(Events!$B$6:$B$17&lt;=$B23)*(Events!$B$6:$B$17&lt;&gt;"")),Events!$D$6:$D$17),IF(Inputs!$C$4="Annual salary",Inputs!$C$5,Inputs!$C$6)))</f>
      </c>
      <c r="AL23">
        <f>IF($B23="","",IFERROR(LOOKUP(2,1/((Events!$C$6:$C$17="401(k) change")*(Events!$B$6:$B$17&lt;=$B23)*(Events!$B$6:$B$17&lt;&gt;"")),Events!$D$6:$D$17),Inputs!$C$30))</f>
      </c>
      <c r="AM23" s="7">
        <f>IF($B23="","",IFERROR(LOOKUP(2,1/((Events!$C$6:$C$17="401(k) change")*(Events!$B$6:$B$17&lt;=$B23)*(Events!$B$6:$B$17&lt;&gt;"")),Events!$E$6:$E$17),Inputs!$D$30))</f>
      </c>
      <c r="AN23">
        <f>IF($B23="","",IFERROR(LOOKUP(2,1/((Events!$C$6:$C$17="State move")*(Events!$B$6:$B$17&lt;=$B23)*(Events!$B$6:$B$17&lt;&gt;"")),Events!$D$6:$D$17),Inputs!$C$21))</f>
      </c>
      <c r="AO23" s="7">
        <f>IF($B23="","",IFERROR(LOOKUP(2,1/((Events!$C$6:$C$17="W-4 change")*(Events!$B$6:$B$17&lt;=$B23)*(Events!$B$6:$B$17&lt;&gt;"")),Events!$D$6:$D$17),Inputs!$C$14))</f>
      </c>
      <c r="AP23" s="7">
        <f>IF($B23="","",IFERROR(LOOKUP(2,1/((Events!$C$6:$C$17="W-4 change")*(Events!$B$6:$B$17&lt;=$B23)*(Events!$B$6:$B$17&lt;&gt;"")),Events!$E$6:$E$17),Inputs!$C$15))</f>
      </c>
      <c r="AQ23" s="7">
        <f>IF($B23="","",IFERROR(LOOKUP(2,1/((Events!$C$6:$C$17="W-4 change")*(Events!$B$6:$B$17&lt;=$B23)*(Events!$B$6:$B$17&lt;&gt;"")),Events!$F$6:$F$17),Inputs!$C$16))</f>
      </c>
      <c r="AR23" s="7">
        <f>IF($B23="","",IFERROR(LOOKUP(2,1/((Events!$C$6:$C$17="W-4 change")*(Events!$B$6:$B$17&lt;=$B23)*(Events!$B$6:$B$17&lt;&gt;"")),Events!$G$6:$G$17),Inputs!$C$17))</f>
      </c>
      <c r="AS23" s="6">
        <f>IF($B23="","",IFERROR(LOOKUP(2,1/(((Events!$C$6:$C$17="State move")+(Events!$C$6:$C$17="State cert change"))*(Events!$B$6:$B$17&lt;=$B23)*(Events!$B$6:$B$17&lt;&gt;"")),Events!$F$6:$F$17),Inputs!$C$23))</f>
      </c>
      <c r="AT23" s="6">
        <f>IF($B23="","",IFERROR(LOOKUP(2,1/(((Events!$C$6:$C$17="State move")+(Events!$C$6:$C$17="State cert change"))*(Events!$B$6:$B$17&lt;=$B23)*(Events!$B$6:$B$17&lt;&gt;"")),Events!$G$6:$G$17),Inputs!$C$24))</f>
      </c>
      <c r="AU23">
        <f>IF($B23="","",IFERROR(LOOKUP(2,1/((Events!$C$6:$C$17="State move")*(Events!$B$6:$B$17&lt;=$B23)*(Events!$B$6:$B$17&lt;&gt;"")),Events!$E$6:$E$17),Inputs!$C$22))</f>
      </c>
      <c r="AV23" s="6">
        <f>IF($B23="","",1+COUNTIFS(Events!$C$6:$C$17,"Employer change",Events!$B$6:$B$17,"&lt;="&amp;$B23,Events!$B$6:$B$17,"&lt;&gt;"))</f>
      </c>
      <c r="AW23" s="7">
        <f>IF($B23="","",IF($AV23=1,Inputs!$C$49,IF(IFERROR(MATCH(IFERROR(LOOKUP(2,1/((Events!$C$6:$C$17="Employer change")*(Events!$B$6:$B$17&lt;=$B23)*(Events!$B$6:$B$17&lt;&gt;"")),Events!$B$6:$B$17),""),$B$6:$B$68,1),1)&lt;=1,Inputs!$C$49,INDEX($AB$6:$AB$68,MATCH(IFERROR(LOOKUP(2,1/((Events!$C$6:$C$17="Employer change")*(Events!$B$6:$B$17&lt;=$B23)*(Events!$B$6:$B$17&lt;&gt;"")),Events!$B$6:$B$17),""),$B$6:$B$68,1)-1))))</f>
      </c>
      <c r="AX23" s="7">
        <f>IF($B23="","",IF($AV23=1,Inputs!$C$49,IFERROR(LOOKUP(2,1/((Events!$C$6:$C$17="Employer change")*(Events!$B$6:$B$17&lt;=$B23)*(Events!$B$6:$B$17&lt;&gt;"")),Events!$D$6:$D$17),0)))</f>
      </c>
      <c r="AY23" s="7">
        <f>IF($B23="","",($O23-$D23)*Inputs!$C$8)</f>
      </c>
      <c r="AZ23" s="7">
        <f>IF($B23="","",IF($AN23="AL",MAX(0,$AY23-IF($AU23="Married",IF($AY23&lt;=25999,8500,MAX(5000,8500-175*CEILING(($AY23-25999)/500,1))),IF($AU23="Head of household",IF($AY23&lt;=25999,5200,MAX(2500,5200-135*CEILING(($AY23-25999)/500,1))),IF($AY23&lt;=25999,3000,MAX(2500,3000-25*CEILING(($AY23-25999)/500,1)))))-($P23-'Methodology &amp; Sources'!$C$260*$D23)*Inputs!$C$8-IF(OR($AU23="Married",$AU23="Head of household"),3000,1500)-$AT23*IF($AY23&lt;=50000,1000,IF($AY23&lt;=100000,500,300))),IF($AN23="AR",IF(MAX(0,$AY23-2470)&lt;97701,INT(MAX(0,$AY23-2470)/100)*100+50,MAX(0,$AY23-2470)),IF($AN23="DE",MAX(0,$AI23-3250),IF($AN23="HI",MAX(0,$AI23-1144*$AS23-4350),IF($AN23="KS",MAX(0,$AI23-(9160*IF($AU23="Married",2,1)+2320*$AT23+IF($AU23="Head of household",2320,0))),IF($AN23="MD",MAX(0,$AI23-3400-3200*$AS23),IF($AN23="MN",MAX(0,$AY23-5300*$AS23),IF($AN23="MO",MAX(0,$AI23-IF($AU23="Head of household",24150,IF($AU23="Married",IF(Inputs!$C$83,16100,32200),16100))),IF($AN23="MT",$AY23,IF($AN23="ND",($C23+$L23)*Inputs!$C$8,IF($AN23="NE",MAX(0,$AY23-2440*$AS23),IF($AN23="NJ",MAX(0,$AY23-1000*$AS23),IF($AN23="NY",MAX(0,$AY23-(IF($AU23="Married",7950,7400)+1000*$AS23)),IF($AN23="OH",MAX(0,$AY23-650*$AS23),IF($AN23="OK",MAX(0,$AY23-1000*$AS23),IF($AN23="RI",MAX(0,$AI23-1000*$AS23),IF($AN23="SC",MAX(0,$AI23-5000*$AS23-IF($AS23=0,0,MIN(0.1*$AI23,7500))),IF($AN23="VA",MAX(0,$AI23-IF($AU23="Married",17500,8750)-930*$AS23-800*$AT23),IF($AN23="VT",MAX(0,$AI23-5400*$AS23),IF($AN23="WI",MAX(0,$AI23-MAX(0,IF($AU23="Married",9461-0.2*MAX(0,$AI23-25727),6702-0.12*MAX(0,$AI23-17780)))-400*$AS23),IF($AN23="WV",MAX(0,$AI23-2000*$AS23),$AI23))))))))))))))))))))))</f>
      </c>
      <c r="BA23" s="7">
        <f>IF($B23="","",IF($BW23&lt;&gt;"",$BW23,IF($BX23&lt;&gt;"",$BX23,IF($BY23&lt;&gt;"",$BY23,0))))</f>
      </c>
      <c r="BB23" s="7">
        <f>IF($B23="","",IF($AN23="AR",-29*$AS23,IF($AN23="DE",-110*$AS23,IF($AN23="MD",$AZ23*Inputs!$C$74,IF($AN23="AZ",Inputs!$C$82*($M23-$D23)*Inputs!$C$8,IF($AN23="CO",0.044*MAX(0,$AY23-IF($AU23="Married",10000,5000)),IF($AN23="IA",MAX(0,0.038*MAX(0,$AY23-IF($AU23="Head of household",19500,IF($AU23="Married",26000,13000)))-40*$AS23),IF($AN23="ID",0.053*MAX(0,$AY23-IF($AU23="Married",32000,16094)),IF($AN23="IL",0.0495*MAX(0,$AY23-(2925*$AS23+1000*$AT23)),IF($AN23="IN",(0.0295+Inputs!$C$76)*MAX(0,$AY23-(1000*$AS23+1500*$AT23+3000*Inputs!$C$86)),IF($AN23="KY",0.035*MAX(0,$AI23-3360),IF($AN23="LA",IF(Inputs!$C$84="0",0.0309*$AI23,0.0309*MAX(0,$AI23-IF(Inputs!$C$84="2",25750,12875))),IF($AN23="MA",0.05*MIN(MAX(0,$AY23-MIN(($BD22+$Q23+$R23+$S23),2000)-IF($AS23=0,0,IF($AS23=1,4400,1000*$AS23+3400))),1107750)+0.09*MAX(0,MAX(0,$AY23-MIN(($BD22+$Q23+$R23+$S23),2000)-IF($AS23=0,0,IF($AS23=1,4400,1000*$AS23+3400)))-1107750)-IF($AU23="Head of household",120,0)-110*Inputs!$C$75,IF($AN23="MI",0.0425*MAX(0,$AY23-5900*$AS23),IF($AN23="MS",0.04*MAX(0,$AI23-IF($AU23="Head of household",3400,IF($AU23="Married",4600,2300))-Inputs!$C$85-10000),IF($AN23="OR",IF(OR($AU23="Married",AND($AU23="Single",$AS23&gt;=3)),SUMPRODUCT((MAX(0,$AY23-MIN(($P23-'Methodology &amp; Sources'!$C$260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Sources'!$B$461:$J$464,0,4))*(MAX(0,$AY23-MIN(($P23-'Methodology &amp; Sources'!$C$260*$D23)*Inputs!$C$8,IF(OR($AU23="Married",AND($AU23="Single",$AS23&gt;=3)),IF($AY23&lt;250000,8750,IF($AY23&lt;260000,7000,IF($AY23&lt;270000,5250,IF($AY23&lt;280000,3500,IF($AY23&lt;290000,1750,0))))),IF($AY23&lt;125000,8750,IF($AY23&lt;130000,7000,IF($AY23&lt;135000,5250,IF($AY23&lt;140000,3500,IF($AY23&lt;145000,1750,0)))))))-IF(OR($AU23="Married",AND($AU23="Single",$AS23&gt;=3)),5820,2910))-INDEX('Methodology &amp; Sources'!$B$461:$J$464,0,4))*INDEX('Methodology &amp; Sources'!$B$461:$J$464,0,4+2)),SUMPRODUCT((MAX(0,$AY23-MIN(($P23-'Methodology &amp; Sources'!$C$260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Sources'!$B$461:$J$464,0,1))*(MAX(0,$AY23-MIN(($P23-'Methodology &amp; Sources'!$C$260*$D23)*Inputs!$C$8,IF(OR($AU23="Married",AND($AU23="Single",$AS23&gt;=3)),IF($AY23&lt;250000,8750,IF($AY23&lt;260000,7000,IF($AY23&lt;270000,5250,IF($AY23&lt;280000,3500,IF($AY23&lt;290000,1750,0))))),IF($AY23&lt;125000,8750,IF($AY23&lt;130000,7000,IF($AY23&lt;135000,5250,IF($AY23&lt;140000,3500,IF($AY23&lt;145000,1750,0)))))))-IF(OR($AU23="Married",AND($AU23="Single",$AS23&gt;=3)),5820,2910))-INDEX('Methodology &amp; Sources'!$B$461:$J$464,0,1))*INDEX('Methodology &amp; Sources'!$B$461:$J$464,0,1+2)))+263-263*IF(IF($AU23="Married",$AY23&gt;200000,$AY23&gt;100000),0,$AS23),IF($AN23="PA",0.0307*(($O23+$E23+$G23)*Inputs!$C$8),IF($AN23="NY",IF($AU23="Married",IF($AZ23&gt;=2155350,0,IF($AZ23&gt;=1077550,0.48,IF($AZ23&gt;=373200,1.21,IF($AZ23&gt;=323200,0.21,IF($AZ23&gt;=211550,-0.19,IF($AZ23&gt;=157650,-2.8,IF($AZ23&gt;=107650,-0.8,IF($AZ23&gt;=96800,0.05,IF($AZ23&gt;=80650,-0.1,IF($AZ23&gt;=13900,0.4,IF($AZ23&gt;=11700,-0.3,IF($AZ23&gt;=8500,0.5,0)))))))))))),IF($AZ23&gt;=1077550,0,IF($AZ23&gt;=265400,4.29,IF($AZ23&gt;=215400,2.29,IF($AZ23&gt;=157650,2.29,IF($AZ23&gt;=107650,0.29,IF($AZ23&gt;=96800,0.05,IF($AZ23&gt;=80650,-0.1,IF($AZ23&gt;=13900,0.4,IF($AZ23&gt;=11700,-0.3,IF($AZ23&gt;=8500,0.5,0))))))))))),0))))))))))))))))))</f>
      </c>
      <c r="BC23" s="7">
        <f>IF($B23="","",IF($AN23="AL",0.05*$D23,IF($AN23="AR",0.039*$D23,IF($AN23="ID",0.053*$D23,IF($AN23="IN",(0.0295+Inputs!$C$76)*$D23,IF($AN23="KS",0.05*$D23,IF($AN23="MA",0.09*MIN($D23,MAX(0,MAX(0,$AY23-MIN(($BD22+$Q23+$R23+$S23),2000)-IF($AS23=0,0,IF($AS23=1,4400,1000*$AS23+3400)))+$D23-1107750))+0.05*($D23-MIN($D23,MAX(0,MAX(0,$AY23-MIN(($BD22+$Q23+$R23+$S23),2000)-IF($AS23=0,0,IF($AS23=1,4400,1000*$AS23+3400)))+$D23-1107750))),IF($AN23="MD",(0.065+Inputs!$C$74)*$D23,IF($AN23="MI",0.0425*$D23,IF($AN23="MN",0.0625*$D23,IF($AN23="MO",0.047*$D23,IF($AN23="MT",0.05*$D23,IF($AN23="ND",0.015*$D23,IF($AN23="NE",0.035*$D23,IF($AN23="NJ",IF(Inputs!$C$77="B",SUMPRODUCT(($D23*Inputs!$C$8&gt;INDEX('Methodology &amp; Sources'!$B$405:$J$412,0,4))*($D23*Inputs!$C$8-INDEX('Methodology &amp; Sources'!$B$405:$J$412,0,4))*INDEX('Methodology &amp; Sources'!$B$405:$J$412,0,4+2)),IF(Inputs!$C$77="C",SUMPRODUCT(($D23*Inputs!$C$8&gt;INDEX('Methodology &amp; Sources'!$B$405:$J$412,0,7))*($D23*Inputs!$C$8-INDEX('Methodology &amp; Sources'!$B$405:$J$412,0,7))*INDEX('Methodology &amp; Sources'!$B$405:$J$412,0,7+2)),IF(Inputs!$C$77="D",SUMPRODUCT(($D23*Inputs!$C$8&gt;INDEX('Methodology &amp; Sources'!$B$417:$J$429,0,1))*($D23*Inputs!$C$8-INDEX('Methodology &amp; Sources'!$B$417:$J$429,0,1))*INDEX('Methodology &amp; Sources'!$B$417:$J$429,0,1+2)),IF(Inputs!$C$77="E",SUMPRODUCT(($D23*Inputs!$C$8&gt;INDEX('Methodology &amp; Sources'!$B$417:$J$429,0,4))*($D23*Inputs!$C$8-INDEX('Methodology &amp; Sources'!$B$417:$J$429,0,4))*INDEX('Methodology &amp; Sources'!$B$417:$J$429,0,4+2)),SUMPRODUCT(($D23*Inputs!$C$8&gt;INDEX('Methodology &amp; Sources'!$B$405:$J$412,0,1))*($D23*Inputs!$C$8-INDEX('Methodology &amp; Sources'!$B$405:$J$412,0,1))*INDEX('Methodology &amp; Sources'!$B$405:$J$412,0,1+2))))))/Inputs!$C$8,IF($AN23="NY",0.117*$D23,IF($AN23="OH",0.0275*$D23,IF($AN23="OK",0.045*$D23,IF($AN23="OR",0.08*$D23,IF($AN23="WI",IF($AY23&lt;12760,0.0354,IF($AY23&lt;25520,0.0465,IF($AY23&lt;280950,0.053,0.0765)))*$D23,0))))))))))))))))))))</f>
      </c>
      <c r="BD23" s="7">
        <f>IF($B23="","",$BD22+$Q23+$R23+$S23)</f>
      </c>
      <c r="BE23" s="6">
        <f>IF($B23="",$BE22,$BE22+$BF23)</f>
      </c>
      <c r="BF23" s="6">
        <f>IF($B23="","",IF(AND(IF(YEAR(IF(Inputs!$C$7="Weekly",Inputs!$C$9+7*(($BE22+1)-1),IF(Inputs!$C$7="Biweekly",Inputs!$C$9+14*(($BE22+1)-1),IF(Inputs!$C$7="Semimonthly",DATE(YEAR(Inputs!$C$9),MONTH(Inputs!$C$9)+INT((($BE22+1)-1)/2),MIN(DAY(Inputs!$C$9),DAY(EOMONTH(DATE(YEAR(Inputs!$C$9),MONTH(Inputs!$C$9)+INT((($BE22+1)-1)/2),1),0))))+IF(MOD(($BE22+1)-1,2)=1,15,0),EDATE(Inputs!$C$9,($BE22+1)-1)))))&lt;&gt;2026,"",IF(Inputs!$C$7="Weekly",Inputs!$C$9+7*(($BE22+1)-1),IF(Inputs!$C$7="Biweekly",Inputs!$C$9+14*(($BE22+1)-1),IF(Inputs!$C$7="Semimonthly",DATE(YEAR(Inputs!$C$9),MONTH(Inputs!$C$9)+INT((($BE22+1)-1)/2),MIN(DAY(Inputs!$C$9),DAY(EOMONTH(DATE(YEAR(Inputs!$C$9),MONTH(Inputs!$C$9)+INT((($BE22+1)-1)/2),1),0))))+IF(MOD(($BE22+1)-1,2)=1,15,0),EDATE(Inputs!$C$9,($BE22+1)-1)))))&lt;&gt;"",$B23=IF(YEAR(IF(Inputs!$C$7="Weekly",Inputs!$C$9+7*(($BE22+1)-1),IF(Inputs!$C$7="Biweekly",Inputs!$C$9+14*(($BE22+1)-1),IF(Inputs!$C$7="Semimonthly",DATE(YEAR(Inputs!$C$9),MONTH(Inputs!$C$9)+INT((($BE22+1)-1)/2),MIN(DAY(Inputs!$C$9),DAY(EOMONTH(DATE(YEAR(Inputs!$C$9),MONTH(Inputs!$C$9)+INT((($BE22+1)-1)/2),1),0))))+IF(MOD(($BE22+1)-1,2)=1,15,0),EDATE(Inputs!$C$9,($BE22+1)-1)))))&lt;&gt;2026,"",IF(Inputs!$C$7="Weekly",Inputs!$C$9+7*(($BE22+1)-1),IF(Inputs!$C$7="Biweekly",Inputs!$C$9+14*(($BE22+1)-1),IF(Inputs!$C$7="Semimonthly",DATE(YEAR(Inputs!$C$9),MONTH(Inputs!$C$9)+INT((($BE22+1)-1)/2),MIN(DAY(Inputs!$C$9),DAY(EOMONTH(DATE(YEAR(Inputs!$C$9),MONTH(Inputs!$C$9)+INT((($BE22+1)-1)/2),1),0))))+IF(MOD(($BE22+1)-1,2)=1,15,0),EDATE(Inputs!$C$9,($BE22+1)-1)))))),1,0))</f>
      </c>
      <c r="BG23" s="7">
        <f>IF($B23="","",$BG22+$H23)</f>
      </c>
      <c r="BH23" s="7">
        <f>IF($B23="","",$BH22+$I23)</f>
      </c>
      <c r="BI23" s="7">
        <f>IF($B23="","",$BI22+$G23)</f>
      </c>
      <c r="BJ23" s="7">
        <f>IF($B23="","",IFERROR(LOOKUP(2,1/((((Events!$C$6:$C$17="Deduction start"))*(Events!$D$6:$D$17="Health FSA"))*(Events!$B$6:$B$17&lt;=$B23)*(Events!$B$6:$B$17&lt;&gt;"")),Events!$E$6:$E$17),Inputs!$D$38))</f>
      </c>
      <c r="BK23" s="7">
        <f>IF($B23="","",IFERROR(LOOKUP(2,1/((((Events!$C$6:$C$17="Deduction start"))*(Events!$D$6:$D$17="Dependent-care FSA"))*(Events!$B$6:$B$17&lt;=$B23)*(Events!$B$6:$B$17&lt;&gt;"")),Events!$E$6:$E$17),Inputs!$D$39))</f>
      </c>
      <c r="BL23" s="7">
        <f>IF($B23="","",IFERROR(LOOKUP(2,1/((((Events!$C$6:$C$17="Deduction start")+(Events!$C$6:$C$17="Deduction stop"))*(Events!$D$6:$D$17="HSA"))*(Events!$B$6:$B$17&lt;=$B23)*(Events!$B$6:$B$17&lt;&gt;"")),Events!$I$6:$I$17),Inputs!$D$35))</f>
      </c>
      <c r="BM23" s="7">
        <f>IF($B23="","",IFERROR(LOOKUP(2,1/((((Events!$C$6:$C$17="Deduction start")+(Events!$C$6:$C$17="Deduction stop"))*(Events!$D$6:$D$17="Premiums"))*(Events!$B$6:$B$17&lt;=$B23)*(Events!$B$6:$B$17&lt;&gt;"")),Events!$I$6:$I$17),Inputs!$D$40+Inputs!$D$41+Inputs!$D$42))</f>
      </c>
      <c r="BN23" s="7">
        <f>IF($B23="","",IFERROR(LOOKUP(2,1/((((Events!$C$6:$C$17="Deduction start")+(Events!$C$6:$C$17="Deduction stop"))*(Events!$D$6:$D$17="Commuter"))*(Events!$B$6:$B$17&lt;=$B23)*(Events!$B$6:$B$17&lt;&gt;"")),Events!$I$6:$I$17),Inputs!$D$43))</f>
      </c>
      <c r="BO23" s="7">
        <f>IF($B23="","",IFERROR(LOOKUP(2,1/((((Events!$C$6:$C$17="Deduction start")+(Events!$C$6:$C$17="Deduction stop"))*(Events!$D$6:$D$17="Other pre-tax"))*(Events!$B$6:$B$17&lt;=$B23)*(Events!$B$6:$B$17&lt;&gt;"")),Events!$I$6:$I$17),Inputs!$D$44))</f>
      </c>
      <c r="BP23" s="7">
        <f>IF($B23="","",IFERROR(LOOKUP(2,1/((((Events!$C$6:$C$17="Deduction start")+(Events!$C$6:$C$17="Deduction stop"))*(Events!$D$6:$D$17="Other post-tax"))*(Events!$B$6:$B$17&lt;=$B23)*(Events!$B$6:$B$17&lt;&gt;"")),Events!$I$6:$I$17),Inputs!$D$45))</f>
      </c>
      <c r="BQ23" s="6">
        <f>IF($B23="","",IFERROR(LOOKUP(2,1/((((Events!$C$6:$C$17="Deduction start")+(Events!$C$6:$C$17="Deduction stop"))*(Events!$D$6:$D$17="Health FSA"))*(Events!$B$6:$B$17&lt;=$B23)*(Events!$B$6:$B$17&lt;&gt;"")),Events!$J$6:$J$17),0))</f>
      </c>
      <c r="BR23" s="6">
        <f>IF($B23="","",IFERROR(LOOKUP(2,1/((((Events!$C$6:$C$17="Deduction start")+(Events!$C$6:$C$17="Deduction stop"))*(Events!$D$6:$D$17="Dependent-care FSA"))*(Events!$B$6:$B$17&lt;=$B23)*(Events!$B$6:$B$17&lt;&gt;"")),Events!$J$6:$J$17),0))</f>
      </c>
      <c r="BS23" s="6">
        <f>IF($B23="","",IF(SUMPRODUCT((Events!$C$6:$C$17="Deduction start")*(Events!$B$6:$B$17&lt;=$B23)*(Events!$B$6:$B$17&lt;&gt;"")*(Events!$D$6:$D$17="Health FSA"))&gt;0,1,0))</f>
      </c>
      <c r="BT23" s="6">
        <f>IF($B23="","",IF(SUMPRODUCT((Events!$C$6:$C$17="Deduction start")*(Events!$B$6:$B$17&lt;=$B23)*(Events!$B$6:$B$17&lt;&gt;"")*(Events!$D$6:$D$17="Dependent-care FSA"))&gt;0,1,0))</f>
      </c>
      <c r="BU23" s="24">
        <f>IF($B23="","",IF(Inputs!$C$13,SUMPRODUCT(($AH23&gt;=INDEX('Methodology &amp; Sources'!$B$279:$J$286,0,IF(Inputs!$C$12="MFJ",1,IF(Inputs!$C$12="HoH",7,4))))*INDEX('Methodology &amp; Sources'!$B$279:$J$286,0,IF(Inputs!$C$12="MFJ",1,IF(Inputs!$C$12="HoH",7,4))+2)),SUMPRODUCT(($AH23&gt;=INDEX('Methodology &amp; Sources'!$B$269:$J$276,0,IF(Inputs!$C$12="MFJ",1,IF(Inputs!$C$12="HoH",7,4))))*INDEX('Methodology &amp; Sources'!$B$269:$J$276,0,IF(Inputs!$C$12="MFJ",1,IF(Inputs!$C$12="HoH",7,4))+2))))</f>
      </c>
      <c r="BV23" s="24">
        <f>IF($B23="","",IF($BZ23&lt;&gt;"",$BZ23,IF($CA23&lt;&gt;"",$CA23,IF($CB23&lt;&gt;"",$CB23,IF($CC23&lt;&gt;"",$CC23,0)))))</f>
      </c>
      <c r="BW23" s="7">
        <f>IF($B23="","",IF($AN23="MD",IF(OR($AU23="Married",$AU23="Head of household"),SUMPRODUCT(($AZ23&gt;INDEX('Methodology &amp; Sources'!$B$364:$J$370,0,1))*($AZ23-INDEX('Methodology &amp; Sources'!$B$364:$J$370,0,1))*INDEX('Methodology &amp; Sources'!$B$364:$J$370,0,1+2)),SUMPRODUCT(($AZ23&gt;INDEX('Methodology &amp; Sources'!$B$353:$J$359,0,7))*($AZ23-INDEX('Methodology &amp; Sources'!$B$353:$J$359,0,7))*INDEX('Methodology &amp; Sources'!$B$353:$J$359,0,7+2))),IF($AN23="MO",SUMPRODUCT(($AZ23&gt;INDEX('Methodology &amp; Sources'!$B$375:$J$382,0,1))*($AZ23-INDEX('Methodology &amp; Sources'!$B$375:$J$382,0,1))*INDEX('Methodology &amp; Sources'!$B$375:$J$382,0,1+2)),IF($AN23="MT",IF($AU23="Head of household",SUMPRODUCT(($AZ23&gt;INDEX('Methodology &amp; Sources'!$B$387:$J$389,0,1))*($AZ23-INDEX('Methodology &amp; Sources'!$B$387:$J$389,0,1))*INDEX('Methodology &amp; Sources'!$B$387:$J$389,0,1+2)),IF($AU23="Married",SUMPRODUCT(($AZ23&gt;INDEX('Methodology &amp; Sources'!$B$375:$J$382,0,7))*($AZ23-INDEX('Methodology &amp; Sources'!$B$375:$J$382,0,7))*INDEX('Methodology &amp; Sources'!$B$375:$J$382,0,7+2)),SUMPRODUCT(($AZ23&gt;INDEX('Methodology &amp; Sources'!$B$375:$J$382,0,4))*($AZ23-INDEX('Methodology &amp; Sources'!$B$375:$J$382,0,4))*INDEX('Methodology &amp; Sources'!$B$375:$J$382,0,4+2)))),IF($AN23="ND",IF($AU23="Head of household",SUMPRODUCT(($AZ23&gt;INDEX('Methodology &amp; Sources'!$B$394:$J$400,0,1))*($AZ23-INDEX('Methodology &amp; Sources'!$B$394:$J$400,0,1))*INDEX('Methodology &amp; Sources'!$B$394:$J$400,0,1+2)),IF($AU23="Married",SUMPRODUCT(($AZ23&gt;INDEX('Methodology &amp; Sources'!$B$387:$J$389,0,7))*($AZ23-INDEX('Methodology &amp; Sources'!$B$387:$J$389,0,7))*INDEX('Methodology &amp; Sources'!$B$387:$J$389,0,7+2)),SUMPRODUCT(($AZ23&gt;INDEX('Methodology &amp; Sources'!$B$387:$J$389,0,4))*($AZ23-INDEX('Methodology &amp; Sources'!$B$387:$J$389,0,4))*INDEX('Methodology &amp; Sources'!$B$387:$J$389,0,4+2)))),IF($AN23="NJ",IF(Inputs!$C$77="B",SUMPRODUCT(($AZ23&gt;INDEX('Methodology &amp; Sources'!$B$405:$J$412,0,4))*($AZ23-INDEX('Methodology &amp; Sources'!$B$405:$J$412,0,4))*INDEX('Methodology &amp; Sources'!$B$405:$J$412,0,4+2)),IF(Inputs!$C$77="C",SUMPRODUCT(($AZ23&gt;INDEX('Methodology &amp; Sources'!$B$405:$J$412,0,7))*($AZ23-INDEX('Methodology &amp; Sources'!$B$405:$J$412,0,7))*INDEX('Methodology &amp; Sources'!$B$405:$J$412,0,7+2)),IF(Inputs!$C$77="D",SUMPRODUCT(($AZ23&gt;INDEX('Methodology &amp; Sources'!$B$417:$J$429,0,1))*($AZ23-INDEX('Methodology &amp; Sources'!$B$417:$J$429,0,1))*INDEX('Methodology &amp; Sources'!$B$417:$J$429,0,1+2)),IF(Inputs!$C$77="E",SUMPRODUCT(($AZ23&gt;INDEX('Methodology &amp; Sources'!$B$417:$J$429,0,4))*($AZ23-INDEX('Methodology &amp; Sources'!$B$417:$J$429,0,4))*INDEX('Methodology &amp; Sources'!$B$417:$J$429,0,4+2)),SUMPRODUCT(($AZ23&gt;INDEX('Methodology &amp; Sources'!$B$405:$J$412,0,1))*($AZ23-INDEX('Methodology &amp; Sources'!$B$405:$J$412,0,1))*INDEX('Methodology &amp; Sources'!$B$405:$J$412,0,1+2)))))),IF($AN23="NY",IF($AU23="Married",IF($AZ23&gt;=2155350,$AZ23*IF($AZ23&gt;25000000,0.117,IF($AZ23&gt;5000000,0.111,0.1045)),SUMPRODUCT(($AZ23&gt;INDEX('Methodology &amp; Sources'!$B$434:$J$448,0,1))*($AZ23-INDEX('Methodology &amp; Sources'!$B$434:$J$448,0,1))*INDEX('Methodology &amp; Sources'!$B$434:$J$448,0,1+2))),IF($AZ23&gt;=1077550,$AZ23*IF($AZ23&gt;25000000,0.117,IF($AZ23&gt;5000000,0.111,0.1045)),SUMPRODUCT(($AZ23&gt;INDEX('Methodology &amp; Sources'!$B$417:$J$429,0,7))*($AZ23-INDEX('Methodology &amp; Sources'!$B$417:$J$429,0,7))*INDEX('Methodology &amp; Sources'!$B$417:$J$429,0,7+2)))),"")))))))</f>
      </c>
      <c r="BX23" s="7">
        <f>IF($B23="","",IF($AN23="AL",IF(OR($AU23="Married",$AU23="Head of household"),SUMPRODUCT(($AZ23&gt;INDEX('Methodology &amp; Sources'!$B$332:$J$336,0,4))*($AZ23-INDEX('Methodology &amp; Sources'!$B$332:$J$336,0,4))*INDEX('Methodology &amp; Sources'!$B$332:$J$336,0,4+2)),SUMPRODUCT(($AZ23&gt;INDEX('Methodology &amp; Sources'!$B$332:$J$336,0,1))*($AZ23-INDEX('Methodology &amp; Sources'!$B$332:$J$336,0,1))*INDEX('Methodology &amp; Sources'!$B$332:$J$336,0,1+2))),IF($AN23="KS",IF($AU23="Married",SUMPRODUCT(($AZ23&gt;INDEX('Methodology &amp; Sources'!$B$353:$J$359,0,4))*($AZ23-INDEX('Methodology &amp; Sources'!$B$353:$J$359,0,4))*INDEX('Methodology &amp; Sources'!$B$353:$J$359,0,4+2)),SUMPRODUCT(($AZ23&gt;INDEX('Methodology &amp; Sources'!$B$353:$J$359,0,1))*($AZ23-INDEX('Methodology &amp; Sources'!$B$353:$J$359,0,1))*INDEX('Methodology &amp; Sources'!$B$353:$J$359,0,1+2))),IF($AN23="MN",IF($AU23="Married",SUMPRODUCT(($AZ23&gt;INDEX('Methodology &amp; Sources'!$B$364:$J$370,0,7))*($AZ23-INDEX('Methodology &amp; Sources'!$B$364:$J$370,0,7))*INDEX('Methodology &amp; Sources'!$B$364:$J$370,0,7+2)),SUMPRODUCT(($AZ23&gt;INDEX('Methodology &amp; Sources'!$B$364:$J$370,0,4))*($AZ23-INDEX('Methodology &amp; Sources'!$B$364:$J$370,0,4))*INDEX('Methodology &amp; Sources'!$B$364:$J$370,0,4+2))),IF($AN23="NE",MAX(IF($AU23="Married",SUMPRODUCT(($AZ23&gt;INDEX('Methodology &amp; Sources'!$B$394:$J$400,0,7))*($AZ23-INDEX('Methodology &amp; Sources'!$B$394:$J$400,0,7))*INDEX('Methodology &amp; Sources'!$B$394:$J$400,0,7+2)),SUMPRODUCT(($AZ23&gt;INDEX('Methodology &amp; Sources'!$B$394:$J$400,0,4))*($AZ23-INDEX('Methodology &amp; Sources'!$B$394:$J$400,0,4))*INDEX('Methodology &amp; Sources'!$B$394:$J$400,0,4+2))),0.015*$AZ23),IF($AN23="OH",IF($B23&gt;=DATE(2026,8,1),SUMPRODUCT(($AZ23&gt;INDEX('Methodology &amp; Sources'!$B$453:$J$456,0,1))*($AZ23-INDEX('Methodology &amp; Sources'!$B$453:$J$456,0,1))*INDEX('Methodology &amp; Sources'!$B$453:$J$456,0,1+2)),SUMPRODUCT(($AZ23&gt;INDEX('Methodology &amp; Sources'!$B$434:$J$448,0,7))*($AZ23-INDEX('Methodology &amp; Sources'!$B$434:$J$448,0,7))*INDEX('Methodology &amp; Sources'!$B$434:$J$448,0,7+2))),IF($AN23="OK",IF($AU23="Married",SUMPRODUCT(($AZ23&gt;INDEX('Methodology &amp; Sources'!$B$453:$J$456,0,7))*($AZ23-INDEX('Methodology &amp; Sources'!$B$453:$J$456,0,7))*INDEX('Methodology &amp; Sources'!$B$453:$J$456,0,7+2)),SUMPRODUCT(($AZ23&gt;INDEX('Methodology &amp; Sources'!$B$453:$J$456,0,4))*($AZ23-INDEX('Methodology &amp; Sources'!$B$453:$J$456,0,4))*INDEX('Methodology &amp; Sources'!$B$453:$J$456,0,4+2))),IF($AN23="RI",SUMPRODUCT(($AZ23&gt;INDEX('Methodology &amp; Sources'!$B$461:$J$464,0,7))*($AZ23-INDEX('Methodology &amp; Sources'!$B$461:$J$464,0,7))*INDEX('Methodology &amp; Sources'!$B$461:$J$464,0,7+2)),IF($AN23="VT",IF($AU23="Married",SUMPRODUCT(($AZ23&gt;INDEX('Methodology &amp; Sources'!$B$478:$J$482,0,1))*($AZ23-INDEX('Methodology &amp; Sources'!$B$478:$J$482,0,1))*INDEX('Methodology &amp; Sources'!$B$478:$J$482,0,1+2)),SUMPRODUCT(($AZ23&gt;INDEX('Methodology &amp; Sources'!$B$469:$J$473,0,7))*($AZ23-INDEX('Methodology &amp; Sources'!$B$469:$J$473,0,7))*INDEX('Methodology &amp; Sources'!$B$469:$J$473,0,7+2))),IF($AN23="WV",IF($AU23="Married",SUMPRODUCT(($AZ23&gt;INDEX('Methodology &amp; Sources'!$B$487:$J$491,0,7))*($AZ23-INDEX('Methodology &amp; Sources'!$B$487:$J$491,0,7))*INDEX('Methodology &amp; Sources'!$B$487:$J$491,0,7+2)),SUMPRODUCT(($AZ23&gt;INDEX('Methodology &amp; Sources'!$B$478:$J$482,0,7))*($AZ23-INDEX('Methodology &amp; Sources'!$B$478:$J$482,0,7))*INDEX('Methodology &amp; Sources'!$B$478:$J$482,0,7+2))),""))))))))))</f>
      </c>
      <c r="BY23" s="7">
        <f>IF($B23="","",IF($AN23="AR",SUMPRODUCT(($AZ23&gt;INDEX('Methodology &amp; Sources'!$B$332:$J$336,0,7))*($AZ23-INDEX('Methodology &amp; Sources'!$B$332:$J$336,0,7))*INDEX('Methodology &amp; Sources'!$B$332:$J$336,0,7+2)),IF($AN23="DE",SUMPRODUCT(($AZ23&gt;INDEX('Methodology &amp; Sources'!$B$341:$J$348,0,1))*($AZ23-INDEX('Methodology &amp; Sources'!$B$341:$J$348,0,1))*INDEX('Methodology &amp; Sources'!$B$341:$J$348,0,1+2)),IF($AN23="HI",IF($AU23="Married",SUMPRODUCT(($AZ23&gt;INDEX('Methodology &amp; Sources'!$B$341:$J$348,0,7))*($AZ23-INDEX('Methodology &amp; Sources'!$B$341:$J$348,0,7))*INDEX('Methodology &amp; Sources'!$B$341:$J$348,0,7+2)),SUMPRODUCT(($AZ23&gt;INDEX('Methodology &amp; Sources'!$B$341:$J$348,0,4))*($AZ23-INDEX('Methodology &amp; Sources'!$B$341:$J$348,0,4))*INDEX('Methodology &amp; Sources'!$B$341:$J$348,0,4+2))),IF($AN23="SC",SUMPRODUCT(($AZ23&gt;INDEX('Methodology &amp; Sources'!$B$469:$J$473,0,1))*($AZ23-INDEX('Methodology &amp; Sources'!$B$469:$J$473,0,1))*INDEX('Methodology &amp; Sources'!$B$469:$J$473,0,1+2)),IF($AN23="VA",SUMPRODUCT(($AZ23&gt;INDEX('Methodology &amp; Sources'!$B$469:$J$473,0,4))*($AZ23-INDEX('Methodology &amp; Sources'!$B$469:$J$473,0,4))*INDEX('Methodology &amp; Sources'!$B$469:$J$473,0,4+2)),IF($AN23="WI",SUMPRODUCT(($AZ23&gt;INDEX('Methodology &amp; Sources'!$B$478:$J$482,0,4))*($AZ23-INDEX('Methodology &amp; Sources'!$B$478:$J$482,0,4))*INDEX('Methodology &amp; Sources'!$B$478:$J$482,0,4+2)),"")))))))</f>
      </c>
      <c r="BZ23" s="24">
        <f>IF($B23="","",IF($AN23="NJ",IF(Inputs!$C$77="B",SUMPRODUCT(($AZ23&gt;=INDEX('Methodology &amp; Sources'!$B$405:$J$412,0,4))*INDEX('Methodology &amp; Sources'!$B$405:$J$412,0,4+2)),IF(Inputs!$C$77="C",SUMPRODUCT(($AZ23&gt;=INDEX('Methodology &amp; Sources'!$B$405:$J$412,0,7))*INDEX('Methodology &amp; Sources'!$B$405:$J$412,0,7+2)),IF(Inputs!$C$77="D",SUMPRODUCT(($AZ23&gt;=INDEX('Methodology &amp; Sources'!$B$417:$J$429,0,1))*INDEX('Methodology &amp; Sources'!$B$417:$J$429,0,1+2)),IF(Inputs!$C$77="E",SUMPRODUCT(($AZ23&gt;=INDEX('Methodology &amp; Sources'!$B$417:$J$429,0,4))*INDEX('Methodology &amp; Sources'!$B$417:$J$429,0,4+2)),SUMPRODUCT(($AZ23&gt;=INDEX('Methodology &amp; Sources'!$B$405:$J$412,0,1))*INDEX('Methodology &amp; Sources'!$B$405:$J$412,0,1+2)))))),IF($AN23="OR",IF(OR($AU23="Married",AND($AU23="Single",$AS23&gt;=3)),SUMPRODUCT((MAX(0,$AY23-MIN(($P23-'Methodology &amp; Sources'!$C$260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Sources'!$B$461:$J$464,0,4))*INDEX('Methodology &amp; Sources'!$B$461:$J$464,0,4+2)),SUMPRODUCT((MAX(0,$AY23-MIN(($P23-'Methodology &amp; Sources'!$C$260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Sources'!$B$461:$J$464,0,1))*INDEX('Methodology &amp; Sources'!$B$461:$J$464,0,1+2)))*IF(($P23-'Methodology &amp; Sources'!$C$260*$D23)*Inputs!$C$8&gt;=IF(OR($AU23="Married",AND($AU23="Single",$AS23&gt;=3)),IF($AY23&lt;250000,8750,IF($AY23&lt;260000,7000,IF($AY23&lt;270000,5250,IF($AY23&lt;280000,3500,IF($AY23&lt;290000,1750,0))))),IF($AY23&lt;125000,8750,IF($AY23&lt;130000,7000,IF($AY23&lt;135000,5250,IF($AY23&lt;140000,3500,IF($AY23&lt;145000,1750,0)))))),1,1-IF(Inputs!$C$13,SUMPRODUCT(($AH23&gt;=INDEX('Methodology &amp; Sources'!$B$279:$J$286,0,IF(Inputs!$C$12="MFJ",1,IF(Inputs!$C$12="HoH",7,4))))*INDEX('Methodology &amp; Sources'!$B$279:$J$286,0,IF(Inputs!$C$12="MFJ",1,IF(Inputs!$C$12="HoH",7,4))+2)),SUMPRODUCT(($AH23&gt;=INDEX('Methodology &amp; Sources'!$B$269:$J$276,0,IF(Inputs!$C$12="MFJ",1,IF(Inputs!$C$12="HoH",7,4))))*INDEX('Methodology &amp; Sources'!$B$269:$J$276,0,IF(Inputs!$C$12="MFJ",1,IF(Inputs!$C$12="HoH",7,4))+2)))),IF($AN23="MI",IF($AY23&gt;5900*$AS23,0.0425,0),""))))</f>
      </c>
      <c r="CA23" s="24">
        <f>IF($B23="","",IF($AN23="AL",IF(OR($AU23="Married",$AU23="Head of household"),SUMPRODUCT(($AZ23&gt;=INDEX('Methodology &amp; Sources'!$B$332:$J$336,0,4))*INDEX('Methodology &amp; Sources'!$B$332:$J$336,0,4+2)),SUMPRODUCT(($AZ23&gt;=INDEX('Methodology &amp; Sources'!$B$332:$J$336,0,1))*INDEX('Methodology &amp; Sources'!$B$332:$J$336,0,1+2)))*(1-IF(Inputs!$C$13,SUMPRODUCT(($AH23&gt;=INDEX('Methodology &amp; Sources'!$B$279:$J$286,0,IF(Inputs!$C$12="MFJ",1,IF(Inputs!$C$12="HoH",7,4))))*INDEX('Methodology &amp; Sources'!$B$279:$J$286,0,IF(Inputs!$C$12="MFJ",1,IF(Inputs!$C$12="HoH",7,4))+2)),SUMPRODUCT(($AH23&gt;=INDEX('Methodology &amp; Sources'!$B$269:$J$276,0,IF(Inputs!$C$12="MFJ",1,IF(Inputs!$C$12="HoH",7,4))))*INDEX('Methodology &amp; Sources'!$B$269:$J$276,0,IF(Inputs!$C$12="MFJ",1,IF(Inputs!$C$12="HoH",7,4))+2)))),IF($AN23="KS",IF($AU23="Married",SUMPRODUCT(($AZ23&gt;=INDEX('Methodology &amp; Sources'!$B$353:$J$359,0,4))*INDEX('Methodology &amp; Sources'!$B$353:$J$359,0,4+2)),SUMPRODUCT(($AZ23&gt;=INDEX('Methodology &amp; Sources'!$B$353:$J$359,0,1))*INDEX('Methodology &amp; Sources'!$B$353:$J$359,0,1+2))),IF($AN23="MD",IF(OR($AU23="Married",$AU23="Head of household"),SUMPRODUCT(($AZ23&gt;=INDEX('Methodology &amp; Sources'!$B$364:$J$370,0,1))*INDEX('Methodology &amp; Sources'!$B$364:$J$370,0,1+2)),SUMPRODUCT(($AZ23&gt;=INDEX('Methodology &amp; Sources'!$B$353:$J$359,0,7))*INDEX('Methodology &amp; Sources'!$B$353:$J$359,0,7+2)))+Inputs!$C$74,IF($AN23="MT",IF($AU23="Head of household",SUMPRODUCT(($AZ23&gt;=INDEX('Methodology &amp; Sources'!$B$387:$J$389,0,1))*INDEX('Methodology &amp; Sources'!$B$387:$J$389,0,1+2)),IF($AU23="Married",SUMPRODUCT(($AZ23&gt;=INDEX('Methodology &amp; Sources'!$B$375:$J$382,0,7))*INDEX('Methodology &amp; Sources'!$B$375:$J$382,0,7+2)),SUMPRODUCT(($AZ23&gt;=INDEX('Methodology &amp; Sources'!$B$375:$J$382,0,4))*INDEX('Methodology &amp; Sources'!$B$375:$J$382,0,4+2)))),IF($AN23="ND",IF($AU23="Head of household",SUMPRODUCT(($AZ23&gt;=INDEX('Methodology &amp; Sources'!$B$394:$J$400,0,1))*INDEX('Methodology &amp; Sources'!$B$394:$J$400,0,1+2)),IF($AU23="Married",SUMPRODUCT(($AZ23&gt;=INDEX('Methodology &amp; Sources'!$B$387:$J$389,0,7))*INDEX('Methodology &amp; Sources'!$B$387:$J$389,0,7+2)),SUMPRODUCT(($AZ23&gt;=INDEX('Methodology &amp; Sources'!$B$387:$J$389,0,4))*INDEX('Methodology &amp; Sources'!$B$387:$J$389,0,4+2)))),IF($AN23="NY",IF($AU23="Married",IF($AZ23&gt;=2155350,IF($AZ23&gt;25000000,0.117,IF($AZ23&gt;5000000,0.111,0.1045)),SUMPRODUCT(($AZ23&gt;=INDEX('Methodology &amp; Sources'!$B$434:$J$448,0,1))*INDEX('Methodology &amp; Sources'!$B$434:$J$448,0,1+2))),IF($AZ23&gt;=1077550,IF($AZ23&gt;25000000,0.117,IF($AZ23&gt;5000000,0.111,0.1045)),SUMPRODUCT(($AZ23&gt;=INDEX('Methodology &amp; Sources'!$B$417:$J$429,0,7))*INDEX('Methodology &amp; Sources'!$B$417:$J$429,0,7+2)))),"")))))))</f>
      </c>
      <c r="CB23" s="24">
        <f>IF($B23="","",IF($AN23="CA",SUMPRODUCT(($AJ23&gt;=INDEX('Methodology &amp; Sources'!$B$289:$J$298,0,IF($AU23="Married",4,IF($AU23="Head of household",7,1))))*INDEX('Methodology &amp; Sources'!$B$289:$J$298,0,IF($AU23="Married",4,IF($AU23="Head of household",7,1))+2)),IF($AN23="HI",IF($AU23="Married",SUMPRODUCT(($AZ23&gt;=INDEX('Methodology &amp; Sources'!$B$341:$J$348,0,7))*INDEX('Methodology &amp; Sources'!$B$341:$J$348,0,7+2)),SUMPRODUCT(($AZ23&gt;=INDEX('Methodology &amp; Sources'!$B$341:$J$348,0,4))*INDEX('Methodology &amp; Sources'!$B$341:$J$348,0,4+2))),IF($AN23="MN",IF($AU23="Married",SUMPRODUCT(($AZ23&gt;=INDEX('Methodology &amp; Sources'!$B$364:$J$370,0,7))*INDEX('Methodology &amp; Sources'!$B$364:$J$370,0,7+2)),SUMPRODUCT(($AZ23&gt;=INDEX('Methodology &amp; Sources'!$B$364:$J$370,0,4))*INDEX('Methodology &amp; Sources'!$B$364:$J$370,0,4+2))),IF($AN23="MO",SUMPRODUCT(($AZ23&gt;=INDEX('Methodology &amp; Sources'!$B$375:$J$382,0,1))*INDEX('Methodology &amp; Sources'!$B$375:$J$382,0,1+2)),IF($AN23="NE",MAX(IF($AU23="Married",SUMPRODUCT(($AZ23&gt;=INDEX('Methodology &amp; Sources'!$B$394:$J$400,0,7))*INDEX('Methodology &amp; Sources'!$B$394:$J$400,0,7+2)),SUMPRODUCT(($AZ23&gt;=INDEX('Methodology &amp; Sources'!$B$394:$J$400,0,4))*INDEX('Methodology &amp; Sources'!$B$394:$J$400,0,4+2))),0.015),IF($AN23="OH",IF($B23&gt;=DATE(2026,8,1),SUMPRODUCT(($AZ23&gt;=INDEX('Methodology &amp; Sources'!$B$453:$J$456,0,1))*INDEX('Methodology &amp; Sources'!$B$453:$J$456,0,1+2)),SUMPRODUCT(($AZ23&gt;=INDEX('Methodology &amp; Sources'!$B$434:$J$448,0,7))*INDEX('Methodology &amp; Sources'!$B$434:$J$448,0,7+2))),IF($AN23="OK",IF($AU23="Married",SUMPRODUCT(($AZ23&gt;=INDEX('Methodology &amp; Sources'!$B$453:$J$456,0,7))*INDEX('Methodology &amp; Sources'!$B$453:$J$456,0,7+2)),SUMPRODUCT(($AZ23&gt;=INDEX('Methodology &amp; Sources'!$B$453:$J$456,0,4))*INDEX('Methodology &amp; Sources'!$B$453:$J$456,0,4+2))),IF($AN23="RI",SUMPRODUCT(($AZ23&gt;=INDEX('Methodology &amp; Sources'!$B$461:$J$464,0,7))*INDEX('Methodology &amp; Sources'!$B$461:$J$464,0,7+2)),IF($AN23="SC",SUMPRODUCT(($AZ23&gt;=INDEX('Methodology &amp; Sources'!$B$469:$J$473,0,1))*INDEX('Methodology &amp; Sources'!$B$469:$J$473,0,1+2)),IF($AN23="VT",IF($AU23="Married",SUMPRODUCT(($AZ23&gt;=INDEX('Methodology &amp; Sources'!$B$478:$J$482,0,1))*INDEX('Methodology &amp; Sources'!$B$478:$J$482,0,1+2)),SUMPRODUCT(($AZ23&gt;=INDEX('Methodology &amp; Sources'!$B$469:$J$473,0,7))*INDEX('Methodology &amp; Sources'!$B$469:$J$473,0,7+2))),IF($AN23="WV",IF($AU23="Married",SUMPRODUCT(($AZ23&gt;=INDEX('Methodology &amp; Sources'!$B$487:$J$491,0,7))*INDEX('Methodology &amp; Sources'!$B$487:$J$491,0,7+2)),SUMPRODUCT(($AZ23&gt;=INDEX('Methodology &amp; Sources'!$B$478:$J$482,0,7))*INDEX('Methodology &amp; Sources'!$B$478:$J$482,0,7+2))),IF($AN23="IN",(0.0295+Inputs!$C$76),"")))))))))))))</f>
      </c>
      <c r="CC23" s="24">
        <f>IF($B23="","",IF($AN23="AR",SUMPRODUCT(($AZ23&gt;=INDEX('Methodology &amp; Sources'!$B$332:$J$336,0,7))*INDEX('Methodology &amp; Sources'!$B$332:$J$336,0,7+2)),IF($AN23="DE",SUMPRODUCT(($AZ23&gt;=INDEX('Methodology &amp; Sources'!$B$341:$J$348,0,1))*INDEX('Methodology &amp; Sources'!$B$341:$J$348,0,1+2)),IF($AN23="VA",SUMPRODUCT(($AZ23&gt;=INDEX('Methodology &amp; Sources'!$B$469:$J$473,0,4))*INDEX('Methodology &amp; Sources'!$B$469:$J$473,0,4+2)),IF($AN23="WI",SUMPRODUCT(($AZ23&gt;=INDEX('Methodology &amp; Sources'!$B$478:$J$482,0,4))*INDEX('Methodology &amp; Sources'!$B$478:$J$482,0,4+2)),IF($AN23="AZ",Inputs!$C$82,IF($AN23="CO",IF($AY23&gt;IF($AU23="Married",10000,5000),0.044,0),IF($AN23="IA",IF($AY23&gt;IF($AU23="Head of household",19500,IF($AU23="Married",26000,13000)),0.038,0),IF($AN23="ID",IF($AY23&gt;IF($AU23="Married",32000,16094),0.053,0),IF($AN23="IL",IF($AY23&gt;(2925*$AS23+1000*$AT23),0.0495,0),IF($AN23="KY",IF($AI23&gt;3360,0.035,0),IF($AN23="LA",0.0309,IF($AN23="MA",IF(MAX(0,$AY23-MIN(($BD22+$Q23+$R23+$S23),2000)-IF($AS23=0,0,IF($AS23=1,4400,1000*$AS23+3400)))&gt;=1107750,0.09,0.05),IF($AN23="MS",IF($AI23-IF($AU23="Head of household",3400,IF($AU23="Married",4600,2300))-Inputs!$C$85&gt;10000,0.04,0),IF($AN23="PA",0.0307,"")))))))))))))))</f>
      </c>
      <c r="CD23" s="21">
        <f>IF(YEAR(IF(Inputs!$C$7="Weekly",Inputs!$C$9+7*(($BE22+1)-1),IF(Inputs!$C$7="Biweekly",Inputs!$C$9+14*(($BE22+1)-1),IF(Inputs!$C$7="Semimonthly",DATE(YEAR(Inputs!$C$9),MONTH(Inputs!$C$9)+INT((($BE22+1)-1)/2),MIN(DAY(Inputs!$C$9),DAY(EOMONTH(DATE(YEAR(Inputs!$C$9),MONTH(Inputs!$C$9)+INT((($BE22+1)-1)/2),1),0))))+IF(MOD(($BE22+1)-1,2)=1,15,0),EDATE(Inputs!$C$9,($BE22+1)-1)))))&lt;&gt;2026,"",IF(Inputs!$C$7="Weekly",Inputs!$C$9+7*(($BE22+1)-1),IF(Inputs!$C$7="Biweekly",Inputs!$C$9+14*(($BE22+1)-1),IF(Inputs!$C$7="Semimonthly",DATE(YEAR(Inputs!$C$9),MONTH(Inputs!$C$9)+INT((($BE22+1)-1)/2),MIN(DAY(Inputs!$C$9),DAY(EOMONTH(DATE(YEAR(Inputs!$C$9),MONTH(Inputs!$C$9)+INT((($BE22+1)-1)/2),1),0))))+IF(MOD(($BE22+1)-1,2)=1,15,0),EDATE(Inputs!$C$9,($BE22+1)-1)))))</f>
      </c>
      <c r="CE23" s="21">
        <f>IF(SUMPRODUCT(MIN(IF((Inputs!$C$58:$C$67&gt;MAX($B$6:$B22))*(Inputs!$C$58:$C$67&gt;=DATE(2026,1,1))*(Inputs!$C$58:$C$67&lt;=DATE(2026,12,31)),Inputs!$C$58:$C$67,999999)))=999999,"",SUMPRODUCT(MIN(IF((Inputs!$C$58:$C$67&gt;MAX($B$6:$B22))*(Inputs!$C$58:$C$67&gt;=DATE(2026,1,1))*(Inputs!$C$58:$C$67&lt;=DATE(2026,12,31)),Inputs!$C$58:$C$67,999999))))</f>
      </c>
    </row>
    <row r="24">
      <c r="A24" t="n">
        <v>19</v>
      </c>
      <c r="B24" s="21">
        <f>IF(AND($CD24="",$CE24=""),"",IF($CE24="",$CD24,IF($CD24="",$CE24,MIN($CD24,$CE24))))</f>
      </c>
      <c r="C24" s="7">
        <f>IF($B24="","",IF($BF24=0,0,IF(Inputs!$C$4="Annual salary",ROUND($AK24/IF(AND(Inputs!$C$88="Actual paydays",MONTH(Inputs!$C$9)=1),MAX(1,MAX($BE$6:$BE$68)),Inputs!$C$8),2),$AK24)))</f>
      </c>
      <c r="D24" s="7">
        <f>IF($B24="","",SUMIF(Inputs!$C$58:$C$67,$B24,Inputs!$D$58:$D$67))</f>
      </c>
      <c r="E24" s="7">
        <f>IF($B24="","",ROUND(MAX(0,MIN(IF($AL24="Percent",$AM24*($C24+$D24),$AM24),MAX(0,Inputs!$C$91-$AC23))),2))</f>
      </c>
      <c r="F24" s="7">
        <f>IF($B24="","",ROUND(MAX(0,MIN(IF(Inputs!$C$32="Percent",Inputs!$D$32*($C24+$D24),Inputs!$D$32),MAX(0,Inputs!$C$91-$AC23-$E24))),2))</f>
      </c>
      <c r="G24" s="7">
        <f>IF($B24="","",IF($BF24=0,0,ROUND(MAX(0,MIN($BL24,Inputs!$C$92-Inputs!$C$54-$BI23)),2)))</f>
      </c>
      <c r="H24" s="7">
        <f>IF($B24="","",IF(OR($BF24=0,$BQ24=1),0,ROUND(MAX(0,MIN(IF($BS24=1,ROUND(MAX(0,MIN($BJ24,'Methodology &amp; Sources'!$C$263)-$BG23)/MAX(1,MAX($BE$6:$BE$68)-($BE23)),2),ROUND(MIN($BJ24,'Methodology &amp; Sources'!$C$263)/Inputs!$C$8,2)),MIN($BJ24,'Methodology &amp; Sources'!$C$263)-$BG23)),2)))</f>
      </c>
      <c r="I24" s="7">
        <f>IF($B24="","",IF(OR($BF24=0,$BR24=1),0,ROUND(MAX(0,MIN(IF($BT24=1,ROUND(MAX(0,MIN($BK24,IF(Inputs!$C$12="MFJ",'Methodology &amp; Sources'!$C$264,'Methodology &amp; Sources'!$C$265))-$BH23)/MAX(1,MAX($BE$6:$BE$68)-($BE23)),2),ROUND(MIN($BK24,IF(Inputs!$C$12="MFJ",'Methodology &amp; Sources'!$C$264,'Methodology &amp; Sources'!$C$265))/Inputs!$C$8,2)),MIN($BK24,IF(Inputs!$C$12="MFJ",'Methodology &amp; Sources'!$C$264,'Methodology &amp; Sources'!$C$265))-$BH23)),2)))</f>
      </c>
      <c r="J24" s="7">
        <f>IF($B24="","",IF($BF24=0,0,$BM24))</f>
      </c>
      <c r="K24" s="7">
        <f>IF($B24="","",IF($BF24=0,0,$BN24+$BO24))</f>
      </c>
      <c r="L24" s="7">
        <f>IF($B24="","",IF($BF24=0,0,Inputs!$D$46))</f>
      </c>
      <c r="M24" s="7">
        <f>IF($B24="","",$C24+$D24+$L24-$E24-$G24-$H24-$I24-$J24-$K24)</f>
      </c>
      <c r="N24" s="7">
        <f>IF($B24="","",$C24+$D24+$L24-$G24-$H24-$I24-$J24-$K24)</f>
      </c>
      <c r="O24" s="7">
        <f>IF($B24="","",$C24+$D24+$L24-$E24-$H24-$I24-$J24-$K24-IF(OR($AN24="CA",$AN24="NJ"),0,$G24))</f>
      </c>
      <c r="P24" s="7">
        <f>IF($B24="","",IF(Inputs!$C$18,0,ROUND(MAX(0,IF(Inputs!$C$13,SUMPRODUCT(($AH24&gt;INDEX('Methodology &amp; Sources'!$B$279:$J$286,0,IF(Inputs!$C$12="MFJ",1,IF(Inputs!$C$12="HoH",7,4))))*($AH24-INDEX('Methodology &amp; Sources'!$B$279:$J$286,0,IF(Inputs!$C$12="MFJ",1,IF(Inputs!$C$12="HoH",7,4))))*INDEX('Methodology &amp; Sources'!$B$279:$J$286,0,IF(Inputs!$C$12="MFJ",1,IF(Inputs!$C$12="HoH",7,4))+2)),SUMPRODUCT(($AH24&gt;INDEX('Methodology &amp; Sources'!$B$269:$J$276,0,IF(Inputs!$C$12="MFJ",1,IF(Inputs!$C$12="HoH",7,4))))*($AH24-INDEX('Methodology &amp; Sources'!$B$269:$J$276,0,IF(Inputs!$C$12="MFJ",1,IF(Inputs!$C$12="HoH",7,4))))*INDEX('Methodology &amp; Sources'!$B$269:$J$276,0,IF(Inputs!$C$12="MFJ",1,IF(Inputs!$C$12="HoH",7,4))+2)))/Inputs!$C$8-$AO24/Inputs!$C$8)+$AR24+IF(Inputs!$C$89="Aggregate",MAX(0,IF(Inputs!$C$13,SUMPRODUCT((($AH24+$D24)&gt;INDEX('Methodology &amp; Sources'!$B$279:$J$286,0,IF(Inputs!$C$12="MFJ",1,IF(Inputs!$C$12="HoH",7,4))))*(($AH24+$D24)-INDEX('Methodology &amp; Sources'!$B$279:$J$286,0,IF(Inputs!$C$12="MFJ",1,IF(Inputs!$C$12="HoH",7,4))))*INDEX('Methodology &amp; Sources'!$B$279:$J$286,0,IF(Inputs!$C$12="MFJ",1,IF(Inputs!$C$12="HoH",7,4))+2)),SUMPRODUCT((($AH24+$D24)&gt;INDEX('Methodology &amp; Sources'!$B$269:$J$276,0,IF(Inputs!$C$12="MFJ",1,IF(Inputs!$C$12="HoH",7,4))))*(($AH24+$D24)-INDEX('Methodology &amp; Sources'!$B$269:$J$276,0,IF(Inputs!$C$12="MFJ",1,IF(Inputs!$C$12="HoH",7,4))))*INDEX('Methodology &amp; Sources'!$B$269:$J$276,0,IF(Inputs!$C$12="MFJ",1,IF(Inputs!$C$12="HoH",7,4))+2)))-IF(Inputs!$C$13,SUMPRODUCT(($AH24&gt;INDEX('Methodology &amp; Sources'!$B$279:$J$286,0,IF(Inputs!$C$12="MFJ",1,IF(Inputs!$C$12="HoH",7,4))))*($AH24-INDEX('Methodology &amp; Sources'!$B$279:$J$286,0,IF(Inputs!$C$12="MFJ",1,IF(Inputs!$C$12="HoH",7,4))))*INDEX('Methodology &amp; Sources'!$B$279:$J$286,0,IF(Inputs!$C$12="MFJ",1,IF(Inputs!$C$12="HoH",7,4))+2)),SUMPRODUCT(($AH24&gt;INDEX('Methodology &amp; Sources'!$B$269:$J$276,0,IF(Inputs!$C$12="MFJ",1,IF(Inputs!$C$12="HoH",7,4))))*($AH24-INDEX('Methodology &amp; Sources'!$B$269:$J$276,0,IF(Inputs!$C$12="MFJ",1,IF(Inputs!$C$12="HoH",7,4))))*INDEX('Methodology &amp; Sources'!$B$269:$J$276,0,IF(Inputs!$C$12="MFJ",1,IF(Inputs!$C$12="HoH",7,4))+2)))),'Methodology &amp; Sources'!$C$260*$D24),2)))</f>
      </c>
      <c r="Q24" s="7">
        <f>IF($B24="","",ROUND('Methodology &amp; Sources'!$C$254*MIN($N24,MAX(0,'Methodology &amp; Sources'!$C$253-($AX24+$AB23-$AW24))),2))</f>
      </c>
      <c r="R24" s="7">
        <f>IF($B24="","",ROUND('Methodology &amp; Sources'!$C$255*$N24,2))</f>
      </c>
      <c r="S24" s="7">
        <f>IF($B24="","",ROUND('Methodology &amp; Sources'!$C$256*MAX(0,MIN($N24,$AG23+$N24-'Methodology &amp; Sources'!$C$257)),2))</f>
      </c>
      <c r="T24" s="7">
        <f>IF($B24="","",IF(Inputs!$C$26,0,IF($AN24="CA",ROUND(IF($AI24&lt;=IF(($AS24+$AT24)&gt;=2,VLOOKUP($AN24,'StateTables 2026'!$A$6:$AB$56,10,FALSE),VLOOKUP($AN24,'StateTables 2026'!$A$6:$AB$56,9,FALSE)),0,MAX(0,SUMPRODUCT(($AJ24&gt;INDEX('Methodology &amp; Sources'!$B$289:$J$298,0,IF($AU24="Married",4,IF($AU24="Head of household",7,1))))*($AJ24-INDEX('Methodology &amp; Sources'!$B$289:$J$298,0,IF($AU24="Married",4,IF($AU24="Head of household",7,1))))*INDEX('Methodology &amp; Sources'!$B$289:$J$298,0,IF($AU24="Married",4,IF($AU24="Head of household",7,1))+2))-VLOOKUP($AN24,'StateTables 2026'!$A$6:$AB$56,11,FALSE)*$AS24)/Inputs!$C$8)+Inputs!$C$25+VLOOKUP($AN24,'StateTables 2026'!$A$6:$AB$56,13,FALSE)*$D24,2),IF(VLOOKUP($AN24,'StateTables 2026'!$A$6:$AB$56,4,FALSE)="None",0,IF(ISNUMBER(SEARCH("MANUAL",VLOOKUP($AN24,'StateTables 2026'!$A$6:$AB$56,5,FALSE))),Inputs!$C$28,ROUND(MAX(0,$BA24+$BB24)/Inputs!$C$8+Inputs!$C$25+$BC24,2))))))</f>
      </c>
      <c r="U24" s="7">
        <f>IF($B24="","",IF(VLOOKUP($AN24,'StateTables 2026'!$A$6:$AB$56,24,FALSE)="flatq",IF(OR(MONTH($B24)=1,MONTH($B24)=4,MONTH($B24)=7,MONTH($B24)=10),VLOOKUP($AN24,'StateTables 2026'!$A$6:$AB$56,25,FALSE),0),IF(VLOOKUP($AN24,'StateTables 2026'!$A$6:$AB$56,24,FALSE)="dbl",MIN(ROUND(0.005*$N24,2),ROUND(0.6*52/Inputs!$C$8,2)),IF(OR(VLOOKUP($AN24,'StateTables 2026'!$A$6:$AB$56,15,FALSE)="",VLOOKUP($AN24,'StateTables 2026'!$A$6:$AB$56,15,FALSE)=0),0,ROUND(VLOOKUP($AN24,'StateTables 2026'!$A$6:$AB$56,15,FALSE)*IF(OR(VLOOKUP($AN24,'StateTables 2026'!$A$6:$AB$56,16,FALSE)="",VLOOKUP($AN24,'StateTables 2026'!$A$6:$AB$56,16,FALSE)=0),$N24,MIN($N24,MAX(0,VLOOKUP($AN24,'StateTables 2026'!$A$6:$AB$56,16,FALSE)-($AX24+$AB23-$AW24)))),2))))+IF(VLOOKUP($AN24,'StateTables 2026'!$A$6:$AB$56,27,FALSE)="flatq",IF(OR(MONTH($B24)=1,MONTH($B24)=4,MONTH($B24)=7,MONTH($B24)=10),VLOOKUP($AN24,'StateTables 2026'!$A$6:$AB$56,28,FALSE),0),IF(VLOOKUP($AN24,'StateTables 2026'!$A$6:$AB$56,27,FALSE)="dbl",MIN(ROUND(0.005*$N24,2),ROUND(0.6*52/Inputs!$C$8,2)),IF(OR(VLOOKUP($AN24,'StateTables 2026'!$A$6:$AB$56,18,FALSE)="",VLOOKUP($AN24,'StateTables 2026'!$A$6:$AB$56,18,FALSE)=0),0,ROUND(VLOOKUP($AN24,'StateTables 2026'!$A$6:$AB$56,18,FALSE)*IF(OR(VLOOKUP($AN24,'StateTables 2026'!$A$6:$AB$56,19,FALSE)="",VLOOKUP($AN24,'StateTables 2026'!$A$6:$AB$56,19,FALSE)=0),$N24,MIN($N24,MAX(0,VLOOKUP($AN24,'StateTables 2026'!$A$6:$AB$56,19,FALSE)-($AX24+$AB23-$AW24)))),2)))))</f>
      </c>
      <c r="V24" s="7">
        <f>IF($B24="","",IF($AN24="NY",IF(Inputs!$C$78,ROUND(SUMPRODUCT((MAX(0,($O24-$D24)*Inputs!$C$8-(IF($AU24="Married",5500,5000)+1000*$AS24))&gt;INDEX('Methodology &amp; Sources'!$B$434:$J$448,0,4))*(MAX(0,($O24-$D24)*Inputs!$C$8-(IF($AU24="Married",5500,5000)+1000*$AS24))-INDEX('Methodology &amp; Sources'!$B$434:$J$448,0,4))*INDEX('Methodology &amp; Sources'!$B$434:$J$448,0,4+2))/Inputs!$C$8+0.0425*$D24,2),0)+IF(Inputs!$C$79="Resident",ROUND(0.1675*$T24,2),IF(Inputs!$C$79="Nonresident",ROUND(0.005*MAX(0,($O24-$D24)-(IF($AU24="Married",7950,7400)+1000*$AS24)/Inputs!$C$8),2),0)),IF($AN24="PA",IF(Inputs!$C$80="None",Inputs!$C$27+ROUND(Inputs!$C$81*($C24+$D24),2),ROUND(IF(Inputs!$C$80="Resident",IF($B24&lt;DATE(2026,7,1),0.0374,0.03735),IF($B24&lt;DATE(2026,7,1),0.0343,0.03425))*($C24+$D24),2)),IF($BF24=0,ROUND(Inputs!$C$81*($C24+$D24),2),Inputs!$C$27+ROUND(Inputs!$C$81*($C24+$D24),2)))))</f>
      </c>
      <c r="W24" s="7">
        <f>IF($B24="","",IF($BF24=0,0,$BP24))</f>
      </c>
      <c r="X24" s="7">
        <f>IF($B24="","",SUM($E24:$K24)+$P24+$Q24+$R24+$S24+$T24+$U24+$V24+$W24)</f>
      </c>
      <c r="Y24" s="22">
        <f>IF($B24="","",$C24+$D24-$X24)</f>
      </c>
      <c r="Z24" s="7">
        <f>IF($B24="","",$Z23+$C24+$D24)</f>
      </c>
      <c r="AA24" s="7">
        <f>IF($B24="","",$AA23+$Y24)</f>
      </c>
      <c r="AB24" s="7">
        <f>IF($B24="","",$AB23+MIN($N24,MAX(0,'Methodology &amp; Sources'!$C$253-($AX24+$AB23-$AW24))))</f>
      </c>
      <c r="AC24" s="7">
        <f>IF($B24="","",$AC23+$E24+$F24)</f>
      </c>
      <c r="AD24" s="3">
        <f>IF($B24="","",IF(AND($AB23&lt;'Methodology &amp; Sources'!$C$253,$AB24&gt;='Methodology &amp; Sources'!$C$253),"★ Social Security maxed on this check — from the next check your net rises by about $"&amp;TEXT(ROUND('Methodology &amp; Sources'!$C$254*$N24,2),"#,##0.00")&amp;". ","")&amp;IF(AND($AC23&lt;Inputs!$C$91,$AC24&gt;=Inputs!$C$91),"★ 401(k) reaches the $"&amp;TEXT(Inputs!$C$91,"#,##0")&amp;" cap on this check — deferrals stop and net pay rises. ","")&amp;IF(AND($AG23&lt;'Methodology &amp; Sources'!$C$257,$AG24&gt;='Methodology &amp; Sources'!$C$257),"★ Wages pass $200,000 — the 0.9% Additional Medicare Tax starts here. ","")&amp;IF(AND($BJ24&gt;0,$H24&gt;0,$BG23&lt;MIN($BJ24,'Methodology &amp; Sources'!$C$263),$BG23+$H24&gt;=MIN($BJ24,'Methodology &amp; Sources'!$C$263)),"★ Health FSA election is now fully deferred for the year. ",""))</f>
      </c>
      <c r="AE24" s="41" t="n"/>
      <c r="AF24" s="7">
        <f>IF(OR($B24="",$AE24=""),"",$AE24-$Y24)</f>
      </c>
      <c r="AG24" s="7">
        <f>IF($B24="","",$AG23+$N24)</f>
      </c>
      <c r="AH24" s="7">
        <f>IF($B24="","",MAX(0,($M24-$D24)*Inputs!$C$8+$AP24-$AQ24-IF(Inputs!$C$13,0,IF(Inputs!$C$12="MFJ",'Methodology &amp; Sources'!$C$258,'Methodology &amp; Sources'!$C$259))))</f>
      </c>
      <c r="AI24" s="7">
        <f>IF($B24="","",$O24*Inputs!$C$8)</f>
      </c>
      <c r="AJ24" s="7">
        <f>IF($B24="","",MAX(0,$AI24-VLOOKUP($AN24,'StateTables 2026'!$A$6:$AB$56,12,FALSE)*$AT24-IF(($AS24+$AT24)&gt;=2,VLOOKUP($AN24,'StateTables 2026'!$A$6:$AB$56,8,FALSE),VLOOKUP($AN24,'StateTables 2026'!$A$6:$AB$56,7,FALSE))))</f>
      </c>
      <c r="AK24" s="7">
        <f>IF($B24="","",IFERROR(LOOKUP(2,1/((Events!$C$6:$C$17="Salary change")*(Events!$B$6:$B$17&lt;=$B24)*(Events!$B$6:$B$17&lt;&gt;"")),Events!$D$6:$D$17),IF(Inputs!$C$4="Annual salary",Inputs!$C$5,Inputs!$C$6)))</f>
      </c>
      <c r="AL24">
        <f>IF($B24="","",IFERROR(LOOKUP(2,1/((Events!$C$6:$C$17="401(k) change")*(Events!$B$6:$B$17&lt;=$B24)*(Events!$B$6:$B$17&lt;&gt;"")),Events!$D$6:$D$17),Inputs!$C$30))</f>
      </c>
      <c r="AM24" s="7">
        <f>IF($B24="","",IFERROR(LOOKUP(2,1/((Events!$C$6:$C$17="401(k) change")*(Events!$B$6:$B$17&lt;=$B24)*(Events!$B$6:$B$17&lt;&gt;"")),Events!$E$6:$E$17),Inputs!$D$30))</f>
      </c>
      <c r="AN24">
        <f>IF($B24="","",IFERROR(LOOKUP(2,1/((Events!$C$6:$C$17="State move")*(Events!$B$6:$B$17&lt;=$B24)*(Events!$B$6:$B$17&lt;&gt;"")),Events!$D$6:$D$17),Inputs!$C$21))</f>
      </c>
      <c r="AO24" s="7">
        <f>IF($B24="","",IFERROR(LOOKUP(2,1/((Events!$C$6:$C$17="W-4 change")*(Events!$B$6:$B$17&lt;=$B24)*(Events!$B$6:$B$17&lt;&gt;"")),Events!$D$6:$D$17),Inputs!$C$14))</f>
      </c>
      <c r="AP24" s="7">
        <f>IF($B24="","",IFERROR(LOOKUP(2,1/((Events!$C$6:$C$17="W-4 change")*(Events!$B$6:$B$17&lt;=$B24)*(Events!$B$6:$B$17&lt;&gt;"")),Events!$E$6:$E$17),Inputs!$C$15))</f>
      </c>
      <c r="AQ24" s="7">
        <f>IF($B24="","",IFERROR(LOOKUP(2,1/((Events!$C$6:$C$17="W-4 change")*(Events!$B$6:$B$17&lt;=$B24)*(Events!$B$6:$B$17&lt;&gt;"")),Events!$F$6:$F$17),Inputs!$C$16))</f>
      </c>
      <c r="AR24" s="7">
        <f>IF($B24="","",IFERROR(LOOKUP(2,1/((Events!$C$6:$C$17="W-4 change")*(Events!$B$6:$B$17&lt;=$B24)*(Events!$B$6:$B$17&lt;&gt;"")),Events!$G$6:$G$17),Inputs!$C$17))</f>
      </c>
      <c r="AS24" s="6">
        <f>IF($B24="","",IFERROR(LOOKUP(2,1/(((Events!$C$6:$C$17="State move")+(Events!$C$6:$C$17="State cert change"))*(Events!$B$6:$B$17&lt;=$B24)*(Events!$B$6:$B$17&lt;&gt;"")),Events!$F$6:$F$17),Inputs!$C$23))</f>
      </c>
      <c r="AT24" s="6">
        <f>IF($B24="","",IFERROR(LOOKUP(2,1/(((Events!$C$6:$C$17="State move")+(Events!$C$6:$C$17="State cert change"))*(Events!$B$6:$B$17&lt;=$B24)*(Events!$B$6:$B$17&lt;&gt;"")),Events!$G$6:$G$17),Inputs!$C$24))</f>
      </c>
      <c r="AU24">
        <f>IF($B24="","",IFERROR(LOOKUP(2,1/((Events!$C$6:$C$17="State move")*(Events!$B$6:$B$17&lt;=$B24)*(Events!$B$6:$B$17&lt;&gt;"")),Events!$E$6:$E$17),Inputs!$C$22))</f>
      </c>
      <c r="AV24" s="6">
        <f>IF($B24="","",1+COUNTIFS(Events!$C$6:$C$17,"Employer change",Events!$B$6:$B$17,"&lt;="&amp;$B24,Events!$B$6:$B$17,"&lt;&gt;"))</f>
      </c>
      <c r="AW24" s="7">
        <f>IF($B24="","",IF($AV24=1,Inputs!$C$49,IF(IFERROR(MATCH(IFERROR(LOOKUP(2,1/((Events!$C$6:$C$17="Employer change")*(Events!$B$6:$B$17&lt;=$B24)*(Events!$B$6:$B$17&lt;&gt;"")),Events!$B$6:$B$17),""),$B$6:$B$68,1),1)&lt;=1,Inputs!$C$49,INDEX($AB$6:$AB$68,MATCH(IFERROR(LOOKUP(2,1/((Events!$C$6:$C$17="Employer change")*(Events!$B$6:$B$17&lt;=$B24)*(Events!$B$6:$B$17&lt;&gt;"")),Events!$B$6:$B$17),""),$B$6:$B$68,1)-1))))</f>
      </c>
      <c r="AX24" s="7">
        <f>IF($B24="","",IF($AV24=1,Inputs!$C$49,IFERROR(LOOKUP(2,1/((Events!$C$6:$C$17="Employer change")*(Events!$B$6:$B$17&lt;=$B24)*(Events!$B$6:$B$17&lt;&gt;"")),Events!$D$6:$D$17),0)))</f>
      </c>
      <c r="AY24" s="7">
        <f>IF($B24="","",($O24-$D24)*Inputs!$C$8)</f>
      </c>
      <c r="AZ24" s="7">
        <f>IF($B24="","",IF($AN24="AL",MAX(0,$AY24-IF($AU24="Married",IF($AY24&lt;=25999,8500,MAX(5000,8500-175*CEILING(($AY24-25999)/500,1))),IF($AU24="Head of household",IF($AY24&lt;=25999,5200,MAX(2500,5200-135*CEILING(($AY24-25999)/500,1))),IF($AY24&lt;=25999,3000,MAX(2500,3000-25*CEILING(($AY24-25999)/500,1)))))-($P24-'Methodology &amp; Sources'!$C$260*$D24)*Inputs!$C$8-IF(OR($AU24="Married",$AU24="Head of household"),3000,1500)-$AT24*IF($AY24&lt;=50000,1000,IF($AY24&lt;=100000,500,300))),IF($AN24="AR",IF(MAX(0,$AY24-2470)&lt;97701,INT(MAX(0,$AY24-2470)/100)*100+50,MAX(0,$AY24-2470)),IF($AN24="DE",MAX(0,$AI24-3250),IF($AN24="HI",MAX(0,$AI24-1144*$AS24-4350),IF($AN24="KS",MAX(0,$AI24-(9160*IF($AU24="Married",2,1)+2320*$AT24+IF($AU24="Head of household",2320,0))),IF($AN24="MD",MAX(0,$AI24-3400-3200*$AS24),IF($AN24="MN",MAX(0,$AY24-5300*$AS24),IF($AN24="MO",MAX(0,$AI24-IF($AU24="Head of household",24150,IF($AU24="Married",IF(Inputs!$C$83,16100,32200),16100))),IF($AN24="MT",$AY24,IF($AN24="ND",($C24+$L24)*Inputs!$C$8,IF($AN24="NE",MAX(0,$AY24-2440*$AS24),IF($AN24="NJ",MAX(0,$AY24-1000*$AS24),IF($AN24="NY",MAX(0,$AY24-(IF($AU24="Married",7950,7400)+1000*$AS24)),IF($AN24="OH",MAX(0,$AY24-650*$AS24),IF($AN24="OK",MAX(0,$AY24-1000*$AS24),IF($AN24="RI",MAX(0,$AI24-1000*$AS24),IF($AN24="SC",MAX(0,$AI24-5000*$AS24-IF($AS24=0,0,MIN(0.1*$AI24,7500))),IF($AN24="VA",MAX(0,$AI24-IF($AU24="Married",17500,8750)-930*$AS24-800*$AT24),IF($AN24="VT",MAX(0,$AI24-5400*$AS24),IF($AN24="WI",MAX(0,$AI24-MAX(0,IF($AU24="Married",9461-0.2*MAX(0,$AI24-25727),6702-0.12*MAX(0,$AI24-17780)))-400*$AS24),IF($AN24="WV",MAX(0,$AI24-2000*$AS24),$AI24))))))))))))))))))))))</f>
      </c>
      <c r="BA24" s="7">
        <f>IF($B24="","",IF($BW24&lt;&gt;"",$BW24,IF($BX24&lt;&gt;"",$BX24,IF($BY24&lt;&gt;"",$BY24,0))))</f>
      </c>
      <c r="BB24" s="7">
        <f>IF($B24="","",IF($AN24="AR",-29*$AS24,IF($AN24="DE",-110*$AS24,IF($AN24="MD",$AZ24*Inputs!$C$74,IF($AN24="AZ",Inputs!$C$82*($M24-$D24)*Inputs!$C$8,IF($AN24="CO",0.044*MAX(0,$AY24-IF($AU24="Married",10000,5000)),IF($AN24="IA",MAX(0,0.038*MAX(0,$AY24-IF($AU24="Head of household",19500,IF($AU24="Married",26000,13000)))-40*$AS24),IF($AN24="ID",0.053*MAX(0,$AY24-IF($AU24="Married",32000,16094)),IF($AN24="IL",0.0495*MAX(0,$AY24-(2925*$AS24+1000*$AT24)),IF($AN24="IN",(0.0295+Inputs!$C$76)*MAX(0,$AY24-(1000*$AS24+1500*$AT24+3000*Inputs!$C$86)),IF($AN24="KY",0.035*MAX(0,$AI24-3360),IF($AN24="LA",IF(Inputs!$C$84="0",0.0309*$AI24,0.0309*MAX(0,$AI24-IF(Inputs!$C$84="2",25750,12875))),IF($AN24="MA",0.05*MIN(MAX(0,$AY24-MIN(($BD23+$Q24+$R24+$S24),2000)-IF($AS24=0,0,IF($AS24=1,4400,1000*$AS24+3400))),1107750)+0.09*MAX(0,MAX(0,$AY24-MIN(($BD23+$Q24+$R24+$S24),2000)-IF($AS24=0,0,IF($AS24=1,4400,1000*$AS24+3400)))-1107750)-IF($AU24="Head of household",120,0)-110*Inputs!$C$75,IF($AN24="MI",0.0425*MAX(0,$AY24-5900*$AS24),IF($AN24="MS",0.04*MAX(0,$AI24-IF($AU24="Head of household",3400,IF($AU24="Married",4600,2300))-Inputs!$C$85-10000),IF($AN24="OR",IF(OR($AU24="Married",AND($AU24="Single",$AS24&gt;=3)),SUMPRODUCT((MAX(0,$AY24-MIN(($P24-'Methodology &amp; Sources'!$C$260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Sources'!$B$461:$J$464,0,4))*(MAX(0,$AY24-MIN(($P24-'Methodology &amp; Sources'!$C$260*$D24)*Inputs!$C$8,IF(OR($AU24="Married",AND($AU24="Single",$AS24&gt;=3)),IF($AY24&lt;250000,8750,IF($AY24&lt;260000,7000,IF($AY24&lt;270000,5250,IF($AY24&lt;280000,3500,IF($AY24&lt;290000,1750,0))))),IF($AY24&lt;125000,8750,IF($AY24&lt;130000,7000,IF($AY24&lt;135000,5250,IF($AY24&lt;140000,3500,IF($AY24&lt;145000,1750,0)))))))-IF(OR($AU24="Married",AND($AU24="Single",$AS24&gt;=3)),5820,2910))-INDEX('Methodology &amp; Sources'!$B$461:$J$464,0,4))*INDEX('Methodology &amp; Sources'!$B$461:$J$464,0,4+2)),SUMPRODUCT((MAX(0,$AY24-MIN(($P24-'Methodology &amp; Sources'!$C$260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Sources'!$B$461:$J$464,0,1))*(MAX(0,$AY24-MIN(($P24-'Methodology &amp; Sources'!$C$260*$D24)*Inputs!$C$8,IF(OR($AU24="Married",AND($AU24="Single",$AS24&gt;=3)),IF($AY24&lt;250000,8750,IF($AY24&lt;260000,7000,IF($AY24&lt;270000,5250,IF($AY24&lt;280000,3500,IF($AY24&lt;290000,1750,0))))),IF($AY24&lt;125000,8750,IF($AY24&lt;130000,7000,IF($AY24&lt;135000,5250,IF($AY24&lt;140000,3500,IF($AY24&lt;145000,1750,0)))))))-IF(OR($AU24="Married",AND($AU24="Single",$AS24&gt;=3)),5820,2910))-INDEX('Methodology &amp; Sources'!$B$461:$J$464,0,1))*INDEX('Methodology &amp; Sources'!$B$461:$J$464,0,1+2)))+263-263*IF(IF($AU24="Married",$AY24&gt;200000,$AY24&gt;100000),0,$AS24),IF($AN24="PA",0.0307*(($O24+$E24+$G24)*Inputs!$C$8),IF($AN24="NY",IF($AU24="Married",IF($AZ24&gt;=2155350,0,IF($AZ24&gt;=1077550,0.48,IF($AZ24&gt;=373200,1.21,IF($AZ24&gt;=323200,0.21,IF($AZ24&gt;=211550,-0.19,IF($AZ24&gt;=157650,-2.8,IF($AZ24&gt;=107650,-0.8,IF($AZ24&gt;=96800,0.05,IF($AZ24&gt;=80650,-0.1,IF($AZ24&gt;=13900,0.4,IF($AZ24&gt;=11700,-0.3,IF($AZ24&gt;=8500,0.5,0)))))))))))),IF($AZ24&gt;=1077550,0,IF($AZ24&gt;=265400,4.29,IF($AZ24&gt;=215400,2.29,IF($AZ24&gt;=157650,2.29,IF($AZ24&gt;=107650,0.29,IF($AZ24&gt;=96800,0.05,IF($AZ24&gt;=80650,-0.1,IF($AZ24&gt;=13900,0.4,IF($AZ24&gt;=11700,-0.3,IF($AZ24&gt;=8500,0.5,0))))))))))),0))))))))))))))))))</f>
      </c>
      <c r="BC24" s="7">
        <f>IF($B24="","",IF($AN24="AL",0.05*$D24,IF($AN24="AR",0.039*$D24,IF($AN24="ID",0.053*$D24,IF($AN24="IN",(0.0295+Inputs!$C$76)*$D24,IF($AN24="KS",0.05*$D24,IF($AN24="MA",0.09*MIN($D24,MAX(0,MAX(0,$AY24-MIN(($BD23+$Q24+$R24+$S24),2000)-IF($AS24=0,0,IF($AS24=1,4400,1000*$AS24+3400)))+$D24-1107750))+0.05*($D24-MIN($D24,MAX(0,MAX(0,$AY24-MIN(($BD23+$Q24+$R24+$S24),2000)-IF($AS24=0,0,IF($AS24=1,4400,1000*$AS24+3400)))+$D24-1107750))),IF($AN24="MD",(0.065+Inputs!$C$74)*$D24,IF($AN24="MI",0.0425*$D24,IF($AN24="MN",0.0625*$D24,IF($AN24="MO",0.047*$D24,IF($AN24="MT",0.05*$D24,IF($AN24="ND",0.015*$D24,IF($AN24="NE",0.035*$D24,IF($AN24="NJ",IF(Inputs!$C$77="B",SUMPRODUCT(($D24*Inputs!$C$8&gt;INDEX('Methodology &amp; Sources'!$B$405:$J$412,0,4))*($D24*Inputs!$C$8-INDEX('Methodology &amp; Sources'!$B$405:$J$412,0,4))*INDEX('Methodology &amp; Sources'!$B$405:$J$412,0,4+2)),IF(Inputs!$C$77="C",SUMPRODUCT(($D24*Inputs!$C$8&gt;INDEX('Methodology &amp; Sources'!$B$405:$J$412,0,7))*($D24*Inputs!$C$8-INDEX('Methodology &amp; Sources'!$B$405:$J$412,0,7))*INDEX('Methodology &amp; Sources'!$B$405:$J$412,0,7+2)),IF(Inputs!$C$77="D",SUMPRODUCT(($D24*Inputs!$C$8&gt;INDEX('Methodology &amp; Sources'!$B$417:$J$429,0,1))*($D24*Inputs!$C$8-INDEX('Methodology &amp; Sources'!$B$417:$J$429,0,1))*INDEX('Methodology &amp; Sources'!$B$417:$J$429,0,1+2)),IF(Inputs!$C$77="E",SUMPRODUCT(($D24*Inputs!$C$8&gt;INDEX('Methodology &amp; Sources'!$B$417:$J$429,0,4))*($D24*Inputs!$C$8-INDEX('Methodology &amp; Sources'!$B$417:$J$429,0,4))*INDEX('Methodology &amp; Sources'!$B$417:$J$429,0,4+2)),SUMPRODUCT(($D24*Inputs!$C$8&gt;INDEX('Methodology &amp; Sources'!$B$405:$J$412,0,1))*($D24*Inputs!$C$8-INDEX('Methodology &amp; Sources'!$B$405:$J$412,0,1))*INDEX('Methodology &amp; Sources'!$B$405:$J$412,0,1+2))))))/Inputs!$C$8,IF($AN24="NY",0.117*$D24,IF($AN24="OH",0.0275*$D24,IF($AN24="OK",0.045*$D24,IF($AN24="OR",0.08*$D24,IF($AN24="WI",IF($AY24&lt;12760,0.0354,IF($AY24&lt;25520,0.0465,IF($AY24&lt;280950,0.053,0.0765)))*$D24,0))))))))))))))))))))</f>
      </c>
      <c r="BD24" s="7">
        <f>IF($B24="","",$BD23+$Q24+$R24+$S24)</f>
      </c>
      <c r="BE24" s="6">
        <f>IF($B24="",$BE23,$BE23+$BF24)</f>
      </c>
      <c r="BF24" s="6">
        <f>IF($B24="","",IF(AND(IF(YEAR(IF(Inputs!$C$7="Weekly",Inputs!$C$9+7*(($BE23+1)-1),IF(Inputs!$C$7="Biweekly",Inputs!$C$9+14*(($BE23+1)-1),IF(Inputs!$C$7="Semimonthly",DATE(YEAR(Inputs!$C$9),MONTH(Inputs!$C$9)+INT((($BE23+1)-1)/2),MIN(DAY(Inputs!$C$9),DAY(EOMONTH(DATE(YEAR(Inputs!$C$9),MONTH(Inputs!$C$9)+INT((($BE23+1)-1)/2),1),0))))+IF(MOD(($BE23+1)-1,2)=1,15,0),EDATE(Inputs!$C$9,($BE23+1)-1)))))&lt;&gt;2026,"",IF(Inputs!$C$7="Weekly",Inputs!$C$9+7*(($BE23+1)-1),IF(Inputs!$C$7="Biweekly",Inputs!$C$9+14*(($BE23+1)-1),IF(Inputs!$C$7="Semimonthly",DATE(YEAR(Inputs!$C$9),MONTH(Inputs!$C$9)+INT((($BE23+1)-1)/2),MIN(DAY(Inputs!$C$9),DAY(EOMONTH(DATE(YEAR(Inputs!$C$9),MONTH(Inputs!$C$9)+INT((($BE23+1)-1)/2),1),0))))+IF(MOD(($BE23+1)-1,2)=1,15,0),EDATE(Inputs!$C$9,($BE23+1)-1)))))&lt;&gt;"",$B24=IF(YEAR(IF(Inputs!$C$7="Weekly",Inputs!$C$9+7*(($BE23+1)-1),IF(Inputs!$C$7="Biweekly",Inputs!$C$9+14*(($BE23+1)-1),IF(Inputs!$C$7="Semimonthly",DATE(YEAR(Inputs!$C$9),MONTH(Inputs!$C$9)+INT((($BE23+1)-1)/2),MIN(DAY(Inputs!$C$9),DAY(EOMONTH(DATE(YEAR(Inputs!$C$9),MONTH(Inputs!$C$9)+INT((($BE23+1)-1)/2),1),0))))+IF(MOD(($BE23+1)-1,2)=1,15,0),EDATE(Inputs!$C$9,($BE23+1)-1)))))&lt;&gt;2026,"",IF(Inputs!$C$7="Weekly",Inputs!$C$9+7*(($BE23+1)-1),IF(Inputs!$C$7="Biweekly",Inputs!$C$9+14*(($BE23+1)-1),IF(Inputs!$C$7="Semimonthly",DATE(YEAR(Inputs!$C$9),MONTH(Inputs!$C$9)+INT((($BE23+1)-1)/2),MIN(DAY(Inputs!$C$9),DAY(EOMONTH(DATE(YEAR(Inputs!$C$9),MONTH(Inputs!$C$9)+INT((($BE23+1)-1)/2),1),0))))+IF(MOD(($BE23+1)-1,2)=1,15,0),EDATE(Inputs!$C$9,($BE23+1)-1)))))),1,0))</f>
      </c>
      <c r="BG24" s="7">
        <f>IF($B24="","",$BG23+$H24)</f>
      </c>
      <c r="BH24" s="7">
        <f>IF($B24="","",$BH23+$I24)</f>
      </c>
      <c r="BI24" s="7">
        <f>IF($B24="","",$BI23+$G24)</f>
      </c>
      <c r="BJ24" s="7">
        <f>IF($B24="","",IFERROR(LOOKUP(2,1/((((Events!$C$6:$C$17="Deduction start"))*(Events!$D$6:$D$17="Health FSA"))*(Events!$B$6:$B$17&lt;=$B24)*(Events!$B$6:$B$17&lt;&gt;"")),Events!$E$6:$E$17),Inputs!$D$38))</f>
      </c>
      <c r="BK24" s="7">
        <f>IF($B24="","",IFERROR(LOOKUP(2,1/((((Events!$C$6:$C$17="Deduction start"))*(Events!$D$6:$D$17="Dependent-care FSA"))*(Events!$B$6:$B$17&lt;=$B24)*(Events!$B$6:$B$17&lt;&gt;"")),Events!$E$6:$E$17),Inputs!$D$39))</f>
      </c>
      <c r="BL24" s="7">
        <f>IF($B24="","",IFERROR(LOOKUP(2,1/((((Events!$C$6:$C$17="Deduction start")+(Events!$C$6:$C$17="Deduction stop"))*(Events!$D$6:$D$17="HSA"))*(Events!$B$6:$B$17&lt;=$B24)*(Events!$B$6:$B$17&lt;&gt;"")),Events!$I$6:$I$17),Inputs!$D$35))</f>
      </c>
      <c r="BM24" s="7">
        <f>IF($B24="","",IFERROR(LOOKUP(2,1/((((Events!$C$6:$C$17="Deduction start")+(Events!$C$6:$C$17="Deduction stop"))*(Events!$D$6:$D$17="Premiums"))*(Events!$B$6:$B$17&lt;=$B24)*(Events!$B$6:$B$17&lt;&gt;"")),Events!$I$6:$I$17),Inputs!$D$40+Inputs!$D$41+Inputs!$D$42))</f>
      </c>
      <c r="BN24" s="7">
        <f>IF($B24="","",IFERROR(LOOKUP(2,1/((((Events!$C$6:$C$17="Deduction start")+(Events!$C$6:$C$17="Deduction stop"))*(Events!$D$6:$D$17="Commuter"))*(Events!$B$6:$B$17&lt;=$B24)*(Events!$B$6:$B$17&lt;&gt;"")),Events!$I$6:$I$17),Inputs!$D$43))</f>
      </c>
      <c r="BO24" s="7">
        <f>IF($B24="","",IFERROR(LOOKUP(2,1/((((Events!$C$6:$C$17="Deduction start")+(Events!$C$6:$C$17="Deduction stop"))*(Events!$D$6:$D$17="Other pre-tax"))*(Events!$B$6:$B$17&lt;=$B24)*(Events!$B$6:$B$17&lt;&gt;"")),Events!$I$6:$I$17),Inputs!$D$44))</f>
      </c>
      <c r="BP24" s="7">
        <f>IF($B24="","",IFERROR(LOOKUP(2,1/((((Events!$C$6:$C$17="Deduction start")+(Events!$C$6:$C$17="Deduction stop"))*(Events!$D$6:$D$17="Other post-tax"))*(Events!$B$6:$B$17&lt;=$B24)*(Events!$B$6:$B$17&lt;&gt;"")),Events!$I$6:$I$17),Inputs!$D$45))</f>
      </c>
      <c r="BQ24" s="6">
        <f>IF($B24="","",IFERROR(LOOKUP(2,1/((((Events!$C$6:$C$17="Deduction start")+(Events!$C$6:$C$17="Deduction stop"))*(Events!$D$6:$D$17="Health FSA"))*(Events!$B$6:$B$17&lt;=$B24)*(Events!$B$6:$B$17&lt;&gt;"")),Events!$J$6:$J$17),0))</f>
      </c>
      <c r="BR24" s="6">
        <f>IF($B24="","",IFERROR(LOOKUP(2,1/((((Events!$C$6:$C$17="Deduction start")+(Events!$C$6:$C$17="Deduction stop"))*(Events!$D$6:$D$17="Dependent-care FSA"))*(Events!$B$6:$B$17&lt;=$B24)*(Events!$B$6:$B$17&lt;&gt;"")),Events!$J$6:$J$17),0))</f>
      </c>
      <c r="BS24" s="6">
        <f>IF($B24="","",IF(SUMPRODUCT((Events!$C$6:$C$17="Deduction start")*(Events!$B$6:$B$17&lt;=$B24)*(Events!$B$6:$B$17&lt;&gt;"")*(Events!$D$6:$D$17="Health FSA"))&gt;0,1,0))</f>
      </c>
      <c r="BT24" s="6">
        <f>IF($B24="","",IF(SUMPRODUCT((Events!$C$6:$C$17="Deduction start")*(Events!$B$6:$B$17&lt;=$B24)*(Events!$B$6:$B$17&lt;&gt;"")*(Events!$D$6:$D$17="Dependent-care FSA"))&gt;0,1,0))</f>
      </c>
      <c r="BU24" s="24">
        <f>IF($B24="","",IF(Inputs!$C$13,SUMPRODUCT(($AH24&gt;=INDEX('Methodology &amp; Sources'!$B$279:$J$286,0,IF(Inputs!$C$12="MFJ",1,IF(Inputs!$C$12="HoH",7,4))))*INDEX('Methodology &amp; Sources'!$B$279:$J$286,0,IF(Inputs!$C$12="MFJ",1,IF(Inputs!$C$12="HoH",7,4))+2)),SUMPRODUCT(($AH24&gt;=INDEX('Methodology &amp; Sources'!$B$269:$J$276,0,IF(Inputs!$C$12="MFJ",1,IF(Inputs!$C$12="HoH",7,4))))*INDEX('Methodology &amp; Sources'!$B$269:$J$276,0,IF(Inputs!$C$12="MFJ",1,IF(Inputs!$C$12="HoH",7,4))+2))))</f>
      </c>
      <c r="BV24" s="24">
        <f>IF($B24="","",IF($BZ24&lt;&gt;"",$BZ24,IF($CA24&lt;&gt;"",$CA24,IF($CB24&lt;&gt;"",$CB24,IF($CC24&lt;&gt;"",$CC24,0)))))</f>
      </c>
      <c r="BW24" s="7">
        <f>IF($B24="","",IF($AN24="MD",IF(OR($AU24="Married",$AU24="Head of household"),SUMPRODUCT(($AZ24&gt;INDEX('Methodology &amp; Sources'!$B$364:$J$370,0,1))*($AZ24-INDEX('Methodology &amp; Sources'!$B$364:$J$370,0,1))*INDEX('Methodology &amp; Sources'!$B$364:$J$370,0,1+2)),SUMPRODUCT(($AZ24&gt;INDEX('Methodology &amp; Sources'!$B$353:$J$359,0,7))*($AZ24-INDEX('Methodology &amp; Sources'!$B$353:$J$359,0,7))*INDEX('Methodology &amp; Sources'!$B$353:$J$359,0,7+2))),IF($AN24="MO",SUMPRODUCT(($AZ24&gt;INDEX('Methodology &amp; Sources'!$B$375:$J$382,0,1))*($AZ24-INDEX('Methodology &amp; Sources'!$B$375:$J$382,0,1))*INDEX('Methodology &amp; Sources'!$B$375:$J$382,0,1+2)),IF($AN24="MT",IF($AU24="Head of household",SUMPRODUCT(($AZ24&gt;INDEX('Methodology &amp; Sources'!$B$387:$J$389,0,1))*($AZ24-INDEX('Methodology &amp; Sources'!$B$387:$J$389,0,1))*INDEX('Methodology &amp; Sources'!$B$387:$J$389,0,1+2)),IF($AU24="Married",SUMPRODUCT(($AZ24&gt;INDEX('Methodology &amp; Sources'!$B$375:$J$382,0,7))*($AZ24-INDEX('Methodology &amp; Sources'!$B$375:$J$382,0,7))*INDEX('Methodology &amp; Sources'!$B$375:$J$382,0,7+2)),SUMPRODUCT(($AZ24&gt;INDEX('Methodology &amp; Sources'!$B$375:$J$382,0,4))*($AZ24-INDEX('Methodology &amp; Sources'!$B$375:$J$382,0,4))*INDEX('Methodology &amp; Sources'!$B$375:$J$382,0,4+2)))),IF($AN24="ND",IF($AU24="Head of household",SUMPRODUCT(($AZ24&gt;INDEX('Methodology &amp; Sources'!$B$394:$J$400,0,1))*($AZ24-INDEX('Methodology &amp; Sources'!$B$394:$J$400,0,1))*INDEX('Methodology &amp; Sources'!$B$394:$J$400,0,1+2)),IF($AU24="Married",SUMPRODUCT(($AZ24&gt;INDEX('Methodology &amp; Sources'!$B$387:$J$389,0,7))*($AZ24-INDEX('Methodology &amp; Sources'!$B$387:$J$389,0,7))*INDEX('Methodology &amp; Sources'!$B$387:$J$389,0,7+2)),SUMPRODUCT(($AZ24&gt;INDEX('Methodology &amp; Sources'!$B$387:$J$389,0,4))*($AZ24-INDEX('Methodology &amp; Sources'!$B$387:$J$389,0,4))*INDEX('Methodology &amp; Sources'!$B$387:$J$389,0,4+2)))),IF($AN24="NJ",IF(Inputs!$C$77="B",SUMPRODUCT(($AZ24&gt;INDEX('Methodology &amp; Sources'!$B$405:$J$412,0,4))*($AZ24-INDEX('Methodology &amp; Sources'!$B$405:$J$412,0,4))*INDEX('Methodology &amp; Sources'!$B$405:$J$412,0,4+2)),IF(Inputs!$C$77="C",SUMPRODUCT(($AZ24&gt;INDEX('Methodology &amp; Sources'!$B$405:$J$412,0,7))*($AZ24-INDEX('Methodology &amp; Sources'!$B$405:$J$412,0,7))*INDEX('Methodology &amp; Sources'!$B$405:$J$412,0,7+2)),IF(Inputs!$C$77="D",SUMPRODUCT(($AZ24&gt;INDEX('Methodology &amp; Sources'!$B$417:$J$429,0,1))*($AZ24-INDEX('Methodology &amp; Sources'!$B$417:$J$429,0,1))*INDEX('Methodology &amp; Sources'!$B$417:$J$429,0,1+2)),IF(Inputs!$C$77="E",SUMPRODUCT(($AZ24&gt;INDEX('Methodology &amp; Sources'!$B$417:$J$429,0,4))*($AZ24-INDEX('Methodology &amp; Sources'!$B$417:$J$429,0,4))*INDEX('Methodology &amp; Sources'!$B$417:$J$429,0,4+2)),SUMPRODUCT(($AZ24&gt;INDEX('Methodology &amp; Sources'!$B$405:$J$412,0,1))*($AZ24-INDEX('Methodology &amp; Sources'!$B$405:$J$412,0,1))*INDEX('Methodology &amp; Sources'!$B$405:$J$412,0,1+2)))))),IF($AN24="NY",IF($AU24="Married",IF($AZ24&gt;=2155350,$AZ24*IF($AZ24&gt;25000000,0.117,IF($AZ24&gt;5000000,0.111,0.1045)),SUMPRODUCT(($AZ24&gt;INDEX('Methodology &amp; Sources'!$B$434:$J$448,0,1))*($AZ24-INDEX('Methodology &amp; Sources'!$B$434:$J$448,0,1))*INDEX('Methodology &amp; Sources'!$B$434:$J$448,0,1+2))),IF($AZ24&gt;=1077550,$AZ24*IF($AZ24&gt;25000000,0.117,IF($AZ24&gt;5000000,0.111,0.1045)),SUMPRODUCT(($AZ24&gt;INDEX('Methodology &amp; Sources'!$B$417:$J$429,0,7))*($AZ24-INDEX('Methodology &amp; Sources'!$B$417:$J$429,0,7))*INDEX('Methodology &amp; Sources'!$B$417:$J$429,0,7+2)))),"")))))))</f>
      </c>
      <c r="BX24" s="7">
        <f>IF($B24="","",IF($AN24="AL",IF(OR($AU24="Married",$AU24="Head of household"),SUMPRODUCT(($AZ24&gt;INDEX('Methodology &amp; Sources'!$B$332:$J$336,0,4))*($AZ24-INDEX('Methodology &amp; Sources'!$B$332:$J$336,0,4))*INDEX('Methodology &amp; Sources'!$B$332:$J$336,0,4+2)),SUMPRODUCT(($AZ24&gt;INDEX('Methodology &amp; Sources'!$B$332:$J$336,0,1))*($AZ24-INDEX('Methodology &amp; Sources'!$B$332:$J$336,0,1))*INDEX('Methodology &amp; Sources'!$B$332:$J$336,0,1+2))),IF($AN24="KS",IF($AU24="Married",SUMPRODUCT(($AZ24&gt;INDEX('Methodology &amp; Sources'!$B$353:$J$359,0,4))*($AZ24-INDEX('Methodology &amp; Sources'!$B$353:$J$359,0,4))*INDEX('Methodology &amp; Sources'!$B$353:$J$359,0,4+2)),SUMPRODUCT(($AZ24&gt;INDEX('Methodology &amp; Sources'!$B$353:$J$359,0,1))*($AZ24-INDEX('Methodology &amp; Sources'!$B$353:$J$359,0,1))*INDEX('Methodology &amp; Sources'!$B$353:$J$359,0,1+2))),IF($AN24="MN",IF($AU24="Married",SUMPRODUCT(($AZ24&gt;INDEX('Methodology &amp; Sources'!$B$364:$J$370,0,7))*($AZ24-INDEX('Methodology &amp; Sources'!$B$364:$J$370,0,7))*INDEX('Methodology &amp; Sources'!$B$364:$J$370,0,7+2)),SUMPRODUCT(($AZ24&gt;INDEX('Methodology &amp; Sources'!$B$364:$J$370,0,4))*($AZ24-INDEX('Methodology &amp; Sources'!$B$364:$J$370,0,4))*INDEX('Methodology &amp; Sources'!$B$364:$J$370,0,4+2))),IF($AN24="NE",MAX(IF($AU24="Married",SUMPRODUCT(($AZ24&gt;INDEX('Methodology &amp; Sources'!$B$394:$J$400,0,7))*($AZ24-INDEX('Methodology &amp; Sources'!$B$394:$J$400,0,7))*INDEX('Methodology &amp; Sources'!$B$394:$J$400,0,7+2)),SUMPRODUCT(($AZ24&gt;INDEX('Methodology &amp; Sources'!$B$394:$J$400,0,4))*($AZ24-INDEX('Methodology &amp; Sources'!$B$394:$J$400,0,4))*INDEX('Methodology &amp; Sources'!$B$394:$J$400,0,4+2))),0.015*$AZ24),IF($AN24="OH",IF($B24&gt;=DATE(2026,8,1),SUMPRODUCT(($AZ24&gt;INDEX('Methodology &amp; Sources'!$B$453:$J$456,0,1))*($AZ24-INDEX('Methodology &amp; Sources'!$B$453:$J$456,0,1))*INDEX('Methodology &amp; Sources'!$B$453:$J$456,0,1+2)),SUMPRODUCT(($AZ24&gt;INDEX('Methodology &amp; Sources'!$B$434:$J$448,0,7))*($AZ24-INDEX('Methodology &amp; Sources'!$B$434:$J$448,0,7))*INDEX('Methodology &amp; Sources'!$B$434:$J$448,0,7+2))),IF($AN24="OK",IF($AU24="Married",SUMPRODUCT(($AZ24&gt;INDEX('Methodology &amp; Sources'!$B$453:$J$456,0,7))*($AZ24-INDEX('Methodology &amp; Sources'!$B$453:$J$456,0,7))*INDEX('Methodology &amp; Sources'!$B$453:$J$456,0,7+2)),SUMPRODUCT(($AZ24&gt;INDEX('Methodology &amp; Sources'!$B$453:$J$456,0,4))*($AZ24-INDEX('Methodology &amp; Sources'!$B$453:$J$456,0,4))*INDEX('Methodology &amp; Sources'!$B$453:$J$456,0,4+2))),IF($AN24="RI",SUMPRODUCT(($AZ24&gt;INDEX('Methodology &amp; Sources'!$B$461:$J$464,0,7))*($AZ24-INDEX('Methodology &amp; Sources'!$B$461:$J$464,0,7))*INDEX('Methodology &amp; Sources'!$B$461:$J$464,0,7+2)),IF($AN24="VT",IF($AU24="Married",SUMPRODUCT(($AZ24&gt;INDEX('Methodology &amp; Sources'!$B$478:$J$482,0,1))*($AZ24-INDEX('Methodology &amp; Sources'!$B$478:$J$482,0,1))*INDEX('Methodology &amp; Sources'!$B$478:$J$482,0,1+2)),SUMPRODUCT(($AZ24&gt;INDEX('Methodology &amp; Sources'!$B$469:$J$473,0,7))*($AZ24-INDEX('Methodology &amp; Sources'!$B$469:$J$473,0,7))*INDEX('Methodology &amp; Sources'!$B$469:$J$473,0,7+2))),IF($AN24="WV",IF($AU24="Married",SUMPRODUCT(($AZ24&gt;INDEX('Methodology &amp; Sources'!$B$487:$J$491,0,7))*($AZ24-INDEX('Methodology &amp; Sources'!$B$487:$J$491,0,7))*INDEX('Methodology &amp; Sources'!$B$487:$J$491,0,7+2)),SUMPRODUCT(($AZ24&gt;INDEX('Methodology &amp; Sources'!$B$478:$J$482,0,7))*($AZ24-INDEX('Methodology &amp; Sources'!$B$478:$J$482,0,7))*INDEX('Methodology &amp; Sources'!$B$478:$J$482,0,7+2))),""))))))))))</f>
      </c>
      <c r="BY24" s="7">
        <f>IF($B24="","",IF($AN24="AR",SUMPRODUCT(($AZ24&gt;INDEX('Methodology &amp; Sources'!$B$332:$J$336,0,7))*($AZ24-INDEX('Methodology &amp; Sources'!$B$332:$J$336,0,7))*INDEX('Methodology &amp; Sources'!$B$332:$J$336,0,7+2)),IF($AN24="DE",SUMPRODUCT(($AZ24&gt;INDEX('Methodology &amp; Sources'!$B$341:$J$348,0,1))*($AZ24-INDEX('Methodology &amp; Sources'!$B$341:$J$348,0,1))*INDEX('Methodology &amp; Sources'!$B$341:$J$348,0,1+2)),IF($AN24="HI",IF($AU24="Married",SUMPRODUCT(($AZ24&gt;INDEX('Methodology &amp; Sources'!$B$341:$J$348,0,7))*($AZ24-INDEX('Methodology &amp; Sources'!$B$341:$J$348,0,7))*INDEX('Methodology &amp; Sources'!$B$341:$J$348,0,7+2)),SUMPRODUCT(($AZ24&gt;INDEX('Methodology &amp; Sources'!$B$341:$J$348,0,4))*($AZ24-INDEX('Methodology &amp; Sources'!$B$341:$J$348,0,4))*INDEX('Methodology &amp; Sources'!$B$341:$J$348,0,4+2))),IF($AN24="SC",SUMPRODUCT(($AZ24&gt;INDEX('Methodology &amp; Sources'!$B$469:$J$473,0,1))*($AZ24-INDEX('Methodology &amp; Sources'!$B$469:$J$473,0,1))*INDEX('Methodology &amp; Sources'!$B$469:$J$473,0,1+2)),IF($AN24="VA",SUMPRODUCT(($AZ24&gt;INDEX('Methodology &amp; Sources'!$B$469:$J$473,0,4))*($AZ24-INDEX('Methodology &amp; Sources'!$B$469:$J$473,0,4))*INDEX('Methodology &amp; Sources'!$B$469:$J$473,0,4+2)),IF($AN24="WI",SUMPRODUCT(($AZ24&gt;INDEX('Methodology &amp; Sources'!$B$478:$J$482,0,4))*($AZ24-INDEX('Methodology &amp; Sources'!$B$478:$J$482,0,4))*INDEX('Methodology &amp; Sources'!$B$478:$J$482,0,4+2)),"")))))))</f>
      </c>
      <c r="BZ24" s="24">
        <f>IF($B24="","",IF($AN24="NJ",IF(Inputs!$C$77="B",SUMPRODUCT(($AZ24&gt;=INDEX('Methodology &amp; Sources'!$B$405:$J$412,0,4))*INDEX('Methodology &amp; Sources'!$B$405:$J$412,0,4+2)),IF(Inputs!$C$77="C",SUMPRODUCT(($AZ24&gt;=INDEX('Methodology &amp; Sources'!$B$405:$J$412,0,7))*INDEX('Methodology &amp; Sources'!$B$405:$J$412,0,7+2)),IF(Inputs!$C$77="D",SUMPRODUCT(($AZ24&gt;=INDEX('Methodology &amp; Sources'!$B$417:$J$429,0,1))*INDEX('Methodology &amp; Sources'!$B$417:$J$429,0,1+2)),IF(Inputs!$C$77="E",SUMPRODUCT(($AZ24&gt;=INDEX('Methodology &amp; Sources'!$B$417:$J$429,0,4))*INDEX('Methodology &amp; Sources'!$B$417:$J$429,0,4+2)),SUMPRODUCT(($AZ24&gt;=INDEX('Methodology &amp; Sources'!$B$405:$J$412,0,1))*INDEX('Methodology &amp; Sources'!$B$405:$J$412,0,1+2)))))),IF($AN24="OR",IF(OR($AU24="Married",AND($AU24="Single",$AS24&gt;=3)),SUMPRODUCT((MAX(0,$AY24-MIN(($P24-'Methodology &amp; Sources'!$C$260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Sources'!$B$461:$J$464,0,4))*INDEX('Methodology &amp; Sources'!$B$461:$J$464,0,4+2)),SUMPRODUCT((MAX(0,$AY24-MIN(($P24-'Methodology &amp; Sources'!$C$260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Sources'!$B$461:$J$464,0,1))*INDEX('Methodology &amp; Sources'!$B$461:$J$464,0,1+2)))*IF(($P24-'Methodology &amp; Sources'!$C$260*$D24)*Inputs!$C$8&gt;=IF(OR($AU24="Married",AND($AU24="Single",$AS24&gt;=3)),IF($AY24&lt;250000,8750,IF($AY24&lt;260000,7000,IF($AY24&lt;270000,5250,IF($AY24&lt;280000,3500,IF($AY24&lt;290000,1750,0))))),IF($AY24&lt;125000,8750,IF($AY24&lt;130000,7000,IF($AY24&lt;135000,5250,IF($AY24&lt;140000,3500,IF($AY24&lt;145000,1750,0)))))),1,1-IF(Inputs!$C$13,SUMPRODUCT(($AH24&gt;=INDEX('Methodology &amp; Sources'!$B$279:$J$286,0,IF(Inputs!$C$12="MFJ",1,IF(Inputs!$C$12="HoH",7,4))))*INDEX('Methodology &amp; Sources'!$B$279:$J$286,0,IF(Inputs!$C$12="MFJ",1,IF(Inputs!$C$12="HoH",7,4))+2)),SUMPRODUCT(($AH24&gt;=INDEX('Methodology &amp; Sources'!$B$269:$J$276,0,IF(Inputs!$C$12="MFJ",1,IF(Inputs!$C$12="HoH",7,4))))*INDEX('Methodology &amp; Sources'!$B$269:$J$276,0,IF(Inputs!$C$12="MFJ",1,IF(Inputs!$C$12="HoH",7,4))+2)))),IF($AN24="MI",IF($AY24&gt;5900*$AS24,0.0425,0),""))))</f>
      </c>
      <c r="CA24" s="24">
        <f>IF($B24="","",IF($AN24="AL",IF(OR($AU24="Married",$AU24="Head of household"),SUMPRODUCT(($AZ24&gt;=INDEX('Methodology &amp; Sources'!$B$332:$J$336,0,4))*INDEX('Methodology &amp; Sources'!$B$332:$J$336,0,4+2)),SUMPRODUCT(($AZ24&gt;=INDEX('Methodology &amp; Sources'!$B$332:$J$336,0,1))*INDEX('Methodology &amp; Sources'!$B$332:$J$336,0,1+2)))*(1-IF(Inputs!$C$13,SUMPRODUCT(($AH24&gt;=INDEX('Methodology &amp; Sources'!$B$279:$J$286,0,IF(Inputs!$C$12="MFJ",1,IF(Inputs!$C$12="HoH",7,4))))*INDEX('Methodology &amp; Sources'!$B$279:$J$286,0,IF(Inputs!$C$12="MFJ",1,IF(Inputs!$C$12="HoH",7,4))+2)),SUMPRODUCT(($AH24&gt;=INDEX('Methodology &amp; Sources'!$B$269:$J$276,0,IF(Inputs!$C$12="MFJ",1,IF(Inputs!$C$12="HoH",7,4))))*INDEX('Methodology &amp; Sources'!$B$269:$J$276,0,IF(Inputs!$C$12="MFJ",1,IF(Inputs!$C$12="HoH",7,4))+2)))),IF($AN24="KS",IF($AU24="Married",SUMPRODUCT(($AZ24&gt;=INDEX('Methodology &amp; Sources'!$B$353:$J$359,0,4))*INDEX('Methodology &amp; Sources'!$B$353:$J$359,0,4+2)),SUMPRODUCT(($AZ24&gt;=INDEX('Methodology &amp; Sources'!$B$353:$J$359,0,1))*INDEX('Methodology &amp; Sources'!$B$353:$J$359,0,1+2))),IF($AN24="MD",IF(OR($AU24="Married",$AU24="Head of household"),SUMPRODUCT(($AZ24&gt;=INDEX('Methodology &amp; Sources'!$B$364:$J$370,0,1))*INDEX('Methodology &amp; Sources'!$B$364:$J$370,0,1+2)),SUMPRODUCT(($AZ24&gt;=INDEX('Methodology &amp; Sources'!$B$353:$J$359,0,7))*INDEX('Methodology &amp; Sources'!$B$353:$J$359,0,7+2)))+Inputs!$C$74,IF($AN24="MT",IF($AU24="Head of household",SUMPRODUCT(($AZ24&gt;=INDEX('Methodology &amp; Sources'!$B$387:$J$389,0,1))*INDEX('Methodology &amp; Sources'!$B$387:$J$389,0,1+2)),IF($AU24="Married",SUMPRODUCT(($AZ24&gt;=INDEX('Methodology &amp; Sources'!$B$375:$J$382,0,7))*INDEX('Methodology &amp; Sources'!$B$375:$J$382,0,7+2)),SUMPRODUCT(($AZ24&gt;=INDEX('Methodology &amp; Sources'!$B$375:$J$382,0,4))*INDEX('Methodology &amp; Sources'!$B$375:$J$382,0,4+2)))),IF($AN24="ND",IF($AU24="Head of household",SUMPRODUCT(($AZ24&gt;=INDEX('Methodology &amp; Sources'!$B$394:$J$400,0,1))*INDEX('Methodology &amp; Sources'!$B$394:$J$400,0,1+2)),IF($AU24="Married",SUMPRODUCT(($AZ24&gt;=INDEX('Methodology &amp; Sources'!$B$387:$J$389,0,7))*INDEX('Methodology &amp; Sources'!$B$387:$J$389,0,7+2)),SUMPRODUCT(($AZ24&gt;=INDEX('Methodology &amp; Sources'!$B$387:$J$389,0,4))*INDEX('Methodology &amp; Sources'!$B$387:$J$389,0,4+2)))),IF($AN24="NY",IF($AU24="Married",IF($AZ24&gt;=2155350,IF($AZ24&gt;25000000,0.117,IF($AZ24&gt;5000000,0.111,0.1045)),SUMPRODUCT(($AZ24&gt;=INDEX('Methodology &amp; Sources'!$B$434:$J$448,0,1))*INDEX('Methodology &amp; Sources'!$B$434:$J$448,0,1+2))),IF($AZ24&gt;=1077550,IF($AZ24&gt;25000000,0.117,IF($AZ24&gt;5000000,0.111,0.1045)),SUMPRODUCT(($AZ24&gt;=INDEX('Methodology &amp; Sources'!$B$417:$J$429,0,7))*INDEX('Methodology &amp; Sources'!$B$417:$J$429,0,7+2)))),"")))))))</f>
      </c>
      <c r="CB24" s="24">
        <f>IF($B24="","",IF($AN24="CA",SUMPRODUCT(($AJ24&gt;=INDEX('Methodology &amp; Sources'!$B$289:$J$298,0,IF($AU24="Married",4,IF($AU24="Head of household",7,1))))*INDEX('Methodology &amp; Sources'!$B$289:$J$298,0,IF($AU24="Married",4,IF($AU24="Head of household",7,1))+2)),IF($AN24="HI",IF($AU24="Married",SUMPRODUCT(($AZ24&gt;=INDEX('Methodology &amp; Sources'!$B$341:$J$348,0,7))*INDEX('Methodology &amp; Sources'!$B$341:$J$348,0,7+2)),SUMPRODUCT(($AZ24&gt;=INDEX('Methodology &amp; Sources'!$B$341:$J$348,0,4))*INDEX('Methodology &amp; Sources'!$B$341:$J$348,0,4+2))),IF($AN24="MN",IF($AU24="Married",SUMPRODUCT(($AZ24&gt;=INDEX('Methodology &amp; Sources'!$B$364:$J$370,0,7))*INDEX('Methodology &amp; Sources'!$B$364:$J$370,0,7+2)),SUMPRODUCT(($AZ24&gt;=INDEX('Methodology &amp; Sources'!$B$364:$J$370,0,4))*INDEX('Methodology &amp; Sources'!$B$364:$J$370,0,4+2))),IF($AN24="MO",SUMPRODUCT(($AZ24&gt;=INDEX('Methodology &amp; Sources'!$B$375:$J$382,0,1))*INDEX('Methodology &amp; Sources'!$B$375:$J$382,0,1+2)),IF($AN24="NE",MAX(IF($AU24="Married",SUMPRODUCT(($AZ24&gt;=INDEX('Methodology &amp; Sources'!$B$394:$J$400,0,7))*INDEX('Methodology &amp; Sources'!$B$394:$J$400,0,7+2)),SUMPRODUCT(($AZ24&gt;=INDEX('Methodology &amp; Sources'!$B$394:$J$400,0,4))*INDEX('Methodology &amp; Sources'!$B$394:$J$400,0,4+2))),0.015),IF($AN24="OH",IF($B24&gt;=DATE(2026,8,1),SUMPRODUCT(($AZ24&gt;=INDEX('Methodology &amp; Sources'!$B$453:$J$456,0,1))*INDEX('Methodology &amp; Sources'!$B$453:$J$456,0,1+2)),SUMPRODUCT(($AZ24&gt;=INDEX('Methodology &amp; Sources'!$B$434:$J$448,0,7))*INDEX('Methodology &amp; Sources'!$B$434:$J$448,0,7+2))),IF($AN24="OK",IF($AU24="Married",SUMPRODUCT(($AZ24&gt;=INDEX('Methodology &amp; Sources'!$B$453:$J$456,0,7))*INDEX('Methodology &amp; Sources'!$B$453:$J$456,0,7+2)),SUMPRODUCT(($AZ24&gt;=INDEX('Methodology &amp; Sources'!$B$453:$J$456,0,4))*INDEX('Methodology &amp; Sources'!$B$453:$J$456,0,4+2))),IF($AN24="RI",SUMPRODUCT(($AZ24&gt;=INDEX('Methodology &amp; Sources'!$B$461:$J$464,0,7))*INDEX('Methodology &amp; Sources'!$B$461:$J$464,0,7+2)),IF($AN24="SC",SUMPRODUCT(($AZ24&gt;=INDEX('Methodology &amp; Sources'!$B$469:$J$473,0,1))*INDEX('Methodology &amp; Sources'!$B$469:$J$473,0,1+2)),IF($AN24="VT",IF($AU24="Married",SUMPRODUCT(($AZ24&gt;=INDEX('Methodology &amp; Sources'!$B$478:$J$482,0,1))*INDEX('Methodology &amp; Sources'!$B$478:$J$482,0,1+2)),SUMPRODUCT(($AZ24&gt;=INDEX('Methodology &amp; Sources'!$B$469:$J$473,0,7))*INDEX('Methodology &amp; Sources'!$B$469:$J$473,0,7+2))),IF($AN24="WV",IF($AU24="Married",SUMPRODUCT(($AZ24&gt;=INDEX('Methodology &amp; Sources'!$B$487:$J$491,0,7))*INDEX('Methodology &amp; Sources'!$B$487:$J$491,0,7+2)),SUMPRODUCT(($AZ24&gt;=INDEX('Methodology &amp; Sources'!$B$478:$J$482,0,7))*INDEX('Methodology &amp; Sources'!$B$478:$J$482,0,7+2))),IF($AN24="IN",(0.0295+Inputs!$C$76),"")))))))))))))</f>
      </c>
      <c r="CC24" s="24">
        <f>IF($B24="","",IF($AN24="AR",SUMPRODUCT(($AZ24&gt;=INDEX('Methodology &amp; Sources'!$B$332:$J$336,0,7))*INDEX('Methodology &amp; Sources'!$B$332:$J$336,0,7+2)),IF($AN24="DE",SUMPRODUCT(($AZ24&gt;=INDEX('Methodology &amp; Sources'!$B$341:$J$348,0,1))*INDEX('Methodology &amp; Sources'!$B$341:$J$348,0,1+2)),IF($AN24="VA",SUMPRODUCT(($AZ24&gt;=INDEX('Methodology &amp; Sources'!$B$469:$J$473,0,4))*INDEX('Methodology &amp; Sources'!$B$469:$J$473,0,4+2)),IF($AN24="WI",SUMPRODUCT(($AZ24&gt;=INDEX('Methodology &amp; Sources'!$B$478:$J$482,0,4))*INDEX('Methodology &amp; Sources'!$B$478:$J$482,0,4+2)),IF($AN24="AZ",Inputs!$C$82,IF($AN24="CO",IF($AY24&gt;IF($AU24="Married",10000,5000),0.044,0),IF($AN24="IA",IF($AY24&gt;IF($AU24="Head of household",19500,IF($AU24="Married",26000,13000)),0.038,0),IF($AN24="ID",IF($AY24&gt;IF($AU24="Married",32000,16094),0.053,0),IF($AN24="IL",IF($AY24&gt;(2925*$AS24+1000*$AT24),0.0495,0),IF($AN24="KY",IF($AI24&gt;3360,0.035,0),IF($AN24="LA",0.0309,IF($AN24="MA",IF(MAX(0,$AY24-MIN(($BD23+$Q24+$R24+$S24),2000)-IF($AS24=0,0,IF($AS24=1,4400,1000*$AS24+3400)))&gt;=1107750,0.09,0.05),IF($AN24="MS",IF($AI24-IF($AU24="Head of household",3400,IF($AU24="Married",4600,2300))-Inputs!$C$85&gt;10000,0.04,0),IF($AN24="PA",0.0307,"")))))))))))))))</f>
      </c>
      <c r="CD24" s="21">
        <f>IF(YEAR(IF(Inputs!$C$7="Weekly",Inputs!$C$9+7*(($BE23+1)-1),IF(Inputs!$C$7="Biweekly",Inputs!$C$9+14*(($BE23+1)-1),IF(Inputs!$C$7="Semimonthly",DATE(YEAR(Inputs!$C$9),MONTH(Inputs!$C$9)+INT((($BE23+1)-1)/2),MIN(DAY(Inputs!$C$9),DAY(EOMONTH(DATE(YEAR(Inputs!$C$9),MONTH(Inputs!$C$9)+INT((($BE23+1)-1)/2),1),0))))+IF(MOD(($BE23+1)-1,2)=1,15,0),EDATE(Inputs!$C$9,($BE23+1)-1)))))&lt;&gt;2026,"",IF(Inputs!$C$7="Weekly",Inputs!$C$9+7*(($BE23+1)-1),IF(Inputs!$C$7="Biweekly",Inputs!$C$9+14*(($BE23+1)-1),IF(Inputs!$C$7="Semimonthly",DATE(YEAR(Inputs!$C$9),MONTH(Inputs!$C$9)+INT((($BE23+1)-1)/2),MIN(DAY(Inputs!$C$9),DAY(EOMONTH(DATE(YEAR(Inputs!$C$9),MONTH(Inputs!$C$9)+INT((($BE23+1)-1)/2),1),0))))+IF(MOD(($BE23+1)-1,2)=1,15,0),EDATE(Inputs!$C$9,($BE23+1)-1)))))</f>
      </c>
      <c r="CE24" s="21">
        <f>IF(SUMPRODUCT(MIN(IF((Inputs!$C$58:$C$67&gt;MAX($B$6:$B23))*(Inputs!$C$58:$C$67&gt;=DATE(2026,1,1))*(Inputs!$C$58:$C$67&lt;=DATE(2026,12,31)),Inputs!$C$58:$C$67,999999)))=999999,"",SUMPRODUCT(MIN(IF((Inputs!$C$58:$C$67&gt;MAX($B$6:$B23))*(Inputs!$C$58:$C$67&gt;=DATE(2026,1,1))*(Inputs!$C$58:$C$67&lt;=DATE(2026,12,31)),Inputs!$C$58:$C$67,999999))))</f>
      </c>
    </row>
    <row r="25">
      <c r="A25" t="n">
        <v>20</v>
      </c>
      <c r="B25" s="21">
        <f>IF(AND($CD25="",$CE25=""),"",IF($CE25="",$CD25,IF($CD25="",$CE25,MIN($CD25,$CE25))))</f>
      </c>
      <c r="C25" s="7">
        <f>IF($B25="","",IF($BF25=0,0,IF(Inputs!$C$4="Annual salary",ROUND($AK25/IF(AND(Inputs!$C$88="Actual paydays",MONTH(Inputs!$C$9)=1),MAX(1,MAX($BE$6:$BE$68)),Inputs!$C$8),2),$AK25)))</f>
      </c>
      <c r="D25" s="7">
        <f>IF($B25="","",SUMIF(Inputs!$C$58:$C$67,$B25,Inputs!$D$58:$D$67))</f>
      </c>
      <c r="E25" s="7">
        <f>IF($B25="","",ROUND(MAX(0,MIN(IF($AL25="Percent",$AM25*($C25+$D25),$AM25),MAX(0,Inputs!$C$91-$AC24))),2))</f>
      </c>
      <c r="F25" s="7">
        <f>IF($B25="","",ROUND(MAX(0,MIN(IF(Inputs!$C$32="Percent",Inputs!$D$32*($C25+$D25),Inputs!$D$32),MAX(0,Inputs!$C$91-$AC24-$E25))),2))</f>
      </c>
      <c r="G25" s="7">
        <f>IF($B25="","",IF($BF25=0,0,ROUND(MAX(0,MIN($BL25,Inputs!$C$92-Inputs!$C$54-$BI24)),2)))</f>
      </c>
      <c r="H25" s="7">
        <f>IF($B25="","",IF(OR($BF25=0,$BQ25=1),0,ROUND(MAX(0,MIN(IF($BS25=1,ROUND(MAX(0,MIN($BJ25,'Methodology &amp; Sources'!$C$263)-$BG24)/MAX(1,MAX($BE$6:$BE$68)-($BE24)),2),ROUND(MIN($BJ25,'Methodology &amp; Sources'!$C$263)/Inputs!$C$8,2)),MIN($BJ25,'Methodology &amp; Sources'!$C$263)-$BG24)),2)))</f>
      </c>
      <c r="I25" s="7">
        <f>IF($B25="","",IF(OR($BF25=0,$BR25=1),0,ROUND(MAX(0,MIN(IF($BT25=1,ROUND(MAX(0,MIN($BK25,IF(Inputs!$C$12="MFJ",'Methodology &amp; Sources'!$C$264,'Methodology &amp; Sources'!$C$265))-$BH24)/MAX(1,MAX($BE$6:$BE$68)-($BE24)),2),ROUND(MIN($BK25,IF(Inputs!$C$12="MFJ",'Methodology &amp; Sources'!$C$264,'Methodology &amp; Sources'!$C$265))/Inputs!$C$8,2)),MIN($BK25,IF(Inputs!$C$12="MFJ",'Methodology &amp; Sources'!$C$264,'Methodology &amp; Sources'!$C$265))-$BH24)),2)))</f>
      </c>
      <c r="J25" s="7">
        <f>IF($B25="","",IF($BF25=0,0,$BM25))</f>
      </c>
      <c r="K25" s="7">
        <f>IF($B25="","",IF($BF25=0,0,$BN25+$BO25))</f>
      </c>
      <c r="L25" s="7">
        <f>IF($B25="","",IF($BF25=0,0,Inputs!$D$46))</f>
      </c>
      <c r="M25" s="7">
        <f>IF($B25="","",$C25+$D25+$L25-$E25-$G25-$H25-$I25-$J25-$K25)</f>
      </c>
      <c r="N25" s="7">
        <f>IF($B25="","",$C25+$D25+$L25-$G25-$H25-$I25-$J25-$K25)</f>
      </c>
      <c r="O25" s="7">
        <f>IF($B25="","",$C25+$D25+$L25-$E25-$H25-$I25-$J25-$K25-IF(OR($AN25="CA",$AN25="NJ"),0,$G25))</f>
      </c>
      <c r="P25" s="7">
        <f>IF($B25="","",IF(Inputs!$C$18,0,ROUND(MAX(0,IF(Inputs!$C$13,SUMPRODUCT(($AH25&gt;INDEX('Methodology &amp; Sources'!$B$279:$J$286,0,IF(Inputs!$C$12="MFJ",1,IF(Inputs!$C$12="HoH",7,4))))*($AH25-INDEX('Methodology &amp; Sources'!$B$279:$J$286,0,IF(Inputs!$C$12="MFJ",1,IF(Inputs!$C$12="HoH",7,4))))*INDEX('Methodology &amp; Sources'!$B$279:$J$286,0,IF(Inputs!$C$12="MFJ",1,IF(Inputs!$C$12="HoH",7,4))+2)),SUMPRODUCT(($AH25&gt;INDEX('Methodology &amp; Sources'!$B$269:$J$276,0,IF(Inputs!$C$12="MFJ",1,IF(Inputs!$C$12="HoH",7,4))))*($AH25-INDEX('Methodology &amp; Sources'!$B$269:$J$276,0,IF(Inputs!$C$12="MFJ",1,IF(Inputs!$C$12="HoH",7,4))))*INDEX('Methodology &amp; Sources'!$B$269:$J$276,0,IF(Inputs!$C$12="MFJ",1,IF(Inputs!$C$12="HoH",7,4))+2)))/Inputs!$C$8-$AO25/Inputs!$C$8)+$AR25+IF(Inputs!$C$89="Aggregate",MAX(0,IF(Inputs!$C$13,SUMPRODUCT((($AH25+$D25)&gt;INDEX('Methodology &amp; Sources'!$B$279:$J$286,0,IF(Inputs!$C$12="MFJ",1,IF(Inputs!$C$12="HoH",7,4))))*(($AH25+$D25)-INDEX('Methodology &amp; Sources'!$B$279:$J$286,0,IF(Inputs!$C$12="MFJ",1,IF(Inputs!$C$12="HoH",7,4))))*INDEX('Methodology &amp; Sources'!$B$279:$J$286,0,IF(Inputs!$C$12="MFJ",1,IF(Inputs!$C$12="HoH",7,4))+2)),SUMPRODUCT((($AH25+$D25)&gt;INDEX('Methodology &amp; Sources'!$B$269:$J$276,0,IF(Inputs!$C$12="MFJ",1,IF(Inputs!$C$12="HoH",7,4))))*(($AH25+$D25)-INDEX('Methodology &amp; Sources'!$B$269:$J$276,0,IF(Inputs!$C$12="MFJ",1,IF(Inputs!$C$12="HoH",7,4))))*INDEX('Methodology &amp; Sources'!$B$269:$J$276,0,IF(Inputs!$C$12="MFJ",1,IF(Inputs!$C$12="HoH",7,4))+2)))-IF(Inputs!$C$13,SUMPRODUCT(($AH25&gt;INDEX('Methodology &amp; Sources'!$B$279:$J$286,0,IF(Inputs!$C$12="MFJ",1,IF(Inputs!$C$12="HoH",7,4))))*($AH25-INDEX('Methodology &amp; Sources'!$B$279:$J$286,0,IF(Inputs!$C$12="MFJ",1,IF(Inputs!$C$12="HoH",7,4))))*INDEX('Methodology &amp; Sources'!$B$279:$J$286,0,IF(Inputs!$C$12="MFJ",1,IF(Inputs!$C$12="HoH",7,4))+2)),SUMPRODUCT(($AH25&gt;INDEX('Methodology &amp; Sources'!$B$269:$J$276,0,IF(Inputs!$C$12="MFJ",1,IF(Inputs!$C$12="HoH",7,4))))*($AH25-INDEX('Methodology &amp; Sources'!$B$269:$J$276,0,IF(Inputs!$C$12="MFJ",1,IF(Inputs!$C$12="HoH",7,4))))*INDEX('Methodology &amp; Sources'!$B$269:$J$276,0,IF(Inputs!$C$12="MFJ",1,IF(Inputs!$C$12="HoH",7,4))+2)))),'Methodology &amp; Sources'!$C$260*$D25),2)))</f>
      </c>
      <c r="Q25" s="7">
        <f>IF($B25="","",ROUND('Methodology &amp; Sources'!$C$254*MIN($N25,MAX(0,'Methodology &amp; Sources'!$C$253-($AX25+$AB24-$AW25))),2))</f>
      </c>
      <c r="R25" s="7">
        <f>IF($B25="","",ROUND('Methodology &amp; Sources'!$C$255*$N25,2))</f>
      </c>
      <c r="S25" s="7">
        <f>IF($B25="","",ROUND('Methodology &amp; Sources'!$C$256*MAX(0,MIN($N25,$AG24+$N25-'Methodology &amp; Sources'!$C$257)),2))</f>
      </c>
      <c r="T25" s="7">
        <f>IF($B25="","",IF(Inputs!$C$26,0,IF($AN25="CA",ROUND(IF($AI25&lt;=IF(($AS25+$AT25)&gt;=2,VLOOKUP($AN25,'StateTables 2026'!$A$6:$AB$56,10,FALSE),VLOOKUP($AN25,'StateTables 2026'!$A$6:$AB$56,9,FALSE)),0,MAX(0,SUMPRODUCT(($AJ25&gt;INDEX('Methodology &amp; Sources'!$B$289:$J$298,0,IF($AU25="Married",4,IF($AU25="Head of household",7,1))))*($AJ25-INDEX('Methodology &amp; Sources'!$B$289:$J$298,0,IF($AU25="Married",4,IF($AU25="Head of household",7,1))))*INDEX('Methodology &amp; Sources'!$B$289:$J$298,0,IF($AU25="Married",4,IF($AU25="Head of household",7,1))+2))-VLOOKUP($AN25,'StateTables 2026'!$A$6:$AB$56,11,FALSE)*$AS25)/Inputs!$C$8)+Inputs!$C$25+VLOOKUP($AN25,'StateTables 2026'!$A$6:$AB$56,13,FALSE)*$D25,2),IF(VLOOKUP($AN25,'StateTables 2026'!$A$6:$AB$56,4,FALSE)="None",0,IF(ISNUMBER(SEARCH("MANUAL",VLOOKUP($AN25,'StateTables 2026'!$A$6:$AB$56,5,FALSE))),Inputs!$C$28,ROUND(MAX(0,$BA25+$BB25)/Inputs!$C$8+Inputs!$C$25+$BC25,2))))))</f>
      </c>
      <c r="U25" s="7">
        <f>IF($B25="","",IF(VLOOKUP($AN25,'StateTables 2026'!$A$6:$AB$56,24,FALSE)="flatq",IF(OR(MONTH($B25)=1,MONTH($B25)=4,MONTH($B25)=7,MONTH($B25)=10),VLOOKUP($AN25,'StateTables 2026'!$A$6:$AB$56,25,FALSE),0),IF(VLOOKUP($AN25,'StateTables 2026'!$A$6:$AB$56,24,FALSE)="dbl",MIN(ROUND(0.005*$N25,2),ROUND(0.6*52/Inputs!$C$8,2)),IF(OR(VLOOKUP($AN25,'StateTables 2026'!$A$6:$AB$56,15,FALSE)="",VLOOKUP($AN25,'StateTables 2026'!$A$6:$AB$56,15,FALSE)=0),0,ROUND(VLOOKUP($AN25,'StateTables 2026'!$A$6:$AB$56,15,FALSE)*IF(OR(VLOOKUP($AN25,'StateTables 2026'!$A$6:$AB$56,16,FALSE)="",VLOOKUP($AN25,'StateTables 2026'!$A$6:$AB$56,16,FALSE)=0),$N25,MIN($N25,MAX(0,VLOOKUP($AN25,'StateTables 2026'!$A$6:$AB$56,16,FALSE)-($AX25+$AB24-$AW25)))),2))))+IF(VLOOKUP($AN25,'StateTables 2026'!$A$6:$AB$56,27,FALSE)="flatq",IF(OR(MONTH($B25)=1,MONTH($B25)=4,MONTH($B25)=7,MONTH($B25)=10),VLOOKUP($AN25,'StateTables 2026'!$A$6:$AB$56,28,FALSE),0),IF(VLOOKUP($AN25,'StateTables 2026'!$A$6:$AB$56,27,FALSE)="dbl",MIN(ROUND(0.005*$N25,2),ROUND(0.6*52/Inputs!$C$8,2)),IF(OR(VLOOKUP($AN25,'StateTables 2026'!$A$6:$AB$56,18,FALSE)="",VLOOKUP($AN25,'StateTables 2026'!$A$6:$AB$56,18,FALSE)=0),0,ROUND(VLOOKUP($AN25,'StateTables 2026'!$A$6:$AB$56,18,FALSE)*IF(OR(VLOOKUP($AN25,'StateTables 2026'!$A$6:$AB$56,19,FALSE)="",VLOOKUP($AN25,'StateTables 2026'!$A$6:$AB$56,19,FALSE)=0),$N25,MIN($N25,MAX(0,VLOOKUP($AN25,'StateTables 2026'!$A$6:$AB$56,19,FALSE)-($AX25+$AB24-$AW25)))),2)))))</f>
      </c>
      <c r="V25" s="7">
        <f>IF($B25="","",IF($AN25="NY",IF(Inputs!$C$78,ROUND(SUMPRODUCT((MAX(0,($O25-$D25)*Inputs!$C$8-(IF($AU25="Married",5500,5000)+1000*$AS25))&gt;INDEX('Methodology &amp; Sources'!$B$434:$J$448,0,4))*(MAX(0,($O25-$D25)*Inputs!$C$8-(IF($AU25="Married",5500,5000)+1000*$AS25))-INDEX('Methodology &amp; Sources'!$B$434:$J$448,0,4))*INDEX('Methodology &amp; Sources'!$B$434:$J$448,0,4+2))/Inputs!$C$8+0.0425*$D25,2),0)+IF(Inputs!$C$79="Resident",ROUND(0.1675*$T25,2),IF(Inputs!$C$79="Nonresident",ROUND(0.005*MAX(0,($O25-$D25)-(IF($AU25="Married",7950,7400)+1000*$AS25)/Inputs!$C$8),2),0)),IF($AN25="PA",IF(Inputs!$C$80="None",Inputs!$C$27+ROUND(Inputs!$C$81*($C25+$D25),2),ROUND(IF(Inputs!$C$80="Resident",IF($B25&lt;DATE(2026,7,1),0.0374,0.03735),IF($B25&lt;DATE(2026,7,1),0.0343,0.03425))*($C25+$D25),2)),IF($BF25=0,ROUND(Inputs!$C$81*($C25+$D25),2),Inputs!$C$27+ROUND(Inputs!$C$81*($C25+$D25),2)))))</f>
      </c>
      <c r="W25" s="7">
        <f>IF($B25="","",IF($BF25=0,0,$BP25))</f>
      </c>
      <c r="X25" s="7">
        <f>IF($B25="","",SUM($E25:$K25)+$P25+$Q25+$R25+$S25+$T25+$U25+$V25+$W25)</f>
      </c>
      <c r="Y25" s="22">
        <f>IF($B25="","",$C25+$D25-$X25)</f>
      </c>
      <c r="Z25" s="7">
        <f>IF($B25="","",$Z24+$C25+$D25)</f>
      </c>
      <c r="AA25" s="7">
        <f>IF($B25="","",$AA24+$Y25)</f>
      </c>
      <c r="AB25" s="7">
        <f>IF($B25="","",$AB24+MIN($N25,MAX(0,'Methodology &amp; Sources'!$C$253-($AX25+$AB24-$AW25))))</f>
      </c>
      <c r="AC25" s="7">
        <f>IF($B25="","",$AC24+$E25+$F25)</f>
      </c>
      <c r="AD25" s="3">
        <f>IF($B25="","",IF(AND($AB24&lt;'Methodology &amp; Sources'!$C$253,$AB25&gt;='Methodology &amp; Sources'!$C$253),"★ Social Security maxed on this check — from the next check your net rises by about $"&amp;TEXT(ROUND('Methodology &amp; Sources'!$C$254*$N25,2),"#,##0.00")&amp;". ","")&amp;IF(AND($AC24&lt;Inputs!$C$91,$AC25&gt;=Inputs!$C$91),"★ 401(k) reaches the $"&amp;TEXT(Inputs!$C$91,"#,##0")&amp;" cap on this check — deferrals stop and net pay rises. ","")&amp;IF(AND($AG24&lt;'Methodology &amp; Sources'!$C$257,$AG25&gt;='Methodology &amp; Sources'!$C$257),"★ Wages pass $200,000 — the 0.9% Additional Medicare Tax starts here. ","")&amp;IF(AND($BJ25&gt;0,$H25&gt;0,$BG24&lt;MIN($BJ25,'Methodology &amp; Sources'!$C$263),$BG24+$H25&gt;=MIN($BJ25,'Methodology &amp; Sources'!$C$263)),"★ Health FSA election is now fully deferred for the year. ",""))</f>
      </c>
      <c r="AE25" s="41" t="n"/>
      <c r="AF25" s="7">
        <f>IF(OR($B25="",$AE25=""),"",$AE25-$Y25)</f>
      </c>
      <c r="AG25" s="7">
        <f>IF($B25="","",$AG24+$N25)</f>
      </c>
      <c r="AH25" s="7">
        <f>IF($B25="","",MAX(0,($M25-$D25)*Inputs!$C$8+$AP25-$AQ25-IF(Inputs!$C$13,0,IF(Inputs!$C$12="MFJ",'Methodology &amp; Sources'!$C$258,'Methodology &amp; Sources'!$C$259))))</f>
      </c>
      <c r="AI25" s="7">
        <f>IF($B25="","",$O25*Inputs!$C$8)</f>
      </c>
      <c r="AJ25" s="7">
        <f>IF($B25="","",MAX(0,$AI25-VLOOKUP($AN25,'StateTables 2026'!$A$6:$AB$56,12,FALSE)*$AT25-IF(($AS25+$AT25)&gt;=2,VLOOKUP($AN25,'StateTables 2026'!$A$6:$AB$56,8,FALSE),VLOOKUP($AN25,'StateTables 2026'!$A$6:$AB$56,7,FALSE))))</f>
      </c>
      <c r="AK25" s="7">
        <f>IF($B25="","",IFERROR(LOOKUP(2,1/((Events!$C$6:$C$17="Salary change")*(Events!$B$6:$B$17&lt;=$B25)*(Events!$B$6:$B$17&lt;&gt;"")),Events!$D$6:$D$17),IF(Inputs!$C$4="Annual salary",Inputs!$C$5,Inputs!$C$6)))</f>
      </c>
      <c r="AL25">
        <f>IF($B25="","",IFERROR(LOOKUP(2,1/((Events!$C$6:$C$17="401(k) change")*(Events!$B$6:$B$17&lt;=$B25)*(Events!$B$6:$B$17&lt;&gt;"")),Events!$D$6:$D$17),Inputs!$C$30))</f>
      </c>
      <c r="AM25" s="7">
        <f>IF($B25="","",IFERROR(LOOKUP(2,1/((Events!$C$6:$C$17="401(k) change")*(Events!$B$6:$B$17&lt;=$B25)*(Events!$B$6:$B$17&lt;&gt;"")),Events!$E$6:$E$17),Inputs!$D$30))</f>
      </c>
      <c r="AN25">
        <f>IF($B25="","",IFERROR(LOOKUP(2,1/((Events!$C$6:$C$17="State move")*(Events!$B$6:$B$17&lt;=$B25)*(Events!$B$6:$B$17&lt;&gt;"")),Events!$D$6:$D$17),Inputs!$C$21))</f>
      </c>
      <c r="AO25" s="7">
        <f>IF($B25="","",IFERROR(LOOKUP(2,1/((Events!$C$6:$C$17="W-4 change")*(Events!$B$6:$B$17&lt;=$B25)*(Events!$B$6:$B$17&lt;&gt;"")),Events!$D$6:$D$17),Inputs!$C$14))</f>
      </c>
      <c r="AP25" s="7">
        <f>IF($B25="","",IFERROR(LOOKUP(2,1/((Events!$C$6:$C$17="W-4 change")*(Events!$B$6:$B$17&lt;=$B25)*(Events!$B$6:$B$17&lt;&gt;"")),Events!$E$6:$E$17),Inputs!$C$15))</f>
      </c>
      <c r="AQ25" s="7">
        <f>IF($B25="","",IFERROR(LOOKUP(2,1/((Events!$C$6:$C$17="W-4 change")*(Events!$B$6:$B$17&lt;=$B25)*(Events!$B$6:$B$17&lt;&gt;"")),Events!$F$6:$F$17),Inputs!$C$16))</f>
      </c>
      <c r="AR25" s="7">
        <f>IF($B25="","",IFERROR(LOOKUP(2,1/((Events!$C$6:$C$17="W-4 change")*(Events!$B$6:$B$17&lt;=$B25)*(Events!$B$6:$B$17&lt;&gt;"")),Events!$G$6:$G$17),Inputs!$C$17))</f>
      </c>
      <c r="AS25" s="6">
        <f>IF($B25="","",IFERROR(LOOKUP(2,1/(((Events!$C$6:$C$17="State move")+(Events!$C$6:$C$17="State cert change"))*(Events!$B$6:$B$17&lt;=$B25)*(Events!$B$6:$B$17&lt;&gt;"")),Events!$F$6:$F$17),Inputs!$C$23))</f>
      </c>
      <c r="AT25" s="6">
        <f>IF($B25="","",IFERROR(LOOKUP(2,1/(((Events!$C$6:$C$17="State move")+(Events!$C$6:$C$17="State cert change"))*(Events!$B$6:$B$17&lt;=$B25)*(Events!$B$6:$B$17&lt;&gt;"")),Events!$G$6:$G$17),Inputs!$C$24))</f>
      </c>
      <c r="AU25">
        <f>IF($B25="","",IFERROR(LOOKUP(2,1/((Events!$C$6:$C$17="State move")*(Events!$B$6:$B$17&lt;=$B25)*(Events!$B$6:$B$17&lt;&gt;"")),Events!$E$6:$E$17),Inputs!$C$22))</f>
      </c>
      <c r="AV25" s="6">
        <f>IF($B25="","",1+COUNTIFS(Events!$C$6:$C$17,"Employer change",Events!$B$6:$B$17,"&lt;="&amp;$B25,Events!$B$6:$B$17,"&lt;&gt;"))</f>
      </c>
      <c r="AW25" s="7">
        <f>IF($B25="","",IF($AV25=1,Inputs!$C$49,IF(IFERROR(MATCH(IFERROR(LOOKUP(2,1/((Events!$C$6:$C$17="Employer change")*(Events!$B$6:$B$17&lt;=$B25)*(Events!$B$6:$B$17&lt;&gt;"")),Events!$B$6:$B$17),""),$B$6:$B$68,1),1)&lt;=1,Inputs!$C$49,INDEX($AB$6:$AB$68,MATCH(IFERROR(LOOKUP(2,1/((Events!$C$6:$C$17="Employer change")*(Events!$B$6:$B$17&lt;=$B25)*(Events!$B$6:$B$17&lt;&gt;"")),Events!$B$6:$B$17),""),$B$6:$B$68,1)-1))))</f>
      </c>
      <c r="AX25" s="7">
        <f>IF($B25="","",IF($AV25=1,Inputs!$C$49,IFERROR(LOOKUP(2,1/((Events!$C$6:$C$17="Employer change")*(Events!$B$6:$B$17&lt;=$B25)*(Events!$B$6:$B$17&lt;&gt;"")),Events!$D$6:$D$17),0)))</f>
      </c>
      <c r="AY25" s="7">
        <f>IF($B25="","",($O25-$D25)*Inputs!$C$8)</f>
      </c>
      <c r="AZ25" s="7">
        <f>IF($B25="","",IF($AN25="AL",MAX(0,$AY25-IF($AU25="Married",IF($AY25&lt;=25999,8500,MAX(5000,8500-175*CEILING(($AY25-25999)/500,1))),IF($AU25="Head of household",IF($AY25&lt;=25999,5200,MAX(2500,5200-135*CEILING(($AY25-25999)/500,1))),IF($AY25&lt;=25999,3000,MAX(2500,3000-25*CEILING(($AY25-25999)/500,1)))))-($P25-'Methodology &amp; Sources'!$C$260*$D25)*Inputs!$C$8-IF(OR($AU25="Married",$AU25="Head of household"),3000,1500)-$AT25*IF($AY25&lt;=50000,1000,IF($AY25&lt;=100000,500,300))),IF($AN25="AR",IF(MAX(0,$AY25-2470)&lt;97701,INT(MAX(0,$AY25-2470)/100)*100+50,MAX(0,$AY25-2470)),IF($AN25="DE",MAX(0,$AI25-3250),IF($AN25="HI",MAX(0,$AI25-1144*$AS25-4350),IF($AN25="KS",MAX(0,$AI25-(9160*IF($AU25="Married",2,1)+2320*$AT25+IF($AU25="Head of household",2320,0))),IF($AN25="MD",MAX(0,$AI25-3400-3200*$AS25),IF($AN25="MN",MAX(0,$AY25-5300*$AS25),IF($AN25="MO",MAX(0,$AI25-IF($AU25="Head of household",24150,IF($AU25="Married",IF(Inputs!$C$83,16100,32200),16100))),IF($AN25="MT",$AY25,IF($AN25="ND",($C25+$L25)*Inputs!$C$8,IF($AN25="NE",MAX(0,$AY25-2440*$AS25),IF($AN25="NJ",MAX(0,$AY25-1000*$AS25),IF($AN25="NY",MAX(0,$AY25-(IF($AU25="Married",7950,7400)+1000*$AS25)),IF($AN25="OH",MAX(0,$AY25-650*$AS25),IF($AN25="OK",MAX(0,$AY25-1000*$AS25),IF($AN25="RI",MAX(0,$AI25-1000*$AS25),IF($AN25="SC",MAX(0,$AI25-5000*$AS25-IF($AS25=0,0,MIN(0.1*$AI25,7500))),IF($AN25="VA",MAX(0,$AI25-IF($AU25="Married",17500,8750)-930*$AS25-800*$AT25),IF($AN25="VT",MAX(0,$AI25-5400*$AS25),IF($AN25="WI",MAX(0,$AI25-MAX(0,IF($AU25="Married",9461-0.2*MAX(0,$AI25-25727),6702-0.12*MAX(0,$AI25-17780)))-400*$AS25),IF($AN25="WV",MAX(0,$AI25-2000*$AS25),$AI25))))))))))))))))))))))</f>
      </c>
      <c r="BA25" s="7">
        <f>IF($B25="","",IF($BW25&lt;&gt;"",$BW25,IF($BX25&lt;&gt;"",$BX25,IF($BY25&lt;&gt;"",$BY25,0))))</f>
      </c>
      <c r="BB25" s="7">
        <f>IF($B25="","",IF($AN25="AR",-29*$AS25,IF($AN25="DE",-110*$AS25,IF($AN25="MD",$AZ25*Inputs!$C$74,IF($AN25="AZ",Inputs!$C$82*($M25-$D25)*Inputs!$C$8,IF($AN25="CO",0.044*MAX(0,$AY25-IF($AU25="Married",10000,5000)),IF($AN25="IA",MAX(0,0.038*MAX(0,$AY25-IF($AU25="Head of household",19500,IF($AU25="Married",26000,13000)))-40*$AS25),IF($AN25="ID",0.053*MAX(0,$AY25-IF($AU25="Married",32000,16094)),IF($AN25="IL",0.0495*MAX(0,$AY25-(2925*$AS25+1000*$AT25)),IF($AN25="IN",(0.0295+Inputs!$C$76)*MAX(0,$AY25-(1000*$AS25+1500*$AT25+3000*Inputs!$C$86)),IF($AN25="KY",0.035*MAX(0,$AI25-3360),IF($AN25="LA",IF(Inputs!$C$84="0",0.0309*$AI25,0.0309*MAX(0,$AI25-IF(Inputs!$C$84="2",25750,12875))),IF($AN25="MA",0.05*MIN(MAX(0,$AY25-MIN(($BD24+$Q25+$R25+$S25),2000)-IF($AS25=0,0,IF($AS25=1,4400,1000*$AS25+3400))),1107750)+0.09*MAX(0,MAX(0,$AY25-MIN(($BD24+$Q25+$R25+$S25),2000)-IF($AS25=0,0,IF($AS25=1,4400,1000*$AS25+3400)))-1107750)-IF($AU25="Head of household",120,0)-110*Inputs!$C$75,IF($AN25="MI",0.0425*MAX(0,$AY25-5900*$AS25),IF($AN25="MS",0.04*MAX(0,$AI25-IF($AU25="Head of household",3400,IF($AU25="Married",4600,2300))-Inputs!$C$85-10000),IF($AN25="OR",IF(OR($AU25="Married",AND($AU25="Single",$AS25&gt;=3)),SUMPRODUCT((MAX(0,$AY25-MIN(($P25-'Methodology &amp; Sources'!$C$260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Sources'!$B$461:$J$464,0,4))*(MAX(0,$AY25-MIN(($P25-'Methodology &amp; Sources'!$C$260*$D25)*Inputs!$C$8,IF(OR($AU25="Married",AND($AU25="Single",$AS25&gt;=3)),IF($AY25&lt;250000,8750,IF($AY25&lt;260000,7000,IF($AY25&lt;270000,5250,IF($AY25&lt;280000,3500,IF($AY25&lt;290000,1750,0))))),IF($AY25&lt;125000,8750,IF($AY25&lt;130000,7000,IF($AY25&lt;135000,5250,IF($AY25&lt;140000,3500,IF($AY25&lt;145000,1750,0)))))))-IF(OR($AU25="Married",AND($AU25="Single",$AS25&gt;=3)),5820,2910))-INDEX('Methodology &amp; Sources'!$B$461:$J$464,0,4))*INDEX('Methodology &amp; Sources'!$B$461:$J$464,0,4+2)),SUMPRODUCT((MAX(0,$AY25-MIN(($P25-'Methodology &amp; Sources'!$C$260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Sources'!$B$461:$J$464,0,1))*(MAX(0,$AY25-MIN(($P25-'Methodology &amp; Sources'!$C$260*$D25)*Inputs!$C$8,IF(OR($AU25="Married",AND($AU25="Single",$AS25&gt;=3)),IF($AY25&lt;250000,8750,IF($AY25&lt;260000,7000,IF($AY25&lt;270000,5250,IF($AY25&lt;280000,3500,IF($AY25&lt;290000,1750,0))))),IF($AY25&lt;125000,8750,IF($AY25&lt;130000,7000,IF($AY25&lt;135000,5250,IF($AY25&lt;140000,3500,IF($AY25&lt;145000,1750,0)))))))-IF(OR($AU25="Married",AND($AU25="Single",$AS25&gt;=3)),5820,2910))-INDEX('Methodology &amp; Sources'!$B$461:$J$464,0,1))*INDEX('Methodology &amp; Sources'!$B$461:$J$464,0,1+2)))+263-263*IF(IF($AU25="Married",$AY25&gt;200000,$AY25&gt;100000),0,$AS25),IF($AN25="PA",0.0307*(($O25+$E25+$G25)*Inputs!$C$8),IF($AN25="NY",IF($AU25="Married",IF($AZ25&gt;=2155350,0,IF($AZ25&gt;=1077550,0.48,IF($AZ25&gt;=373200,1.21,IF($AZ25&gt;=323200,0.21,IF($AZ25&gt;=211550,-0.19,IF($AZ25&gt;=157650,-2.8,IF($AZ25&gt;=107650,-0.8,IF($AZ25&gt;=96800,0.05,IF($AZ25&gt;=80650,-0.1,IF($AZ25&gt;=13900,0.4,IF($AZ25&gt;=11700,-0.3,IF($AZ25&gt;=8500,0.5,0)))))))))))),IF($AZ25&gt;=1077550,0,IF($AZ25&gt;=265400,4.29,IF($AZ25&gt;=215400,2.29,IF($AZ25&gt;=157650,2.29,IF($AZ25&gt;=107650,0.29,IF($AZ25&gt;=96800,0.05,IF($AZ25&gt;=80650,-0.1,IF($AZ25&gt;=13900,0.4,IF($AZ25&gt;=11700,-0.3,IF($AZ25&gt;=8500,0.5,0))))))))))),0))))))))))))))))))</f>
      </c>
      <c r="BC25" s="7">
        <f>IF($B25="","",IF($AN25="AL",0.05*$D25,IF($AN25="AR",0.039*$D25,IF($AN25="ID",0.053*$D25,IF($AN25="IN",(0.0295+Inputs!$C$76)*$D25,IF($AN25="KS",0.05*$D25,IF($AN25="MA",0.09*MIN($D25,MAX(0,MAX(0,$AY25-MIN(($BD24+$Q25+$R25+$S25),2000)-IF($AS25=0,0,IF($AS25=1,4400,1000*$AS25+3400)))+$D25-1107750))+0.05*($D25-MIN($D25,MAX(0,MAX(0,$AY25-MIN(($BD24+$Q25+$R25+$S25),2000)-IF($AS25=0,0,IF($AS25=1,4400,1000*$AS25+3400)))+$D25-1107750))),IF($AN25="MD",(0.065+Inputs!$C$74)*$D25,IF($AN25="MI",0.0425*$D25,IF($AN25="MN",0.0625*$D25,IF($AN25="MO",0.047*$D25,IF($AN25="MT",0.05*$D25,IF($AN25="ND",0.015*$D25,IF($AN25="NE",0.035*$D25,IF($AN25="NJ",IF(Inputs!$C$77="B",SUMPRODUCT(($D25*Inputs!$C$8&gt;INDEX('Methodology &amp; Sources'!$B$405:$J$412,0,4))*($D25*Inputs!$C$8-INDEX('Methodology &amp; Sources'!$B$405:$J$412,0,4))*INDEX('Methodology &amp; Sources'!$B$405:$J$412,0,4+2)),IF(Inputs!$C$77="C",SUMPRODUCT(($D25*Inputs!$C$8&gt;INDEX('Methodology &amp; Sources'!$B$405:$J$412,0,7))*($D25*Inputs!$C$8-INDEX('Methodology &amp; Sources'!$B$405:$J$412,0,7))*INDEX('Methodology &amp; Sources'!$B$405:$J$412,0,7+2)),IF(Inputs!$C$77="D",SUMPRODUCT(($D25*Inputs!$C$8&gt;INDEX('Methodology &amp; Sources'!$B$417:$J$429,0,1))*($D25*Inputs!$C$8-INDEX('Methodology &amp; Sources'!$B$417:$J$429,0,1))*INDEX('Methodology &amp; Sources'!$B$417:$J$429,0,1+2)),IF(Inputs!$C$77="E",SUMPRODUCT(($D25*Inputs!$C$8&gt;INDEX('Methodology &amp; Sources'!$B$417:$J$429,0,4))*($D25*Inputs!$C$8-INDEX('Methodology &amp; Sources'!$B$417:$J$429,0,4))*INDEX('Methodology &amp; Sources'!$B$417:$J$429,0,4+2)),SUMPRODUCT(($D25*Inputs!$C$8&gt;INDEX('Methodology &amp; Sources'!$B$405:$J$412,0,1))*($D25*Inputs!$C$8-INDEX('Methodology &amp; Sources'!$B$405:$J$412,0,1))*INDEX('Methodology &amp; Sources'!$B$405:$J$412,0,1+2))))))/Inputs!$C$8,IF($AN25="NY",0.117*$D25,IF($AN25="OH",0.0275*$D25,IF($AN25="OK",0.045*$D25,IF($AN25="OR",0.08*$D25,IF($AN25="WI",IF($AY25&lt;12760,0.0354,IF($AY25&lt;25520,0.0465,IF($AY25&lt;280950,0.053,0.0765)))*$D25,0))))))))))))))))))))</f>
      </c>
      <c r="BD25" s="7">
        <f>IF($B25="","",$BD24+$Q25+$R25+$S25)</f>
      </c>
      <c r="BE25" s="6">
        <f>IF($B25="",$BE24,$BE24+$BF25)</f>
      </c>
      <c r="BF25" s="6">
        <f>IF($B25="","",IF(AND(IF(YEAR(IF(Inputs!$C$7="Weekly",Inputs!$C$9+7*(($BE24+1)-1),IF(Inputs!$C$7="Biweekly",Inputs!$C$9+14*(($BE24+1)-1),IF(Inputs!$C$7="Semimonthly",DATE(YEAR(Inputs!$C$9),MONTH(Inputs!$C$9)+INT((($BE24+1)-1)/2),MIN(DAY(Inputs!$C$9),DAY(EOMONTH(DATE(YEAR(Inputs!$C$9),MONTH(Inputs!$C$9)+INT((($BE24+1)-1)/2),1),0))))+IF(MOD(($BE24+1)-1,2)=1,15,0),EDATE(Inputs!$C$9,($BE24+1)-1)))))&lt;&gt;2026,"",IF(Inputs!$C$7="Weekly",Inputs!$C$9+7*(($BE24+1)-1),IF(Inputs!$C$7="Biweekly",Inputs!$C$9+14*(($BE24+1)-1),IF(Inputs!$C$7="Semimonthly",DATE(YEAR(Inputs!$C$9),MONTH(Inputs!$C$9)+INT((($BE24+1)-1)/2),MIN(DAY(Inputs!$C$9),DAY(EOMONTH(DATE(YEAR(Inputs!$C$9),MONTH(Inputs!$C$9)+INT((($BE24+1)-1)/2),1),0))))+IF(MOD(($BE24+1)-1,2)=1,15,0),EDATE(Inputs!$C$9,($BE24+1)-1)))))&lt;&gt;"",$B25=IF(YEAR(IF(Inputs!$C$7="Weekly",Inputs!$C$9+7*(($BE24+1)-1),IF(Inputs!$C$7="Biweekly",Inputs!$C$9+14*(($BE24+1)-1),IF(Inputs!$C$7="Semimonthly",DATE(YEAR(Inputs!$C$9),MONTH(Inputs!$C$9)+INT((($BE24+1)-1)/2),MIN(DAY(Inputs!$C$9),DAY(EOMONTH(DATE(YEAR(Inputs!$C$9),MONTH(Inputs!$C$9)+INT((($BE24+1)-1)/2),1),0))))+IF(MOD(($BE24+1)-1,2)=1,15,0),EDATE(Inputs!$C$9,($BE24+1)-1)))))&lt;&gt;2026,"",IF(Inputs!$C$7="Weekly",Inputs!$C$9+7*(($BE24+1)-1),IF(Inputs!$C$7="Biweekly",Inputs!$C$9+14*(($BE24+1)-1),IF(Inputs!$C$7="Semimonthly",DATE(YEAR(Inputs!$C$9),MONTH(Inputs!$C$9)+INT((($BE24+1)-1)/2),MIN(DAY(Inputs!$C$9),DAY(EOMONTH(DATE(YEAR(Inputs!$C$9),MONTH(Inputs!$C$9)+INT((($BE24+1)-1)/2),1),0))))+IF(MOD(($BE24+1)-1,2)=1,15,0),EDATE(Inputs!$C$9,($BE24+1)-1)))))),1,0))</f>
      </c>
      <c r="BG25" s="7">
        <f>IF($B25="","",$BG24+$H25)</f>
      </c>
      <c r="BH25" s="7">
        <f>IF($B25="","",$BH24+$I25)</f>
      </c>
      <c r="BI25" s="7">
        <f>IF($B25="","",$BI24+$G25)</f>
      </c>
      <c r="BJ25" s="7">
        <f>IF($B25="","",IFERROR(LOOKUP(2,1/((((Events!$C$6:$C$17="Deduction start"))*(Events!$D$6:$D$17="Health FSA"))*(Events!$B$6:$B$17&lt;=$B25)*(Events!$B$6:$B$17&lt;&gt;"")),Events!$E$6:$E$17),Inputs!$D$38))</f>
      </c>
      <c r="BK25" s="7">
        <f>IF($B25="","",IFERROR(LOOKUP(2,1/((((Events!$C$6:$C$17="Deduction start"))*(Events!$D$6:$D$17="Dependent-care FSA"))*(Events!$B$6:$B$17&lt;=$B25)*(Events!$B$6:$B$17&lt;&gt;"")),Events!$E$6:$E$17),Inputs!$D$39))</f>
      </c>
      <c r="BL25" s="7">
        <f>IF($B25="","",IFERROR(LOOKUP(2,1/((((Events!$C$6:$C$17="Deduction start")+(Events!$C$6:$C$17="Deduction stop"))*(Events!$D$6:$D$17="HSA"))*(Events!$B$6:$B$17&lt;=$B25)*(Events!$B$6:$B$17&lt;&gt;"")),Events!$I$6:$I$17),Inputs!$D$35))</f>
      </c>
      <c r="BM25" s="7">
        <f>IF($B25="","",IFERROR(LOOKUP(2,1/((((Events!$C$6:$C$17="Deduction start")+(Events!$C$6:$C$17="Deduction stop"))*(Events!$D$6:$D$17="Premiums"))*(Events!$B$6:$B$17&lt;=$B25)*(Events!$B$6:$B$17&lt;&gt;"")),Events!$I$6:$I$17),Inputs!$D$40+Inputs!$D$41+Inputs!$D$42))</f>
      </c>
      <c r="BN25" s="7">
        <f>IF($B25="","",IFERROR(LOOKUP(2,1/((((Events!$C$6:$C$17="Deduction start")+(Events!$C$6:$C$17="Deduction stop"))*(Events!$D$6:$D$17="Commuter"))*(Events!$B$6:$B$17&lt;=$B25)*(Events!$B$6:$B$17&lt;&gt;"")),Events!$I$6:$I$17),Inputs!$D$43))</f>
      </c>
      <c r="BO25" s="7">
        <f>IF($B25="","",IFERROR(LOOKUP(2,1/((((Events!$C$6:$C$17="Deduction start")+(Events!$C$6:$C$17="Deduction stop"))*(Events!$D$6:$D$17="Other pre-tax"))*(Events!$B$6:$B$17&lt;=$B25)*(Events!$B$6:$B$17&lt;&gt;"")),Events!$I$6:$I$17),Inputs!$D$44))</f>
      </c>
      <c r="BP25" s="7">
        <f>IF($B25="","",IFERROR(LOOKUP(2,1/((((Events!$C$6:$C$17="Deduction start")+(Events!$C$6:$C$17="Deduction stop"))*(Events!$D$6:$D$17="Other post-tax"))*(Events!$B$6:$B$17&lt;=$B25)*(Events!$B$6:$B$17&lt;&gt;"")),Events!$I$6:$I$17),Inputs!$D$45))</f>
      </c>
      <c r="BQ25" s="6">
        <f>IF($B25="","",IFERROR(LOOKUP(2,1/((((Events!$C$6:$C$17="Deduction start")+(Events!$C$6:$C$17="Deduction stop"))*(Events!$D$6:$D$17="Health FSA"))*(Events!$B$6:$B$17&lt;=$B25)*(Events!$B$6:$B$17&lt;&gt;"")),Events!$J$6:$J$17),0))</f>
      </c>
      <c r="BR25" s="6">
        <f>IF($B25="","",IFERROR(LOOKUP(2,1/((((Events!$C$6:$C$17="Deduction start")+(Events!$C$6:$C$17="Deduction stop"))*(Events!$D$6:$D$17="Dependent-care FSA"))*(Events!$B$6:$B$17&lt;=$B25)*(Events!$B$6:$B$17&lt;&gt;"")),Events!$J$6:$J$17),0))</f>
      </c>
      <c r="BS25" s="6">
        <f>IF($B25="","",IF(SUMPRODUCT((Events!$C$6:$C$17="Deduction start")*(Events!$B$6:$B$17&lt;=$B25)*(Events!$B$6:$B$17&lt;&gt;"")*(Events!$D$6:$D$17="Health FSA"))&gt;0,1,0))</f>
      </c>
      <c r="BT25" s="6">
        <f>IF($B25="","",IF(SUMPRODUCT((Events!$C$6:$C$17="Deduction start")*(Events!$B$6:$B$17&lt;=$B25)*(Events!$B$6:$B$17&lt;&gt;"")*(Events!$D$6:$D$17="Dependent-care FSA"))&gt;0,1,0))</f>
      </c>
      <c r="BU25" s="24">
        <f>IF($B25="","",IF(Inputs!$C$13,SUMPRODUCT(($AH25&gt;=INDEX('Methodology &amp; Sources'!$B$279:$J$286,0,IF(Inputs!$C$12="MFJ",1,IF(Inputs!$C$12="HoH",7,4))))*INDEX('Methodology &amp; Sources'!$B$279:$J$286,0,IF(Inputs!$C$12="MFJ",1,IF(Inputs!$C$12="HoH",7,4))+2)),SUMPRODUCT(($AH25&gt;=INDEX('Methodology &amp; Sources'!$B$269:$J$276,0,IF(Inputs!$C$12="MFJ",1,IF(Inputs!$C$12="HoH",7,4))))*INDEX('Methodology &amp; Sources'!$B$269:$J$276,0,IF(Inputs!$C$12="MFJ",1,IF(Inputs!$C$12="HoH",7,4))+2))))</f>
      </c>
      <c r="BV25" s="24">
        <f>IF($B25="","",IF($BZ25&lt;&gt;"",$BZ25,IF($CA25&lt;&gt;"",$CA25,IF($CB25&lt;&gt;"",$CB25,IF($CC25&lt;&gt;"",$CC25,0)))))</f>
      </c>
      <c r="BW25" s="7">
        <f>IF($B25="","",IF($AN25="MD",IF(OR($AU25="Married",$AU25="Head of household"),SUMPRODUCT(($AZ25&gt;INDEX('Methodology &amp; Sources'!$B$364:$J$370,0,1))*($AZ25-INDEX('Methodology &amp; Sources'!$B$364:$J$370,0,1))*INDEX('Methodology &amp; Sources'!$B$364:$J$370,0,1+2)),SUMPRODUCT(($AZ25&gt;INDEX('Methodology &amp; Sources'!$B$353:$J$359,0,7))*($AZ25-INDEX('Methodology &amp; Sources'!$B$353:$J$359,0,7))*INDEX('Methodology &amp; Sources'!$B$353:$J$359,0,7+2))),IF($AN25="MO",SUMPRODUCT(($AZ25&gt;INDEX('Methodology &amp; Sources'!$B$375:$J$382,0,1))*($AZ25-INDEX('Methodology &amp; Sources'!$B$375:$J$382,0,1))*INDEX('Methodology &amp; Sources'!$B$375:$J$382,0,1+2)),IF($AN25="MT",IF($AU25="Head of household",SUMPRODUCT(($AZ25&gt;INDEX('Methodology &amp; Sources'!$B$387:$J$389,0,1))*($AZ25-INDEX('Methodology &amp; Sources'!$B$387:$J$389,0,1))*INDEX('Methodology &amp; Sources'!$B$387:$J$389,0,1+2)),IF($AU25="Married",SUMPRODUCT(($AZ25&gt;INDEX('Methodology &amp; Sources'!$B$375:$J$382,0,7))*($AZ25-INDEX('Methodology &amp; Sources'!$B$375:$J$382,0,7))*INDEX('Methodology &amp; Sources'!$B$375:$J$382,0,7+2)),SUMPRODUCT(($AZ25&gt;INDEX('Methodology &amp; Sources'!$B$375:$J$382,0,4))*($AZ25-INDEX('Methodology &amp; Sources'!$B$375:$J$382,0,4))*INDEX('Methodology &amp; Sources'!$B$375:$J$382,0,4+2)))),IF($AN25="ND",IF($AU25="Head of household",SUMPRODUCT(($AZ25&gt;INDEX('Methodology &amp; Sources'!$B$394:$J$400,0,1))*($AZ25-INDEX('Methodology &amp; Sources'!$B$394:$J$400,0,1))*INDEX('Methodology &amp; Sources'!$B$394:$J$400,0,1+2)),IF($AU25="Married",SUMPRODUCT(($AZ25&gt;INDEX('Methodology &amp; Sources'!$B$387:$J$389,0,7))*($AZ25-INDEX('Methodology &amp; Sources'!$B$387:$J$389,0,7))*INDEX('Methodology &amp; Sources'!$B$387:$J$389,0,7+2)),SUMPRODUCT(($AZ25&gt;INDEX('Methodology &amp; Sources'!$B$387:$J$389,0,4))*($AZ25-INDEX('Methodology &amp; Sources'!$B$387:$J$389,0,4))*INDEX('Methodology &amp; Sources'!$B$387:$J$389,0,4+2)))),IF($AN25="NJ",IF(Inputs!$C$77="B",SUMPRODUCT(($AZ25&gt;INDEX('Methodology &amp; Sources'!$B$405:$J$412,0,4))*($AZ25-INDEX('Methodology &amp; Sources'!$B$405:$J$412,0,4))*INDEX('Methodology &amp; Sources'!$B$405:$J$412,0,4+2)),IF(Inputs!$C$77="C",SUMPRODUCT(($AZ25&gt;INDEX('Methodology &amp; Sources'!$B$405:$J$412,0,7))*($AZ25-INDEX('Methodology &amp; Sources'!$B$405:$J$412,0,7))*INDEX('Methodology &amp; Sources'!$B$405:$J$412,0,7+2)),IF(Inputs!$C$77="D",SUMPRODUCT(($AZ25&gt;INDEX('Methodology &amp; Sources'!$B$417:$J$429,0,1))*($AZ25-INDEX('Methodology &amp; Sources'!$B$417:$J$429,0,1))*INDEX('Methodology &amp; Sources'!$B$417:$J$429,0,1+2)),IF(Inputs!$C$77="E",SUMPRODUCT(($AZ25&gt;INDEX('Methodology &amp; Sources'!$B$417:$J$429,0,4))*($AZ25-INDEX('Methodology &amp; Sources'!$B$417:$J$429,0,4))*INDEX('Methodology &amp; Sources'!$B$417:$J$429,0,4+2)),SUMPRODUCT(($AZ25&gt;INDEX('Methodology &amp; Sources'!$B$405:$J$412,0,1))*($AZ25-INDEX('Methodology &amp; Sources'!$B$405:$J$412,0,1))*INDEX('Methodology &amp; Sources'!$B$405:$J$412,0,1+2)))))),IF($AN25="NY",IF($AU25="Married",IF($AZ25&gt;=2155350,$AZ25*IF($AZ25&gt;25000000,0.117,IF($AZ25&gt;5000000,0.111,0.1045)),SUMPRODUCT(($AZ25&gt;INDEX('Methodology &amp; Sources'!$B$434:$J$448,0,1))*($AZ25-INDEX('Methodology &amp; Sources'!$B$434:$J$448,0,1))*INDEX('Methodology &amp; Sources'!$B$434:$J$448,0,1+2))),IF($AZ25&gt;=1077550,$AZ25*IF($AZ25&gt;25000000,0.117,IF($AZ25&gt;5000000,0.111,0.1045)),SUMPRODUCT(($AZ25&gt;INDEX('Methodology &amp; Sources'!$B$417:$J$429,0,7))*($AZ25-INDEX('Methodology &amp; Sources'!$B$417:$J$429,0,7))*INDEX('Methodology &amp; Sources'!$B$417:$J$429,0,7+2)))),"")))))))</f>
      </c>
      <c r="BX25" s="7">
        <f>IF($B25="","",IF($AN25="AL",IF(OR($AU25="Married",$AU25="Head of household"),SUMPRODUCT(($AZ25&gt;INDEX('Methodology &amp; Sources'!$B$332:$J$336,0,4))*($AZ25-INDEX('Methodology &amp; Sources'!$B$332:$J$336,0,4))*INDEX('Methodology &amp; Sources'!$B$332:$J$336,0,4+2)),SUMPRODUCT(($AZ25&gt;INDEX('Methodology &amp; Sources'!$B$332:$J$336,0,1))*($AZ25-INDEX('Methodology &amp; Sources'!$B$332:$J$336,0,1))*INDEX('Methodology &amp; Sources'!$B$332:$J$336,0,1+2))),IF($AN25="KS",IF($AU25="Married",SUMPRODUCT(($AZ25&gt;INDEX('Methodology &amp; Sources'!$B$353:$J$359,0,4))*($AZ25-INDEX('Methodology &amp; Sources'!$B$353:$J$359,0,4))*INDEX('Methodology &amp; Sources'!$B$353:$J$359,0,4+2)),SUMPRODUCT(($AZ25&gt;INDEX('Methodology &amp; Sources'!$B$353:$J$359,0,1))*($AZ25-INDEX('Methodology &amp; Sources'!$B$353:$J$359,0,1))*INDEX('Methodology &amp; Sources'!$B$353:$J$359,0,1+2))),IF($AN25="MN",IF($AU25="Married",SUMPRODUCT(($AZ25&gt;INDEX('Methodology &amp; Sources'!$B$364:$J$370,0,7))*($AZ25-INDEX('Methodology &amp; Sources'!$B$364:$J$370,0,7))*INDEX('Methodology &amp; Sources'!$B$364:$J$370,0,7+2)),SUMPRODUCT(($AZ25&gt;INDEX('Methodology &amp; Sources'!$B$364:$J$370,0,4))*($AZ25-INDEX('Methodology &amp; Sources'!$B$364:$J$370,0,4))*INDEX('Methodology &amp; Sources'!$B$364:$J$370,0,4+2))),IF($AN25="NE",MAX(IF($AU25="Married",SUMPRODUCT(($AZ25&gt;INDEX('Methodology &amp; Sources'!$B$394:$J$400,0,7))*($AZ25-INDEX('Methodology &amp; Sources'!$B$394:$J$400,0,7))*INDEX('Methodology &amp; Sources'!$B$394:$J$400,0,7+2)),SUMPRODUCT(($AZ25&gt;INDEX('Methodology &amp; Sources'!$B$394:$J$400,0,4))*($AZ25-INDEX('Methodology &amp; Sources'!$B$394:$J$400,0,4))*INDEX('Methodology &amp; Sources'!$B$394:$J$400,0,4+2))),0.015*$AZ25),IF($AN25="OH",IF($B25&gt;=DATE(2026,8,1),SUMPRODUCT(($AZ25&gt;INDEX('Methodology &amp; Sources'!$B$453:$J$456,0,1))*($AZ25-INDEX('Methodology &amp; Sources'!$B$453:$J$456,0,1))*INDEX('Methodology &amp; Sources'!$B$453:$J$456,0,1+2)),SUMPRODUCT(($AZ25&gt;INDEX('Methodology &amp; Sources'!$B$434:$J$448,0,7))*($AZ25-INDEX('Methodology &amp; Sources'!$B$434:$J$448,0,7))*INDEX('Methodology &amp; Sources'!$B$434:$J$448,0,7+2))),IF($AN25="OK",IF($AU25="Married",SUMPRODUCT(($AZ25&gt;INDEX('Methodology &amp; Sources'!$B$453:$J$456,0,7))*($AZ25-INDEX('Methodology &amp; Sources'!$B$453:$J$456,0,7))*INDEX('Methodology &amp; Sources'!$B$453:$J$456,0,7+2)),SUMPRODUCT(($AZ25&gt;INDEX('Methodology &amp; Sources'!$B$453:$J$456,0,4))*($AZ25-INDEX('Methodology &amp; Sources'!$B$453:$J$456,0,4))*INDEX('Methodology &amp; Sources'!$B$453:$J$456,0,4+2))),IF($AN25="RI",SUMPRODUCT(($AZ25&gt;INDEX('Methodology &amp; Sources'!$B$461:$J$464,0,7))*($AZ25-INDEX('Methodology &amp; Sources'!$B$461:$J$464,0,7))*INDEX('Methodology &amp; Sources'!$B$461:$J$464,0,7+2)),IF($AN25="VT",IF($AU25="Married",SUMPRODUCT(($AZ25&gt;INDEX('Methodology &amp; Sources'!$B$478:$J$482,0,1))*($AZ25-INDEX('Methodology &amp; Sources'!$B$478:$J$482,0,1))*INDEX('Methodology &amp; Sources'!$B$478:$J$482,0,1+2)),SUMPRODUCT(($AZ25&gt;INDEX('Methodology &amp; Sources'!$B$469:$J$473,0,7))*($AZ25-INDEX('Methodology &amp; Sources'!$B$469:$J$473,0,7))*INDEX('Methodology &amp; Sources'!$B$469:$J$473,0,7+2))),IF($AN25="WV",IF($AU25="Married",SUMPRODUCT(($AZ25&gt;INDEX('Methodology &amp; Sources'!$B$487:$J$491,0,7))*($AZ25-INDEX('Methodology &amp; Sources'!$B$487:$J$491,0,7))*INDEX('Methodology &amp; Sources'!$B$487:$J$491,0,7+2)),SUMPRODUCT(($AZ25&gt;INDEX('Methodology &amp; Sources'!$B$478:$J$482,0,7))*($AZ25-INDEX('Methodology &amp; Sources'!$B$478:$J$482,0,7))*INDEX('Methodology &amp; Sources'!$B$478:$J$482,0,7+2))),""))))))))))</f>
      </c>
      <c r="BY25" s="7">
        <f>IF($B25="","",IF($AN25="AR",SUMPRODUCT(($AZ25&gt;INDEX('Methodology &amp; Sources'!$B$332:$J$336,0,7))*($AZ25-INDEX('Methodology &amp; Sources'!$B$332:$J$336,0,7))*INDEX('Methodology &amp; Sources'!$B$332:$J$336,0,7+2)),IF($AN25="DE",SUMPRODUCT(($AZ25&gt;INDEX('Methodology &amp; Sources'!$B$341:$J$348,0,1))*($AZ25-INDEX('Methodology &amp; Sources'!$B$341:$J$348,0,1))*INDEX('Methodology &amp; Sources'!$B$341:$J$348,0,1+2)),IF($AN25="HI",IF($AU25="Married",SUMPRODUCT(($AZ25&gt;INDEX('Methodology &amp; Sources'!$B$341:$J$348,0,7))*($AZ25-INDEX('Methodology &amp; Sources'!$B$341:$J$348,0,7))*INDEX('Methodology &amp; Sources'!$B$341:$J$348,0,7+2)),SUMPRODUCT(($AZ25&gt;INDEX('Methodology &amp; Sources'!$B$341:$J$348,0,4))*($AZ25-INDEX('Methodology &amp; Sources'!$B$341:$J$348,0,4))*INDEX('Methodology &amp; Sources'!$B$341:$J$348,0,4+2))),IF($AN25="SC",SUMPRODUCT(($AZ25&gt;INDEX('Methodology &amp; Sources'!$B$469:$J$473,0,1))*($AZ25-INDEX('Methodology &amp; Sources'!$B$469:$J$473,0,1))*INDEX('Methodology &amp; Sources'!$B$469:$J$473,0,1+2)),IF($AN25="VA",SUMPRODUCT(($AZ25&gt;INDEX('Methodology &amp; Sources'!$B$469:$J$473,0,4))*($AZ25-INDEX('Methodology &amp; Sources'!$B$469:$J$473,0,4))*INDEX('Methodology &amp; Sources'!$B$469:$J$473,0,4+2)),IF($AN25="WI",SUMPRODUCT(($AZ25&gt;INDEX('Methodology &amp; Sources'!$B$478:$J$482,0,4))*($AZ25-INDEX('Methodology &amp; Sources'!$B$478:$J$482,0,4))*INDEX('Methodology &amp; Sources'!$B$478:$J$482,0,4+2)),"")))))))</f>
      </c>
      <c r="BZ25" s="24">
        <f>IF($B25="","",IF($AN25="NJ",IF(Inputs!$C$77="B",SUMPRODUCT(($AZ25&gt;=INDEX('Methodology &amp; Sources'!$B$405:$J$412,0,4))*INDEX('Methodology &amp; Sources'!$B$405:$J$412,0,4+2)),IF(Inputs!$C$77="C",SUMPRODUCT(($AZ25&gt;=INDEX('Methodology &amp; Sources'!$B$405:$J$412,0,7))*INDEX('Methodology &amp; Sources'!$B$405:$J$412,0,7+2)),IF(Inputs!$C$77="D",SUMPRODUCT(($AZ25&gt;=INDEX('Methodology &amp; Sources'!$B$417:$J$429,0,1))*INDEX('Methodology &amp; Sources'!$B$417:$J$429,0,1+2)),IF(Inputs!$C$77="E",SUMPRODUCT(($AZ25&gt;=INDEX('Methodology &amp; Sources'!$B$417:$J$429,0,4))*INDEX('Methodology &amp; Sources'!$B$417:$J$429,0,4+2)),SUMPRODUCT(($AZ25&gt;=INDEX('Methodology &amp; Sources'!$B$405:$J$412,0,1))*INDEX('Methodology &amp; Sources'!$B$405:$J$412,0,1+2)))))),IF($AN25="OR",IF(OR($AU25="Married",AND($AU25="Single",$AS25&gt;=3)),SUMPRODUCT((MAX(0,$AY25-MIN(($P25-'Methodology &amp; Sources'!$C$260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Sources'!$B$461:$J$464,0,4))*INDEX('Methodology &amp; Sources'!$B$461:$J$464,0,4+2)),SUMPRODUCT((MAX(0,$AY25-MIN(($P25-'Methodology &amp; Sources'!$C$260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Sources'!$B$461:$J$464,0,1))*INDEX('Methodology &amp; Sources'!$B$461:$J$464,0,1+2)))*IF(($P25-'Methodology &amp; Sources'!$C$260*$D25)*Inputs!$C$8&gt;=IF(OR($AU25="Married",AND($AU25="Single",$AS25&gt;=3)),IF($AY25&lt;250000,8750,IF($AY25&lt;260000,7000,IF($AY25&lt;270000,5250,IF($AY25&lt;280000,3500,IF($AY25&lt;290000,1750,0))))),IF($AY25&lt;125000,8750,IF($AY25&lt;130000,7000,IF($AY25&lt;135000,5250,IF($AY25&lt;140000,3500,IF($AY25&lt;145000,1750,0)))))),1,1-IF(Inputs!$C$13,SUMPRODUCT(($AH25&gt;=INDEX('Methodology &amp; Sources'!$B$279:$J$286,0,IF(Inputs!$C$12="MFJ",1,IF(Inputs!$C$12="HoH",7,4))))*INDEX('Methodology &amp; Sources'!$B$279:$J$286,0,IF(Inputs!$C$12="MFJ",1,IF(Inputs!$C$12="HoH",7,4))+2)),SUMPRODUCT(($AH25&gt;=INDEX('Methodology &amp; Sources'!$B$269:$J$276,0,IF(Inputs!$C$12="MFJ",1,IF(Inputs!$C$12="HoH",7,4))))*INDEX('Methodology &amp; Sources'!$B$269:$J$276,0,IF(Inputs!$C$12="MFJ",1,IF(Inputs!$C$12="HoH",7,4))+2)))),IF($AN25="MI",IF($AY25&gt;5900*$AS25,0.0425,0),""))))</f>
      </c>
      <c r="CA25" s="24">
        <f>IF($B25="","",IF($AN25="AL",IF(OR($AU25="Married",$AU25="Head of household"),SUMPRODUCT(($AZ25&gt;=INDEX('Methodology &amp; Sources'!$B$332:$J$336,0,4))*INDEX('Methodology &amp; Sources'!$B$332:$J$336,0,4+2)),SUMPRODUCT(($AZ25&gt;=INDEX('Methodology &amp; Sources'!$B$332:$J$336,0,1))*INDEX('Methodology &amp; Sources'!$B$332:$J$336,0,1+2)))*(1-IF(Inputs!$C$13,SUMPRODUCT(($AH25&gt;=INDEX('Methodology &amp; Sources'!$B$279:$J$286,0,IF(Inputs!$C$12="MFJ",1,IF(Inputs!$C$12="HoH",7,4))))*INDEX('Methodology &amp; Sources'!$B$279:$J$286,0,IF(Inputs!$C$12="MFJ",1,IF(Inputs!$C$12="HoH",7,4))+2)),SUMPRODUCT(($AH25&gt;=INDEX('Methodology &amp; Sources'!$B$269:$J$276,0,IF(Inputs!$C$12="MFJ",1,IF(Inputs!$C$12="HoH",7,4))))*INDEX('Methodology &amp; Sources'!$B$269:$J$276,0,IF(Inputs!$C$12="MFJ",1,IF(Inputs!$C$12="HoH",7,4))+2)))),IF($AN25="KS",IF($AU25="Married",SUMPRODUCT(($AZ25&gt;=INDEX('Methodology &amp; Sources'!$B$353:$J$359,0,4))*INDEX('Methodology &amp; Sources'!$B$353:$J$359,0,4+2)),SUMPRODUCT(($AZ25&gt;=INDEX('Methodology &amp; Sources'!$B$353:$J$359,0,1))*INDEX('Methodology &amp; Sources'!$B$353:$J$359,0,1+2))),IF($AN25="MD",IF(OR($AU25="Married",$AU25="Head of household"),SUMPRODUCT(($AZ25&gt;=INDEX('Methodology &amp; Sources'!$B$364:$J$370,0,1))*INDEX('Methodology &amp; Sources'!$B$364:$J$370,0,1+2)),SUMPRODUCT(($AZ25&gt;=INDEX('Methodology &amp; Sources'!$B$353:$J$359,0,7))*INDEX('Methodology &amp; Sources'!$B$353:$J$359,0,7+2)))+Inputs!$C$74,IF($AN25="MT",IF($AU25="Head of household",SUMPRODUCT(($AZ25&gt;=INDEX('Methodology &amp; Sources'!$B$387:$J$389,0,1))*INDEX('Methodology &amp; Sources'!$B$387:$J$389,0,1+2)),IF($AU25="Married",SUMPRODUCT(($AZ25&gt;=INDEX('Methodology &amp; Sources'!$B$375:$J$382,0,7))*INDEX('Methodology &amp; Sources'!$B$375:$J$382,0,7+2)),SUMPRODUCT(($AZ25&gt;=INDEX('Methodology &amp; Sources'!$B$375:$J$382,0,4))*INDEX('Methodology &amp; Sources'!$B$375:$J$382,0,4+2)))),IF($AN25="ND",IF($AU25="Head of household",SUMPRODUCT(($AZ25&gt;=INDEX('Methodology &amp; Sources'!$B$394:$J$400,0,1))*INDEX('Methodology &amp; Sources'!$B$394:$J$400,0,1+2)),IF($AU25="Married",SUMPRODUCT(($AZ25&gt;=INDEX('Methodology &amp; Sources'!$B$387:$J$389,0,7))*INDEX('Methodology &amp; Sources'!$B$387:$J$389,0,7+2)),SUMPRODUCT(($AZ25&gt;=INDEX('Methodology &amp; Sources'!$B$387:$J$389,0,4))*INDEX('Methodology &amp; Sources'!$B$387:$J$389,0,4+2)))),IF($AN25="NY",IF($AU25="Married",IF($AZ25&gt;=2155350,IF($AZ25&gt;25000000,0.117,IF($AZ25&gt;5000000,0.111,0.1045)),SUMPRODUCT(($AZ25&gt;=INDEX('Methodology &amp; Sources'!$B$434:$J$448,0,1))*INDEX('Methodology &amp; Sources'!$B$434:$J$448,0,1+2))),IF($AZ25&gt;=1077550,IF($AZ25&gt;25000000,0.117,IF($AZ25&gt;5000000,0.111,0.1045)),SUMPRODUCT(($AZ25&gt;=INDEX('Methodology &amp; Sources'!$B$417:$J$429,0,7))*INDEX('Methodology &amp; Sources'!$B$417:$J$429,0,7+2)))),"")))))))</f>
      </c>
      <c r="CB25" s="24">
        <f>IF($B25="","",IF($AN25="CA",SUMPRODUCT(($AJ25&gt;=INDEX('Methodology &amp; Sources'!$B$289:$J$298,0,IF($AU25="Married",4,IF($AU25="Head of household",7,1))))*INDEX('Methodology &amp; Sources'!$B$289:$J$298,0,IF($AU25="Married",4,IF($AU25="Head of household",7,1))+2)),IF($AN25="HI",IF($AU25="Married",SUMPRODUCT(($AZ25&gt;=INDEX('Methodology &amp; Sources'!$B$341:$J$348,0,7))*INDEX('Methodology &amp; Sources'!$B$341:$J$348,0,7+2)),SUMPRODUCT(($AZ25&gt;=INDEX('Methodology &amp; Sources'!$B$341:$J$348,0,4))*INDEX('Methodology &amp; Sources'!$B$341:$J$348,0,4+2))),IF($AN25="MN",IF($AU25="Married",SUMPRODUCT(($AZ25&gt;=INDEX('Methodology &amp; Sources'!$B$364:$J$370,0,7))*INDEX('Methodology &amp; Sources'!$B$364:$J$370,0,7+2)),SUMPRODUCT(($AZ25&gt;=INDEX('Methodology &amp; Sources'!$B$364:$J$370,0,4))*INDEX('Methodology &amp; Sources'!$B$364:$J$370,0,4+2))),IF($AN25="MO",SUMPRODUCT(($AZ25&gt;=INDEX('Methodology &amp; Sources'!$B$375:$J$382,0,1))*INDEX('Methodology &amp; Sources'!$B$375:$J$382,0,1+2)),IF($AN25="NE",MAX(IF($AU25="Married",SUMPRODUCT(($AZ25&gt;=INDEX('Methodology &amp; Sources'!$B$394:$J$400,0,7))*INDEX('Methodology &amp; Sources'!$B$394:$J$400,0,7+2)),SUMPRODUCT(($AZ25&gt;=INDEX('Methodology &amp; Sources'!$B$394:$J$400,0,4))*INDEX('Methodology &amp; Sources'!$B$394:$J$400,0,4+2))),0.015),IF($AN25="OH",IF($B25&gt;=DATE(2026,8,1),SUMPRODUCT(($AZ25&gt;=INDEX('Methodology &amp; Sources'!$B$453:$J$456,0,1))*INDEX('Methodology &amp; Sources'!$B$453:$J$456,0,1+2)),SUMPRODUCT(($AZ25&gt;=INDEX('Methodology &amp; Sources'!$B$434:$J$448,0,7))*INDEX('Methodology &amp; Sources'!$B$434:$J$448,0,7+2))),IF($AN25="OK",IF($AU25="Married",SUMPRODUCT(($AZ25&gt;=INDEX('Methodology &amp; Sources'!$B$453:$J$456,0,7))*INDEX('Methodology &amp; Sources'!$B$453:$J$456,0,7+2)),SUMPRODUCT(($AZ25&gt;=INDEX('Methodology &amp; Sources'!$B$453:$J$456,0,4))*INDEX('Methodology &amp; Sources'!$B$453:$J$456,0,4+2))),IF($AN25="RI",SUMPRODUCT(($AZ25&gt;=INDEX('Methodology &amp; Sources'!$B$461:$J$464,0,7))*INDEX('Methodology &amp; Sources'!$B$461:$J$464,0,7+2)),IF($AN25="SC",SUMPRODUCT(($AZ25&gt;=INDEX('Methodology &amp; Sources'!$B$469:$J$473,0,1))*INDEX('Methodology &amp; Sources'!$B$469:$J$473,0,1+2)),IF($AN25="VT",IF($AU25="Married",SUMPRODUCT(($AZ25&gt;=INDEX('Methodology &amp; Sources'!$B$478:$J$482,0,1))*INDEX('Methodology &amp; Sources'!$B$478:$J$482,0,1+2)),SUMPRODUCT(($AZ25&gt;=INDEX('Methodology &amp; Sources'!$B$469:$J$473,0,7))*INDEX('Methodology &amp; Sources'!$B$469:$J$473,0,7+2))),IF($AN25="WV",IF($AU25="Married",SUMPRODUCT(($AZ25&gt;=INDEX('Methodology &amp; Sources'!$B$487:$J$491,0,7))*INDEX('Methodology &amp; Sources'!$B$487:$J$491,0,7+2)),SUMPRODUCT(($AZ25&gt;=INDEX('Methodology &amp; Sources'!$B$478:$J$482,0,7))*INDEX('Methodology &amp; Sources'!$B$478:$J$482,0,7+2))),IF($AN25="IN",(0.0295+Inputs!$C$76),"")))))))))))))</f>
      </c>
      <c r="CC25" s="24">
        <f>IF($B25="","",IF($AN25="AR",SUMPRODUCT(($AZ25&gt;=INDEX('Methodology &amp; Sources'!$B$332:$J$336,0,7))*INDEX('Methodology &amp; Sources'!$B$332:$J$336,0,7+2)),IF($AN25="DE",SUMPRODUCT(($AZ25&gt;=INDEX('Methodology &amp; Sources'!$B$341:$J$348,0,1))*INDEX('Methodology &amp; Sources'!$B$341:$J$348,0,1+2)),IF($AN25="VA",SUMPRODUCT(($AZ25&gt;=INDEX('Methodology &amp; Sources'!$B$469:$J$473,0,4))*INDEX('Methodology &amp; Sources'!$B$469:$J$473,0,4+2)),IF($AN25="WI",SUMPRODUCT(($AZ25&gt;=INDEX('Methodology &amp; Sources'!$B$478:$J$482,0,4))*INDEX('Methodology &amp; Sources'!$B$478:$J$482,0,4+2)),IF($AN25="AZ",Inputs!$C$82,IF($AN25="CO",IF($AY25&gt;IF($AU25="Married",10000,5000),0.044,0),IF($AN25="IA",IF($AY25&gt;IF($AU25="Head of household",19500,IF($AU25="Married",26000,13000)),0.038,0),IF($AN25="ID",IF($AY25&gt;IF($AU25="Married",32000,16094),0.053,0),IF($AN25="IL",IF($AY25&gt;(2925*$AS25+1000*$AT25),0.0495,0),IF($AN25="KY",IF($AI25&gt;3360,0.035,0),IF($AN25="LA",0.0309,IF($AN25="MA",IF(MAX(0,$AY25-MIN(($BD24+$Q25+$R25+$S25),2000)-IF($AS25=0,0,IF($AS25=1,4400,1000*$AS25+3400)))&gt;=1107750,0.09,0.05),IF($AN25="MS",IF($AI25-IF($AU25="Head of household",3400,IF($AU25="Married",4600,2300))-Inputs!$C$85&gt;10000,0.04,0),IF($AN25="PA",0.0307,"")))))))))))))))</f>
      </c>
      <c r="CD25" s="21">
        <f>IF(YEAR(IF(Inputs!$C$7="Weekly",Inputs!$C$9+7*(($BE24+1)-1),IF(Inputs!$C$7="Biweekly",Inputs!$C$9+14*(($BE24+1)-1),IF(Inputs!$C$7="Semimonthly",DATE(YEAR(Inputs!$C$9),MONTH(Inputs!$C$9)+INT((($BE24+1)-1)/2),MIN(DAY(Inputs!$C$9),DAY(EOMONTH(DATE(YEAR(Inputs!$C$9),MONTH(Inputs!$C$9)+INT((($BE24+1)-1)/2),1),0))))+IF(MOD(($BE24+1)-1,2)=1,15,0),EDATE(Inputs!$C$9,($BE24+1)-1)))))&lt;&gt;2026,"",IF(Inputs!$C$7="Weekly",Inputs!$C$9+7*(($BE24+1)-1),IF(Inputs!$C$7="Biweekly",Inputs!$C$9+14*(($BE24+1)-1),IF(Inputs!$C$7="Semimonthly",DATE(YEAR(Inputs!$C$9),MONTH(Inputs!$C$9)+INT((($BE24+1)-1)/2),MIN(DAY(Inputs!$C$9),DAY(EOMONTH(DATE(YEAR(Inputs!$C$9),MONTH(Inputs!$C$9)+INT((($BE24+1)-1)/2),1),0))))+IF(MOD(($BE24+1)-1,2)=1,15,0),EDATE(Inputs!$C$9,($BE24+1)-1)))))</f>
      </c>
      <c r="CE25" s="21">
        <f>IF(SUMPRODUCT(MIN(IF((Inputs!$C$58:$C$67&gt;MAX($B$6:$B24))*(Inputs!$C$58:$C$67&gt;=DATE(2026,1,1))*(Inputs!$C$58:$C$67&lt;=DATE(2026,12,31)),Inputs!$C$58:$C$67,999999)))=999999,"",SUMPRODUCT(MIN(IF((Inputs!$C$58:$C$67&gt;MAX($B$6:$B24))*(Inputs!$C$58:$C$67&gt;=DATE(2026,1,1))*(Inputs!$C$58:$C$67&lt;=DATE(2026,12,31)),Inputs!$C$58:$C$67,999999))))</f>
      </c>
    </row>
    <row r="26">
      <c r="A26" t="n">
        <v>21</v>
      </c>
      <c r="B26" s="21">
        <f>IF(AND($CD26="",$CE26=""),"",IF($CE26="",$CD26,IF($CD26="",$CE26,MIN($CD26,$CE26))))</f>
      </c>
      <c r="C26" s="7">
        <f>IF($B26="","",IF($BF26=0,0,IF(Inputs!$C$4="Annual salary",ROUND($AK26/IF(AND(Inputs!$C$88="Actual paydays",MONTH(Inputs!$C$9)=1),MAX(1,MAX($BE$6:$BE$68)),Inputs!$C$8),2),$AK26)))</f>
      </c>
      <c r="D26" s="7">
        <f>IF($B26="","",SUMIF(Inputs!$C$58:$C$67,$B26,Inputs!$D$58:$D$67))</f>
      </c>
      <c r="E26" s="7">
        <f>IF($B26="","",ROUND(MAX(0,MIN(IF($AL26="Percent",$AM26*($C26+$D26),$AM26),MAX(0,Inputs!$C$91-$AC25))),2))</f>
      </c>
      <c r="F26" s="7">
        <f>IF($B26="","",ROUND(MAX(0,MIN(IF(Inputs!$C$32="Percent",Inputs!$D$32*($C26+$D26),Inputs!$D$32),MAX(0,Inputs!$C$91-$AC25-$E26))),2))</f>
      </c>
      <c r="G26" s="7">
        <f>IF($B26="","",IF($BF26=0,0,ROUND(MAX(0,MIN($BL26,Inputs!$C$92-Inputs!$C$54-$BI25)),2)))</f>
      </c>
      <c r="H26" s="7">
        <f>IF($B26="","",IF(OR($BF26=0,$BQ26=1),0,ROUND(MAX(0,MIN(IF($BS26=1,ROUND(MAX(0,MIN($BJ26,'Methodology &amp; Sources'!$C$263)-$BG25)/MAX(1,MAX($BE$6:$BE$68)-($BE25)),2),ROUND(MIN($BJ26,'Methodology &amp; Sources'!$C$263)/Inputs!$C$8,2)),MIN($BJ26,'Methodology &amp; Sources'!$C$263)-$BG25)),2)))</f>
      </c>
      <c r="I26" s="7">
        <f>IF($B26="","",IF(OR($BF26=0,$BR26=1),0,ROUND(MAX(0,MIN(IF($BT26=1,ROUND(MAX(0,MIN($BK26,IF(Inputs!$C$12="MFJ",'Methodology &amp; Sources'!$C$264,'Methodology &amp; Sources'!$C$265))-$BH25)/MAX(1,MAX($BE$6:$BE$68)-($BE25)),2),ROUND(MIN($BK26,IF(Inputs!$C$12="MFJ",'Methodology &amp; Sources'!$C$264,'Methodology &amp; Sources'!$C$265))/Inputs!$C$8,2)),MIN($BK26,IF(Inputs!$C$12="MFJ",'Methodology &amp; Sources'!$C$264,'Methodology &amp; Sources'!$C$265))-$BH25)),2)))</f>
      </c>
      <c r="J26" s="7">
        <f>IF($B26="","",IF($BF26=0,0,$BM26))</f>
      </c>
      <c r="K26" s="7">
        <f>IF($B26="","",IF($BF26=0,0,$BN26+$BO26))</f>
      </c>
      <c r="L26" s="7">
        <f>IF($B26="","",IF($BF26=0,0,Inputs!$D$46))</f>
      </c>
      <c r="M26" s="7">
        <f>IF($B26="","",$C26+$D26+$L26-$E26-$G26-$H26-$I26-$J26-$K26)</f>
      </c>
      <c r="N26" s="7">
        <f>IF($B26="","",$C26+$D26+$L26-$G26-$H26-$I26-$J26-$K26)</f>
      </c>
      <c r="O26" s="7">
        <f>IF($B26="","",$C26+$D26+$L26-$E26-$H26-$I26-$J26-$K26-IF(OR($AN26="CA",$AN26="NJ"),0,$G26))</f>
      </c>
      <c r="P26" s="7">
        <f>IF($B26="","",IF(Inputs!$C$18,0,ROUND(MAX(0,IF(Inputs!$C$13,SUMPRODUCT(($AH26&gt;INDEX('Methodology &amp; Sources'!$B$279:$J$286,0,IF(Inputs!$C$12="MFJ",1,IF(Inputs!$C$12="HoH",7,4))))*($AH26-INDEX('Methodology &amp; Sources'!$B$279:$J$286,0,IF(Inputs!$C$12="MFJ",1,IF(Inputs!$C$12="HoH",7,4))))*INDEX('Methodology &amp; Sources'!$B$279:$J$286,0,IF(Inputs!$C$12="MFJ",1,IF(Inputs!$C$12="HoH",7,4))+2)),SUMPRODUCT(($AH26&gt;INDEX('Methodology &amp; Sources'!$B$269:$J$276,0,IF(Inputs!$C$12="MFJ",1,IF(Inputs!$C$12="HoH",7,4))))*($AH26-INDEX('Methodology &amp; Sources'!$B$269:$J$276,0,IF(Inputs!$C$12="MFJ",1,IF(Inputs!$C$12="HoH",7,4))))*INDEX('Methodology &amp; Sources'!$B$269:$J$276,0,IF(Inputs!$C$12="MFJ",1,IF(Inputs!$C$12="HoH",7,4))+2)))/Inputs!$C$8-$AO26/Inputs!$C$8)+$AR26+IF(Inputs!$C$89="Aggregate",MAX(0,IF(Inputs!$C$13,SUMPRODUCT((($AH26+$D26)&gt;INDEX('Methodology &amp; Sources'!$B$279:$J$286,0,IF(Inputs!$C$12="MFJ",1,IF(Inputs!$C$12="HoH",7,4))))*(($AH26+$D26)-INDEX('Methodology &amp; Sources'!$B$279:$J$286,0,IF(Inputs!$C$12="MFJ",1,IF(Inputs!$C$12="HoH",7,4))))*INDEX('Methodology &amp; Sources'!$B$279:$J$286,0,IF(Inputs!$C$12="MFJ",1,IF(Inputs!$C$12="HoH",7,4))+2)),SUMPRODUCT((($AH26+$D26)&gt;INDEX('Methodology &amp; Sources'!$B$269:$J$276,0,IF(Inputs!$C$12="MFJ",1,IF(Inputs!$C$12="HoH",7,4))))*(($AH26+$D26)-INDEX('Methodology &amp; Sources'!$B$269:$J$276,0,IF(Inputs!$C$12="MFJ",1,IF(Inputs!$C$12="HoH",7,4))))*INDEX('Methodology &amp; Sources'!$B$269:$J$276,0,IF(Inputs!$C$12="MFJ",1,IF(Inputs!$C$12="HoH",7,4))+2)))-IF(Inputs!$C$13,SUMPRODUCT(($AH26&gt;INDEX('Methodology &amp; Sources'!$B$279:$J$286,0,IF(Inputs!$C$12="MFJ",1,IF(Inputs!$C$12="HoH",7,4))))*($AH26-INDEX('Methodology &amp; Sources'!$B$279:$J$286,0,IF(Inputs!$C$12="MFJ",1,IF(Inputs!$C$12="HoH",7,4))))*INDEX('Methodology &amp; Sources'!$B$279:$J$286,0,IF(Inputs!$C$12="MFJ",1,IF(Inputs!$C$12="HoH",7,4))+2)),SUMPRODUCT(($AH26&gt;INDEX('Methodology &amp; Sources'!$B$269:$J$276,0,IF(Inputs!$C$12="MFJ",1,IF(Inputs!$C$12="HoH",7,4))))*($AH26-INDEX('Methodology &amp; Sources'!$B$269:$J$276,0,IF(Inputs!$C$12="MFJ",1,IF(Inputs!$C$12="HoH",7,4))))*INDEX('Methodology &amp; Sources'!$B$269:$J$276,0,IF(Inputs!$C$12="MFJ",1,IF(Inputs!$C$12="HoH",7,4))+2)))),'Methodology &amp; Sources'!$C$260*$D26),2)))</f>
      </c>
      <c r="Q26" s="7">
        <f>IF($B26="","",ROUND('Methodology &amp; Sources'!$C$254*MIN($N26,MAX(0,'Methodology &amp; Sources'!$C$253-($AX26+$AB25-$AW26))),2))</f>
      </c>
      <c r="R26" s="7">
        <f>IF($B26="","",ROUND('Methodology &amp; Sources'!$C$255*$N26,2))</f>
      </c>
      <c r="S26" s="7">
        <f>IF($B26="","",ROUND('Methodology &amp; Sources'!$C$256*MAX(0,MIN($N26,$AG25+$N26-'Methodology &amp; Sources'!$C$257)),2))</f>
      </c>
      <c r="T26" s="7">
        <f>IF($B26="","",IF(Inputs!$C$26,0,IF($AN26="CA",ROUND(IF($AI26&lt;=IF(($AS26+$AT26)&gt;=2,VLOOKUP($AN26,'StateTables 2026'!$A$6:$AB$56,10,FALSE),VLOOKUP($AN26,'StateTables 2026'!$A$6:$AB$56,9,FALSE)),0,MAX(0,SUMPRODUCT(($AJ26&gt;INDEX('Methodology &amp; Sources'!$B$289:$J$298,0,IF($AU26="Married",4,IF($AU26="Head of household",7,1))))*($AJ26-INDEX('Methodology &amp; Sources'!$B$289:$J$298,0,IF($AU26="Married",4,IF($AU26="Head of household",7,1))))*INDEX('Methodology &amp; Sources'!$B$289:$J$298,0,IF($AU26="Married",4,IF($AU26="Head of household",7,1))+2))-VLOOKUP($AN26,'StateTables 2026'!$A$6:$AB$56,11,FALSE)*$AS26)/Inputs!$C$8)+Inputs!$C$25+VLOOKUP($AN26,'StateTables 2026'!$A$6:$AB$56,13,FALSE)*$D26,2),IF(VLOOKUP($AN26,'StateTables 2026'!$A$6:$AB$56,4,FALSE)="None",0,IF(ISNUMBER(SEARCH("MANUAL",VLOOKUP($AN26,'StateTables 2026'!$A$6:$AB$56,5,FALSE))),Inputs!$C$28,ROUND(MAX(0,$BA26+$BB26)/Inputs!$C$8+Inputs!$C$25+$BC26,2))))))</f>
      </c>
      <c r="U26" s="7">
        <f>IF($B26="","",IF(VLOOKUP($AN26,'StateTables 2026'!$A$6:$AB$56,24,FALSE)="flatq",IF(OR(MONTH($B26)=1,MONTH($B26)=4,MONTH($B26)=7,MONTH($B26)=10),VLOOKUP($AN26,'StateTables 2026'!$A$6:$AB$56,25,FALSE),0),IF(VLOOKUP($AN26,'StateTables 2026'!$A$6:$AB$56,24,FALSE)="dbl",MIN(ROUND(0.005*$N26,2),ROUND(0.6*52/Inputs!$C$8,2)),IF(OR(VLOOKUP($AN26,'StateTables 2026'!$A$6:$AB$56,15,FALSE)="",VLOOKUP($AN26,'StateTables 2026'!$A$6:$AB$56,15,FALSE)=0),0,ROUND(VLOOKUP($AN26,'StateTables 2026'!$A$6:$AB$56,15,FALSE)*IF(OR(VLOOKUP($AN26,'StateTables 2026'!$A$6:$AB$56,16,FALSE)="",VLOOKUP($AN26,'StateTables 2026'!$A$6:$AB$56,16,FALSE)=0),$N26,MIN($N26,MAX(0,VLOOKUP($AN26,'StateTables 2026'!$A$6:$AB$56,16,FALSE)-($AX26+$AB25-$AW26)))),2))))+IF(VLOOKUP($AN26,'StateTables 2026'!$A$6:$AB$56,27,FALSE)="flatq",IF(OR(MONTH($B26)=1,MONTH($B26)=4,MONTH($B26)=7,MONTH($B26)=10),VLOOKUP($AN26,'StateTables 2026'!$A$6:$AB$56,28,FALSE),0),IF(VLOOKUP($AN26,'StateTables 2026'!$A$6:$AB$56,27,FALSE)="dbl",MIN(ROUND(0.005*$N26,2),ROUND(0.6*52/Inputs!$C$8,2)),IF(OR(VLOOKUP($AN26,'StateTables 2026'!$A$6:$AB$56,18,FALSE)="",VLOOKUP($AN26,'StateTables 2026'!$A$6:$AB$56,18,FALSE)=0),0,ROUND(VLOOKUP($AN26,'StateTables 2026'!$A$6:$AB$56,18,FALSE)*IF(OR(VLOOKUP($AN26,'StateTables 2026'!$A$6:$AB$56,19,FALSE)="",VLOOKUP($AN26,'StateTables 2026'!$A$6:$AB$56,19,FALSE)=0),$N26,MIN($N26,MAX(0,VLOOKUP($AN26,'StateTables 2026'!$A$6:$AB$56,19,FALSE)-($AX26+$AB25-$AW26)))),2)))))</f>
      </c>
      <c r="V26" s="7">
        <f>IF($B26="","",IF($AN26="NY",IF(Inputs!$C$78,ROUND(SUMPRODUCT((MAX(0,($O26-$D26)*Inputs!$C$8-(IF($AU26="Married",5500,5000)+1000*$AS26))&gt;INDEX('Methodology &amp; Sources'!$B$434:$J$448,0,4))*(MAX(0,($O26-$D26)*Inputs!$C$8-(IF($AU26="Married",5500,5000)+1000*$AS26))-INDEX('Methodology &amp; Sources'!$B$434:$J$448,0,4))*INDEX('Methodology &amp; Sources'!$B$434:$J$448,0,4+2))/Inputs!$C$8+0.0425*$D26,2),0)+IF(Inputs!$C$79="Resident",ROUND(0.1675*$T26,2),IF(Inputs!$C$79="Nonresident",ROUND(0.005*MAX(0,($O26-$D26)-(IF($AU26="Married",7950,7400)+1000*$AS26)/Inputs!$C$8),2),0)),IF($AN26="PA",IF(Inputs!$C$80="None",Inputs!$C$27+ROUND(Inputs!$C$81*($C26+$D26),2),ROUND(IF(Inputs!$C$80="Resident",IF($B26&lt;DATE(2026,7,1),0.0374,0.03735),IF($B26&lt;DATE(2026,7,1),0.0343,0.03425))*($C26+$D26),2)),IF($BF26=0,ROUND(Inputs!$C$81*($C26+$D26),2),Inputs!$C$27+ROUND(Inputs!$C$81*($C26+$D26),2)))))</f>
      </c>
      <c r="W26" s="7">
        <f>IF($B26="","",IF($BF26=0,0,$BP26))</f>
      </c>
      <c r="X26" s="7">
        <f>IF($B26="","",SUM($E26:$K26)+$P26+$Q26+$R26+$S26+$T26+$U26+$V26+$W26)</f>
      </c>
      <c r="Y26" s="22">
        <f>IF($B26="","",$C26+$D26-$X26)</f>
      </c>
      <c r="Z26" s="7">
        <f>IF($B26="","",$Z25+$C26+$D26)</f>
      </c>
      <c r="AA26" s="7">
        <f>IF($B26="","",$AA25+$Y26)</f>
      </c>
      <c r="AB26" s="7">
        <f>IF($B26="","",$AB25+MIN($N26,MAX(0,'Methodology &amp; Sources'!$C$253-($AX26+$AB25-$AW26))))</f>
      </c>
      <c r="AC26" s="7">
        <f>IF($B26="","",$AC25+$E26+$F26)</f>
      </c>
      <c r="AD26" s="3">
        <f>IF($B26="","",IF(AND($AB25&lt;'Methodology &amp; Sources'!$C$253,$AB26&gt;='Methodology &amp; Sources'!$C$253),"★ Social Security maxed on this check — from the next check your net rises by about $"&amp;TEXT(ROUND('Methodology &amp; Sources'!$C$254*$N26,2),"#,##0.00")&amp;". ","")&amp;IF(AND($AC25&lt;Inputs!$C$91,$AC26&gt;=Inputs!$C$91),"★ 401(k) reaches the $"&amp;TEXT(Inputs!$C$91,"#,##0")&amp;" cap on this check — deferrals stop and net pay rises. ","")&amp;IF(AND($AG25&lt;'Methodology &amp; Sources'!$C$257,$AG26&gt;='Methodology &amp; Sources'!$C$257),"★ Wages pass $200,000 — the 0.9% Additional Medicare Tax starts here. ","")&amp;IF(AND($BJ26&gt;0,$H26&gt;0,$BG25&lt;MIN($BJ26,'Methodology &amp; Sources'!$C$263),$BG25+$H26&gt;=MIN($BJ26,'Methodology &amp; Sources'!$C$263)),"★ Health FSA election is now fully deferred for the year. ",""))</f>
      </c>
      <c r="AE26" s="41" t="n"/>
      <c r="AF26" s="7">
        <f>IF(OR($B26="",$AE26=""),"",$AE26-$Y26)</f>
      </c>
      <c r="AG26" s="7">
        <f>IF($B26="","",$AG25+$N26)</f>
      </c>
      <c r="AH26" s="7">
        <f>IF($B26="","",MAX(0,($M26-$D26)*Inputs!$C$8+$AP26-$AQ26-IF(Inputs!$C$13,0,IF(Inputs!$C$12="MFJ",'Methodology &amp; Sources'!$C$258,'Methodology &amp; Sources'!$C$259))))</f>
      </c>
      <c r="AI26" s="7">
        <f>IF($B26="","",$O26*Inputs!$C$8)</f>
      </c>
      <c r="AJ26" s="7">
        <f>IF($B26="","",MAX(0,$AI26-VLOOKUP($AN26,'StateTables 2026'!$A$6:$AB$56,12,FALSE)*$AT26-IF(($AS26+$AT26)&gt;=2,VLOOKUP($AN26,'StateTables 2026'!$A$6:$AB$56,8,FALSE),VLOOKUP($AN26,'StateTables 2026'!$A$6:$AB$56,7,FALSE))))</f>
      </c>
      <c r="AK26" s="7">
        <f>IF($B26="","",IFERROR(LOOKUP(2,1/((Events!$C$6:$C$17="Salary change")*(Events!$B$6:$B$17&lt;=$B26)*(Events!$B$6:$B$17&lt;&gt;"")),Events!$D$6:$D$17),IF(Inputs!$C$4="Annual salary",Inputs!$C$5,Inputs!$C$6)))</f>
      </c>
      <c r="AL26">
        <f>IF($B26="","",IFERROR(LOOKUP(2,1/((Events!$C$6:$C$17="401(k) change")*(Events!$B$6:$B$17&lt;=$B26)*(Events!$B$6:$B$17&lt;&gt;"")),Events!$D$6:$D$17),Inputs!$C$30))</f>
      </c>
      <c r="AM26" s="7">
        <f>IF($B26="","",IFERROR(LOOKUP(2,1/((Events!$C$6:$C$17="401(k) change")*(Events!$B$6:$B$17&lt;=$B26)*(Events!$B$6:$B$17&lt;&gt;"")),Events!$E$6:$E$17),Inputs!$D$30))</f>
      </c>
      <c r="AN26">
        <f>IF($B26="","",IFERROR(LOOKUP(2,1/((Events!$C$6:$C$17="State move")*(Events!$B$6:$B$17&lt;=$B26)*(Events!$B$6:$B$17&lt;&gt;"")),Events!$D$6:$D$17),Inputs!$C$21))</f>
      </c>
      <c r="AO26" s="7">
        <f>IF($B26="","",IFERROR(LOOKUP(2,1/((Events!$C$6:$C$17="W-4 change")*(Events!$B$6:$B$17&lt;=$B26)*(Events!$B$6:$B$17&lt;&gt;"")),Events!$D$6:$D$17),Inputs!$C$14))</f>
      </c>
      <c r="AP26" s="7">
        <f>IF($B26="","",IFERROR(LOOKUP(2,1/((Events!$C$6:$C$17="W-4 change")*(Events!$B$6:$B$17&lt;=$B26)*(Events!$B$6:$B$17&lt;&gt;"")),Events!$E$6:$E$17),Inputs!$C$15))</f>
      </c>
      <c r="AQ26" s="7">
        <f>IF($B26="","",IFERROR(LOOKUP(2,1/((Events!$C$6:$C$17="W-4 change")*(Events!$B$6:$B$17&lt;=$B26)*(Events!$B$6:$B$17&lt;&gt;"")),Events!$F$6:$F$17),Inputs!$C$16))</f>
      </c>
      <c r="AR26" s="7">
        <f>IF($B26="","",IFERROR(LOOKUP(2,1/((Events!$C$6:$C$17="W-4 change")*(Events!$B$6:$B$17&lt;=$B26)*(Events!$B$6:$B$17&lt;&gt;"")),Events!$G$6:$G$17),Inputs!$C$17))</f>
      </c>
      <c r="AS26" s="6">
        <f>IF($B26="","",IFERROR(LOOKUP(2,1/(((Events!$C$6:$C$17="State move")+(Events!$C$6:$C$17="State cert change"))*(Events!$B$6:$B$17&lt;=$B26)*(Events!$B$6:$B$17&lt;&gt;"")),Events!$F$6:$F$17),Inputs!$C$23))</f>
      </c>
      <c r="AT26" s="6">
        <f>IF($B26="","",IFERROR(LOOKUP(2,1/(((Events!$C$6:$C$17="State move")+(Events!$C$6:$C$17="State cert change"))*(Events!$B$6:$B$17&lt;=$B26)*(Events!$B$6:$B$17&lt;&gt;"")),Events!$G$6:$G$17),Inputs!$C$24))</f>
      </c>
      <c r="AU26">
        <f>IF($B26="","",IFERROR(LOOKUP(2,1/((Events!$C$6:$C$17="State move")*(Events!$B$6:$B$17&lt;=$B26)*(Events!$B$6:$B$17&lt;&gt;"")),Events!$E$6:$E$17),Inputs!$C$22))</f>
      </c>
      <c r="AV26" s="6">
        <f>IF($B26="","",1+COUNTIFS(Events!$C$6:$C$17,"Employer change",Events!$B$6:$B$17,"&lt;="&amp;$B26,Events!$B$6:$B$17,"&lt;&gt;"))</f>
      </c>
      <c r="AW26" s="7">
        <f>IF($B26="","",IF($AV26=1,Inputs!$C$49,IF(IFERROR(MATCH(IFERROR(LOOKUP(2,1/((Events!$C$6:$C$17="Employer change")*(Events!$B$6:$B$17&lt;=$B26)*(Events!$B$6:$B$17&lt;&gt;"")),Events!$B$6:$B$17),""),$B$6:$B$68,1),1)&lt;=1,Inputs!$C$49,INDEX($AB$6:$AB$68,MATCH(IFERROR(LOOKUP(2,1/((Events!$C$6:$C$17="Employer change")*(Events!$B$6:$B$17&lt;=$B26)*(Events!$B$6:$B$17&lt;&gt;"")),Events!$B$6:$B$17),""),$B$6:$B$68,1)-1))))</f>
      </c>
      <c r="AX26" s="7">
        <f>IF($B26="","",IF($AV26=1,Inputs!$C$49,IFERROR(LOOKUP(2,1/((Events!$C$6:$C$17="Employer change")*(Events!$B$6:$B$17&lt;=$B26)*(Events!$B$6:$B$17&lt;&gt;"")),Events!$D$6:$D$17),0)))</f>
      </c>
      <c r="AY26" s="7">
        <f>IF($B26="","",($O26-$D26)*Inputs!$C$8)</f>
      </c>
      <c r="AZ26" s="7">
        <f>IF($B26="","",IF($AN26="AL",MAX(0,$AY26-IF($AU26="Married",IF($AY26&lt;=25999,8500,MAX(5000,8500-175*CEILING(($AY26-25999)/500,1))),IF($AU26="Head of household",IF($AY26&lt;=25999,5200,MAX(2500,5200-135*CEILING(($AY26-25999)/500,1))),IF($AY26&lt;=25999,3000,MAX(2500,3000-25*CEILING(($AY26-25999)/500,1)))))-($P26-'Methodology &amp; Sources'!$C$260*$D26)*Inputs!$C$8-IF(OR($AU26="Married",$AU26="Head of household"),3000,1500)-$AT26*IF($AY26&lt;=50000,1000,IF($AY26&lt;=100000,500,300))),IF($AN26="AR",IF(MAX(0,$AY26-2470)&lt;97701,INT(MAX(0,$AY26-2470)/100)*100+50,MAX(0,$AY26-2470)),IF($AN26="DE",MAX(0,$AI26-3250),IF($AN26="HI",MAX(0,$AI26-1144*$AS26-4350),IF($AN26="KS",MAX(0,$AI26-(9160*IF($AU26="Married",2,1)+2320*$AT26+IF($AU26="Head of household",2320,0))),IF($AN26="MD",MAX(0,$AI26-3400-3200*$AS26),IF($AN26="MN",MAX(0,$AY26-5300*$AS26),IF($AN26="MO",MAX(0,$AI26-IF($AU26="Head of household",24150,IF($AU26="Married",IF(Inputs!$C$83,16100,32200),16100))),IF($AN26="MT",$AY26,IF($AN26="ND",($C26+$L26)*Inputs!$C$8,IF($AN26="NE",MAX(0,$AY26-2440*$AS26),IF($AN26="NJ",MAX(0,$AY26-1000*$AS26),IF($AN26="NY",MAX(0,$AY26-(IF($AU26="Married",7950,7400)+1000*$AS26)),IF($AN26="OH",MAX(0,$AY26-650*$AS26),IF($AN26="OK",MAX(0,$AY26-1000*$AS26),IF($AN26="RI",MAX(0,$AI26-1000*$AS26),IF($AN26="SC",MAX(0,$AI26-5000*$AS26-IF($AS26=0,0,MIN(0.1*$AI26,7500))),IF($AN26="VA",MAX(0,$AI26-IF($AU26="Married",17500,8750)-930*$AS26-800*$AT26),IF($AN26="VT",MAX(0,$AI26-5400*$AS26),IF($AN26="WI",MAX(0,$AI26-MAX(0,IF($AU26="Married",9461-0.2*MAX(0,$AI26-25727),6702-0.12*MAX(0,$AI26-17780)))-400*$AS26),IF($AN26="WV",MAX(0,$AI26-2000*$AS26),$AI26))))))))))))))))))))))</f>
      </c>
      <c r="BA26" s="7">
        <f>IF($B26="","",IF($BW26&lt;&gt;"",$BW26,IF($BX26&lt;&gt;"",$BX26,IF($BY26&lt;&gt;"",$BY26,0))))</f>
      </c>
      <c r="BB26" s="7">
        <f>IF($B26="","",IF($AN26="AR",-29*$AS26,IF($AN26="DE",-110*$AS26,IF($AN26="MD",$AZ26*Inputs!$C$74,IF($AN26="AZ",Inputs!$C$82*($M26-$D26)*Inputs!$C$8,IF($AN26="CO",0.044*MAX(0,$AY26-IF($AU26="Married",10000,5000)),IF($AN26="IA",MAX(0,0.038*MAX(0,$AY26-IF($AU26="Head of household",19500,IF($AU26="Married",26000,13000)))-40*$AS26),IF($AN26="ID",0.053*MAX(0,$AY26-IF($AU26="Married",32000,16094)),IF($AN26="IL",0.0495*MAX(0,$AY26-(2925*$AS26+1000*$AT26)),IF($AN26="IN",(0.0295+Inputs!$C$76)*MAX(0,$AY26-(1000*$AS26+1500*$AT26+3000*Inputs!$C$86)),IF($AN26="KY",0.035*MAX(0,$AI26-3360),IF($AN26="LA",IF(Inputs!$C$84="0",0.0309*$AI26,0.0309*MAX(0,$AI26-IF(Inputs!$C$84="2",25750,12875))),IF($AN26="MA",0.05*MIN(MAX(0,$AY26-MIN(($BD25+$Q26+$R26+$S26),2000)-IF($AS26=0,0,IF($AS26=1,4400,1000*$AS26+3400))),1107750)+0.09*MAX(0,MAX(0,$AY26-MIN(($BD25+$Q26+$R26+$S26),2000)-IF($AS26=0,0,IF($AS26=1,4400,1000*$AS26+3400)))-1107750)-IF($AU26="Head of household",120,0)-110*Inputs!$C$75,IF($AN26="MI",0.0425*MAX(0,$AY26-5900*$AS26),IF($AN26="MS",0.04*MAX(0,$AI26-IF($AU26="Head of household",3400,IF($AU26="Married",4600,2300))-Inputs!$C$85-10000),IF($AN26="OR",IF(OR($AU26="Married",AND($AU26="Single",$AS26&gt;=3)),SUMPRODUCT((MAX(0,$AY26-MIN(($P26-'Methodology &amp; Sources'!$C$260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Sources'!$B$461:$J$464,0,4))*(MAX(0,$AY26-MIN(($P26-'Methodology &amp; Sources'!$C$260*$D26)*Inputs!$C$8,IF(OR($AU26="Married",AND($AU26="Single",$AS26&gt;=3)),IF($AY26&lt;250000,8750,IF($AY26&lt;260000,7000,IF($AY26&lt;270000,5250,IF($AY26&lt;280000,3500,IF($AY26&lt;290000,1750,0))))),IF($AY26&lt;125000,8750,IF($AY26&lt;130000,7000,IF($AY26&lt;135000,5250,IF($AY26&lt;140000,3500,IF($AY26&lt;145000,1750,0)))))))-IF(OR($AU26="Married",AND($AU26="Single",$AS26&gt;=3)),5820,2910))-INDEX('Methodology &amp; Sources'!$B$461:$J$464,0,4))*INDEX('Methodology &amp; Sources'!$B$461:$J$464,0,4+2)),SUMPRODUCT((MAX(0,$AY26-MIN(($P26-'Methodology &amp; Sources'!$C$260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Sources'!$B$461:$J$464,0,1))*(MAX(0,$AY26-MIN(($P26-'Methodology &amp; Sources'!$C$260*$D26)*Inputs!$C$8,IF(OR($AU26="Married",AND($AU26="Single",$AS26&gt;=3)),IF($AY26&lt;250000,8750,IF($AY26&lt;260000,7000,IF($AY26&lt;270000,5250,IF($AY26&lt;280000,3500,IF($AY26&lt;290000,1750,0))))),IF($AY26&lt;125000,8750,IF($AY26&lt;130000,7000,IF($AY26&lt;135000,5250,IF($AY26&lt;140000,3500,IF($AY26&lt;145000,1750,0)))))))-IF(OR($AU26="Married",AND($AU26="Single",$AS26&gt;=3)),5820,2910))-INDEX('Methodology &amp; Sources'!$B$461:$J$464,0,1))*INDEX('Methodology &amp; Sources'!$B$461:$J$464,0,1+2)))+263-263*IF(IF($AU26="Married",$AY26&gt;200000,$AY26&gt;100000),0,$AS26),IF($AN26="PA",0.0307*(($O26+$E26+$G26)*Inputs!$C$8),IF($AN26="NY",IF($AU26="Married",IF($AZ26&gt;=2155350,0,IF($AZ26&gt;=1077550,0.48,IF($AZ26&gt;=373200,1.21,IF($AZ26&gt;=323200,0.21,IF($AZ26&gt;=211550,-0.19,IF($AZ26&gt;=157650,-2.8,IF($AZ26&gt;=107650,-0.8,IF($AZ26&gt;=96800,0.05,IF($AZ26&gt;=80650,-0.1,IF($AZ26&gt;=13900,0.4,IF($AZ26&gt;=11700,-0.3,IF($AZ26&gt;=8500,0.5,0)))))))))))),IF($AZ26&gt;=1077550,0,IF($AZ26&gt;=265400,4.29,IF($AZ26&gt;=215400,2.29,IF($AZ26&gt;=157650,2.29,IF($AZ26&gt;=107650,0.29,IF($AZ26&gt;=96800,0.05,IF($AZ26&gt;=80650,-0.1,IF($AZ26&gt;=13900,0.4,IF($AZ26&gt;=11700,-0.3,IF($AZ26&gt;=8500,0.5,0))))))))))),0))))))))))))))))))</f>
      </c>
      <c r="BC26" s="7">
        <f>IF($B26="","",IF($AN26="AL",0.05*$D26,IF($AN26="AR",0.039*$D26,IF($AN26="ID",0.053*$D26,IF($AN26="IN",(0.0295+Inputs!$C$76)*$D26,IF($AN26="KS",0.05*$D26,IF($AN26="MA",0.09*MIN($D26,MAX(0,MAX(0,$AY26-MIN(($BD25+$Q26+$R26+$S26),2000)-IF($AS26=0,0,IF($AS26=1,4400,1000*$AS26+3400)))+$D26-1107750))+0.05*($D26-MIN($D26,MAX(0,MAX(0,$AY26-MIN(($BD25+$Q26+$R26+$S26),2000)-IF($AS26=0,0,IF($AS26=1,4400,1000*$AS26+3400)))+$D26-1107750))),IF($AN26="MD",(0.065+Inputs!$C$74)*$D26,IF($AN26="MI",0.0425*$D26,IF($AN26="MN",0.0625*$D26,IF($AN26="MO",0.047*$D26,IF($AN26="MT",0.05*$D26,IF($AN26="ND",0.015*$D26,IF($AN26="NE",0.035*$D26,IF($AN26="NJ",IF(Inputs!$C$77="B",SUMPRODUCT(($D26*Inputs!$C$8&gt;INDEX('Methodology &amp; Sources'!$B$405:$J$412,0,4))*($D26*Inputs!$C$8-INDEX('Methodology &amp; Sources'!$B$405:$J$412,0,4))*INDEX('Methodology &amp; Sources'!$B$405:$J$412,0,4+2)),IF(Inputs!$C$77="C",SUMPRODUCT(($D26*Inputs!$C$8&gt;INDEX('Methodology &amp; Sources'!$B$405:$J$412,0,7))*($D26*Inputs!$C$8-INDEX('Methodology &amp; Sources'!$B$405:$J$412,0,7))*INDEX('Methodology &amp; Sources'!$B$405:$J$412,0,7+2)),IF(Inputs!$C$77="D",SUMPRODUCT(($D26*Inputs!$C$8&gt;INDEX('Methodology &amp; Sources'!$B$417:$J$429,0,1))*($D26*Inputs!$C$8-INDEX('Methodology &amp; Sources'!$B$417:$J$429,0,1))*INDEX('Methodology &amp; Sources'!$B$417:$J$429,0,1+2)),IF(Inputs!$C$77="E",SUMPRODUCT(($D26*Inputs!$C$8&gt;INDEX('Methodology &amp; Sources'!$B$417:$J$429,0,4))*($D26*Inputs!$C$8-INDEX('Methodology &amp; Sources'!$B$417:$J$429,0,4))*INDEX('Methodology &amp; Sources'!$B$417:$J$429,0,4+2)),SUMPRODUCT(($D26*Inputs!$C$8&gt;INDEX('Methodology &amp; Sources'!$B$405:$J$412,0,1))*($D26*Inputs!$C$8-INDEX('Methodology &amp; Sources'!$B$405:$J$412,0,1))*INDEX('Methodology &amp; Sources'!$B$405:$J$412,0,1+2))))))/Inputs!$C$8,IF($AN26="NY",0.117*$D26,IF($AN26="OH",0.0275*$D26,IF($AN26="OK",0.045*$D26,IF($AN26="OR",0.08*$D26,IF($AN26="WI",IF($AY26&lt;12760,0.0354,IF($AY26&lt;25520,0.0465,IF($AY26&lt;280950,0.053,0.0765)))*$D26,0))))))))))))))))))))</f>
      </c>
      <c r="BD26" s="7">
        <f>IF($B26="","",$BD25+$Q26+$R26+$S26)</f>
      </c>
      <c r="BE26" s="6">
        <f>IF($B26="",$BE25,$BE25+$BF26)</f>
      </c>
      <c r="BF26" s="6">
        <f>IF($B26="","",IF(AND(IF(YEAR(IF(Inputs!$C$7="Weekly",Inputs!$C$9+7*(($BE25+1)-1),IF(Inputs!$C$7="Biweekly",Inputs!$C$9+14*(($BE25+1)-1),IF(Inputs!$C$7="Semimonthly",DATE(YEAR(Inputs!$C$9),MONTH(Inputs!$C$9)+INT((($BE25+1)-1)/2),MIN(DAY(Inputs!$C$9),DAY(EOMONTH(DATE(YEAR(Inputs!$C$9),MONTH(Inputs!$C$9)+INT((($BE25+1)-1)/2),1),0))))+IF(MOD(($BE25+1)-1,2)=1,15,0),EDATE(Inputs!$C$9,($BE25+1)-1)))))&lt;&gt;2026,"",IF(Inputs!$C$7="Weekly",Inputs!$C$9+7*(($BE25+1)-1),IF(Inputs!$C$7="Biweekly",Inputs!$C$9+14*(($BE25+1)-1),IF(Inputs!$C$7="Semimonthly",DATE(YEAR(Inputs!$C$9),MONTH(Inputs!$C$9)+INT((($BE25+1)-1)/2),MIN(DAY(Inputs!$C$9),DAY(EOMONTH(DATE(YEAR(Inputs!$C$9),MONTH(Inputs!$C$9)+INT((($BE25+1)-1)/2),1),0))))+IF(MOD(($BE25+1)-1,2)=1,15,0),EDATE(Inputs!$C$9,($BE25+1)-1)))))&lt;&gt;"",$B26=IF(YEAR(IF(Inputs!$C$7="Weekly",Inputs!$C$9+7*(($BE25+1)-1),IF(Inputs!$C$7="Biweekly",Inputs!$C$9+14*(($BE25+1)-1),IF(Inputs!$C$7="Semimonthly",DATE(YEAR(Inputs!$C$9),MONTH(Inputs!$C$9)+INT((($BE25+1)-1)/2),MIN(DAY(Inputs!$C$9),DAY(EOMONTH(DATE(YEAR(Inputs!$C$9),MONTH(Inputs!$C$9)+INT((($BE25+1)-1)/2),1),0))))+IF(MOD(($BE25+1)-1,2)=1,15,0),EDATE(Inputs!$C$9,($BE25+1)-1)))))&lt;&gt;2026,"",IF(Inputs!$C$7="Weekly",Inputs!$C$9+7*(($BE25+1)-1),IF(Inputs!$C$7="Biweekly",Inputs!$C$9+14*(($BE25+1)-1),IF(Inputs!$C$7="Semimonthly",DATE(YEAR(Inputs!$C$9),MONTH(Inputs!$C$9)+INT((($BE25+1)-1)/2),MIN(DAY(Inputs!$C$9),DAY(EOMONTH(DATE(YEAR(Inputs!$C$9),MONTH(Inputs!$C$9)+INT((($BE25+1)-1)/2),1),0))))+IF(MOD(($BE25+1)-1,2)=1,15,0),EDATE(Inputs!$C$9,($BE25+1)-1)))))),1,0))</f>
      </c>
      <c r="BG26" s="7">
        <f>IF($B26="","",$BG25+$H26)</f>
      </c>
      <c r="BH26" s="7">
        <f>IF($B26="","",$BH25+$I26)</f>
      </c>
      <c r="BI26" s="7">
        <f>IF($B26="","",$BI25+$G26)</f>
      </c>
      <c r="BJ26" s="7">
        <f>IF($B26="","",IFERROR(LOOKUP(2,1/((((Events!$C$6:$C$17="Deduction start"))*(Events!$D$6:$D$17="Health FSA"))*(Events!$B$6:$B$17&lt;=$B26)*(Events!$B$6:$B$17&lt;&gt;"")),Events!$E$6:$E$17),Inputs!$D$38))</f>
      </c>
      <c r="BK26" s="7">
        <f>IF($B26="","",IFERROR(LOOKUP(2,1/((((Events!$C$6:$C$17="Deduction start"))*(Events!$D$6:$D$17="Dependent-care FSA"))*(Events!$B$6:$B$17&lt;=$B26)*(Events!$B$6:$B$17&lt;&gt;"")),Events!$E$6:$E$17),Inputs!$D$39))</f>
      </c>
      <c r="BL26" s="7">
        <f>IF($B26="","",IFERROR(LOOKUP(2,1/((((Events!$C$6:$C$17="Deduction start")+(Events!$C$6:$C$17="Deduction stop"))*(Events!$D$6:$D$17="HSA"))*(Events!$B$6:$B$17&lt;=$B26)*(Events!$B$6:$B$17&lt;&gt;"")),Events!$I$6:$I$17),Inputs!$D$35))</f>
      </c>
      <c r="BM26" s="7">
        <f>IF($B26="","",IFERROR(LOOKUP(2,1/((((Events!$C$6:$C$17="Deduction start")+(Events!$C$6:$C$17="Deduction stop"))*(Events!$D$6:$D$17="Premiums"))*(Events!$B$6:$B$17&lt;=$B26)*(Events!$B$6:$B$17&lt;&gt;"")),Events!$I$6:$I$17),Inputs!$D$40+Inputs!$D$41+Inputs!$D$42))</f>
      </c>
      <c r="BN26" s="7">
        <f>IF($B26="","",IFERROR(LOOKUP(2,1/((((Events!$C$6:$C$17="Deduction start")+(Events!$C$6:$C$17="Deduction stop"))*(Events!$D$6:$D$17="Commuter"))*(Events!$B$6:$B$17&lt;=$B26)*(Events!$B$6:$B$17&lt;&gt;"")),Events!$I$6:$I$17),Inputs!$D$43))</f>
      </c>
      <c r="BO26" s="7">
        <f>IF($B26="","",IFERROR(LOOKUP(2,1/((((Events!$C$6:$C$17="Deduction start")+(Events!$C$6:$C$17="Deduction stop"))*(Events!$D$6:$D$17="Other pre-tax"))*(Events!$B$6:$B$17&lt;=$B26)*(Events!$B$6:$B$17&lt;&gt;"")),Events!$I$6:$I$17),Inputs!$D$44))</f>
      </c>
      <c r="BP26" s="7">
        <f>IF($B26="","",IFERROR(LOOKUP(2,1/((((Events!$C$6:$C$17="Deduction start")+(Events!$C$6:$C$17="Deduction stop"))*(Events!$D$6:$D$17="Other post-tax"))*(Events!$B$6:$B$17&lt;=$B26)*(Events!$B$6:$B$17&lt;&gt;"")),Events!$I$6:$I$17),Inputs!$D$45))</f>
      </c>
      <c r="BQ26" s="6">
        <f>IF($B26="","",IFERROR(LOOKUP(2,1/((((Events!$C$6:$C$17="Deduction start")+(Events!$C$6:$C$17="Deduction stop"))*(Events!$D$6:$D$17="Health FSA"))*(Events!$B$6:$B$17&lt;=$B26)*(Events!$B$6:$B$17&lt;&gt;"")),Events!$J$6:$J$17),0))</f>
      </c>
      <c r="BR26" s="6">
        <f>IF($B26="","",IFERROR(LOOKUP(2,1/((((Events!$C$6:$C$17="Deduction start")+(Events!$C$6:$C$17="Deduction stop"))*(Events!$D$6:$D$17="Dependent-care FSA"))*(Events!$B$6:$B$17&lt;=$B26)*(Events!$B$6:$B$17&lt;&gt;"")),Events!$J$6:$J$17),0))</f>
      </c>
      <c r="BS26" s="6">
        <f>IF($B26="","",IF(SUMPRODUCT((Events!$C$6:$C$17="Deduction start")*(Events!$B$6:$B$17&lt;=$B26)*(Events!$B$6:$B$17&lt;&gt;"")*(Events!$D$6:$D$17="Health FSA"))&gt;0,1,0))</f>
      </c>
      <c r="BT26" s="6">
        <f>IF($B26="","",IF(SUMPRODUCT((Events!$C$6:$C$17="Deduction start")*(Events!$B$6:$B$17&lt;=$B26)*(Events!$B$6:$B$17&lt;&gt;"")*(Events!$D$6:$D$17="Dependent-care FSA"))&gt;0,1,0))</f>
      </c>
      <c r="BU26" s="24">
        <f>IF($B26="","",IF(Inputs!$C$13,SUMPRODUCT(($AH26&gt;=INDEX('Methodology &amp; Sources'!$B$279:$J$286,0,IF(Inputs!$C$12="MFJ",1,IF(Inputs!$C$12="HoH",7,4))))*INDEX('Methodology &amp; Sources'!$B$279:$J$286,0,IF(Inputs!$C$12="MFJ",1,IF(Inputs!$C$12="HoH",7,4))+2)),SUMPRODUCT(($AH26&gt;=INDEX('Methodology &amp; Sources'!$B$269:$J$276,0,IF(Inputs!$C$12="MFJ",1,IF(Inputs!$C$12="HoH",7,4))))*INDEX('Methodology &amp; Sources'!$B$269:$J$276,0,IF(Inputs!$C$12="MFJ",1,IF(Inputs!$C$12="HoH",7,4))+2))))</f>
      </c>
      <c r="BV26" s="24">
        <f>IF($B26="","",IF($BZ26&lt;&gt;"",$BZ26,IF($CA26&lt;&gt;"",$CA26,IF($CB26&lt;&gt;"",$CB26,IF($CC26&lt;&gt;"",$CC26,0)))))</f>
      </c>
      <c r="BW26" s="7">
        <f>IF($B26="","",IF($AN26="MD",IF(OR($AU26="Married",$AU26="Head of household"),SUMPRODUCT(($AZ26&gt;INDEX('Methodology &amp; Sources'!$B$364:$J$370,0,1))*($AZ26-INDEX('Methodology &amp; Sources'!$B$364:$J$370,0,1))*INDEX('Methodology &amp; Sources'!$B$364:$J$370,0,1+2)),SUMPRODUCT(($AZ26&gt;INDEX('Methodology &amp; Sources'!$B$353:$J$359,0,7))*($AZ26-INDEX('Methodology &amp; Sources'!$B$353:$J$359,0,7))*INDEX('Methodology &amp; Sources'!$B$353:$J$359,0,7+2))),IF($AN26="MO",SUMPRODUCT(($AZ26&gt;INDEX('Methodology &amp; Sources'!$B$375:$J$382,0,1))*($AZ26-INDEX('Methodology &amp; Sources'!$B$375:$J$382,0,1))*INDEX('Methodology &amp; Sources'!$B$375:$J$382,0,1+2)),IF($AN26="MT",IF($AU26="Head of household",SUMPRODUCT(($AZ26&gt;INDEX('Methodology &amp; Sources'!$B$387:$J$389,0,1))*($AZ26-INDEX('Methodology &amp; Sources'!$B$387:$J$389,0,1))*INDEX('Methodology &amp; Sources'!$B$387:$J$389,0,1+2)),IF($AU26="Married",SUMPRODUCT(($AZ26&gt;INDEX('Methodology &amp; Sources'!$B$375:$J$382,0,7))*($AZ26-INDEX('Methodology &amp; Sources'!$B$375:$J$382,0,7))*INDEX('Methodology &amp; Sources'!$B$375:$J$382,0,7+2)),SUMPRODUCT(($AZ26&gt;INDEX('Methodology &amp; Sources'!$B$375:$J$382,0,4))*($AZ26-INDEX('Methodology &amp; Sources'!$B$375:$J$382,0,4))*INDEX('Methodology &amp; Sources'!$B$375:$J$382,0,4+2)))),IF($AN26="ND",IF($AU26="Head of household",SUMPRODUCT(($AZ26&gt;INDEX('Methodology &amp; Sources'!$B$394:$J$400,0,1))*($AZ26-INDEX('Methodology &amp; Sources'!$B$394:$J$400,0,1))*INDEX('Methodology &amp; Sources'!$B$394:$J$400,0,1+2)),IF($AU26="Married",SUMPRODUCT(($AZ26&gt;INDEX('Methodology &amp; Sources'!$B$387:$J$389,0,7))*($AZ26-INDEX('Methodology &amp; Sources'!$B$387:$J$389,0,7))*INDEX('Methodology &amp; Sources'!$B$387:$J$389,0,7+2)),SUMPRODUCT(($AZ26&gt;INDEX('Methodology &amp; Sources'!$B$387:$J$389,0,4))*($AZ26-INDEX('Methodology &amp; Sources'!$B$387:$J$389,0,4))*INDEX('Methodology &amp; Sources'!$B$387:$J$389,0,4+2)))),IF($AN26="NJ",IF(Inputs!$C$77="B",SUMPRODUCT(($AZ26&gt;INDEX('Methodology &amp; Sources'!$B$405:$J$412,0,4))*($AZ26-INDEX('Methodology &amp; Sources'!$B$405:$J$412,0,4))*INDEX('Methodology &amp; Sources'!$B$405:$J$412,0,4+2)),IF(Inputs!$C$77="C",SUMPRODUCT(($AZ26&gt;INDEX('Methodology &amp; Sources'!$B$405:$J$412,0,7))*($AZ26-INDEX('Methodology &amp; Sources'!$B$405:$J$412,0,7))*INDEX('Methodology &amp; Sources'!$B$405:$J$412,0,7+2)),IF(Inputs!$C$77="D",SUMPRODUCT(($AZ26&gt;INDEX('Methodology &amp; Sources'!$B$417:$J$429,0,1))*($AZ26-INDEX('Methodology &amp; Sources'!$B$417:$J$429,0,1))*INDEX('Methodology &amp; Sources'!$B$417:$J$429,0,1+2)),IF(Inputs!$C$77="E",SUMPRODUCT(($AZ26&gt;INDEX('Methodology &amp; Sources'!$B$417:$J$429,0,4))*($AZ26-INDEX('Methodology &amp; Sources'!$B$417:$J$429,0,4))*INDEX('Methodology &amp; Sources'!$B$417:$J$429,0,4+2)),SUMPRODUCT(($AZ26&gt;INDEX('Methodology &amp; Sources'!$B$405:$J$412,0,1))*($AZ26-INDEX('Methodology &amp; Sources'!$B$405:$J$412,0,1))*INDEX('Methodology &amp; Sources'!$B$405:$J$412,0,1+2)))))),IF($AN26="NY",IF($AU26="Married",IF($AZ26&gt;=2155350,$AZ26*IF($AZ26&gt;25000000,0.117,IF($AZ26&gt;5000000,0.111,0.1045)),SUMPRODUCT(($AZ26&gt;INDEX('Methodology &amp; Sources'!$B$434:$J$448,0,1))*($AZ26-INDEX('Methodology &amp; Sources'!$B$434:$J$448,0,1))*INDEX('Methodology &amp; Sources'!$B$434:$J$448,0,1+2))),IF($AZ26&gt;=1077550,$AZ26*IF($AZ26&gt;25000000,0.117,IF($AZ26&gt;5000000,0.111,0.1045)),SUMPRODUCT(($AZ26&gt;INDEX('Methodology &amp; Sources'!$B$417:$J$429,0,7))*($AZ26-INDEX('Methodology &amp; Sources'!$B$417:$J$429,0,7))*INDEX('Methodology &amp; Sources'!$B$417:$J$429,0,7+2)))),"")))))))</f>
      </c>
      <c r="BX26" s="7">
        <f>IF($B26="","",IF($AN26="AL",IF(OR($AU26="Married",$AU26="Head of household"),SUMPRODUCT(($AZ26&gt;INDEX('Methodology &amp; Sources'!$B$332:$J$336,0,4))*($AZ26-INDEX('Methodology &amp; Sources'!$B$332:$J$336,0,4))*INDEX('Methodology &amp; Sources'!$B$332:$J$336,0,4+2)),SUMPRODUCT(($AZ26&gt;INDEX('Methodology &amp; Sources'!$B$332:$J$336,0,1))*($AZ26-INDEX('Methodology &amp; Sources'!$B$332:$J$336,0,1))*INDEX('Methodology &amp; Sources'!$B$332:$J$336,0,1+2))),IF($AN26="KS",IF($AU26="Married",SUMPRODUCT(($AZ26&gt;INDEX('Methodology &amp; Sources'!$B$353:$J$359,0,4))*($AZ26-INDEX('Methodology &amp; Sources'!$B$353:$J$359,0,4))*INDEX('Methodology &amp; Sources'!$B$353:$J$359,0,4+2)),SUMPRODUCT(($AZ26&gt;INDEX('Methodology &amp; Sources'!$B$353:$J$359,0,1))*($AZ26-INDEX('Methodology &amp; Sources'!$B$353:$J$359,0,1))*INDEX('Methodology &amp; Sources'!$B$353:$J$359,0,1+2))),IF($AN26="MN",IF($AU26="Married",SUMPRODUCT(($AZ26&gt;INDEX('Methodology &amp; Sources'!$B$364:$J$370,0,7))*($AZ26-INDEX('Methodology &amp; Sources'!$B$364:$J$370,0,7))*INDEX('Methodology &amp; Sources'!$B$364:$J$370,0,7+2)),SUMPRODUCT(($AZ26&gt;INDEX('Methodology &amp; Sources'!$B$364:$J$370,0,4))*($AZ26-INDEX('Methodology &amp; Sources'!$B$364:$J$370,0,4))*INDEX('Methodology &amp; Sources'!$B$364:$J$370,0,4+2))),IF($AN26="NE",MAX(IF($AU26="Married",SUMPRODUCT(($AZ26&gt;INDEX('Methodology &amp; Sources'!$B$394:$J$400,0,7))*($AZ26-INDEX('Methodology &amp; Sources'!$B$394:$J$400,0,7))*INDEX('Methodology &amp; Sources'!$B$394:$J$400,0,7+2)),SUMPRODUCT(($AZ26&gt;INDEX('Methodology &amp; Sources'!$B$394:$J$400,0,4))*($AZ26-INDEX('Methodology &amp; Sources'!$B$394:$J$400,0,4))*INDEX('Methodology &amp; Sources'!$B$394:$J$400,0,4+2))),0.015*$AZ26),IF($AN26="OH",IF($B26&gt;=DATE(2026,8,1),SUMPRODUCT(($AZ26&gt;INDEX('Methodology &amp; Sources'!$B$453:$J$456,0,1))*($AZ26-INDEX('Methodology &amp; Sources'!$B$453:$J$456,0,1))*INDEX('Methodology &amp; Sources'!$B$453:$J$456,0,1+2)),SUMPRODUCT(($AZ26&gt;INDEX('Methodology &amp; Sources'!$B$434:$J$448,0,7))*($AZ26-INDEX('Methodology &amp; Sources'!$B$434:$J$448,0,7))*INDEX('Methodology &amp; Sources'!$B$434:$J$448,0,7+2))),IF($AN26="OK",IF($AU26="Married",SUMPRODUCT(($AZ26&gt;INDEX('Methodology &amp; Sources'!$B$453:$J$456,0,7))*($AZ26-INDEX('Methodology &amp; Sources'!$B$453:$J$456,0,7))*INDEX('Methodology &amp; Sources'!$B$453:$J$456,0,7+2)),SUMPRODUCT(($AZ26&gt;INDEX('Methodology &amp; Sources'!$B$453:$J$456,0,4))*($AZ26-INDEX('Methodology &amp; Sources'!$B$453:$J$456,0,4))*INDEX('Methodology &amp; Sources'!$B$453:$J$456,0,4+2))),IF($AN26="RI",SUMPRODUCT(($AZ26&gt;INDEX('Methodology &amp; Sources'!$B$461:$J$464,0,7))*($AZ26-INDEX('Methodology &amp; Sources'!$B$461:$J$464,0,7))*INDEX('Methodology &amp; Sources'!$B$461:$J$464,0,7+2)),IF($AN26="VT",IF($AU26="Married",SUMPRODUCT(($AZ26&gt;INDEX('Methodology &amp; Sources'!$B$478:$J$482,0,1))*($AZ26-INDEX('Methodology &amp; Sources'!$B$478:$J$482,0,1))*INDEX('Methodology &amp; Sources'!$B$478:$J$482,0,1+2)),SUMPRODUCT(($AZ26&gt;INDEX('Methodology &amp; Sources'!$B$469:$J$473,0,7))*($AZ26-INDEX('Methodology &amp; Sources'!$B$469:$J$473,0,7))*INDEX('Methodology &amp; Sources'!$B$469:$J$473,0,7+2))),IF($AN26="WV",IF($AU26="Married",SUMPRODUCT(($AZ26&gt;INDEX('Methodology &amp; Sources'!$B$487:$J$491,0,7))*($AZ26-INDEX('Methodology &amp; Sources'!$B$487:$J$491,0,7))*INDEX('Methodology &amp; Sources'!$B$487:$J$491,0,7+2)),SUMPRODUCT(($AZ26&gt;INDEX('Methodology &amp; Sources'!$B$478:$J$482,0,7))*($AZ26-INDEX('Methodology &amp; Sources'!$B$478:$J$482,0,7))*INDEX('Methodology &amp; Sources'!$B$478:$J$482,0,7+2))),""))))))))))</f>
      </c>
      <c r="BY26" s="7">
        <f>IF($B26="","",IF($AN26="AR",SUMPRODUCT(($AZ26&gt;INDEX('Methodology &amp; Sources'!$B$332:$J$336,0,7))*($AZ26-INDEX('Methodology &amp; Sources'!$B$332:$J$336,0,7))*INDEX('Methodology &amp; Sources'!$B$332:$J$336,0,7+2)),IF($AN26="DE",SUMPRODUCT(($AZ26&gt;INDEX('Methodology &amp; Sources'!$B$341:$J$348,0,1))*($AZ26-INDEX('Methodology &amp; Sources'!$B$341:$J$348,0,1))*INDEX('Methodology &amp; Sources'!$B$341:$J$348,0,1+2)),IF($AN26="HI",IF($AU26="Married",SUMPRODUCT(($AZ26&gt;INDEX('Methodology &amp; Sources'!$B$341:$J$348,0,7))*($AZ26-INDEX('Methodology &amp; Sources'!$B$341:$J$348,0,7))*INDEX('Methodology &amp; Sources'!$B$341:$J$348,0,7+2)),SUMPRODUCT(($AZ26&gt;INDEX('Methodology &amp; Sources'!$B$341:$J$348,0,4))*($AZ26-INDEX('Methodology &amp; Sources'!$B$341:$J$348,0,4))*INDEX('Methodology &amp; Sources'!$B$341:$J$348,0,4+2))),IF($AN26="SC",SUMPRODUCT(($AZ26&gt;INDEX('Methodology &amp; Sources'!$B$469:$J$473,0,1))*($AZ26-INDEX('Methodology &amp; Sources'!$B$469:$J$473,0,1))*INDEX('Methodology &amp; Sources'!$B$469:$J$473,0,1+2)),IF($AN26="VA",SUMPRODUCT(($AZ26&gt;INDEX('Methodology &amp; Sources'!$B$469:$J$473,0,4))*($AZ26-INDEX('Methodology &amp; Sources'!$B$469:$J$473,0,4))*INDEX('Methodology &amp; Sources'!$B$469:$J$473,0,4+2)),IF($AN26="WI",SUMPRODUCT(($AZ26&gt;INDEX('Methodology &amp; Sources'!$B$478:$J$482,0,4))*($AZ26-INDEX('Methodology &amp; Sources'!$B$478:$J$482,0,4))*INDEX('Methodology &amp; Sources'!$B$478:$J$482,0,4+2)),"")))))))</f>
      </c>
      <c r="BZ26" s="24">
        <f>IF($B26="","",IF($AN26="NJ",IF(Inputs!$C$77="B",SUMPRODUCT(($AZ26&gt;=INDEX('Methodology &amp; Sources'!$B$405:$J$412,0,4))*INDEX('Methodology &amp; Sources'!$B$405:$J$412,0,4+2)),IF(Inputs!$C$77="C",SUMPRODUCT(($AZ26&gt;=INDEX('Methodology &amp; Sources'!$B$405:$J$412,0,7))*INDEX('Methodology &amp; Sources'!$B$405:$J$412,0,7+2)),IF(Inputs!$C$77="D",SUMPRODUCT(($AZ26&gt;=INDEX('Methodology &amp; Sources'!$B$417:$J$429,0,1))*INDEX('Methodology &amp; Sources'!$B$417:$J$429,0,1+2)),IF(Inputs!$C$77="E",SUMPRODUCT(($AZ26&gt;=INDEX('Methodology &amp; Sources'!$B$417:$J$429,0,4))*INDEX('Methodology &amp; Sources'!$B$417:$J$429,0,4+2)),SUMPRODUCT(($AZ26&gt;=INDEX('Methodology &amp; Sources'!$B$405:$J$412,0,1))*INDEX('Methodology &amp; Sources'!$B$405:$J$412,0,1+2)))))),IF($AN26="OR",IF(OR($AU26="Married",AND($AU26="Single",$AS26&gt;=3)),SUMPRODUCT((MAX(0,$AY26-MIN(($P26-'Methodology &amp; Sources'!$C$260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Sources'!$B$461:$J$464,0,4))*INDEX('Methodology &amp; Sources'!$B$461:$J$464,0,4+2)),SUMPRODUCT((MAX(0,$AY26-MIN(($P26-'Methodology &amp; Sources'!$C$260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Sources'!$B$461:$J$464,0,1))*INDEX('Methodology &amp; Sources'!$B$461:$J$464,0,1+2)))*IF(($P26-'Methodology &amp; Sources'!$C$260*$D26)*Inputs!$C$8&gt;=IF(OR($AU26="Married",AND($AU26="Single",$AS26&gt;=3)),IF($AY26&lt;250000,8750,IF($AY26&lt;260000,7000,IF($AY26&lt;270000,5250,IF($AY26&lt;280000,3500,IF($AY26&lt;290000,1750,0))))),IF($AY26&lt;125000,8750,IF($AY26&lt;130000,7000,IF($AY26&lt;135000,5250,IF($AY26&lt;140000,3500,IF($AY26&lt;145000,1750,0)))))),1,1-IF(Inputs!$C$13,SUMPRODUCT(($AH26&gt;=INDEX('Methodology &amp; Sources'!$B$279:$J$286,0,IF(Inputs!$C$12="MFJ",1,IF(Inputs!$C$12="HoH",7,4))))*INDEX('Methodology &amp; Sources'!$B$279:$J$286,0,IF(Inputs!$C$12="MFJ",1,IF(Inputs!$C$12="HoH",7,4))+2)),SUMPRODUCT(($AH26&gt;=INDEX('Methodology &amp; Sources'!$B$269:$J$276,0,IF(Inputs!$C$12="MFJ",1,IF(Inputs!$C$12="HoH",7,4))))*INDEX('Methodology &amp; Sources'!$B$269:$J$276,0,IF(Inputs!$C$12="MFJ",1,IF(Inputs!$C$12="HoH",7,4))+2)))),IF($AN26="MI",IF($AY26&gt;5900*$AS26,0.0425,0),""))))</f>
      </c>
      <c r="CA26" s="24">
        <f>IF($B26="","",IF($AN26="AL",IF(OR($AU26="Married",$AU26="Head of household"),SUMPRODUCT(($AZ26&gt;=INDEX('Methodology &amp; Sources'!$B$332:$J$336,0,4))*INDEX('Methodology &amp; Sources'!$B$332:$J$336,0,4+2)),SUMPRODUCT(($AZ26&gt;=INDEX('Methodology &amp; Sources'!$B$332:$J$336,0,1))*INDEX('Methodology &amp; Sources'!$B$332:$J$336,0,1+2)))*(1-IF(Inputs!$C$13,SUMPRODUCT(($AH26&gt;=INDEX('Methodology &amp; Sources'!$B$279:$J$286,0,IF(Inputs!$C$12="MFJ",1,IF(Inputs!$C$12="HoH",7,4))))*INDEX('Methodology &amp; Sources'!$B$279:$J$286,0,IF(Inputs!$C$12="MFJ",1,IF(Inputs!$C$12="HoH",7,4))+2)),SUMPRODUCT(($AH26&gt;=INDEX('Methodology &amp; Sources'!$B$269:$J$276,0,IF(Inputs!$C$12="MFJ",1,IF(Inputs!$C$12="HoH",7,4))))*INDEX('Methodology &amp; Sources'!$B$269:$J$276,0,IF(Inputs!$C$12="MFJ",1,IF(Inputs!$C$12="HoH",7,4))+2)))),IF($AN26="KS",IF($AU26="Married",SUMPRODUCT(($AZ26&gt;=INDEX('Methodology &amp; Sources'!$B$353:$J$359,0,4))*INDEX('Methodology &amp; Sources'!$B$353:$J$359,0,4+2)),SUMPRODUCT(($AZ26&gt;=INDEX('Methodology &amp; Sources'!$B$353:$J$359,0,1))*INDEX('Methodology &amp; Sources'!$B$353:$J$359,0,1+2))),IF($AN26="MD",IF(OR($AU26="Married",$AU26="Head of household"),SUMPRODUCT(($AZ26&gt;=INDEX('Methodology &amp; Sources'!$B$364:$J$370,0,1))*INDEX('Methodology &amp; Sources'!$B$364:$J$370,0,1+2)),SUMPRODUCT(($AZ26&gt;=INDEX('Methodology &amp; Sources'!$B$353:$J$359,0,7))*INDEX('Methodology &amp; Sources'!$B$353:$J$359,0,7+2)))+Inputs!$C$74,IF($AN26="MT",IF($AU26="Head of household",SUMPRODUCT(($AZ26&gt;=INDEX('Methodology &amp; Sources'!$B$387:$J$389,0,1))*INDEX('Methodology &amp; Sources'!$B$387:$J$389,0,1+2)),IF($AU26="Married",SUMPRODUCT(($AZ26&gt;=INDEX('Methodology &amp; Sources'!$B$375:$J$382,0,7))*INDEX('Methodology &amp; Sources'!$B$375:$J$382,0,7+2)),SUMPRODUCT(($AZ26&gt;=INDEX('Methodology &amp; Sources'!$B$375:$J$382,0,4))*INDEX('Methodology &amp; Sources'!$B$375:$J$382,0,4+2)))),IF($AN26="ND",IF($AU26="Head of household",SUMPRODUCT(($AZ26&gt;=INDEX('Methodology &amp; Sources'!$B$394:$J$400,0,1))*INDEX('Methodology &amp; Sources'!$B$394:$J$400,0,1+2)),IF($AU26="Married",SUMPRODUCT(($AZ26&gt;=INDEX('Methodology &amp; Sources'!$B$387:$J$389,0,7))*INDEX('Methodology &amp; Sources'!$B$387:$J$389,0,7+2)),SUMPRODUCT(($AZ26&gt;=INDEX('Methodology &amp; Sources'!$B$387:$J$389,0,4))*INDEX('Methodology &amp; Sources'!$B$387:$J$389,0,4+2)))),IF($AN26="NY",IF($AU26="Married",IF($AZ26&gt;=2155350,IF($AZ26&gt;25000000,0.117,IF($AZ26&gt;5000000,0.111,0.1045)),SUMPRODUCT(($AZ26&gt;=INDEX('Methodology &amp; Sources'!$B$434:$J$448,0,1))*INDEX('Methodology &amp; Sources'!$B$434:$J$448,0,1+2))),IF($AZ26&gt;=1077550,IF($AZ26&gt;25000000,0.117,IF($AZ26&gt;5000000,0.111,0.1045)),SUMPRODUCT(($AZ26&gt;=INDEX('Methodology &amp; Sources'!$B$417:$J$429,0,7))*INDEX('Methodology &amp; Sources'!$B$417:$J$429,0,7+2)))),"")))))))</f>
      </c>
      <c r="CB26" s="24">
        <f>IF($B26="","",IF($AN26="CA",SUMPRODUCT(($AJ26&gt;=INDEX('Methodology &amp; Sources'!$B$289:$J$298,0,IF($AU26="Married",4,IF($AU26="Head of household",7,1))))*INDEX('Methodology &amp; Sources'!$B$289:$J$298,0,IF($AU26="Married",4,IF($AU26="Head of household",7,1))+2)),IF($AN26="HI",IF($AU26="Married",SUMPRODUCT(($AZ26&gt;=INDEX('Methodology &amp; Sources'!$B$341:$J$348,0,7))*INDEX('Methodology &amp; Sources'!$B$341:$J$348,0,7+2)),SUMPRODUCT(($AZ26&gt;=INDEX('Methodology &amp; Sources'!$B$341:$J$348,0,4))*INDEX('Methodology &amp; Sources'!$B$341:$J$348,0,4+2))),IF($AN26="MN",IF($AU26="Married",SUMPRODUCT(($AZ26&gt;=INDEX('Methodology &amp; Sources'!$B$364:$J$370,0,7))*INDEX('Methodology &amp; Sources'!$B$364:$J$370,0,7+2)),SUMPRODUCT(($AZ26&gt;=INDEX('Methodology &amp; Sources'!$B$364:$J$370,0,4))*INDEX('Methodology &amp; Sources'!$B$364:$J$370,0,4+2))),IF($AN26="MO",SUMPRODUCT(($AZ26&gt;=INDEX('Methodology &amp; Sources'!$B$375:$J$382,0,1))*INDEX('Methodology &amp; Sources'!$B$375:$J$382,0,1+2)),IF($AN26="NE",MAX(IF($AU26="Married",SUMPRODUCT(($AZ26&gt;=INDEX('Methodology &amp; Sources'!$B$394:$J$400,0,7))*INDEX('Methodology &amp; Sources'!$B$394:$J$400,0,7+2)),SUMPRODUCT(($AZ26&gt;=INDEX('Methodology &amp; Sources'!$B$394:$J$400,0,4))*INDEX('Methodology &amp; Sources'!$B$394:$J$400,0,4+2))),0.015),IF($AN26="OH",IF($B26&gt;=DATE(2026,8,1),SUMPRODUCT(($AZ26&gt;=INDEX('Methodology &amp; Sources'!$B$453:$J$456,0,1))*INDEX('Methodology &amp; Sources'!$B$453:$J$456,0,1+2)),SUMPRODUCT(($AZ26&gt;=INDEX('Methodology &amp; Sources'!$B$434:$J$448,0,7))*INDEX('Methodology &amp; Sources'!$B$434:$J$448,0,7+2))),IF($AN26="OK",IF($AU26="Married",SUMPRODUCT(($AZ26&gt;=INDEX('Methodology &amp; Sources'!$B$453:$J$456,0,7))*INDEX('Methodology &amp; Sources'!$B$453:$J$456,0,7+2)),SUMPRODUCT(($AZ26&gt;=INDEX('Methodology &amp; Sources'!$B$453:$J$456,0,4))*INDEX('Methodology &amp; Sources'!$B$453:$J$456,0,4+2))),IF($AN26="RI",SUMPRODUCT(($AZ26&gt;=INDEX('Methodology &amp; Sources'!$B$461:$J$464,0,7))*INDEX('Methodology &amp; Sources'!$B$461:$J$464,0,7+2)),IF($AN26="SC",SUMPRODUCT(($AZ26&gt;=INDEX('Methodology &amp; Sources'!$B$469:$J$473,0,1))*INDEX('Methodology &amp; Sources'!$B$469:$J$473,0,1+2)),IF($AN26="VT",IF($AU26="Married",SUMPRODUCT(($AZ26&gt;=INDEX('Methodology &amp; Sources'!$B$478:$J$482,0,1))*INDEX('Methodology &amp; Sources'!$B$478:$J$482,0,1+2)),SUMPRODUCT(($AZ26&gt;=INDEX('Methodology &amp; Sources'!$B$469:$J$473,0,7))*INDEX('Methodology &amp; Sources'!$B$469:$J$473,0,7+2))),IF($AN26="WV",IF($AU26="Married",SUMPRODUCT(($AZ26&gt;=INDEX('Methodology &amp; Sources'!$B$487:$J$491,0,7))*INDEX('Methodology &amp; Sources'!$B$487:$J$491,0,7+2)),SUMPRODUCT(($AZ26&gt;=INDEX('Methodology &amp; Sources'!$B$478:$J$482,0,7))*INDEX('Methodology &amp; Sources'!$B$478:$J$482,0,7+2))),IF($AN26="IN",(0.0295+Inputs!$C$76),"")))))))))))))</f>
      </c>
      <c r="CC26" s="24">
        <f>IF($B26="","",IF($AN26="AR",SUMPRODUCT(($AZ26&gt;=INDEX('Methodology &amp; Sources'!$B$332:$J$336,0,7))*INDEX('Methodology &amp; Sources'!$B$332:$J$336,0,7+2)),IF($AN26="DE",SUMPRODUCT(($AZ26&gt;=INDEX('Methodology &amp; Sources'!$B$341:$J$348,0,1))*INDEX('Methodology &amp; Sources'!$B$341:$J$348,0,1+2)),IF($AN26="VA",SUMPRODUCT(($AZ26&gt;=INDEX('Methodology &amp; Sources'!$B$469:$J$473,0,4))*INDEX('Methodology &amp; Sources'!$B$469:$J$473,0,4+2)),IF($AN26="WI",SUMPRODUCT(($AZ26&gt;=INDEX('Methodology &amp; Sources'!$B$478:$J$482,0,4))*INDEX('Methodology &amp; Sources'!$B$478:$J$482,0,4+2)),IF($AN26="AZ",Inputs!$C$82,IF($AN26="CO",IF($AY26&gt;IF($AU26="Married",10000,5000),0.044,0),IF($AN26="IA",IF($AY26&gt;IF($AU26="Head of household",19500,IF($AU26="Married",26000,13000)),0.038,0),IF($AN26="ID",IF($AY26&gt;IF($AU26="Married",32000,16094),0.053,0),IF($AN26="IL",IF($AY26&gt;(2925*$AS26+1000*$AT26),0.0495,0),IF($AN26="KY",IF($AI26&gt;3360,0.035,0),IF($AN26="LA",0.0309,IF($AN26="MA",IF(MAX(0,$AY26-MIN(($BD25+$Q26+$R26+$S26),2000)-IF($AS26=0,0,IF($AS26=1,4400,1000*$AS26+3400)))&gt;=1107750,0.09,0.05),IF($AN26="MS",IF($AI26-IF($AU26="Head of household",3400,IF($AU26="Married",4600,2300))-Inputs!$C$85&gt;10000,0.04,0),IF($AN26="PA",0.0307,"")))))))))))))))</f>
      </c>
      <c r="CD26" s="21">
        <f>IF(YEAR(IF(Inputs!$C$7="Weekly",Inputs!$C$9+7*(($BE25+1)-1),IF(Inputs!$C$7="Biweekly",Inputs!$C$9+14*(($BE25+1)-1),IF(Inputs!$C$7="Semimonthly",DATE(YEAR(Inputs!$C$9),MONTH(Inputs!$C$9)+INT((($BE25+1)-1)/2),MIN(DAY(Inputs!$C$9),DAY(EOMONTH(DATE(YEAR(Inputs!$C$9),MONTH(Inputs!$C$9)+INT((($BE25+1)-1)/2),1),0))))+IF(MOD(($BE25+1)-1,2)=1,15,0),EDATE(Inputs!$C$9,($BE25+1)-1)))))&lt;&gt;2026,"",IF(Inputs!$C$7="Weekly",Inputs!$C$9+7*(($BE25+1)-1),IF(Inputs!$C$7="Biweekly",Inputs!$C$9+14*(($BE25+1)-1),IF(Inputs!$C$7="Semimonthly",DATE(YEAR(Inputs!$C$9),MONTH(Inputs!$C$9)+INT((($BE25+1)-1)/2),MIN(DAY(Inputs!$C$9),DAY(EOMONTH(DATE(YEAR(Inputs!$C$9),MONTH(Inputs!$C$9)+INT((($BE25+1)-1)/2),1),0))))+IF(MOD(($BE25+1)-1,2)=1,15,0),EDATE(Inputs!$C$9,($BE25+1)-1)))))</f>
      </c>
      <c r="CE26" s="21">
        <f>IF(SUMPRODUCT(MIN(IF((Inputs!$C$58:$C$67&gt;MAX($B$6:$B25))*(Inputs!$C$58:$C$67&gt;=DATE(2026,1,1))*(Inputs!$C$58:$C$67&lt;=DATE(2026,12,31)),Inputs!$C$58:$C$67,999999)))=999999,"",SUMPRODUCT(MIN(IF((Inputs!$C$58:$C$67&gt;MAX($B$6:$B25))*(Inputs!$C$58:$C$67&gt;=DATE(2026,1,1))*(Inputs!$C$58:$C$67&lt;=DATE(2026,12,31)),Inputs!$C$58:$C$67,999999))))</f>
      </c>
    </row>
    <row r="27">
      <c r="A27" t="n">
        <v>22</v>
      </c>
      <c r="B27" s="21">
        <f>IF(AND($CD27="",$CE27=""),"",IF($CE27="",$CD27,IF($CD27="",$CE27,MIN($CD27,$CE27))))</f>
      </c>
      <c r="C27" s="7">
        <f>IF($B27="","",IF($BF27=0,0,IF(Inputs!$C$4="Annual salary",ROUND($AK27/IF(AND(Inputs!$C$88="Actual paydays",MONTH(Inputs!$C$9)=1),MAX(1,MAX($BE$6:$BE$68)),Inputs!$C$8),2),$AK27)))</f>
      </c>
      <c r="D27" s="7">
        <f>IF($B27="","",SUMIF(Inputs!$C$58:$C$67,$B27,Inputs!$D$58:$D$67))</f>
      </c>
      <c r="E27" s="7">
        <f>IF($B27="","",ROUND(MAX(0,MIN(IF($AL27="Percent",$AM27*($C27+$D27),$AM27),MAX(0,Inputs!$C$91-$AC26))),2))</f>
      </c>
      <c r="F27" s="7">
        <f>IF($B27="","",ROUND(MAX(0,MIN(IF(Inputs!$C$32="Percent",Inputs!$D$32*($C27+$D27),Inputs!$D$32),MAX(0,Inputs!$C$91-$AC26-$E27))),2))</f>
      </c>
      <c r="G27" s="7">
        <f>IF($B27="","",IF($BF27=0,0,ROUND(MAX(0,MIN($BL27,Inputs!$C$92-Inputs!$C$54-$BI26)),2)))</f>
      </c>
      <c r="H27" s="7">
        <f>IF($B27="","",IF(OR($BF27=0,$BQ27=1),0,ROUND(MAX(0,MIN(IF($BS27=1,ROUND(MAX(0,MIN($BJ27,'Methodology &amp; Sources'!$C$263)-$BG26)/MAX(1,MAX($BE$6:$BE$68)-($BE26)),2),ROUND(MIN($BJ27,'Methodology &amp; Sources'!$C$263)/Inputs!$C$8,2)),MIN($BJ27,'Methodology &amp; Sources'!$C$263)-$BG26)),2)))</f>
      </c>
      <c r="I27" s="7">
        <f>IF($B27="","",IF(OR($BF27=0,$BR27=1),0,ROUND(MAX(0,MIN(IF($BT27=1,ROUND(MAX(0,MIN($BK27,IF(Inputs!$C$12="MFJ",'Methodology &amp; Sources'!$C$264,'Methodology &amp; Sources'!$C$265))-$BH26)/MAX(1,MAX($BE$6:$BE$68)-($BE26)),2),ROUND(MIN($BK27,IF(Inputs!$C$12="MFJ",'Methodology &amp; Sources'!$C$264,'Methodology &amp; Sources'!$C$265))/Inputs!$C$8,2)),MIN($BK27,IF(Inputs!$C$12="MFJ",'Methodology &amp; Sources'!$C$264,'Methodology &amp; Sources'!$C$265))-$BH26)),2)))</f>
      </c>
      <c r="J27" s="7">
        <f>IF($B27="","",IF($BF27=0,0,$BM27))</f>
      </c>
      <c r="K27" s="7">
        <f>IF($B27="","",IF($BF27=0,0,$BN27+$BO27))</f>
      </c>
      <c r="L27" s="7">
        <f>IF($B27="","",IF($BF27=0,0,Inputs!$D$46))</f>
      </c>
      <c r="M27" s="7">
        <f>IF($B27="","",$C27+$D27+$L27-$E27-$G27-$H27-$I27-$J27-$K27)</f>
      </c>
      <c r="N27" s="7">
        <f>IF($B27="","",$C27+$D27+$L27-$G27-$H27-$I27-$J27-$K27)</f>
      </c>
      <c r="O27" s="7">
        <f>IF($B27="","",$C27+$D27+$L27-$E27-$H27-$I27-$J27-$K27-IF(OR($AN27="CA",$AN27="NJ"),0,$G27))</f>
      </c>
      <c r="P27" s="7">
        <f>IF($B27="","",IF(Inputs!$C$18,0,ROUND(MAX(0,IF(Inputs!$C$13,SUMPRODUCT(($AH27&gt;INDEX('Methodology &amp; Sources'!$B$279:$J$286,0,IF(Inputs!$C$12="MFJ",1,IF(Inputs!$C$12="HoH",7,4))))*($AH27-INDEX('Methodology &amp; Sources'!$B$279:$J$286,0,IF(Inputs!$C$12="MFJ",1,IF(Inputs!$C$12="HoH",7,4))))*INDEX('Methodology &amp; Sources'!$B$279:$J$286,0,IF(Inputs!$C$12="MFJ",1,IF(Inputs!$C$12="HoH",7,4))+2)),SUMPRODUCT(($AH27&gt;INDEX('Methodology &amp; Sources'!$B$269:$J$276,0,IF(Inputs!$C$12="MFJ",1,IF(Inputs!$C$12="HoH",7,4))))*($AH27-INDEX('Methodology &amp; Sources'!$B$269:$J$276,0,IF(Inputs!$C$12="MFJ",1,IF(Inputs!$C$12="HoH",7,4))))*INDEX('Methodology &amp; Sources'!$B$269:$J$276,0,IF(Inputs!$C$12="MFJ",1,IF(Inputs!$C$12="HoH",7,4))+2)))/Inputs!$C$8-$AO27/Inputs!$C$8)+$AR27+IF(Inputs!$C$89="Aggregate",MAX(0,IF(Inputs!$C$13,SUMPRODUCT((($AH27+$D27)&gt;INDEX('Methodology &amp; Sources'!$B$279:$J$286,0,IF(Inputs!$C$12="MFJ",1,IF(Inputs!$C$12="HoH",7,4))))*(($AH27+$D27)-INDEX('Methodology &amp; Sources'!$B$279:$J$286,0,IF(Inputs!$C$12="MFJ",1,IF(Inputs!$C$12="HoH",7,4))))*INDEX('Methodology &amp; Sources'!$B$279:$J$286,0,IF(Inputs!$C$12="MFJ",1,IF(Inputs!$C$12="HoH",7,4))+2)),SUMPRODUCT((($AH27+$D27)&gt;INDEX('Methodology &amp; Sources'!$B$269:$J$276,0,IF(Inputs!$C$12="MFJ",1,IF(Inputs!$C$12="HoH",7,4))))*(($AH27+$D27)-INDEX('Methodology &amp; Sources'!$B$269:$J$276,0,IF(Inputs!$C$12="MFJ",1,IF(Inputs!$C$12="HoH",7,4))))*INDEX('Methodology &amp; Sources'!$B$269:$J$276,0,IF(Inputs!$C$12="MFJ",1,IF(Inputs!$C$12="HoH",7,4))+2)))-IF(Inputs!$C$13,SUMPRODUCT(($AH27&gt;INDEX('Methodology &amp; Sources'!$B$279:$J$286,0,IF(Inputs!$C$12="MFJ",1,IF(Inputs!$C$12="HoH",7,4))))*($AH27-INDEX('Methodology &amp; Sources'!$B$279:$J$286,0,IF(Inputs!$C$12="MFJ",1,IF(Inputs!$C$12="HoH",7,4))))*INDEX('Methodology &amp; Sources'!$B$279:$J$286,0,IF(Inputs!$C$12="MFJ",1,IF(Inputs!$C$12="HoH",7,4))+2)),SUMPRODUCT(($AH27&gt;INDEX('Methodology &amp; Sources'!$B$269:$J$276,0,IF(Inputs!$C$12="MFJ",1,IF(Inputs!$C$12="HoH",7,4))))*($AH27-INDEX('Methodology &amp; Sources'!$B$269:$J$276,0,IF(Inputs!$C$12="MFJ",1,IF(Inputs!$C$12="HoH",7,4))))*INDEX('Methodology &amp; Sources'!$B$269:$J$276,0,IF(Inputs!$C$12="MFJ",1,IF(Inputs!$C$12="HoH",7,4))+2)))),'Methodology &amp; Sources'!$C$260*$D27),2)))</f>
      </c>
      <c r="Q27" s="7">
        <f>IF($B27="","",ROUND('Methodology &amp; Sources'!$C$254*MIN($N27,MAX(0,'Methodology &amp; Sources'!$C$253-($AX27+$AB26-$AW27))),2))</f>
      </c>
      <c r="R27" s="7">
        <f>IF($B27="","",ROUND('Methodology &amp; Sources'!$C$255*$N27,2))</f>
      </c>
      <c r="S27" s="7">
        <f>IF($B27="","",ROUND('Methodology &amp; Sources'!$C$256*MAX(0,MIN($N27,$AG26+$N27-'Methodology &amp; Sources'!$C$257)),2))</f>
      </c>
      <c r="T27" s="7">
        <f>IF($B27="","",IF(Inputs!$C$26,0,IF($AN27="CA",ROUND(IF($AI27&lt;=IF(($AS27+$AT27)&gt;=2,VLOOKUP($AN27,'StateTables 2026'!$A$6:$AB$56,10,FALSE),VLOOKUP($AN27,'StateTables 2026'!$A$6:$AB$56,9,FALSE)),0,MAX(0,SUMPRODUCT(($AJ27&gt;INDEX('Methodology &amp; Sources'!$B$289:$J$298,0,IF($AU27="Married",4,IF($AU27="Head of household",7,1))))*($AJ27-INDEX('Methodology &amp; Sources'!$B$289:$J$298,0,IF($AU27="Married",4,IF($AU27="Head of household",7,1))))*INDEX('Methodology &amp; Sources'!$B$289:$J$298,0,IF($AU27="Married",4,IF($AU27="Head of household",7,1))+2))-VLOOKUP($AN27,'StateTables 2026'!$A$6:$AB$56,11,FALSE)*$AS27)/Inputs!$C$8)+Inputs!$C$25+VLOOKUP($AN27,'StateTables 2026'!$A$6:$AB$56,13,FALSE)*$D27,2),IF(VLOOKUP($AN27,'StateTables 2026'!$A$6:$AB$56,4,FALSE)="None",0,IF(ISNUMBER(SEARCH("MANUAL",VLOOKUP($AN27,'StateTables 2026'!$A$6:$AB$56,5,FALSE))),Inputs!$C$28,ROUND(MAX(0,$BA27+$BB27)/Inputs!$C$8+Inputs!$C$25+$BC27,2))))))</f>
      </c>
      <c r="U27" s="7">
        <f>IF($B27="","",IF(VLOOKUP($AN27,'StateTables 2026'!$A$6:$AB$56,24,FALSE)="flatq",IF(OR(MONTH($B27)=1,MONTH($B27)=4,MONTH($B27)=7,MONTH($B27)=10),VLOOKUP($AN27,'StateTables 2026'!$A$6:$AB$56,25,FALSE),0),IF(VLOOKUP($AN27,'StateTables 2026'!$A$6:$AB$56,24,FALSE)="dbl",MIN(ROUND(0.005*$N27,2),ROUND(0.6*52/Inputs!$C$8,2)),IF(OR(VLOOKUP($AN27,'StateTables 2026'!$A$6:$AB$56,15,FALSE)="",VLOOKUP($AN27,'StateTables 2026'!$A$6:$AB$56,15,FALSE)=0),0,ROUND(VLOOKUP($AN27,'StateTables 2026'!$A$6:$AB$56,15,FALSE)*IF(OR(VLOOKUP($AN27,'StateTables 2026'!$A$6:$AB$56,16,FALSE)="",VLOOKUP($AN27,'StateTables 2026'!$A$6:$AB$56,16,FALSE)=0),$N27,MIN($N27,MAX(0,VLOOKUP($AN27,'StateTables 2026'!$A$6:$AB$56,16,FALSE)-($AX27+$AB26-$AW27)))),2))))+IF(VLOOKUP($AN27,'StateTables 2026'!$A$6:$AB$56,27,FALSE)="flatq",IF(OR(MONTH($B27)=1,MONTH($B27)=4,MONTH($B27)=7,MONTH($B27)=10),VLOOKUP($AN27,'StateTables 2026'!$A$6:$AB$56,28,FALSE),0),IF(VLOOKUP($AN27,'StateTables 2026'!$A$6:$AB$56,27,FALSE)="dbl",MIN(ROUND(0.005*$N27,2),ROUND(0.6*52/Inputs!$C$8,2)),IF(OR(VLOOKUP($AN27,'StateTables 2026'!$A$6:$AB$56,18,FALSE)="",VLOOKUP($AN27,'StateTables 2026'!$A$6:$AB$56,18,FALSE)=0),0,ROUND(VLOOKUP($AN27,'StateTables 2026'!$A$6:$AB$56,18,FALSE)*IF(OR(VLOOKUP($AN27,'StateTables 2026'!$A$6:$AB$56,19,FALSE)="",VLOOKUP($AN27,'StateTables 2026'!$A$6:$AB$56,19,FALSE)=0),$N27,MIN($N27,MAX(0,VLOOKUP($AN27,'StateTables 2026'!$A$6:$AB$56,19,FALSE)-($AX27+$AB26-$AW27)))),2)))))</f>
      </c>
      <c r="V27" s="7">
        <f>IF($B27="","",IF($AN27="NY",IF(Inputs!$C$78,ROUND(SUMPRODUCT((MAX(0,($O27-$D27)*Inputs!$C$8-(IF($AU27="Married",5500,5000)+1000*$AS27))&gt;INDEX('Methodology &amp; Sources'!$B$434:$J$448,0,4))*(MAX(0,($O27-$D27)*Inputs!$C$8-(IF($AU27="Married",5500,5000)+1000*$AS27))-INDEX('Methodology &amp; Sources'!$B$434:$J$448,0,4))*INDEX('Methodology &amp; Sources'!$B$434:$J$448,0,4+2))/Inputs!$C$8+0.0425*$D27,2),0)+IF(Inputs!$C$79="Resident",ROUND(0.1675*$T27,2),IF(Inputs!$C$79="Nonresident",ROUND(0.005*MAX(0,($O27-$D27)-(IF($AU27="Married",7950,7400)+1000*$AS27)/Inputs!$C$8),2),0)),IF($AN27="PA",IF(Inputs!$C$80="None",Inputs!$C$27+ROUND(Inputs!$C$81*($C27+$D27),2),ROUND(IF(Inputs!$C$80="Resident",IF($B27&lt;DATE(2026,7,1),0.0374,0.03735),IF($B27&lt;DATE(2026,7,1),0.0343,0.03425))*($C27+$D27),2)),IF($BF27=0,ROUND(Inputs!$C$81*($C27+$D27),2),Inputs!$C$27+ROUND(Inputs!$C$81*($C27+$D27),2)))))</f>
      </c>
      <c r="W27" s="7">
        <f>IF($B27="","",IF($BF27=0,0,$BP27))</f>
      </c>
      <c r="X27" s="7">
        <f>IF($B27="","",SUM($E27:$K27)+$P27+$Q27+$R27+$S27+$T27+$U27+$V27+$W27)</f>
      </c>
      <c r="Y27" s="22">
        <f>IF($B27="","",$C27+$D27-$X27)</f>
      </c>
      <c r="Z27" s="7">
        <f>IF($B27="","",$Z26+$C27+$D27)</f>
      </c>
      <c r="AA27" s="7">
        <f>IF($B27="","",$AA26+$Y27)</f>
      </c>
      <c r="AB27" s="7">
        <f>IF($B27="","",$AB26+MIN($N27,MAX(0,'Methodology &amp; Sources'!$C$253-($AX27+$AB26-$AW27))))</f>
      </c>
      <c r="AC27" s="7">
        <f>IF($B27="","",$AC26+$E27+$F27)</f>
      </c>
      <c r="AD27" s="3">
        <f>IF($B27="","",IF(AND($AB26&lt;'Methodology &amp; Sources'!$C$253,$AB27&gt;='Methodology &amp; Sources'!$C$253),"★ Social Security maxed on this check — from the next check your net rises by about $"&amp;TEXT(ROUND('Methodology &amp; Sources'!$C$254*$N27,2),"#,##0.00")&amp;". ","")&amp;IF(AND($AC26&lt;Inputs!$C$91,$AC27&gt;=Inputs!$C$91),"★ 401(k) reaches the $"&amp;TEXT(Inputs!$C$91,"#,##0")&amp;" cap on this check — deferrals stop and net pay rises. ","")&amp;IF(AND($AG26&lt;'Methodology &amp; Sources'!$C$257,$AG27&gt;='Methodology &amp; Sources'!$C$257),"★ Wages pass $200,000 — the 0.9% Additional Medicare Tax starts here. ","")&amp;IF(AND($BJ27&gt;0,$H27&gt;0,$BG26&lt;MIN($BJ27,'Methodology &amp; Sources'!$C$263),$BG26+$H27&gt;=MIN($BJ27,'Methodology &amp; Sources'!$C$263)),"★ Health FSA election is now fully deferred for the year. ",""))</f>
      </c>
      <c r="AE27" s="41" t="n"/>
      <c r="AF27" s="7">
        <f>IF(OR($B27="",$AE27=""),"",$AE27-$Y27)</f>
      </c>
      <c r="AG27" s="7">
        <f>IF($B27="","",$AG26+$N27)</f>
      </c>
      <c r="AH27" s="7">
        <f>IF($B27="","",MAX(0,($M27-$D27)*Inputs!$C$8+$AP27-$AQ27-IF(Inputs!$C$13,0,IF(Inputs!$C$12="MFJ",'Methodology &amp; Sources'!$C$258,'Methodology &amp; Sources'!$C$259))))</f>
      </c>
      <c r="AI27" s="7">
        <f>IF($B27="","",$O27*Inputs!$C$8)</f>
      </c>
      <c r="AJ27" s="7">
        <f>IF($B27="","",MAX(0,$AI27-VLOOKUP($AN27,'StateTables 2026'!$A$6:$AB$56,12,FALSE)*$AT27-IF(($AS27+$AT27)&gt;=2,VLOOKUP($AN27,'StateTables 2026'!$A$6:$AB$56,8,FALSE),VLOOKUP($AN27,'StateTables 2026'!$A$6:$AB$56,7,FALSE))))</f>
      </c>
      <c r="AK27" s="7">
        <f>IF($B27="","",IFERROR(LOOKUP(2,1/((Events!$C$6:$C$17="Salary change")*(Events!$B$6:$B$17&lt;=$B27)*(Events!$B$6:$B$17&lt;&gt;"")),Events!$D$6:$D$17),IF(Inputs!$C$4="Annual salary",Inputs!$C$5,Inputs!$C$6)))</f>
      </c>
      <c r="AL27">
        <f>IF($B27="","",IFERROR(LOOKUP(2,1/((Events!$C$6:$C$17="401(k) change")*(Events!$B$6:$B$17&lt;=$B27)*(Events!$B$6:$B$17&lt;&gt;"")),Events!$D$6:$D$17),Inputs!$C$30))</f>
      </c>
      <c r="AM27" s="7">
        <f>IF($B27="","",IFERROR(LOOKUP(2,1/((Events!$C$6:$C$17="401(k) change")*(Events!$B$6:$B$17&lt;=$B27)*(Events!$B$6:$B$17&lt;&gt;"")),Events!$E$6:$E$17),Inputs!$D$30))</f>
      </c>
      <c r="AN27">
        <f>IF($B27="","",IFERROR(LOOKUP(2,1/((Events!$C$6:$C$17="State move")*(Events!$B$6:$B$17&lt;=$B27)*(Events!$B$6:$B$17&lt;&gt;"")),Events!$D$6:$D$17),Inputs!$C$21))</f>
      </c>
      <c r="AO27" s="7">
        <f>IF($B27="","",IFERROR(LOOKUP(2,1/((Events!$C$6:$C$17="W-4 change")*(Events!$B$6:$B$17&lt;=$B27)*(Events!$B$6:$B$17&lt;&gt;"")),Events!$D$6:$D$17),Inputs!$C$14))</f>
      </c>
      <c r="AP27" s="7">
        <f>IF($B27="","",IFERROR(LOOKUP(2,1/((Events!$C$6:$C$17="W-4 change")*(Events!$B$6:$B$17&lt;=$B27)*(Events!$B$6:$B$17&lt;&gt;"")),Events!$E$6:$E$17),Inputs!$C$15))</f>
      </c>
      <c r="AQ27" s="7">
        <f>IF($B27="","",IFERROR(LOOKUP(2,1/((Events!$C$6:$C$17="W-4 change")*(Events!$B$6:$B$17&lt;=$B27)*(Events!$B$6:$B$17&lt;&gt;"")),Events!$F$6:$F$17),Inputs!$C$16))</f>
      </c>
      <c r="AR27" s="7">
        <f>IF($B27="","",IFERROR(LOOKUP(2,1/((Events!$C$6:$C$17="W-4 change")*(Events!$B$6:$B$17&lt;=$B27)*(Events!$B$6:$B$17&lt;&gt;"")),Events!$G$6:$G$17),Inputs!$C$17))</f>
      </c>
      <c r="AS27" s="6">
        <f>IF($B27="","",IFERROR(LOOKUP(2,1/(((Events!$C$6:$C$17="State move")+(Events!$C$6:$C$17="State cert change"))*(Events!$B$6:$B$17&lt;=$B27)*(Events!$B$6:$B$17&lt;&gt;"")),Events!$F$6:$F$17),Inputs!$C$23))</f>
      </c>
      <c r="AT27" s="6">
        <f>IF($B27="","",IFERROR(LOOKUP(2,1/(((Events!$C$6:$C$17="State move")+(Events!$C$6:$C$17="State cert change"))*(Events!$B$6:$B$17&lt;=$B27)*(Events!$B$6:$B$17&lt;&gt;"")),Events!$G$6:$G$17),Inputs!$C$24))</f>
      </c>
      <c r="AU27">
        <f>IF($B27="","",IFERROR(LOOKUP(2,1/((Events!$C$6:$C$17="State move")*(Events!$B$6:$B$17&lt;=$B27)*(Events!$B$6:$B$17&lt;&gt;"")),Events!$E$6:$E$17),Inputs!$C$22))</f>
      </c>
      <c r="AV27" s="6">
        <f>IF($B27="","",1+COUNTIFS(Events!$C$6:$C$17,"Employer change",Events!$B$6:$B$17,"&lt;="&amp;$B27,Events!$B$6:$B$17,"&lt;&gt;"))</f>
      </c>
      <c r="AW27" s="7">
        <f>IF($B27="","",IF($AV27=1,Inputs!$C$49,IF(IFERROR(MATCH(IFERROR(LOOKUP(2,1/((Events!$C$6:$C$17="Employer change")*(Events!$B$6:$B$17&lt;=$B27)*(Events!$B$6:$B$17&lt;&gt;"")),Events!$B$6:$B$17),""),$B$6:$B$68,1),1)&lt;=1,Inputs!$C$49,INDEX($AB$6:$AB$68,MATCH(IFERROR(LOOKUP(2,1/((Events!$C$6:$C$17="Employer change")*(Events!$B$6:$B$17&lt;=$B27)*(Events!$B$6:$B$17&lt;&gt;"")),Events!$B$6:$B$17),""),$B$6:$B$68,1)-1))))</f>
      </c>
      <c r="AX27" s="7">
        <f>IF($B27="","",IF($AV27=1,Inputs!$C$49,IFERROR(LOOKUP(2,1/((Events!$C$6:$C$17="Employer change")*(Events!$B$6:$B$17&lt;=$B27)*(Events!$B$6:$B$17&lt;&gt;"")),Events!$D$6:$D$17),0)))</f>
      </c>
      <c r="AY27" s="7">
        <f>IF($B27="","",($O27-$D27)*Inputs!$C$8)</f>
      </c>
      <c r="AZ27" s="7">
        <f>IF($B27="","",IF($AN27="AL",MAX(0,$AY27-IF($AU27="Married",IF($AY27&lt;=25999,8500,MAX(5000,8500-175*CEILING(($AY27-25999)/500,1))),IF($AU27="Head of household",IF($AY27&lt;=25999,5200,MAX(2500,5200-135*CEILING(($AY27-25999)/500,1))),IF($AY27&lt;=25999,3000,MAX(2500,3000-25*CEILING(($AY27-25999)/500,1)))))-($P27-'Methodology &amp; Sources'!$C$260*$D27)*Inputs!$C$8-IF(OR($AU27="Married",$AU27="Head of household"),3000,1500)-$AT27*IF($AY27&lt;=50000,1000,IF($AY27&lt;=100000,500,300))),IF($AN27="AR",IF(MAX(0,$AY27-2470)&lt;97701,INT(MAX(0,$AY27-2470)/100)*100+50,MAX(0,$AY27-2470)),IF($AN27="DE",MAX(0,$AI27-3250),IF($AN27="HI",MAX(0,$AI27-1144*$AS27-4350),IF($AN27="KS",MAX(0,$AI27-(9160*IF($AU27="Married",2,1)+2320*$AT27+IF($AU27="Head of household",2320,0))),IF($AN27="MD",MAX(0,$AI27-3400-3200*$AS27),IF($AN27="MN",MAX(0,$AY27-5300*$AS27),IF($AN27="MO",MAX(0,$AI27-IF($AU27="Head of household",24150,IF($AU27="Married",IF(Inputs!$C$83,16100,32200),16100))),IF($AN27="MT",$AY27,IF($AN27="ND",($C27+$L27)*Inputs!$C$8,IF($AN27="NE",MAX(0,$AY27-2440*$AS27),IF($AN27="NJ",MAX(0,$AY27-1000*$AS27),IF($AN27="NY",MAX(0,$AY27-(IF($AU27="Married",7950,7400)+1000*$AS27)),IF($AN27="OH",MAX(0,$AY27-650*$AS27),IF($AN27="OK",MAX(0,$AY27-1000*$AS27),IF($AN27="RI",MAX(0,$AI27-1000*$AS27),IF($AN27="SC",MAX(0,$AI27-5000*$AS27-IF($AS27=0,0,MIN(0.1*$AI27,7500))),IF($AN27="VA",MAX(0,$AI27-IF($AU27="Married",17500,8750)-930*$AS27-800*$AT27),IF($AN27="VT",MAX(0,$AI27-5400*$AS27),IF($AN27="WI",MAX(0,$AI27-MAX(0,IF($AU27="Married",9461-0.2*MAX(0,$AI27-25727),6702-0.12*MAX(0,$AI27-17780)))-400*$AS27),IF($AN27="WV",MAX(0,$AI27-2000*$AS27),$AI27))))))))))))))))))))))</f>
      </c>
      <c r="BA27" s="7">
        <f>IF($B27="","",IF($BW27&lt;&gt;"",$BW27,IF($BX27&lt;&gt;"",$BX27,IF($BY27&lt;&gt;"",$BY27,0))))</f>
      </c>
      <c r="BB27" s="7">
        <f>IF($B27="","",IF($AN27="AR",-29*$AS27,IF($AN27="DE",-110*$AS27,IF($AN27="MD",$AZ27*Inputs!$C$74,IF($AN27="AZ",Inputs!$C$82*($M27-$D27)*Inputs!$C$8,IF($AN27="CO",0.044*MAX(0,$AY27-IF($AU27="Married",10000,5000)),IF($AN27="IA",MAX(0,0.038*MAX(0,$AY27-IF($AU27="Head of household",19500,IF($AU27="Married",26000,13000)))-40*$AS27),IF($AN27="ID",0.053*MAX(0,$AY27-IF($AU27="Married",32000,16094)),IF($AN27="IL",0.0495*MAX(0,$AY27-(2925*$AS27+1000*$AT27)),IF($AN27="IN",(0.0295+Inputs!$C$76)*MAX(0,$AY27-(1000*$AS27+1500*$AT27+3000*Inputs!$C$86)),IF($AN27="KY",0.035*MAX(0,$AI27-3360),IF($AN27="LA",IF(Inputs!$C$84="0",0.0309*$AI27,0.0309*MAX(0,$AI27-IF(Inputs!$C$84="2",25750,12875))),IF($AN27="MA",0.05*MIN(MAX(0,$AY27-MIN(($BD26+$Q27+$R27+$S27),2000)-IF($AS27=0,0,IF($AS27=1,4400,1000*$AS27+3400))),1107750)+0.09*MAX(0,MAX(0,$AY27-MIN(($BD26+$Q27+$R27+$S27),2000)-IF($AS27=0,0,IF($AS27=1,4400,1000*$AS27+3400)))-1107750)-IF($AU27="Head of household",120,0)-110*Inputs!$C$75,IF($AN27="MI",0.0425*MAX(0,$AY27-5900*$AS27),IF($AN27="MS",0.04*MAX(0,$AI27-IF($AU27="Head of household",3400,IF($AU27="Married",4600,2300))-Inputs!$C$85-10000),IF($AN27="OR",IF(OR($AU27="Married",AND($AU27="Single",$AS27&gt;=3)),SUMPRODUCT((MAX(0,$AY27-MIN(($P27-'Methodology &amp; Sources'!$C$260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Sources'!$B$461:$J$464,0,4))*(MAX(0,$AY27-MIN(($P27-'Methodology &amp; Sources'!$C$260*$D27)*Inputs!$C$8,IF(OR($AU27="Married",AND($AU27="Single",$AS27&gt;=3)),IF($AY27&lt;250000,8750,IF($AY27&lt;260000,7000,IF($AY27&lt;270000,5250,IF($AY27&lt;280000,3500,IF($AY27&lt;290000,1750,0))))),IF($AY27&lt;125000,8750,IF($AY27&lt;130000,7000,IF($AY27&lt;135000,5250,IF($AY27&lt;140000,3500,IF($AY27&lt;145000,1750,0)))))))-IF(OR($AU27="Married",AND($AU27="Single",$AS27&gt;=3)),5820,2910))-INDEX('Methodology &amp; Sources'!$B$461:$J$464,0,4))*INDEX('Methodology &amp; Sources'!$B$461:$J$464,0,4+2)),SUMPRODUCT((MAX(0,$AY27-MIN(($P27-'Methodology &amp; Sources'!$C$260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Sources'!$B$461:$J$464,0,1))*(MAX(0,$AY27-MIN(($P27-'Methodology &amp; Sources'!$C$260*$D27)*Inputs!$C$8,IF(OR($AU27="Married",AND($AU27="Single",$AS27&gt;=3)),IF($AY27&lt;250000,8750,IF($AY27&lt;260000,7000,IF($AY27&lt;270000,5250,IF($AY27&lt;280000,3500,IF($AY27&lt;290000,1750,0))))),IF($AY27&lt;125000,8750,IF($AY27&lt;130000,7000,IF($AY27&lt;135000,5250,IF($AY27&lt;140000,3500,IF($AY27&lt;145000,1750,0)))))))-IF(OR($AU27="Married",AND($AU27="Single",$AS27&gt;=3)),5820,2910))-INDEX('Methodology &amp; Sources'!$B$461:$J$464,0,1))*INDEX('Methodology &amp; Sources'!$B$461:$J$464,0,1+2)))+263-263*IF(IF($AU27="Married",$AY27&gt;200000,$AY27&gt;100000),0,$AS27),IF($AN27="PA",0.0307*(($O27+$E27+$G27)*Inputs!$C$8),IF($AN27="NY",IF($AU27="Married",IF($AZ27&gt;=2155350,0,IF($AZ27&gt;=1077550,0.48,IF($AZ27&gt;=373200,1.21,IF($AZ27&gt;=323200,0.21,IF($AZ27&gt;=211550,-0.19,IF($AZ27&gt;=157650,-2.8,IF($AZ27&gt;=107650,-0.8,IF($AZ27&gt;=96800,0.05,IF($AZ27&gt;=80650,-0.1,IF($AZ27&gt;=13900,0.4,IF($AZ27&gt;=11700,-0.3,IF($AZ27&gt;=8500,0.5,0)))))))))))),IF($AZ27&gt;=1077550,0,IF($AZ27&gt;=265400,4.29,IF($AZ27&gt;=215400,2.29,IF($AZ27&gt;=157650,2.29,IF($AZ27&gt;=107650,0.29,IF($AZ27&gt;=96800,0.05,IF($AZ27&gt;=80650,-0.1,IF($AZ27&gt;=13900,0.4,IF($AZ27&gt;=11700,-0.3,IF($AZ27&gt;=8500,0.5,0))))))))))),0))))))))))))))))))</f>
      </c>
      <c r="BC27" s="7">
        <f>IF($B27="","",IF($AN27="AL",0.05*$D27,IF($AN27="AR",0.039*$D27,IF($AN27="ID",0.053*$D27,IF($AN27="IN",(0.0295+Inputs!$C$76)*$D27,IF($AN27="KS",0.05*$D27,IF($AN27="MA",0.09*MIN($D27,MAX(0,MAX(0,$AY27-MIN(($BD26+$Q27+$R27+$S27),2000)-IF($AS27=0,0,IF($AS27=1,4400,1000*$AS27+3400)))+$D27-1107750))+0.05*($D27-MIN($D27,MAX(0,MAX(0,$AY27-MIN(($BD26+$Q27+$R27+$S27),2000)-IF($AS27=0,0,IF($AS27=1,4400,1000*$AS27+3400)))+$D27-1107750))),IF($AN27="MD",(0.065+Inputs!$C$74)*$D27,IF($AN27="MI",0.0425*$D27,IF($AN27="MN",0.0625*$D27,IF($AN27="MO",0.047*$D27,IF($AN27="MT",0.05*$D27,IF($AN27="ND",0.015*$D27,IF($AN27="NE",0.035*$D27,IF($AN27="NJ",IF(Inputs!$C$77="B",SUMPRODUCT(($D27*Inputs!$C$8&gt;INDEX('Methodology &amp; Sources'!$B$405:$J$412,0,4))*($D27*Inputs!$C$8-INDEX('Methodology &amp; Sources'!$B$405:$J$412,0,4))*INDEX('Methodology &amp; Sources'!$B$405:$J$412,0,4+2)),IF(Inputs!$C$77="C",SUMPRODUCT(($D27*Inputs!$C$8&gt;INDEX('Methodology &amp; Sources'!$B$405:$J$412,0,7))*($D27*Inputs!$C$8-INDEX('Methodology &amp; Sources'!$B$405:$J$412,0,7))*INDEX('Methodology &amp; Sources'!$B$405:$J$412,0,7+2)),IF(Inputs!$C$77="D",SUMPRODUCT(($D27*Inputs!$C$8&gt;INDEX('Methodology &amp; Sources'!$B$417:$J$429,0,1))*($D27*Inputs!$C$8-INDEX('Methodology &amp; Sources'!$B$417:$J$429,0,1))*INDEX('Methodology &amp; Sources'!$B$417:$J$429,0,1+2)),IF(Inputs!$C$77="E",SUMPRODUCT(($D27*Inputs!$C$8&gt;INDEX('Methodology &amp; Sources'!$B$417:$J$429,0,4))*($D27*Inputs!$C$8-INDEX('Methodology &amp; Sources'!$B$417:$J$429,0,4))*INDEX('Methodology &amp; Sources'!$B$417:$J$429,0,4+2)),SUMPRODUCT(($D27*Inputs!$C$8&gt;INDEX('Methodology &amp; Sources'!$B$405:$J$412,0,1))*($D27*Inputs!$C$8-INDEX('Methodology &amp; Sources'!$B$405:$J$412,0,1))*INDEX('Methodology &amp; Sources'!$B$405:$J$412,0,1+2))))))/Inputs!$C$8,IF($AN27="NY",0.117*$D27,IF($AN27="OH",0.0275*$D27,IF($AN27="OK",0.045*$D27,IF($AN27="OR",0.08*$D27,IF($AN27="WI",IF($AY27&lt;12760,0.0354,IF($AY27&lt;25520,0.0465,IF($AY27&lt;280950,0.053,0.0765)))*$D27,0))))))))))))))))))))</f>
      </c>
      <c r="BD27" s="7">
        <f>IF($B27="","",$BD26+$Q27+$R27+$S27)</f>
      </c>
      <c r="BE27" s="6">
        <f>IF($B27="",$BE26,$BE26+$BF27)</f>
      </c>
      <c r="BF27" s="6">
        <f>IF($B27="","",IF(AND(IF(YEAR(IF(Inputs!$C$7="Weekly",Inputs!$C$9+7*(($BE26+1)-1),IF(Inputs!$C$7="Biweekly",Inputs!$C$9+14*(($BE26+1)-1),IF(Inputs!$C$7="Semimonthly",DATE(YEAR(Inputs!$C$9),MONTH(Inputs!$C$9)+INT((($BE26+1)-1)/2),MIN(DAY(Inputs!$C$9),DAY(EOMONTH(DATE(YEAR(Inputs!$C$9),MONTH(Inputs!$C$9)+INT((($BE26+1)-1)/2),1),0))))+IF(MOD(($BE26+1)-1,2)=1,15,0),EDATE(Inputs!$C$9,($BE26+1)-1)))))&lt;&gt;2026,"",IF(Inputs!$C$7="Weekly",Inputs!$C$9+7*(($BE26+1)-1),IF(Inputs!$C$7="Biweekly",Inputs!$C$9+14*(($BE26+1)-1),IF(Inputs!$C$7="Semimonthly",DATE(YEAR(Inputs!$C$9),MONTH(Inputs!$C$9)+INT((($BE26+1)-1)/2),MIN(DAY(Inputs!$C$9),DAY(EOMONTH(DATE(YEAR(Inputs!$C$9),MONTH(Inputs!$C$9)+INT((($BE26+1)-1)/2),1),0))))+IF(MOD(($BE26+1)-1,2)=1,15,0),EDATE(Inputs!$C$9,($BE26+1)-1)))))&lt;&gt;"",$B27=IF(YEAR(IF(Inputs!$C$7="Weekly",Inputs!$C$9+7*(($BE26+1)-1),IF(Inputs!$C$7="Biweekly",Inputs!$C$9+14*(($BE26+1)-1),IF(Inputs!$C$7="Semimonthly",DATE(YEAR(Inputs!$C$9),MONTH(Inputs!$C$9)+INT((($BE26+1)-1)/2),MIN(DAY(Inputs!$C$9),DAY(EOMONTH(DATE(YEAR(Inputs!$C$9),MONTH(Inputs!$C$9)+INT((($BE26+1)-1)/2),1),0))))+IF(MOD(($BE26+1)-1,2)=1,15,0),EDATE(Inputs!$C$9,($BE26+1)-1)))))&lt;&gt;2026,"",IF(Inputs!$C$7="Weekly",Inputs!$C$9+7*(($BE26+1)-1),IF(Inputs!$C$7="Biweekly",Inputs!$C$9+14*(($BE26+1)-1),IF(Inputs!$C$7="Semimonthly",DATE(YEAR(Inputs!$C$9),MONTH(Inputs!$C$9)+INT((($BE26+1)-1)/2),MIN(DAY(Inputs!$C$9),DAY(EOMONTH(DATE(YEAR(Inputs!$C$9),MONTH(Inputs!$C$9)+INT((($BE26+1)-1)/2),1),0))))+IF(MOD(($BE26+1)-1,2)=1,15,0),EDATE(Inputs!$C$9,($BE26+1)-1)))))),1,0))</f>
      </c>
      <c r="BG27" s="7">
        <f>IF($B27="","",$BG26+$H27)</f>
      </c>
      <c r="BH27" s="7">
        <f>IF($B27="","",$BH26+$I27)</f>
      </c>
      <c r="BI27" s="7">
        <f>IF($B27="","",$BI26+$G27)</f>
      </c>
      <c r="BJ27" s="7">
        <f>IF($B27="","",IFERROR(LOOKUP(2,1/((((Events!$C$6:$C$17="Deduction start"))*(Events!$D$6:$D$17="Health FSA"))*(Events!$B$6:$B$17&lt;=$B27)*(Events!$B$6:$B$17&lt;&gt;"")),Events!$E$6:$E$17),Inputs!$D$38))</f>
      </c>
      <c r="BK27" s="7">
        <f>IF($B27="","",IFERROR(LOOKUP(2,1/((((Events!$C$6:$C$17="Deduction start"))*(Events!$D$6:$D$17="Dependent-care FSA"))*(Events!$B$6:$B$17&lt;=$B27)*(Events!$B$6:$B$17&lt;&gt;"")),Events!$E$6:$E$17),Inputs!$D$39))</f>
      </c>
      <c r="BL27" s="7">
        <f>IF($B27="","",IFERROR(LOOKUP(2,1/((((Events!$C$6:$C$17="Deduction start")+(Events!$C$6:$C$17="Deduction stop"))*(Events!$D$6:$D$17="HSA"))*(Events!$B$6:$B$17&lt;=$B27)*(Events!$B$6:$B$17&lt;&gt;"")),Events!$I$6:$I$17),Inputs!$D$35))</f>
      </c>
      <c r="BM27" s="7">
        <f>IF($B27="","",IFERROR(LOOKUP(2,1/((((Events!$C$6:$C$17="Deduction start")+(Events!$C$6:$C$17="Deduction stop"))*(Events!$D$6:$D$17="Premiums"))*(Events!$B$6:$B$17&lt;=$B27)*(Events!$B$6:$B$17&lt;&gt;"")),Events!$I$6:$I$17),Inputs!$D$40+Inputs!$D$41+Inputs!$D$42))</f>
      </c>
      <c r="BN27" s="7">
        <f>IF($B27="","",IFERROR(LOOKUP(2,1/((((Events!$C$6:$C$17="Deduction start")+(Events!$C$6:$C$17="Deduction stop"))*(Events!$D$6:$D$17="Commuter"))*(Events!$B$6:$B$17&lt;=$B27)*(Events!$B$6:$B$17&lt;&gt;"")),Events!$I$6:$I$17),Inputs!$D$43))</f>
      </c>
      <c r="BO27" s="7">
        <f>IF($B27="","",IFERROR(LOOKUP(2,1/((((Events!$C$6:$C$17="Deduction start")+(Events!$C$6:$C$17="Deduction stop"))*(Events!$D$6:$D$17="Other pre-tax"))*(Events!$B$6:$B$17&lt;=$B27)*(Events!$B$6:$B$17&lt;&gt;"")),Events!$I$6:$I$17),Inputs!$D$44))</f>
      </c>
      <c r="BP27" s="7">
        <f>IF($B27="","",IFERROR(LOOKUP(2,1/((((Events!$C$6:$C$17="Deduction start")+(Events!$C$6:$C$17="Deduction stop"))*(Events!$D$6:$D$17="Other post-tax"))*(Events!$B$6:$B$17&lt;=$B27)*(Events!$B$6:$B$17&lt;&gt;"")),Events!$I$6:$I$17),Inputs!$D$45))</f>
      </c>
      <c r="BQ27" s="6">
        <f>IF($B27="","",IFERROR(LOOKUP(2,1/((((Events!$C$6:$C$17="Deduction start")+(Events!$C$6:$C$17="Deduction stop"))*(Events!$D$6:$D$17="Health FSA"))*(Events!$B$6:$B$17&lt;=$B27)*(Events!$B$6:$B$17&lt;&gt;"")),Events!$J$6:$J$17),0))</f>
      </c>
      <c r="BR27" s="6">
        <f>IF($B27="","",IFERROR(LOOKUP(2,1/((((Events!$C$6:$C$17="Deduction start")+(Events!$C$6:$C$17="Deduction stop"))*(Events!$D$6:$D$17="Dependent-care FSA"))*(Events!$B$6:$B$17&lt;=$B27)*(Events!$B$6:$B$17&lt;&gt;"")),Events!$J$6:$J$17),0))</f>
      </c>
      <c r="BS27" s="6">
        <f>IF($B27="","",IF(SUMPRODUCT((Events!$C$6:$C$17="Deduction start")*(Events!$B$6:$B$17&lt;=$B27)*(Events!$B$6:$B$17&lt;&gt;"")*(Events!$D$6:$D$17="Health FSA"))&gt;0,1,0))</f>
      </c>
      <c r="BT27" s="6">
        <f>IF($B27="","",IF(SUMPRODUCT((Events!$C$6:$C$17="Deduction start")*(Events!$B$6:$B$17&lt;=$B27)*(Events!$B$6:$B$17&lt;&gt;"")*(Events!$D$6:$D$17="Dependent-care FSA"))&gt;0,1,0))</f>
      </c>
      <c r="BU27" s="24">
        <f>IF($B27="","",IF(Inputs!$C$13,SUMPRODUCT(($AH27&gt;=INDEX('Methodology &amp; Sources'!$B$279:$J$286,0,IF(Inputs!$C$12="MFJ",1,IF(Inputs!$C$12="HoH",7,4))))*INDEX('Methodology &amp; Sources'!$B$279:$J$286,0,IF(Inputs!$C$12="MFJ",1,IF(Inputs!$C$12="HoH",7,4))+2)),SUMPRODUCT(($AH27&gt;=INDEX('Methodology &amp; Sources'!$B$269:$J$276,0,IF(Inputs!$C$12="MFJ",1,IF(Inputs!$C$12="HoH",7,4))))*INDEX('Methodology &amp; Sources'!$B$269:$J$276,0,IF(Inputs!$C$12="MFJ",1,IF(Inputs!$C$12="HoH",7,4))+2))))</f>
      </c>
      <c r="BV27" s="24">
        <f>IF($B27="","",IF($BZ27&lt;&gt;"",$BZ27,IF($CA27&lt;&gt;"",$CA27,IF($CB27&lt;&gt;"",$CB27,IF($CC27&lt;&gt;"",$CC27,0)))))</f>
      </c>
      <c r="BW27" s="7">
        <f>IF($B27="","",IF($AN27="MD",IF(OR($AU27="Married",$AU27="Head of household"),SUMPRODUCT(($AZ27&gt;INDEX('Methodology &amp; Sources'!$B$364:$J$370,0,1))*($AZ27-INDEX('Methodology &amp; Sources'!$B$364:$J$370,0,1))*INDEX('Methodology &amp; Sources'!$B$364:$J$370,0,1+2)),SUMPRODUCT(($AZ27&gt;INDEX('Methodology &amp; Sources'!$B$353:$J$359,0,7))*($AZ27-INDEX('Methodology &amp; Sources'!$B$353:$J$359,0,7))*INDEX('Methodology &amp; Sources'!$B$353:$J$359,0,7+2))),IF($AN27="MO",SUMPRODUCT(($AZ27&gt;INDEX('Methodology &amp; Sources'!$B$375:$J$382,0,1))*($AZ27-INDEX('Methodology &amp; Sources'!$B$375:$J$382,0,1))*INDEX('Methodology &amp; Sources'!$B$375:$J$382,0,1+2)),IF($AN27="MT",IF($AU27="Head of household",SUMPRODUCT(($AZ27&gt;INDEX('Methodology &amp; Sources'!$B$387:$J$389,0,1))*($AZ27-INDEX('Methodology &amp; Sources'!$B$387:$J$389,0,1))*INDEX('Methodology &amp; Sources'!$B$387:$J$389,0,1+2)),IF($AU27="Married",SUMPRODUCT(($AZ27&gt;INDEX('Methodology &amp; Sources'!$B$375:$J$382,0,7))*($AZ27-INDEX('Methodology &amp; Sources'!$B$375:$J$382,0,7))*INDEX('Methodology &amp; Sources'!$B$375:$J$382,0,7+2)),SUMPRODUCT(($AZ27&gt;INDEX('Methodology &amp; Sources'!$B$375:$J$382,0,4))*($AZ27-INDEX('Methodology &amp; Sources'!$B$375:$J$382,0,4))*INDEX('Methodology &amp; Sources'!$B$375:$J$382,0,4+2)))),IF($AN27="ND",IF($AU27="Head of household",SUMPRODUCT(($AZ27&gt;INDEX('Methodology &amp; Sources'!$B$394:$J$400,0,1))*($AZ27-INDEX('Methodology &amp; Sources'!$B$394:$J$400,0,1))*INDEX('Methodology &amp; Sources'!$B$394:$J$400,0,1+2)),IF($AU27="Married",SUMPRODUCT(($AZ27&gt;INDEX('Methodology &amp; Sources'!$B$387:$J$389,0,7))*($AZ27-INDEX('Methodology &amp; Sources'!$B$387:$J$389,0,7))*INDEX('Methodology &amp; Sources'!$B$387:$J$389,0,7+2)),SUMPRODUCT(($AZ27&gt;INDEX('Methodology &amp; Sources'!$B$387:$J$389,0,4))*($AZ27-INDEX('Methodology &amp; Sources'!$B$387:$J$389,0,4))*INDEX('Methodology &amp; Sources'!$B$387:$J$389,0,4+2)))),IF($AN27="NJ",IF(Inputs!$C$77="B",SUMPRODUCT(($AZ27&gt;INDEX('Methodology &amp; Sources'!$B$405:$J$412,0,4))*($AZ27-INDEX('Methodology &amp; Sources'!$B$405:$J$412,0,4))*INDEX('Methodology &amp; Sources'!$B$405:$J$412,0,4+2)),IF(Inputs!$C$77="C",SUMPRODUCT(($AZ27&gt;INDEX('Methodology &amp; Sources'!$B$405:$J$412,0,7))*($AZ27-INDEX('Methodology &amp; Sources'!$B$405:$J$412,0,7))*INDEX('Methodology &amp; Sources'!$B$405:$J$412,0,7+2)),IF(Inputs!$C$77="D",SUMPRODUCT(($AZ27&gt;INDEX('Methodology &amp; Sources'!$B$417:$J$429,0,1))*($AZ27-INDEX('Methodology &amp; Sources'!$B$417:$J$429,0,1))*INDEX('Methodology &amp; Sources'!$B$417:$J$429,0,1+2)),IF(Inputs!$C$77="E",SUMPRODUCT(($AZ27&gt;INDEX('Methodology &amp; Sources'!$B$417:$J$429,0,4))*($AZ27-INDEX('Methodology &amp; Sources'!$B$417:$J$429,0,4))*INDEX('Methodology &amp; Sources'!$B$417:$J$429,0,4+2)),SUMPRODUCT(($AZ27&gt;INDEX('Methodology &amp; Sources'!$B$405:$J$412,0,1))*($AZ27-INDEX('Methodology &amp; Sources'!$B$405:$J$412,0,1))*INDEX('Methodology &amp; Sources'!$B$405:$J$412,0,1+2)))))),IF($AN27="NY",IF($AU27="Married",IF($AZ27&gt;=2155350,$AZ27*IF($AZ27&gt;25000000,0.117,IF($AZ27&gt;5000000,0.111,0.1045)),SUMPRODUCT(($AZ27&gt;INDEX('Methodology &amp; Sources'!$B$434:$J$448,0,1))*($AZ27-INDEX('Methodology &amp; Sources'!$B$434:$J$448,0,1))*INDEX('Methodology &amp; Sources'!$B$434:$J$448,0,1+2))),IF($AZ27&gt;=1077550,$AZ27*IF($AZ27&gt;25000000,0.117,IF($AZ27&gt;5000000,0.111,0.1045)),SUMPRODUCT(($AZ27&gt;INDEX('Methodology &amp; Sources'!$B$417:$J$429,0,7))*($AZ27-INDEX('Methodology &amp; Sources'!$B$417:$J$429,0,7))*INDEX('Methodology &amp; Sources'!$B$417:$J$429,0,7+2)))),"")))))))</f>
      </c>
      <c r="BX27" s="7">
        <f>IF($B27="","",IF($AN27="AL",IF(OR($AU27="Married",$AU27="Head of household"),SUMPRODUCT(($AZ27&gt;INDEX('Methodology &amp; Sources'!$B$332:$J$336,0,4))*($AZ27-INDEX('Methodology &amp; Sources'!$B$332:$J$336,0,4))*INDEX('Methodology &amp; Sources'!$B$332:$J$336,0,4+2)),SUMPRODUCT(($AZ27&gt;INDEX('Methodology &amp; Sources'!$B$332:$J$336,0,1))*($AZ27-INDEX('Methodology &amp; Sources'!$B$332:$J$336,0,1))*INDEX('Methodology &amp; Sources'!$B$332:$J$336,0,1+2))),IF($AN27="KS",IF($AU27="Married",SUMPRODUCT(($AZ27&gt;INDEX('Methodology &amp; Sources'!$B$353:$J$359,0,4))*($AZ27-INDEX('Methodology &amp; Sources'!$B$353:$J$359,0,4))*INDEX('Methodology &amp; Sources'!$B$353:$J$359,0,4+2)),SUMPRODUCT(($AZ27&gt;INDEX('Methodology &amp; Sources'!$B$353:$J$359,0,1))*($AZ27-INDEX('Methodology &amp; Sources'!$B$353:$J$359,0,1))*INDEX('Methodology &amp; Sources'!$B$353:$J$359,0,1+2))),IF($AN27="MN",IF($AU27="Married",SUMPRODUCT(($AZ27&gt;INDEX('Methodology &amp; Sources'!$B$364:$J$370,0,7))*($AZ27-INDEX('Methodology &amp; Sources'!$B$364:$J$370,0,7))*INDEX('Methodology &amp; Sources'!$B$364:$J$370,0,7+2)),SUMPRODUCT(($AZ27&gt;INDEX('Methodology &amp; Sources'!$B$364:$J$370,0,4))*($AZ27-INDEX('Methodology &amp; Sources'!$B$364:$J$370,0,4))*INDEX('Methodology &amp; Sources'!$B$364:$J$370,0,4+2))),IF($AN27="NE",MAX(IF($AU27="Married",SUMPRODUCT(($AZ27&gt;INDEX('Methodology &amp; Sources'!$B$394:$J$400,0,7))*($AZ27-INDEX('Methodology &amp; Sources'!$B$394:$J$400,0,7))*INDEX('Methodology &amp; Sources'!$B$394:$J$400,0,7+2)),SUMPRODUCT(($AZ27&gt;INDEX('Methodology &amp; Sources'!$B$394:$J$400,0,4))*($AZ27-INDEX('Methodology &amp; Sources'!$B$394:$J$400,0,4))*INDEX('Methodology &amp; Sources'!$B$394:$J$400,0,4+2))),0.015*$AZ27),IF($AN27="OH",IF($B27&gt;=DATE(2026,8,1),SUMPRODUCT(($AZ27&gt;INDEX('Methodology &amp; Sources'!$B$453:$J$456,0,1))*($AZ27-INDEX('Methodology &amp; Sources'!$B$453:$J$456,0,1))*INDEX('Methodology &amp; Sources'!$B$453:$J$456,0,1+2)),SUMPRODUCT(($AZ27&gt;INDEX('Methodology &amp; Sources'!$B$434:$J$448,0,7))*($AZ27-INDEX('Methodology &amp; Sources'!$B$434:$J$448,0,7))*INDEX('Methodology &amp; Sources'!$B$434:$J$448,0,7+2))),IF($AN27="OK",IF($AU27="Married",SUMPRODUCT(($AZ27&gt;INDEX('Methodology &amp; Sources'!$B$453:$J$456,0,7))*($AZ27-INDEX('Methodology &amp; Sources'!$B$453:$J$456,0,7))*INDEX('Methodology &amp; Sources'!$B$453:$J$456,0,7+2)),SUMPRODUCT(($AZ27&gt;INDEX('Methodology &amp; Sources'!$B$453:$J$456,0,4))*($AZ27-INDEX('Methodology &amp; Sources'!$B$453:$J$456,0,4))*INDEX('Methodology &amp; Sources'!$B$453:$J$456,0,4+2))),IF($AN27="RI",SUMPRODUCT(($AZ27&gt;INDEX('Methodology &amp; Sources'!$B$461:$J$464,0,7))*($AZ27-INDEX('Methodology &amp; Sources'!$B$461:$J$464,0,7))*INDEX('Methodology &amp; Sources'!$B$461:$J$464,0,7+2)),IF($AN27="VT",IF($AU27="Married",SUMPRODUCT(($AZ27&gt;INDEX('Methodology &amp; Sources'!$B$478:$J$482,0,1))*($AZ27-INDEX('Methodology &amp; Sources'!$B$478:$J$482,0,1))*INDEX('Methodology &amp; Sources'!$B$478:$J$482,0,1+2)),SUMPRODUCT(($AZ27&gt;INDEX('Methodology &amp; Sources'!$B$469:$J$473,0,7))*($AZ27-INDEX('Methodology &amp; Sources'!$B$469:$J$473,0,7))*INDEX('Methodology &amp; Sources'!$B$469:$J$473,0,7+2))),IF($AN27="WV",IF($AU27="Married",SUMPRODUCT(($AZ27&gt;INDEX('Methodology &amp; Sources'!$B$487:$J$491,0,7))*($AZ27-INDEX('Methodology &amp; Sources'!$B$487:$J$491,0,7))*INDEX('Methodology &amp; Sources'!$B$487:$J$491,0,7+2)),SUMPRODUCT(($AZ27&gt;INDEX('Methodology &amp; Sources'!$B$478:$J$482,0,7))*($AZ27-INDEX('Methodology &amp; Sources'!$B$478:$J$482,0,7))*INDEX('Methodology &amp; Sources'!$B$478:$J$482,0,7+2))),""))))))))))</f>
      </c>
      <c r="BY27" s="7">
        <f>IF($B27="","",IF($AN27="AR",SUMPRODUCT(($AZ27&gt;INDEX('Methodology &amp; Sources'!$B$332:$J$336,0,7))*($AZ27-INDEX('Methodology &amp; Sources'!$B$332:$J$336,0,7))*INDEX('Methodology &amp; Sources'!$B$332:$J$336,0,7+2)),IF($AN27="DE",SUMPRODUCT(($AZ27&gt;INDEX('Methodology &amp; Sources'!$B$341:$J$348,0,1))*($AZ27-INDEX('Methodology &amp; Sources'!$B$341:$J$348,0,1))*INDEX('Methodology &amp; Sources'!$B$341:$J$348,0,1+2)),IF($AN27="HI",IF($AU27="Married",SUMPRODUCT(($AZ27&gt;INDEX('Methodology &amp; Sources'!$B$341:$J$348,0,7))*($AZ27-INDEX('Methodology &amp; Sources'!$B$341:$J$348,0,7))*INDEX('Methodology &amp; Sources'!$B$341:$J$348,0,7+2)),SUMPRODUCT(($AZ27&gt;INDEX('Methodology &amp; Sources'!$B$341:$J$348,0,4))*($AZ27-INDEX('Methodology &amp; Sources'!$B$341:$J$348,0,4))*INDEX('Methodology &amp; Sources'!$B$341:$J$348,0,4+2))),IF($AN27="SC",SUMPRODUCT(($AZ27&gt;INDEX('Methodology &amp; Sources'!$B$469:$J$473,0,1))*($AZ27-INDEX('Methodology &amp; Sources'!$B$469:$J$473,0,1))*INDEX('Methodology &amp; Sources'!$B$469:$J$473,0,1+2)),IF($AN27="VA",SUMPRODUCT(($AZ27&gt;INDEX('Methodology &amp; Sources'!$B$469:$J$473,0,4))*($AZ27-INDEX('Methodology &amp; Sources'!$B$469:$J$473,0,4))*INDEX('Methodology &amp; Sources'!$B$469:$J$473,0,4+2)),IF($AN27="WI",SUMPRODUCT(($AZ27&gt;INDEX('Methodology &amp; Sources'!$B$478:$J$482,0,4))*($AZ27-INDEX('Methodology &amp; Sources'!$B$478:$J$482,0,4))*INDEX('Methodology &amp; Sources'!$B$478:$J$482,0,4+2)),"")))))))</f>
      </c>
      <c r="BZ27" s="24">
        <f>IF($B27="","",IF($AN27="NJ",IF(Inputs!$C$77="B",SUMPRODUCT(($AZ27&gt;=INDEX('Methodology &amp; Sources'!$B$405:$J$412,0,4))*INDEX('Methodology &amp; Sources'!$B$405:$J$412,0,4+2)),IF(Inputs!$C$77="C",SUMPRODUCT(($AZ27&gt;=INDEX('Methodology &amp; Sources'!$B$405:$J$412,0,7))*INDEX('Methodology &amp; Sources'!$B$405:$J$412,0,7+2)),IF(Inputs!$C$77="D",SUMPRODUCT(($AZ27&gt;=INDEX('Methodology &amp; Sources'!$B$417:$J$429,0,1))*INDEX('Methodology &amp; Sources'!$B$417:$J$429,0,1+2)),IF(Inputs!$C$77="E",SUMPRODUCT(($AZ27&gt;=INDEX('Methodology &amp; Sources'!$B$417:$J$429,0,4))*INDEX('Methodology &amp; Sources'!$B$417:$J$429,0,4+2)),SUMPRODUCT(($AZ27&gt;=INDEX('Methodology &amp; Sources'!$B$405:$J$412,0,1))*INDEX('Methodology &amp; Sources'!$B$405:$J$412,0,1+2)))))),IF($AN27="OR",IF(OR($AU27="Married",AND($AU27="Single",$AS27&gt;=3)),SUMPRODUCT((MAX(0,$AY27-MIN(($P27-'Methodology &amp; Sources'!$C$260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Sources'!$B$461:$J$464,0,4))*INDEX('Methodology &amp; Sources'!$B$461:$J$464,0,4+2)),SUMPRODUCT((MAX(0,$AY27-MIN(($P27-'Methodology &amp; Sources'!$C$260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Sources'!$B$461:$J$464,0,1))*INDEX('Methodology &amp; Sources'!$B$461:$J$464,0,1+2)))*IF(($P27-'Methodology &amp; Sources'!$C$260*$D27)*Inputs!$C$8&gt;=IF(OR($AU27="Married",AND($AU27="Single",$AS27&gt;=3)),IF($AY27&lt;250000,8750,IF($AY27&lt;260000,7000,IF($AY27&lt;270000,5250,IF($AY27&lt;280000,3500,IF($AY27&lt;290000,1750,0))))),IF($AY27&lt;125000,8750,IF($AY27&lt;130000,7000,IF($AY27&lt;135000,5250,IF($AY27&lt;140000,3500,IF($AY27&lt;145000,1750,0)))))),1,1-IF(Inputs!$C$13,SUMPRODUCT(($AH27&gt;=INDEX('Methodology &amp; Sources'!$B$279:$J$286,0,IF(Inputs!$C$12="MFJ",1,IF(Inputs!$C$12="HoH",7,4))))*INDEX('Methodology &amp; Sources'!$B$279:$J$286,0,IF(Inputs!$C$12="MFJ",1,IF(Inputs!$C$12="HoH",7,4))+2)),SUMPRODUCT(($AH27&gt;=INDEX('Methodology &amp; Sources'!$B$269:$J$276,0,IF(Inputs!$C$12="MFJ",1,IF(Inputs!$C$12="HoH",7,4))))*INDEX('Methodology &amp; Sources'!$B$269:$J$276,0,IF(Inputs!$C$12="MFJ",1,IF(Inputs!$C$12="HoH",7,4))+2)))),IF($AN27="MI",IF($AY27&gt;5900*$AS27,0.0425,0),""))))</f>
      </c>
      <c r="CA27" s="24">
        <f>IF($B27="","",IF($AN27="AL",IF(OR($AU27="Married",$AU27="Head of household"),SUMPRODUCT(($AZ27&gt;=INDEX('Methodology &amp; Sources'!$B$332:$J$336,0,4))*INDEX('Methodology &amp; Sources'!$B$332:$J$336,0,4+2)),SUMPRODUCT(($AZ27&gt;=INDEX('Methodology &amp; Sources'!$B$332:$J$336,0,1))*INDEX('Methodology &amp; Sources'!$B$332:$J$336,0,1+2)))*(1-IF(Inputs!$C$13,SUMPRODUCT(($AH27&gt;=INDEX('Methodology &amp; Sources'!$B$279:$J$286,0,IF(Inputs!$C$12="MFJ",1,IF(Inputs!$C$12="HoH",7,4))))*INDEX('Methodology &amp; Sources'!$B$279:$J$286,0,IF(Inputs!$C$12="MFJ",1,IF(Inputs!$C$12="HoH",7,4))+2)),SUMPRODUCT(($AH27&gt;=INDEX('Methodology &amp; Sources'!$B$269:$J$276,0,IF(Inputs!$C$12="MFJ",1,IF(Inputs!$C$12="HoH",7,4))))*INDEX('Methodology &amp; Sources'!$B$269:$J$276,0,IF(Inputs!$C$12="MFJ",1,IF(Inputs!$C$12="HoH",7,4))+2)))),IF($AN27="KS",IF($AU27="Married",SUMPRODUCT(($AZ27&gt;=INDEX('Methodology &amp; Sources'!$B$353:$J$359,0,4))*INDEX('Methodology &amp; Sources'!$B$353:$J$359,0,4+2)),SUMPRODUCT(($AZ27&gt;=INDEX('Methodology &amp; Sources'!$B$353:$J$359,0,1))*INDEX('Methodology &amp; Sources'!$B$353:$J$359,0,1+2))),IF($AN27="MD",IF(OR($AU27="Married",$AU27="Head of household"),SUMPRODUCT(($AZ27&gt;=INDEX('Methodology &amp; Sources'!$B$364:$J$370,0,1))*INDEX('Methodology &amp; Sources'!$B$364:$J$370,0,1+2)),SUMPRODUCT(($AZ27&gt;=INDEX('Methodology &amp; Sources'!$B$353:$J$359,0,7))*INDEX('Methodology &amp; Sources'!$B$353:$J$359,0,7+2)))+Inputs!$C$74,IF($AN27="MT",IF($AU27="Head of household",SUMPRODUCT(($AZ27&gt;=INDEX('Methodology &amp; Sources'!$B$387:$J$389,0,1))*INDEX('Methodology &amp; Sources'!$B$387:$J$389,0,1+2)),IF($AU27="Married",SUMPRODUCT(($AZ27&gt;=INDEX('Methodology &amp; Sources'!$B$375:$J$382,0,7))*INDEX('Methodology &amp; Sources'!$B$375:$J$382,0,7+2)),SUMPRODUCT(($AZ27&gt;=INDEX('Methodology &amp; Sources'!$B$375:$J$382,0,4))*INDEX('Methodology &amp; Sources'!$B$375:$J$382,0,4+2)))),IF($AN27="ND",IF($AU27="Head of household",SUMPRODUCT(($AZ27&gt;=INDEX('Methodology &amp; Sources'!$B$394:$J$400,0,1))*INDEX('Methodology &amp; Sources'!$B$394:$J$400,0,1+2)),IF($AU27="Married",SUMPRODUCT(($AZ27&gt;=INDEX('Methodology &amp; Sources'!$B$387:$J$389,0,7))*INDEX('Methodology &amp; Sources'!$B$387:$J$389,0,7+2)),SUMPRODUCT(($AZ27&gt;=INDEX('Methodology &amp; Sources'!$B$387:$J$389,0,4))*INDEX('Methodology &amp; Sources'!$B$387:$J$389,0,4+2)))),IF($AN27="NY",IF($AU27="Married",IF($AZ27&gt;=2155350,IF($AZ27&gt;25000000,0.117,IF($AZ27&gt;5000000,0.111,0.1045)),SUMPRODUCT(($AZ27&gt;=INDEX('Methodology &amp; Sources'!$B$434:$J$448,0,1))*INDEX('Methodology &amp; Sources'!$B$434:$J$448,0,1+2))),IF($AZ27&gt;=1077550,IF($AZ27&gt;25000000,0.117,IF($AZ27&gt;5000000,0.111,0.1045)),SUMPRODUCT(($AZ27&gt;=INDEX('Methodology &amp; Sources'!$B$417:$J$429,0,7))*INDEX('Methodology &amp; Sources'!$B$417:$J$429,0,7+2)))),"")))))))</f>
      </c>
      <c r="CB27" s="24">
        <f>IF($B27="","",IF($AN27="CA",SUMPRODUCT(($AJ27&gt;=INDEX('Methodology &amp; Sources'!$B$289:$J$298,0,IF($AU27="Married",4,IF($AU27="Head of household",7,1))))*INDEX('Methodology &amp; Sources'!$B$289:$J$298,0,IF($AU27="Married",4,IF($AU27="Head of household",7,1))+2)),IF($AN27="HI",IF($AU27="Married",SUMPRODUCT(($AZ27&gt;=INDEX('Methodology &amp; Sources'!$B$341:$J$348,0,7))*INDEX('Methodology &amp; Sources'!$B$341:$J$348,0,7+2)),SUMPRODUCT(($AZ27&gt;=INDEX('Methodology &amp; Sources'!$B$341:$J$348,0,4))*INDEX('Methodology &amp; Sources'!$B$341:$J$348,0,4+2))),IF($AN27="MN",IF($AU27="Married",SUMPRODUCT(($AZ27&gt;=INDEX('Methodology &amp; Sources'!$B$364:$J$370,0,7))*INDEX('Methodology &amp; Sources'!$B$364:$J$370,0,7+2)),SUMPRODUCT(($AZ27&gt;=INDEX('Methodology &amp; Sources'!$B$364:$J$370,0,4))*INDEX('Methodology &amp; Sources'!$B$364:$J$370,0,4+2))),IF($AN27="MO",SUMPRODUCT(($AZ27&gt;=INDEX('Methodology &amp; Sources'!$B$375:$J$382,0,1))*INDEX('Methodology &amp; Sources'!$B$375:$J$382,0,1+2)),IF($AN27="NE",MAX(IF($AU27="Married",SUMPRODUCT(($AZ27&gt;=INDEX('Methodology &amp; Sources'!$B$394:$J$400,0,7))*INDEX('Methodology &amp; Sources'!$B$394:$J$400,0,7+2)),SUMPRODUCT(($AZ27&gt;=INDEX('Methodology &amp; Sources'!$B$394:$J$400,0,4))*INDEX('Methodology &amp; Sources'!$B$394:$J$400,0,4+2))),0.015),IF($AN27="OH",IF($B27&gt;=DATE(2026,8,1),SUMPRODUCT(($AZ27&gt;=INDEX('Methodology &amp; Sources'!$B$453:$J$456,0,1))*INDEX('Methodology &amp; Sources'!$B$453:$J$456,0,1+2)),SUMPRODUCT(($AZ27&gt;=INDEX('Methodology &amp; Sources'!$B$434:$J$448,0,7))*INDEX('Methodology &amp; Sources'!$B$434:$J$448,0,7+2))),IF($AN27="OK",IF($AU27="Married",SUMPRODUCT(($AZ27&gt;=INDEX('Methodology &amp; Sources'!$B$453:$J$456,0,7))*INDEX('Methodology &amp; Sources'!$B$453:$J$456,0,7+2)),SUMPRODUCT(($AZ27&gt;=INDEX('Methodology &amp; Sources'!$B$453:$J$456,0,4))*INDEX('Methodology &amp; Sources'!$B$453:$J$456,0,4+2))),IF($AN27="RI",SUMPRODUCT(($AZ27&gt;=INDEX('Methodology &amp; Sources'!$B$461:$J$464,0,7))*INDEX('Methodology &amp; Sources'!$B$461:$J$464,0,7+2)),IF($AN27="SC",SUMPRODUCT(($AZ27&gt;=INDEX('Methodology &amp; Sources'!$B$469:$J$473,0,1))*INDEX('Methodology &amp; Sources'!$B$469:$J$473,0,1+2)),IF($AN27="VT",IF($AU27="Married",SUMPRODUCT(($AZ27&gt;=INDEX('Methodology &amp; Sources'!$B$478:$J$482,0,1))*INDEX('Methodology &amp; Sources'!$B$478:$J$482,0,1+2)),SUMPRODUCT(($AZ27&gt;=INDEX('Methodology &amp; Sources'!$B$469:$J$473,0,7))*INDEX('Methodology &amp; Sources'!$B$469:$J$473,0,7+2))),IF($AN27="WV",IF($AU27="Married",SUMPRODUCT(($AZ27&gt;=INDEX('Methodology &amp; Sources'!$B$487:$J$491,0,7))*INDEX('Methodology &amp; Sources'!$B$487:$J$491,0,7+2)),SUMPRODUCT(($AZ27&gt;=INDEX('Methodology &amp; Sources'!$B$478:$J$482,0,7))*INDEX('Methodology &amp; Sources'!$B$478:$J$482,0,7+2))),IF($AN27="IN",(0.0295+Inputs!$C$76),"")))))))))))))</f>
      </c>
      <c r="CC27" s="24">
        <f>IF($B27="","",IF($AN27="AR",SUMPRODUCT(($AZ27&gt;=INDEX('Methodology &amp; Sources'!$B$332:$J$336,0,7))*INDEX('Methodology &amp; Sources'!$B$332:$J$336,0,7+2)),IF($AN27="DE",SUMPRODUCT(($AZ27&gt;=INDEX('Methodology &amp; Sources'!$B$341:$J$348,0,1))*INDEX('Methodology &amp; Sources'!$B$341:$J$348,0,1+2)),IF($AN27="VA",SUMPRODUCT(($AZ27&gt;=INDEX('Methodology &amp; Sources'!$B$469:$J$473,0,4))*INDEX('Methodology &amp; Sources'!$B$469:$J$473,0,4+2)),IF($AN27="WI",SUMPRODUCT(($AZ27&gt;=INDEX('Methodology &amp; Sources'!$B$478:$J$482,0,4))*INDEX('Methodology &amp; Sources'!$B$478:$J$482,0,4+2)),IF($AN27="AZ",Inputs!$C$82,IF($AN27="CO",IF($AY27&gt;IF($AU27="Married",10000,5000),0.044,0),IF($AN27="IA",IF($AY27&gt;IF($AU27="Head of household",19500,IF($AU27="Married",26000,13000)),0.038,0),IF($AN27="ID",IF($AY27&gt;IF($AU27="Married",32000,16094),0.053,0),IF($AN27="IL",IF($AY27&gt;(2925*$AS27+1000*$AT27),0.0495,0),IF($AN27="KY",IF($AI27&gt;3360,0.035,0),IF($AN27="LA",0.0309,IF($AN27="MA",IF(MAX(0,$AY27-MIN(($BD26+$Q27+$R27+$S27),2000)-IF($AS27=0,0,IF($AS27=1,4400,1000*$AS27+3400)))&gt;=1107750,0.09,0.05),IF($AN27="MS",IF($AI27-IF($AU27="Head of household",3400,IF($AU27="Married",4600,2300))-Inputs!$C$85&gt;10000,0.04,0),IF($AN27="PA",0.0307,"")))))))))))))))</f>
      </c>
      <c r="CD27" s="21">
        <f>IF(YEAR(IF(Inputs!$C$7="Weekly",Inputs!$C$9+7*(($BE26+1)-1),IF(Inputs!$C$7="Biweekly",Inputs!$C$9+14*(($BE26+1)-1),IF(Inputs!$C$7="Semimonthly",DATE(YEAR(Inputs!$C$9),MONTH(Inputs!$C$9)+INT((($BE26+1)-1)/2),MIN(DAY(Inputs!$C$9),DAY(EOMONTH(DATE(YEAR(Inputs!$C$9),MONTH(Inputs!$C$9)+INT((($BE26+1)-1)/2),1),0))))+IF(MOD(($BE26+1)-1,2)=1,15,0),EDATE(Inputs!$C$9,($BE26+1)-1)))))&lt;&gt;2026,"",IF(Inputs!$C$7="Weekly",Inputs!$C$9+7*(($BE26+1)-1),IF(Inputs!$C$7="Biweekly",Inputs!$C$9+14*(($BE26+1)-1),IF(Inputs!$C$7="Semimonthly",DATE(YEAR(Inputs!$C$9),MONTH(Inputs!$C$9)+INT((($BE26+1)-1)/2),MIN(DAY(Inputs!$C$9),DAY(EOMONTH(DATE(YEAR(Inputs!$C$9),MONTH(Inputs!$C$9)+INT((($BE26+1)-1)/2),1),0))))+IF(MOD(($BE26+1)-1,2)=1,15,0),EDATE(Inputs!$C$9,($BE26+1)-1)))))</f>
      </c>
      <c r="CE27" s="21">
        <f>IF(SUMPRODUCT(MIN(IF((Inputs!$C$58:$C$67&gt;MAX($B$6:$B26))*(Inputs!$C$58:$C$67&gt;=DATE(2026,1,1))*(Inputs!$C$58:$C$67&lt;=DATE(2026,12,31)),Inputs!$C$58:$C$67,999999)))=999999,"",SUMPRODUCT(MIN(IF((Inputs!$C$58:$C$67&gt;MAX($B$6:$B26))*(Inputs!$C$58:$C$67&gt;=DATE(2026,1,1))*(Inputs!$C$58:$C$67&lt;=DATE(2026,12,31)),Inputs!$C$58:$C$67,999999))))</f>
      </c>
    </row>
    <row r="28">
      <c r="A28" t="n">
        <v>23</v>
      </c>
      <c r="B28" s="21">
        <f>IF(AND($CD28="",$CE28=""),"",IF($CE28="",$CD28,IF($CD28="",$CE28,MIN($CD28,$CE28))))</f>
      </c>
      <c r="C28" s="7">
        <f>IF($B28="","",IF($BF28=0,0,IF(Inputs!$C$4="Annual salary",ROUND($AK28/IF(AND(Inputs!$C$88="Actual paydays",MONTH(Inputs!$C$9)=1),MAX(1,MAX($BE$6:$BE$68)),Inputs!$C$8),2),$AK28)))</f>
      </c>
      <c r="D28" s="7">
        <f>IF($B28="","",SUMIF(Inputs!$C$58:$C$67,$B28,Inputs!$D$58:$D$67))</f>
      </c>
      <c r="E28" s="7">
        <f>IF($B28="","",ROUND(MAX(0,MIN(IF($AL28="Percent",$AM28*($C28+$D28),$AM28),MAX(0,Inputs!$C$91-$AC27))),2))</f>
      </c>
      <c r="F28" s="7">
        <f>IF($B28="","",ROUND(MAX(0,MIN(IF(Inputs!$C$32="Percent",Inputs!$D$32*($C28+$D28),Inputs!$D$32),MAX(0,Inputs!$C$91-$AC27-$E28))),2))</f>
      </c>
      <c r="G28" s="7">
        <f>IF($B28="","",IF($BF28=0,0,ROUND(MAX(0,MIN($BL28,Inputs!$C$92-Inputs!$C$54-$BI27)),2)))</f>
      </c>
      <c r="H28" s="7">
        <f>IF($B28="","",IF(OR($BF28=0,$BQ28=1),0,ROUND(MAX(0,MIN(IF($BS28=1,ROUND(MAX(0,MIN($BJ28,'Methodology &amp; Sources'!$C$263)-$BG27)/MAX(1,MAX($BE$6:$BE$68)-($BE27)),2),ROUND(MIN($BJ28,'Methodology &amp; Sources'!$C$263)/Inputs!$C$8,2)),MIN($BJ28,'Methodology &amp; Sources'!$C$263)-$BG27)),2)))</f>
      </c>
      <c r="I28" s="7">
        <f>IF($B28="","",IF(OR($BF28=0,$BR28=1),0,ROUND(MAX(0,MIN(IF($BT28=1,ROUND(MAX(0,MIN($BK28,IF(Inputs!$C$12="MFJ",'Methodology &amp; Sources'!$C$264,'Methodology &amp; Sources'!$C$265))-$BH27)/MAX(1,MAX($BE$6:$BE$68)-($BE27)),2),ROUND(MIN($BK28,IF(Inputs!$C$12="MFJ",'Methodology &amp; Sources'!$C$264,'Methodology &amp; Sources'!$C$265))/Inputs!$C$8,2)),MIN($BK28,IF(Inputs!$C$12="MFJ",'Methodology &amp; Sources'!$C$264,'Methodology &amp; Sources'!$C$265))-$BH27)),2)))</f>
      </c>
      <c r="J28" s="7">
        <f>IF($B28="","",IF($BF28=0,0,$BM28))</f>
      </c>
      <c r="K28" s="7">
        <f>IF($B28="","",IF($BF28=0,0,$BN28+$BO28))</f>
      </c>
      <c r="L28" s="7">
        <f>IF($B28="","",IF($BF28=0,0,Inputs!$D$46))</f>
      </c>
      <c r="M28" s="7">
        <f>IF($B28="","",$C28+$D28+$L28-$E28-$G28-$H28-$I28-$J28-$K28)</f>
      </c>
      <c r="N28" s="7">
        <f>IF($B28="","",$C28+$D28+$L28-$G28-$H28-$I28-$J28-$K28)</f>
      </c>
      <c r="O28" s="7">
        <f>IF($B28="","",$C28+$D28+$L28-$E28-$H28-$I28-$J28-$K28-IF(OR($AN28="CA",$AN28="NJ"),0,$G28))</f>
      </c>
      <c r="P28" s="7">
        <f>IF($B28="","",IF(Inputs!$C$18,0,ROUND(MAX(0,IF(Inputs!$C$13,SUMPRODUCT(($AH28&gt;INDEX('Methodology &amp; Sources'!$B$279:$J$286,0,IF(Inputs!$C$12="MFJ",1,IF(Inputs!$C$12="HoH",7,4))))*($AH28-INDEX('Methodology &amp; Sources'!$B$279:$J$286,0,IF(Inputs!$C$12="MFJ",1,IF(Inputs!$C$12="HoH",7,4))))*INDEX('Methodology &amp; Sources'!$B$279:$J$286,0,IF(Inputs!$C$12="MFJ",1,IF(Inputs!$C$12="HoH",7,4))+2)),SUMPRODUCT(($AH28&gt;INDEX('Methodology &amp; Sources'!$B$269:$J$276,0,IF(Inputs!$C$12="MFJ",1,IF(Inputs!$C$12="HoH",7,4))))*($AH28-INDEX('Methodology &amp; Sources'!$B$269:$J$276,0,IF(Inputs!$C$12="MFJ",1,IF(Inputs!$C$12="HoH",7,4))))*INDEX('Methodology &amp; Sources'!$B$269:$J$276,0,IF(Inputs!$C$12="MFJ",1,IF(Inputs!$C$12="HoH",7,4))+2)))/Inputs!$C$8-$AO28/Inputs!$C$8)+$AR28+IF(Inputs!$C$89="Aggregate",MAX(0,IF(Inputs!$C$13,SUMPRODUCT((($AH28+$D28)&gt;INDEX('Methodology &amp; Sources'!$B$279:$J$286,0,IF(Inputs!$C$12="MFJ",1,IF(Inputs!$C$12="HoH",7,4))))*(($AH28+$D28)-INDEX('Methodology &amp; Sources'!$B$279:$J$286,0,IF(Inputs!$C$12="MFJ",1,IF(Inputs!$C$12="HoH",7,4))))*INDEX('Methodology &amp; Sources'!$B$279:$J$286,0,IF(Inputs!$C$12="MFJ",1,IF(Inputs!$C$12="HoH",7,4))+2)),SUMPRODUCT((($AH28+$D28)&gt;INDEX('Methodology &amp; Sources'!$B$269:$J$276,0,IF(Inputs!$C$12="MFJ",1,IF(Inputs!$C$12="HoH",7,4))))*(($AH28+$D28)-INDEX('Methodology &amp; Sources'!$B$269:$J$276,0,IF(Inputs!$C$12="MFJ",1,IF(Inputs!$C$12="HoH",7,4))))*INDEX('Methodology &amp; Sources'!$B$269:$J$276,0,IF(Inputs!$C$12="MFJ",1,IF(Inputs!$C$12="HoH",7,4))+2)))-IF(Inputs!$C$13,SUMPRODUCT(($AH28&gt;INDEX('Methodology &amp; Sources'!$B$279:$J$286,0,IF(Inputs!$C$12="MFJ",1,IF(Inputs!$C$12="HoH",7,4))))*($AH28-INDEX('Methodology &amp; Sources'!$B$279:$J$286,0,IF(Inputs!$C$12="MFJ",1,IF(Inputs!$C$12="HoH",7,4))))*INDEX('Methodology &amp; Sources'!$B$279:$J$286,0,IF(Inputs!$C$12="MFJ",1,IF(Inputs!$C$12="HoH",7,4))+2)),SUMPRODUCT(($AH28&gt;INDEX('Methodology &amp; Sources'!$B$269:$J$276,0,IF(Inputs!$C$12="MFJ",1,IF(Inputs!$C$12="HoH",7,4))))*($AH28-INDEX('Methodology &amp; Sources'!$B$269:$J$276,0,IF(Inputs!$C$12="MFJ",1,IF(Inputs!$C$12="HoH",7,4))))*INDEX('Methodology &amp; Sources'!$B$269:$J$276,0,IF(Inputs!$C$12="MFJ",1,IF(Inputs!$C$12="HoH",7,4))+2)))),'Methodology &amp; Sources'!$C$260*$D28),2)))</f>
      </c>
      <c r="Q28" s="7">
        <f>IF($B28="","",ROUND('Methodology &amp; Sources'!$C$254*MIN($N28,MAX(0,'Methodology &amp; Sources'!$C$253-($AX28+$AB27-$AW28))),2))</f>
      </c>
      <c r="R28" s="7">
        <f>IF($B28="","",ROUND('Methodology &amp; Sources'!$C$255*$N28,2))</f>
      </c>
      <c r="S28" s="7">
        <f>IF($B28="","",ROUND('Methodology &amp; Sources'!$C$256*MAX(0,MIN($N28,$AG27+$N28-'Methodology &amp; Sources'!$C$257)),2))</f>
      </c>
      <c r="T28" s="7">
        <f>IF($B28="","",IF(Inputs!$C$26,0,IF($AN28="CA",ROUND(IF($AI28&lt;=IF(($AS28+$AT28)&gt;=2,VLOOKUP($AN28,'StateTables 2026'!$A$6:$AB$56,10,FALSE),VLOOKUP($AN28,'StateTables 2026'!$A$6:$AB$56,9,FALSE)),0,MAX(0,SUMPRODUCT(($AJ28&gt;INDEX('Methodology &amp; Sources'!$B$289:$J$298,0,IF($AU28="Married",4,IF($AU28="Head of household",7,1))))*($AJ28-INDEX('Methodology &amp; Sources'!$B$289:$J$298,0,IF($AU28="Married",4,IF($AU28="Head of household",7,1))))*INDEX('Methodology &amp; Sources'!$B$289:$J$298,0,IF($AU28="Married",4,IF($AU28="Head of household",7,1))+2))-VLOOKUP($AN28,'StateTables 2026'!$A$6:$AB$56,11,FALSE)*$AS28)/Inputs!$C$8)+Inputs!$C$25+VLOOKUP($AN28,'StateTables 2026'!$A$6:$AB$56,13,FALSE)*$D28,2),IF(VLOOKUP($AN28,'StateTables 2026'!$A$6:$AB$56,4,FALSE)="None",0,IF(ISNUMBER(SEARCH("MANUAL",VLOOKUP($AN28,'StateTables 2026'!$A$6:$AB$56,5,FALSE))),Inputs!$C$28,ROUND(MAX(0,$BA28+$BB28)/Inputs!$C$8+Inputs!$C$25+$BC28,2))))))</f>
      </c>
      <c r="U28" s="7">
        <f>IF($B28="","",IF(VLOOKUP($AN28,'StateTables 2026'!$A$6:$AB$56,24,FALSE)="flatq",IF(OR(MONTH($B28)=1,MONTH($B28)=4,MONTH($B28)=7,MONTH($B28)=10),VLOOKUP($AN28,'StateTables 2026'!$A$6:$AB$56,25,FALSE),0),IF(VLOOKUP($AN28,'StateTables 2026'!$A$6:$AB$56,24,FALSE)="dbl",MIN(ROUND(0.005*$N28,2),ROUND(0.6*52/Inputs!$C$8,2)),IF(OR(VLOOKUP($AN28,'StateTables 2026'!$A$6:$AB$56,15,FALSE)="",VLOOKUP($AN28,'StateTables 2026'!$A$6:$AB$56,15,FALSE)=0),0,ROUND(VLOOKUP($AN28,'StateTables 2026'!$A$6:$AB$56,15,FALSE)*IF(OR(VLOOKUP($AN28,'StateTables 2026'!$A$6:$AB$56,16,FALSE)="",VLOOKUP($AN28,'StateTables 2026'!$A$6:$AB$56,16,FALSE)=0),$N28,MIN($N28,MAX(0,VLOOKUP($AN28,'StateTables 2026'!$A$6:$AB$56,16,FALSE)-($AX28+$AB27-$AW28)))),2))))+IF(VLOOKUP($AN28,'StateTables 2026'!$A$6:$AB$56,27,FALSE)="flatq",IF(OR(MONTH($B28)=1,MONTH($B28)=4,MONTH($B28)=7,MONTH($B28)=10),VLOOKUP($AN28,'StateTables 2026'!$A$6:$AB$56,28,FALSE),0),IF(VLOOKUP($AN28,'StateTables 2026'!$A$6:$AB$56,27,FALSE)="dbl",MIN(ROUND(0.005*$N28,2),ROUND(0.6*52/Inputs!$C$8,2)),IF(OR(VLOOKUP($AN28,'StateTables 2026'!$A$6:$AB$56,18,FALSE)="",VLOOKUP($AN28,'StateTables 2026'!$A$6:$AB$56,18,FALSE)=0),0,ROUND(VLOOKUP($AN28,'StateTables 2026'!$A$6:$AB$56,18,FALSE)*IF(OR(VLOOKUP($AN28,'StateTables 2026'!$A$6:$AB$56,19,FALSE)="",VLOOKUP($AN28,'StateTables 2026'!$A$6:$AB$56,19,FALSE)=0),$N28,MIN($N28,MAX(0,VLOOKUP($AN28,'StateTables 2026'!$A$6:$AB$56,19,FALSE)-($AX28+$AB27-$AW28)))),2)))))</f>
      </c>
      <c r="V28" s="7">
        <f>IF($B28="","",IF($AN28="NY",IF(Inputs!$C$78,ROUND(SUMPRODUCT((MAX(0,($O28-$D28)*Inputs!$C$8-(IF($AU28="Married",5500,5000)+1000*$AS28))&gt;INDEX('Methodology &amp; Sources'!$B$434:$J$448,0,4))*(MAX(0,($O28-$D28)*Inputs!$C$8-(IF($AU28="Married",5500,5000)+1000*$AS28))-INDEX('Methodology &amp; Sources'!$B$434:$J$448,0,4))*INDEX('Methodology &amp; Sources'!$B$434:$J$448,0,4+2))/Inputs!$C$8+0.0425*$D28,2),0)+IF(Inputs!$C$79="Resident",ROUND(0.1675*$T28,2),IF(Inputs!$C$79="Nonresident",ROUND(0.005*MAX(0,($O28-$D28)-(IF($AU28="Married",7950,7400)+1000*$AS28)/Inputs!$C$8),2),0)),IF($AN28="PA",IF(Inputs!$C$80="None",Inputs!$C$27+ROUND(Inputs!$C$81*($C28+$D28),2),ROUND(IF(Inputs!$C$80="Resident",IF($B28&lt;DATE(2026,7,1),0.0374,0.03735),IF($B28&lt;DATE(2026,7,1),0.0343,0.03425))*($C28+$D28),2)),IF($BF28=0,ROUND(Inputs!$C$81*($C28+$D28),2),Inputs!$C$27+ROUND(Inputs!$C$81*($C28+$D28),2)))))</f>
      </c>
      <c r="W28" s="7">
        <f>IF($B28="","",IF($BF28=0,0,$BP28))</f>
      </c>
      <c r="X28" s="7">
        <f>IF($B28="","",SUM($E28:$K28)+$P28+$Q28+$R28+$S28+$T28+$U28+$V28+$W28)</f>
      </c>
      <c r="Y28" s="22">
        <f>IF($B28="","",$C28+$D28-$X28)</f>
      </c>
      <c r="Z28" s="7">
        <f>IF($B28="","",$Z27+$C28+$D28)</f>
      </c>
      <c r="AA28" s="7">
        <f>IF($B28="","",$AA27+$Y28)</f>
      </c>
      <c r="AB28" s="7">
        <f>IF($B28="","",$AB27+MIN($N28,MAX(0,'Methodology &amp; Sources'!$C$253-($AX28+$AB27-$AW28))))</f>
      </c>
      <c r="AC28" s="7">
        <f>IF($B28="","",$AC27+$E28+$F28)</f>
      </c>
      <c r="AD28" s="3">
        <f>IF($B28="","",IF(AND($AB27&lt;'Methodology &amp; Sources'!$C$253,$AB28&gt;='Methodology &amp; Sources'!$C$253),"★ Social Security maxed on this check — from the next check your net rises by about $"&amp;TEXT(ROUND('Methodology &amp; Sources'!$C$254*$N28,2),"#,##0.00")&amp;". ","")&amp;IF(AND($AC27&lt;Inputs!$C$91,$AC28&gt;=Inputs!$C$91),"★ 401(k) reaches the $"&amp;TEXT(Inputs!$C$91,"#,##0")&amp;" cap on this check — deferrals stop and net pay rises. ","")&amp;IF(AND($AG27&lt;'Methodology &amp; Sources'!$C$257,$AG28&gt;='Methodology &amp; Sources'!$C$257),"★ Wages pass $200,000 — the 0.9% Additional Medicare Tax starts here. ","")&amp;IF(AND($BJ28&gt;0,$H28&gt;0,$BG27&lt;MIN($BJ28,'Methodology &amp; Sources'!$C$263),$BG27+$H28&gt;=MIN($BJ28,'Methodology &amp; Sources'!$C$263)),"★ Health FSA election is now fully deferred for the year. ",""))</f>
      </c>
      <c r="AE28" s="41" t="n"/>
      <c r="AF28" s="7">
        <f>IF(OR($B28="",$AE28=""),"",$AE28-$Y28)</f>
      </c>
      <c r="AG28" s="7">
        <f>IF($B28="","",$AG27+$N28)</f>
      </c>
      <c r="AH28" s="7">
        <f>IF($B28="","",MAX(0,($M28-$D28)*Inputs!$C$8+$AP28-$AQ28-IF(Inputs!$C$13,0,IF(Inputs!$C$12="MFJ",'Methodology &amp; Sources'!$C$258,'Methodology &amp; Sources'!$C$259))))</f>
      </c>
      <c r="AI28" s="7">
        <f>IF($B28="","",$O28*Inputs!$C$8)</f>
      </c>
      <c r="AJ28" s="7">
        <f>IF($B28="","",MAX(0,$AI28-VLOOKUP($AN28,'StateTables 2026'!$A$6:$AB$56,12,FALSE)*$AT28-IF(($AS28+$AT28)&gt;=2,VLOOKUP($AN28,'StateTables 2026'!$A$6:$AB$56,8,FALSE),VLOOKUP($AN28,'StateTables 2026'!$A$6:$AB$56,7,FALSE))))</f>
      </c>
      <c r="AK28" s="7">
        <f>IF($B28="","",IFERROR(LOOKUP(2,1/((Events!$C$6:$C$17="Salary change")*(Events!$B$6:$B$17&lt;=$B28)*(Events!$B$6:$B$17&lt;&gt;"")),Events!$D$6:$D$17),IF(Inputs!$C$4="Annual salary",Inputs!$C$5,Inputs!$C$6)))</f>
      </c>
      <c r="AL28">
        <f>IF($B28="","",IFERROR(LOOKUP(2,1/((Events!$C$6:$C$17="401(k) change")*(Events!$B$6:$B$17&lt;=$B28)*(Events!$B$6:$B$17&lt;&gt;"")),Events!$D$6:$D$17),Inputs!$C$30))</f>
      </c>
      <c r="AM28" s="7">
        <f>IF($B28="","",IFERROR(LOOKUP(2,1/((Events!$C$6:$C$17="401(k) change")*(Events!$B$6:$B$17&lt;=$B28)*(Events!$B$6:$B$17&lt;&gt;"")),Events!$E$6:$E$17),Inputs!$D$30))</f>
      </c>
      <c r="AN28">
        <f>IF($B28="","",IFERROR(LOOKUP(2,1/((Events!$C$6:$C$17="State move")*(Events!$B$6:$B$17&lt;=$B28)*(Events!$B$6:$B$17&lt;&gt;"")),Events!$D$6:$D$17),Inputs!$C$21))</f>
      </c>
      <c r="AO28" s="7">
        <f>IF($B28="","",IFERROR(LOOKUP(2,1/((Events!$C$6:$C$17="W-4 change")*(Events!$B$6:$B$17&lt;=$B28)*(Events!$B$6:$B$17&lt;&gt;"")),Events!$D$6:$D$17),Inputs!$C$14))</f>
      </c>
      <c r="AP28" s="7">
        <f>IF($B28="","",IFERROR(LOOKUP(2,1/((Events!$C$6:$C$17="W-4 change")*(Events!$B$6:$B$17&lt;=$B28)*(Events!$B$6:$B$17&lt;&gt;"")),Events!$E$6:$E$17),Inputs!$C$15))</f>
      </c>
      <c r="AQ28" s="7">
        <f>IF($B28="","",IFERROR(LOOKUP(2,1/((Events!$C$6:$C$17="W-4 change")*(Events!$B$6:$B$17&lt;=$B28)*(Events!$B$6:$B$17&lt;&gt;"")),Events!$F$6:$F$17),Inputs!$C$16))</f>
      </c>
      <c r="AR28" s="7">
        <f>IF($B28="","",IFERROR(LOOKUP(2,1/((Events!$C$6:$C$17="W-4 change")*(Events!$B$6:$B$17&lt;=$B28)*(Events!$B$6:$B$17&lt;&gt;"")),Events!$G$6:$G$17),Inputs!$C$17))</f>
      </c>
      <c r="AS28" s="6">
        <f>IF($B28="","",IFERROR(LOOKUP(2,1/(((Events!$C$6:$C$17="State move")+(Events!$C$6:$C$17="State cert change"))*(Events!$B$6:$B$17&lt;=$B28)*(Events!$B$6:$B$17&lt;&gt;"")),Events!$F$6:$F$17),Inputs!$C$23))</f>
      </c>
      <c r="AT28" s="6">
        <f>IF($B28="","",IFERROR(LOOKUP(2,1/(((Events!$C$6:$C$17="State move")+(Events!$C$6:$C$17="State cert change"))*(Events!$B$6:$B$17&lt;=$B28)*(Events!$B$6:$B$17&lt;&gt;"")),Events!$G$6:$G$17),Inputs!$C$24))</f>
      </c>
      <c r="AU28">
        <f>IF($B28="","",IFERROR(LOOKUP(2,1/((Events!$C$6:$C$17="State move")*(Events!$B$6:$B$17&lt;=$B28)*(Events!$B$6:$B$17&lt;&gt;"")),Events!$E$6:$E$17),Inputs!$C$22))</f>
      </c>
      <c r="AV28" s="6">
        <f>IF($B28="","",1+COUNTIFS(Events!$C$6:$C$17,"Employer change",Events!$B$6:$B$17,"&lt;="&amp;$B28,Events!$B$6:$B$17,"&lt;&gt;"))</f>
      </c>
      <c r="AW28" s="7">
        <f>IF($B28="","",IF($AV28=1,Inputs!$C$49,IF(IFERROR(MATCH(IFERROR(LOOKUP(2,1/((Events!$C$6:$C$17="Employer change")*(Events!$B$6:$B$17&lt;=$B28)*(Events!$B$6:$B$17&lt;&gt;"")),Events!$B$6:$B$17),""),$B$6:$B$68,1),1)&lt;=1,Inputs!$C$49,INDEX($AB$6:$AB$68,MATCH(IFERROR(LOOKUP(2,1/((Events!$C$6:$C$17="Employer change")*(Events!$B$6:$B$17&lt;=$B28)*(Events!$B$6:$B$17&lt;&gt;"")),Events!$B$6:$B$17),""),$B$6:$B$68,1)-1))))</f>
      </c>
      <c r="AX28" s="7">
        <f>IF($B28="","",IF($AV28=1,Inputs!$C$49,IFERROR(LOOKUP(2,1/((Events!$C$6:$C$17="Employer change")*(Events!$B$6:$B$17&lt;=$B28)*(Events!$B$6:$B$17&lt;&gt;"")),Events!$D$6:$D$17),0)))</f>
      </c>
      <c r="AY28" s="7">
        <f>IF($B28="","",($O28-$D28)*Inputs!$C$8)</f>
      </c>
      <c r="AZ28" s="7">
        <f>IF($B28="","",IF($AN28="AL",MAX(0,$AY28-IF($AU28="Married",IF($AY28&lt;=25999,8500,MAX(5000,8500-175*CEILING(($AY28-25999)/500,1))),IF($AU28="Head of household",IF($AY28&lt;=25999,5200,MAX(2500,5200-135*CEILING(($AY28-25999)/500,1))),IF($AY28&lt;=25999,3000,MAX(2500,3000-25*CEILING(($AY28-25999)/500,1)))))-($P28-'Methodology &amp; Sources'!$C$260*$D28)*Inputs!$C$8-IF(OR($AU28="Married",$AU28="Head of household"),3000,1500)-$AT28*IF($AY28&lt;=50000,1000,IF($AY28&lt;=100000,500,300))),IF($AN28="AR",IF(MAX(0,$AY28-2470)&lt;97701,INT(MAX(0,$AY28-2470)/100)*100+50,MAX(0,$AY28-2470)),IF($AN28="DE",MAX(0,$AI28-3250),IF($AN28="HI",MAX(0,$AI28-1144*$AS28-4350),IF($AN28="KS",MAX(0,$AI28-(9160*IF($AU28="Married",2,1)+2320*$AT28+IF($AU28="Head of household",2320,0))),IF($AN28="MD",MAX(0,$AI28-3400-3200*$AS28),IF($AN28="MN",MAX(0,$AY28-5300*$AS28),IF($AN28="MO",MAX(0,$AI28-IF($AU28="Head of household",24150,IF($AU28="Married",IF(Inputs!$C$83,16100,32200),16100))),IF($AN28="MT",$AY28,IF($AN28="ND",($C28+$L28)*Inputs!$C$8,IF($AN28="NE",MAX(0,$AY28-2440*$AS28),IF($AN28="NJ",MAX(0,$AY28-1000*$AS28),IF($AN28="NY",MAX(0,$AY28-(IF($AU28="Married",7950,7400)+1000*$AS28)),IF($AN28="OH",MAX(0,$AY28-650*$AS28),IF($AN28="OK",MAX(0,$AY28-1000*$AS28),IF($AN28="RI",MAX(0,$AI28-1000*$AS28),IF($AN28="SC",MAX(0,$AI28-5000*$AS28-IF($AS28=0,0,MIN(0.1*$AI28,7500))),IF($AN28="VA",MAX(0,$AI28-IF($AU28="Married",17500,8750)-930*$AS28-800*$AT28),IF($AN28="VT",MAX(0,$AI28-5400*$AS28),IF($AN28="WI",MAX(0,$AI28-MAX(0,IF($AU28="Married",9461-0.2*MAX(0,$AI28-25727),6702-0.12*MAX(0,$AI28-17780)))-400*$AS28),IF($AN28="WV",MAX(0,$AI28-2000*$AS28),$AI28))))))))))))))))))))))</f>
      </c>
      <c r="BA28" s="7">
        <f>IF($B28="","",IF($BW28&lt;&gt;"",$BW28,IF($BX28&lt;&gt;"",$BX28,IF($BY28&lt;&gt;"",$BY28,0))))</f>
      </c>
      <c r="BB28" s="7">
        <f>IF($B28="","",IF($AN28="AR",-29*$AS28,IF($AN28="DE",-110*$AS28,IF($AN28="MD",$AZ28*Inputs!$C$74,IF($AN28="AZ",Inputs!$C$82*($M28-$D28)*Inputs!$C$8,IF($AN28="CO",0.044*MAX(0,$AY28-IF($AU28="Married",10000,5000)),IF($AN28="IA",MAX(0,0.038*MAX(0,$AY28-IF($AU28="Head of household",19500,IF($AU28="Married",26000,13000)))-40*$AS28),IF($AN28="ID",0.053*MAX(0,$AY28-IF($AU28="Married",32000,16094)),IF($AN28="IL",0.0495*MAX(0,$AY28-(2925*$AS28+1000*$AT28)),IF($AN28="IN",(0.0295+Inputs!$C$76)*MAX(0,$AY28-(1000*$AS28+1500*$AT28+3000*Inputs!$C$86)),IF($AN28="KY",0.035*MAX(0,$AI28-3360),IF($AN28="LA",IF(Inputs!$C$84="0",0.0309*$AI28,0.0309*MAX(0,$AI28-IF(Inputs!$C$84="2",25750,12875))),IF($AN28="MA",0.05*MIN(MAX(0,$AY28-MIN(($BD27+$Q28+$R28+$S28),2000)-IF($AS28=0,0,IF($AS28=1,4400,1000*$AS28+3400))),1107750)+0.09*MAX(0,MAX(0,$AY28-MIN(($BD27+$Q28+$R28+$S28),2000)-IF($AS28=0,0,IF($AS28=1,4400,1000*$AS28+3400)))-1107750)-IF($AU28="Head of household",120,0)-110*Inputs!$C$75,IF($AN28="MI",0.0425*MAX(0,$AY28-5900*$AS28),IF($AN28="MS",0.04*MAX(0,$AI28-IF($AU28="Head of household",3400,IF($AU28="Married",4600,2300))-Inputs!$C$85-10000),IF($AN28="OR",IF(OR($AU28="Married",AND($AU28="Single",$AS28&gt;=3)),SUMPRODUCT((MAX(0,$AY28-MIN(($P28-'Methodology &amp; Sources'!$C$260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Sources'!$B$461:$J$464,0,4))*(MAX(0,$AY28-MIN(($P28-'Methodology &amp; Sources'!$C$260*$D28)*Inputs!$C$8,IF(OR($AU28="Married",AND($AU28="Single",$AS28&gt;=3)),IF($AY28&lt;250000,8750,IF($AY28&lt;260000,7000,IF($AY28&lt;270000,5250,IF($AY28&lt;280000,3500,IF($AY28&lt;290000,1750,0))))),IF($AY28&lt;125000,8750,IF($AY28&lt;130000,7000,IF($AY28&lt;135000,5250,IF($AY28&lt;140000,3500,IF($AY28&lt;145000,1750,0)))))))-IF(OR($AU28="Married",AND($AU28="Single",$AS28&gt;=3)),5820,2910))-INDEX('Methodology &amp; Sources'!$B$461:$J$464,0,4))*INDEX('Methodology &amp; Sources'!$B$461:$J$464,0,4+2)),SUMPRODUCT((MAX(0,$AY28-MIN(($P28-'Methodology &amp; Sources'!$C$260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Sources'!$B$461:$J$464,0,1))*(MAX(0,$AY28-MIN(($P28-'Methodology &amp; Sources'!$C$260*$D28)*Inputs!$C$8,IF(OR($AU28="Married",AND($AU28="Single",$AS28&gt;=3)),IF($AY28&lt;250000,8750,IF($AY28&lt;260000,7000,IF($AY28&lt;270000,5250,IF($AY28&lt;280000,3500,IF($AY28&lt;290000,1750,0))))),IF($AY28&lt;125000,8750,IF($AY28&lt;130000,7000,IF($AY28&lt;135000,5250,IF($AY28&lt;140000,3500,IF($AY28&lt;145000,1750,0)))))))-IF(OR($AU28="Married",AND($AU28="Single",$AS28&gt;=3)),5820,2910))-INDEX('Methodology &amp; Sources'!$B$461:$J$464,0,1))*INDEX('Methodology &amp; Sources'!$B$461:$J$464,0,1+2)))+263-263*IF(IF($AU28="Married",$AY28&gt;200000,$AY28&gt;100000),0,$AS28),IF($AN28="PA",0.0307*(($O28+$E28+$G28)*Inputs!$C$8),IF($AN28="NY",IF($AU28="Married",IF($AZ28&gt;=2155350,0,IF($AZ28&gt;=1077550,0.48,IF($AZ28&gt;=373200,1.21,IF($AZ28&gt;=323200,0.21,IF($AZ28&gt;=211550,-0.19,IF($AZ28&gt;=157650,-2.8,IF($AZ28&gt;=107650,-0.8,IF($AZ28&gt;=96800,0.05,IF($AZ28&gt;=80650,-0.1,IF($AZ28&gt;=13900,0.4,IF($AZ28&gt;=11700,-0.3,IF($AZ28&gt;=8500,0.5,0)))))))))))),IF($AZ28&gt;=1077550,0,IF($AZ28&gt;=265400,4.29,IF($AZ28&gt;=215400,2.29,IF($AZ28&gt;=157650,2.29,IF($AZ28&gt;=107650,0.29,IF($AZ28&gt;=96800,0.05,IF($AZ28&gt;=80650,-0.1,IF($AZ28&gt;=13900,0.4,IF($AZ28&gt;=11700,-0.3,IF($AZ28&gt;=8500,0.5,0))))))))))),0))))))))))))))))))</f>
      </c>
      <c r="BC28" s="7">
        <f>IF($B28="","",IF($AN28="AL",0.05*$D28,IF($AN28="AR",0.039*$D28,IF($AN28="ID",0.053*$D28,IF($AN28="IN",(0.0295+Inputs!$C$76)*$D28,IF($AN28="KS",0.05*$D28,IF($AN28="MA",0.09*MIN($D28,MAX(0,MAX(0,$AY28-MIN(($BD27+$Q28+$R28+$S28),2000)-IF($AS28=0,0,IF($AS28=1,4400,1000*$AS28+3400)))+$D28-1107750))+0.05*($D28-MIN($D28,MAX(0,MAX(0,$AY28-MIN(($BD27+$Q28+$R28+$S28),2000)-IF($AS28=0,0,IF($AS28=1,4400,1000*$AS28+3400)))+$D28-1107750))),IF($AN28="MD",(0.065+Inputs!$C$74)*$D28,IF($AN28="MI",0.0425*$D28,IF($AN28="MN",0.0625*$D28,IF($AN28="MO",0.047*$D28,IF($AN28="MT",0.05*$D28,IF($AN28="ND",0.015*$D28,IF($AN28="NE",0.035*$D28,IF($AN28="NJ",IF(Inputs!$C$77="B",SUMPRODUCT(($D28*Inputs!$C$8&gt;INDEX('Methodology &amp; Sources'!$B$405:$J$412,0,4))*($D28*Inputs!$C$8-INDEX('Methodology &amp; Sources'!$B$405:$J$412,0,4))*INDEX('Methodology &amp; Sources'!$B$405:$J$412,0,4+2)),IF(Inputs!$C$77="C",SUMPRODUCT(($D28*Inputs!$C$8&gt;INDEX('Methodology &amp; Sources'!$B$405:$J$412,0,7))*($D28*Inputs!$C$8-INDEX('Methodology &amp; Sources'!$B$405:$J$412,0,7))*INDEX('Methodology &amp; Sources'!$B$405:$J$412,0,7+2)),IF(Inputs!$C$77="D",SUMPRODUCT(($D28*Inputs!$C$8&gt;INDEX('Methodology &amp; Sources'!$B$417:$J$429,0,1))*($D28*Inputs!$C$8-INDEX('Methodology &amp; Sources'!$B$417:$J$429,0,1))*INDEX('Methodology &amp; Sources'!$B$417:$J$429,0,1+2)),IF(Inputs!$C$77="E",SUMPRODUCT(($D28*Inputs!$C$8&gt;INDEX('Methodology &amp; Sources'!$B$417:$J$429,0,4))*($D28*Inputs!$C$8-INDEX('Methodology &amp; Sources'!$B$417:$J$429,0,4))*INDEX('Methodology &amp; Sources'!$B$417:$J$429,0,4+2)),SUMPRODUCT(($D28*Inputs!$C$8&gt;INDEX('Methodology &amp; Sources'!$B$405:$J$412,0,1))*($D28*Inputs!$C$8-INDEX('Methodology &amp; Sources'!$B$405:$J$412,0,1))*INDEX('Methodology &amp; Sources'!$B$405:$J$412,0,1+2))))))/Inputs!$C$8,IF($AN28="NY",0.117*$D28,IF($AN28="OH",0.0275*$D28,IF($AN28="OK",0.045*$D28,IF($AN28="OR",0.08*$D28,IF($AN28="WI",IF($AY28&lt;12760,0.0354,IF($AY28&lt;25520,0.0465,IF($AY28&lt;280950,0.053,0.0765)))*$D28,0))))))))))))))))))))</f>
      </c>
      <c r="BD28" s="7">
        <f>IF($B28="","",$BD27+$Q28+$R28+$S28)</f>
      </c>
      <c r="BE28" s="6">
        <f>IF($B28="",$BE27,$BE27+$BF28)</f>
      </c>
      <c r="BF28" s="6">
        <f>IF($B28="","",IF(AND(IF(YEAR(IF(Inputs!$C$7="Weekly",Inputs!$C$9+7*(($BE27+1)-1),IF(Inputs!$C$7="Biweekly",Inputs!$C$9+14*(($BE27+1)-1),IF(Inputs!$C$7="Semimonthly",DATE(YEAR(Inputs!$C$9),MONTH(Inputs!$C$9)+INT((($BE27+1)-1)/2),MIN(DAY(Inputs!$C$9),DAY(EOMONTH(DATE(YEAR(Inputs!$C$9),MONTH(Inputs!$C$9)+INT((($BE27+1)-1)/2),1),0))))+IF(MOD(($BE27+1)-1,2)=1,15,0),EDATE(Inputs!$C$9,($BE27+1)-1)))))&lt;&gt;2026,"",IF(Inputs!$C$7="Weekly",Inputs!$C$9+7*(($BE27+1)-1),IF(Inputs!$C$7="Biweekly",Inputs!$C$9+14*(($BE27+1)-1),IF(Inputs!$C$7="Semimonthly",DATE(YEAR(Inputs!$C$9),MONTH(Inputs!$C$9)+INT((($BE27+1)-1)/2),MIN(DAY(Inputs!$C$9),DAY(EOMONTH(DATE(YEAR(Inputs!$C$9),MONTH(Inputs!$C$9)+INT((($BE27+1)-1)/2),1),0))))+IF(MOD(($BE27+1)-1,2)=1,15,0),EDATE(Inputs!$C$9,($BE27+1)-1)))))&lt;&gt;"",$B28=IF(YEAR(IF(Inputs!$C$7="Weekly",Inputs!$C$9+7*(($BE27+1)-1),IF(Inputs!$C$7="Biweekly",Inputs!$C$9+14*(($BE27+1)-1),IF(Inputs!$C$7="Semimonthly",DATE(YEAR(Inputs!$C$9),MONTH(Inputs!$C$9)+INT((($BE27+1)-1)/2),MIN(DAY(Inputs!$C$9),DAY(EOMONTH(DATE(YEAR(Inputs!$C$9),MONTH(Inputs!$C$9)+INT((($BE27+1)-1)/2),1),0))))+IF(MOD(($BE27+1)-1,2)=1,15,0),EDATE(Inputs!$C$9,($BE27+1)-1)))))&lt;&gt;2026,"",IF(Inputs!$C$7="Weekly",Inputs!$C$9+7*(($BE27+1)-1),IF(Inputs!$C$7="Biweekly",Inputs!$C$9+14*(($BE27+1)-1),IF(Inputs!$C$7="Semimonthly",DATE(YEAR(Inputs!$C$9),MONTH(Inputs!$C$9)+INT((($BE27+1)-1)/2),MIN(DAY(Inputs!$C$9),DAY(EOMONTH(DATE(YEAR(Inputs!$C$9),MONTH(Inputs!$C$9)+INT((($BE27+1)-1)/2),1),0))))+IF(MOD(($BE27+1)-1,2)=1,15,0),EDATE(Inputs!$C$9,($BE27+1)-1)))))),1,0))</f>
      </c>
      <c r="BG28" s="7">
        <f>IF($B28="","",$BG27+$H28)</f>
      </c>
      <c r="BH28" s="7">
        <f>IF($B28="","",$BH27+$I28)</f>
      </c>
      <c r="BI28" s="7">
        <f>IF($B28="","",$BI27+$G28)</f>
      </c>
      <c r="BJ28" s="7">
        <f>IF($B28="","",IFERROR(LOOKUP(2,1/((((Events!$C$6:$C$17="Deduction start"))*(Events!$D$6:$D$17="Health FSA"))*(Events!$B$6:$B$17&lt;=$B28)*(Events!$B$6:$B$17&lt;&gt;"")),Events!$E$6:$E$17),Inputs!$D$38))</f>
      </c>
      <c r="BK28" s="7">
        <f>IF($B28="","",IFERROR(LOOKUP(2,1/((((Events!$C$6:$C$17="Deduction start"))*(Events!$D$6:$D$17="Dependent-care FSA"))*(Events!$B$6:$B$17&lt;=$B28)*(Events!$B$6:$B$17&lt;&gt;"")),Events!$E$6:$E$17),Inputs!$D$39))</f>
      </c>
      <c r="BL28" s="7">
        <f>IF($B28="","",IFERROR(LOOKUP(2,1/((((Events!$C$6:$C$17="Deduction start")+(Events!$C$6:$C$17="Deduction stop"))*(Events!$D$6:$D$17="HSA"))*(Events!$B$6:$B$17&lt;=$B28)*(Events!$B$6:$B$17&lt;&gt;"")),Events!$I$6:$I$17),Inputs!$D$35))</f>
      </c>
      <c r="BM28" s="7">
        <f>IF($B28="","",IFERROR(LOOKUP(2,1/((((Events!$C$6:$C$17="Deduction start")+(Events!$C$6:$C$17="Deduction stop"))*(Events!$D$6:$D$17="Premiums"))*(Events!$B$6:$B$17&lt;=$B28)*(Events!$B$6:$B$17&lt;&gt;"")),Events!$I$6:$I$17),Inputs!$D$40+Inputs!$D$41+Inputs!$D$42))</f>
      </c>
      <c r="BN28" s="7">
        <f>IF($B28="","",IFERROR(LOOKUP(2,1/((((Events!$C$6:$C$17="Deduction start")+(Events!$C$6:$C$17="Deduction stop"))*(Events!$D$6:$D$17="Commuter"))*(Events!$B$6:$B$17&lt;=$B28)*(Events!$B$6:$B$17&lt;&gt;"")),Events!$I$6:$I$17),Inputs!$D$43))</f>
      </c>
      <c r="BO28" s="7">
        <f>IF($B28="","",IFERROR(LOOKUP(2,1/((((Events!$C$6:$C$17="Deduction start")+(Events!$C$6:$C$17="Deduction stop"))*(Events!$D$6:$D$17="Other pre-tax"))*(Events!$B$6:$B$17&lt;=$B28)*(Events!$B$6:$B$17&lt;&gt;"")),Events!$I$6:$I$17),Inputs!$D$44))</f>
      </c>
      <c r="BP28" s="7">
        <f>IF($B28="","",IFERROR(LOOKUP(2,1/((((Events!$C$6:$C$17="Deduction start")+(Events!$C$6:$C$17="Deduction stop"))*(Events!$D$6:$D$17="Other post-tax"))*(Events!$B$6:$B$17&lt;=$B28)*(Events!$B$6:$B$17&lt;&gt;"")),Events!$I$6:$I$17),Inputs!$D$45))</f>
      </c>
      <c r="BQ28" s="6">
        <f>IF($B28="","",IFERROR(LOOKUP(2,1/((((Events!$C$6:$C$17="Deduction start")+(Events!$C$6:$C$17="Deduction stop"))*(Events!$D$6:$D$17="Health FSA"))*(Events!$B$6:$B$17&lt;=$B28)*(Events!$B$6:$B$17&lt;&gt;"")),Events!$J$6:$J$17),0))</f>
      </c>
      <c r="BR28" s="6">
        <f>IF($B28="","",IFERROR(LOOKUP(2,1/((((Events!$C$6:$C$17="Deduction start")+(Events!$C$6:$C$17="Deduction stop"))*(Events!$D$6:$D$17="Dependent-care FSA"))*(Events!$B$6:$B$17&lt;=$B28)*(Events!$B$6:$B$17&lt;&gt;"")),Events!$J$6:$J$17),0))</f>
      </c>
      <c r="BS28" s="6">
        <f>IF($B28="","",IF(SUMPRODUCT((Events!$C$6:$C$17="Deduction start")*(Events!$B$6:$B$17&lt;=$B28)*(Events!$B$6:$B$17&lt;&gt;"")*(Events!$D$6:$D$17="Health FSA"))&gt;0,1,0))</f>
      </c>
      <c r="BT28" s="6">
        <f>IF($B28="","",IF(SUMPRODUCT((Events!$C$6:$C$17="Deduction start")*(Events!$B$6:$B$17&lt;=$B28)*(Events!$B$6:$B$17&lt;&gt;"")*(Events!$D$6:$D$17="Dependent-care FSA"))&gt;0,1,0))</f>
      </c>
      <c r="BU28" s="24">
        <f>IF($B28="","",IF(Inputs!$C$13,SUMPRODUCT(($AH28&gt;=INDEX('Methodology &amp; Sources'!$B$279:$J$286,0,IF(Inputs!$C$12="MFJ",1,IF(Inputs!$C$12="HoH",7,4))))*INDEX('Methodology &amp; Sources'!$B$279:$J$286,0,IF(Inputs!$C$12="MFJ",1,IF(Inputs!$C$12="HoH",7,4))+2)),SUMPRODUCT(($AH28&gt;=INDEX('Methodology &amp; Sources'!$B$269:$J$276,0,IF(Inputs!$C$12="MFJ",1,IF(Inputs!$C$12="HoH",7,4))))*INDEX('Methodology &amp; Sources'!$B$269:$J$276,0,IF(Inputs!$C$12="MFJ",1,IF(Inputs!$C$12="HoH",7,4))+2))))</f>
      </c>
      <c r="BV28" s="24">
        <f>IF($B28="","",IF($BZ28&lt;&gt;"",$BZ28,IF($CA28&lt;&gt;"",$CA28,IF($CB28&lt;&gt;"",$CB28,IF($CC28&lt;&gt;"",$CC28,0)))))</f>
      </c>
      <c r="BW28" s="7">
        <f>IF($B28="","",IF($AN28="MD",IF(OR($AU28="Married",$AU28="Head of household"),SUMPRODUCT(($AZ28&gt;INDEX('Methodology &amp; Sources'!$B$364:$J$370,0,1))*($AZ28-INDEX('Methodology &amp; Sources'!$B$364:$J$370,0,1))*INDEX('Methodology &amp; Sources'!$B$364:$J$370,0,1+2)),SUMPRODUCT(($AZ28&gt;INDEX('Methodology &amp; Sources'!$B$353:$J$359,0,7))*($AZ28-INDEX('Methodology &amp; Sources'!$B$353:$J$359,0,7))*INDEX('Methodology &amp; Sources'!$B$353:$J$359,0,7+2))),IF($AN28="MO",SUMPRODUCT(($AZ28&gt;INDEX('Methodology &amp; Sources'!$B$375:$J$382,0,1))*($AZ28-INDEX('Methodology &amp; Sources'!$B$375:$J$382,0,1))*INDEX('Methodology &amp; Sources'!$B$375:$J$382,0,1+2)),IF($AN28="MT",IF($AU28="Head of household",SUMPRODUCT(($AZ28&gt;INDEX('Methodology &amp; Sources'!$B$387:$J$389,0,1))*($AZ28-INDEX('Methodology &amp; Sources'!$B$387:$J$389,0,1))*INDEX('Methodology &amp; Sources'!$B$387:$J$389,0,1+2)),IF($AU28="Married",SUMPRODUCT(($AZ28&gt;INDEX('Methodology &amp; Sources'!$B$375:$J$382,0,7))*($AZ28-INDEX('Methodology &amp; Sources'!$B$375:$J$382,0,7))*INDEX('Methodology &amp; Sources'!$B$375:$J$382,0,7+2)),SUMPRODUCT(($AZ28&gt;INDEX('Methodology &amp; Sources'!$B$375:$J$382,0,4))*($AZ28-INDEX('Methodology &amp; Sources'!$B$375:$J$382,0,4))*INDEX('Methodology &amp; Sources'!$B$375:$J$382,0,4+2)))),IF($AN28="ND",IF($AU28="Head of household",SUMPRODUCT(($AZ28&gt;INDEX('Methodology &amp; Sources'!$B$394:$J$400,0,1))*($AZ28-INDEX('Methodology &amp; Sources'!$B$394:$J$400,0,1))*INDEX('Methodology &amp; Sources'!$B$394:$J$400,0,1+2)),IF($AU28="Married",SUMPRODUCT(($AZ28&gt;INDEX('Methodology &amp; Sources'!$B$387:$J$389,0,7))*($AZ28-INDEX('Methodology &amp; Sources'!$B$387:$J$389,0,7))*INDEX('Methodology &amp; Sources'!$B$387:$J$389,0,7+2)),SUMPRODUCT(($AZ28&gt;INDEX('Methodology &amp; Sources'!$B$387:$J$389,0,4))*($AZ28-INDEX('Methodology &amp; Sources'!$B$387:$J$389,0,4))*INDEX('Methodology &amp; Sources'!$B$387:$J$389,0,4+2)))),IF($AN28="NJ",IF(Inputs!$C$77="B",SUMPRODUCT(($AZ28&gt;INDEX('Methodology &amp; Sources'!$B$405:$J$412,0,4))*($AZ28-INDEX('Methodology &amp; Sources'!$B$405:$J$412,0,4))*INDEX('Methodology &amp; Sources'!$B$405:$J$412,0,4+2)),IF(Inputs!$C$77="C",SUMPRODUCT(($AZ28&gt;INDEX('Methodology &amp; Sources'!$B$405:$J$412,0,7))*($AZ28-INDEX('Methodology &amp; Sources'!$B$405:$J$412,0,7))*INDEX('Methodology &amp; Sources'!$B$405:$J$412,0,7+2)),IF(Inputs!$C$77="D",SUMPRODUCT(($AZ28&gt;INDEX('Methodology &amp; Sources'!$B$417:$J$429,0,1))*($AZ28-INDEX('Methodology &amp; Sources'!$B$417:$J$429,0,1))*INDEX('Methodology &amp; Sources'!$B$417:$J$429,0,1+2)),IF(Inputs!$C$77="E",SUMPRODUCT(($AZ28&gt;INDEX('Methodology &amp; Sources'!$B$417:$J$429,0,4))*($AZ28-INDEX('Methodology &amp; Sources'!$B$417:$J$429,0,4))*INDEX('Methodology &amp; Sources'!$B$417:$J$429,0,4+2)),SUMPRODUCT(($AZ28&gt;INDEX('Methodology &amp; Sources'!$B$405:$J$412,0,1))*($AZ28-INDEX('Methodology &amp; Sources'!$B$405:$J$412,0,1))*INDEX('Methodology &amp; Sources'!$B$405:$J$412,0,1+2)))))),IF($AN28="NY",IF($AU28="Married",IF($AZ28&gt;=2155350,$AZ28*IF($AZ28&gt;25000000,0.117,IF($AZ28&gt;5000000,0.111,0.1045)),SUMPRODUCT(($AZ28&gt;INDEX('Methodology &amp; Sources'!$B$434:$J$448,0,1))*($AZ28-INDEX('Methodology &amp; Sources'!$B$434:$J$448,0,1))*INDEX('Methodology &amp; Sources'!$B$434:$J$448,0,1+2))),IF($AZ28&gt;=1077550,$AZ28*IF($AZ28&gt;25000000,0.117,IF($AZ28&gt;5000000,0.111,0.1045)),SUMPRODUCT(($AZ28&gt;INDEX('Methodology &amp; Sources'!$B$417:$J$429,0,7))*($AZ28-INDEX('Methodology &amp; Sources'!$B$417:$J$429,0,7))*INDEX('Methodology &amp; Sources'!$B$417:$J$429,0,7+2)))),"")))))))</f>
      </c>
      <c r="BX28" s="7">
        <f>IF($B28="","",IF($AN28="AL",IF(OR($AU28="Married",$AU28="Head of household"),SUMPRODUCT(($AZ28&gt;INDEX('Methodology &amp; Sources'!$B$332:$J$336,0,4))*($AZ28-INDEX('Methodology &amp; Sources'!$B$332:$J$336,0,4))*INDEX('Methodology &amp; Sources'!$B$332:$J$336,0,4+2)),SUMPRODUCT(($AZ28&gt;INDEX('Methodology &amp; Sources'!$B$332:$J$336,0,1))*($AZ28-INDEX('Methodology &amp; Sources'!$B$332:$J$336,0,1))*INDEX('Methodology &amp; Sources'!$B$332:$J$336,0,1+2))),IF($AN28="KS",IF($AU28="Married",SUMPRODUCT(($AZ28&gt;INDEX('Methodology &amp; Sources'!$B$353:$J$359,0,4))*($AZ28-INDEX('Methodology &amp; Sources'!$B$353:$J$359,0,4))*INDEX('Methodology &amp; Sources'!$B$353:$J$359,0,4+2)),SUMPRODUCT(($AZ28&gt;INDEX('Methodology &amp; Sources'!$B$353:$J$359,0,1))*($AZ28-INDEX('Methodology &amp; Sources'!$B$353:$J$359,0,1))*INDEX('Methodology &amp; Sources'!$B$353:$J$359,0,1+2))),IF($AN28="MN",IF($AU28="Married",SUMPRODUCT(($AZ28&gt;INDEX('Methodology &amp; Sources'!$B$364:$J$370,0,7))*($AZ28-INDEX('Methodology &amp; Sources'!$B$364:$J$370,0,7))*INDEX('Methodology &amp; Sources'!$B$364:$J$370,0,7+2)),SUMPRODUCT(($AZ28&gt;INDEX('Methodology &amp; Sources'!$B$364:$J$370,0,4))*($AZ28-INDEX('Methodology &amp; Sources'!$B$364:$J$370,0,4))*INDEX('Methodology &amp; Sources'!$B$364:$J$370,0,4+2))),IF($AN28="NE",MAX(IF($AU28="Married",SUMPRODUCT(($AZ28&gt;INDEX('Methodology &amp; Sources'!$B$394:$J$400,0,7))*($AZ28-INDEX('Methodology &amp; Sources'!$B$394:$J$400,0,7))*INDEX('Methodology &amp; Sources'!$B$394:$J$400,0,7+2)),SUMPRODUCT(($AZ28&gt;INDEX('Methodology &amp; Sources'!$B$394:$J$400,0,4))*($AZ28-INDEX('Methodology &amp; Sources'!$B$394:$J$400,0,4))*INDEX('Methodology &amp; Sources'!$B$394:$J$400,0,4+2))),0.015*$AZ28),IF($AN28="OH",IF($B28&gt;=DATE(2026,8,1),SUMPRODUCT(($AZ28&gt;INDEX('Methodology &amp; Sources'!$B$453:$J$456,0,1))*($AZ28-INDEX('Methodology &amp; Sources'!$B$453:$J$456,0,1))*INDEX('Methodology &amp; Sources'!$B$453:$J$456,0,1+2)),SUMPRODUCT(($AZ28&gt;INDEX('Methodology &amp; Sources'!$B$434:$J$448,0,7))*($AZ28-INDEX('Methodology &amp; Sources'!$B$434:$J$448,0,7))*INDEX('Methodology &amp; Sources'!$B$434:$J$448,0,7+2))),IF($AN28="OK",IF($AU28="Married",SUMPRODUCT(($AZ28&gt;INDEX('Methodology &amp; Sources'!$B$453:$J$456,0,7))*($AZ28-INDEX('Methodology &amp; Sources'!$B$453:$J$456,0,7))*INDEX('Methodology &amp; Sources'!$B$453:$J$456,0,7+2)),SUMPRODUCT(($AZ28&gt;INDEX('Methodology &amp; Sources'!$B$453:$J$456,0,4))*($AZ28-INDEX('Methodology &amp; Sources'!$B$453:$J$456,0,4))*INDEX('Methodology &amp; Sources'!$B$453:$J$456,0,4+2))),IF($AN28="RI",SUMPRODUCT(($AZ28&gt;INDEX('Methodology &amp; Sources'!$B$461:$J$464,0,7))*($AZ28-INDEX('Methodology &amp; Sources'!$B$461:$J$464,0,7))*INDEX('Methodology &amp; Sources'!$B$461:$J$464,0,7+2)),IF($AN28="VT",IF($AU28="Married",SUMPRODUCT(($AZ28&gt;INDEX('Methodology &amp; Sources'!$B$478:$J$482,0,1))*($AZ28-INDEX('Methodology &amp; Sources'!$B$478:$J$482,0,1))*INDEX('Methodology &amp; Sources'!$B$478:$J$482,0,1+2)),SUMPRODUCT(($AZ28&gt;INDEX('Methodology &amp; Sources'!$B$469:$J$473,0,7))*($AZ28-INDEX('Methodology &amp; Sources'!$B$469:$J$473,0,7))*INDEX('Methodology &amp; Sources'!$B$469:$J$473,0,7+2))),IF($AN28="WV",IF($AU28="Married",SUMPRODUCT(($AZ28&gt;INDEX('Methodology &amp; Sources'!$B$487:$J$491,0,7))*($AZ28-INDEX('Methodology &amp; Sources'!$B$487:$J$491,0,7))*INDEX('Methodology &amp; Sources'!$B$487:$J$491,0,7+2)),SUMPRODUCT(($AZ28&gt;INDEX('Methodology &amp; Sources'!$B$478:$J$482,0,7))*($AZ28-INDEX('Methodology &amp; Sources'!$B$478:$J$482,0,7))*INDEX('Methodology &amp; Sources'!$B$478:$J$482,0,7+2))),""))))))))))</f>
      </c>
      <c r="BY28" s="7">
        <f>IF($B28="","",IF($AN28="AR",SUMPRODUCT(($AZ28&gt;INDEX('Methodology &amp; Sources'!$B$332:$J$336,0,7))*($AZ28-INDEX('Methodology &amp; Sources'!$B$332:$J$336,0,7))*INDEX('Methodology &amp; Sources'!$B$332:$J$336,0,7+2)),IF($AN28="DE",SUMPRODUCT(($AZ28&gt;INDEX('Methodology &amp; Sources'!$B$341:$J$348,0,1))*($AZ28-INDEX('Methodology &amp; Sources'!$B$341:$J$348,0,1))*INDEX('Methodology &amp; Sources'!$B$341:$J$348,0,1+2)),IF($AN28="HI",IF($AU28="Married",SUMPRODUCT(($AZ28&gt;INDEX('Methodology &amp; Sources'!$B$341:$J$348,0,7))*($AZ28-INDEX('Methodology &amp; Sources'!$B$341:$J$348,0,7))*INDEX('Methodology &amp; Sources'!$B$341:$J$348,0,7+2)),SUMPRODUCT(($AZ28&gt;INDEX('Methodology &amp; Sources'!$B$341:$J$348,0,4))*($AZ28-INDEX('Methodology &amp; Sources'!$B$341:$J$348,0,4))*INDEX('Methodology &amp; Sources'!$B$341:$J$348,0,4+2))),IF($AN28="SC",SUMPRODUCT(($AZ28&gt;INDEX('Methodology &amp; Sources'!$B$469:$J$473,0,1))*($AZ28-INDEX('Methodology &amp; Sources'!$B$469:$J$473,0,1))*INDEX('Methodology &amp; Sources'!$B$469:$J$473,0,1+2)),IF($AN28="VA",SUMPRODUCT(($AZ28&gt;INDEX('Methodology &amp; Sources'!$B$469:$J$473,0,4))*($AZ28-INDEX('Methodology &amp; Sources'!$B$469:$J$473,0,4))*INDEX('Methodology &amp; Sources'!$B$469:$J$473,0,4+2)),IF($AN28="WI",SUMPRODUCT(($AZ28&gt;INDEX('Methodology &amp; Sources'!$B$478:$J$482,0,4))*($AZ28-INDEX('Methodology &amp; Sources'!$B$478:$J$482,0,4))*INDEX('Methodology &amp; Sources'!$B$478:$J$482,0,4+2)),"")))))))</f>
      </c>
      <c r="BZ28" s="24">
        <f>IF($B28="","",IF($AN28="NJ",IF(Inputs!$C$77="B",SUMPRODUCT(($AZ28&gt;=INDEX('Methodology &amp; Sources'!$B$405:$J$412,0,4))*INDEX('Methodology &amp; Sources'!$B$405:$J$412,0,4+2)),IF(Inputs!$C$77="C",SUMPRODUCT(($AZ28&gt;=INDEX('Methodology &amp; Sources'!$B$405:$J$412,0,7))*INDEX('Methodology &amp; Sources'!$B$405:$J$412,0,7+2)),IF(Inputs!$C$77="D",SUMPRODUCT(($AZ28&gt;=INDEX('Methodology &amp; Sources'!$B$417:$J$429,0,1))*INDEX('Methodology &amp; Sources'!$B$417:$J$429,0,1+2)),IF(Inputs!$C$77="E",SUMPRODUCT(($AZ28&gt;=INDEX('Methodology &amp; Sources'!$B$417:$J$429,0,4))*INDEX('Methodology &amp; Sources'!$B$417:$J$429,0,4+2)),SUMPRODUCT(($AZ28&gt;=INDEX('Methodology &amp; Sources'!$B$405:$J$412,0,1))*INDEX('Methodology &amp; Sources'!$B$405:$J$412,0,1+2)))))),IF($AN28="OR",IF(OR($AU28="Married",AND($AU28="Single",$AS28&gt;=3)),SUMPRODUCT((MAX(0,$AY28-MIN(($P28-'Methodology &amp; Sources'!$C$260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Sources'!$B$461:$J$464,0,4))*INDEX('Methodology &amp; Sources'!$B$461:$J$464,0,4+2)),SUMPRODUCT((MAX(0,$AY28-MIN(($P28-'Methodology &amp; Sources'!$C$260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Sources'!$B$461:$J$464,0,1))*INDEX('Methodology &amp; Sources'!$B$461:$J$464,0,1+2)))*IF(($P28-'Methodology &amp; Sources'!$C$260*$D28)*Inputs!$C$8&gt;=IF(OR($AU28="Married",AND($AU28="Single",$AS28&gt;=3)),IF($AY28&lt;250000,8750,IF($AY28&lt;260000,7000,IF($AY28&lt;270000,5250,IF($AY28&lt;280000,3500,IF($AY28&lt;290000,1750,0))))),IF($AY28&lt;125000,8750,IF($AY28&lt;130000,7000,IF($AY28&lt;135000,5250,IF($AY28&lt;140000,3500,IF($AY28&lt;145000,1750,0)))))),1,1-IF(Inputs!$C$13,SUMPRODUCT(($AH28&gt;=INDEX('Methodology &amp; Sources'!$B$279:$J$286,0,IF(Inputs!$C$12="MFJ",1,IF(Inputs!$C$12="HoH",7,4))))*INDEX('Methodology &amp; Sources'!$B$279:$J$286,0,IF(Inputs!$C$12="MFJ",1,IF(Inputs!$C$12="HoH",7,4))+2)),SUMPRODUCT(($AH28&gt;=INDEX('Methodology &amp; Sources'!$B$269:$J$276,0,IF(Inputs!$C$12="MFJ",1,IF(Inputs!$C$12="HoH",7,4))))*INDEX('Methodology &amp; Sources'!$B$269:$J$276,0,IF(Inputs!$C$12="MFJ",1,IF(Inputs!$C$12="HoH",7,4))+2)))),IF($AN28="MI",IF($AY28&gt;5900*$AS28,0.0425,0),""))))</f>
      </c>
      <c r="CA28" s="24">
        <f>IF($B28="","",IF($AN28="AL",IF(OR($AU28="Married",$AU28="Head of household"),SUMPRODUCT(($AZ28&gt;=INDEX('Methodology &amp; Sources'!$B$332:$J$336,0,4))*INDEX('Methodology &amp; Sources'!$B$332:$J$336,0,4+2)),SUMPRODUCT(($AZ28&gt;=INDEX('Methodology &amp; Sources'!$B$332:$J$336,0,1))*INDEX('Methodology &amp; Sources'!$B$332:$J$336,0,1+2)))*(1-IF(Inputs!$C$13,SUMPRODUCT(($AH28&gt;=INDEX('Methodology &amp; Sources'!$B$279:$J$286,0,IF(Inputs!$C$12="MFJ",1,IF(Inputs!$C$12="HoH",7,4))))*INDEX('Methodology &amp; Sources'!$B$279:$J$286,0,IF(Inputs!$C$12="MFJ",1,IF(Inputs!$C$12="HoH",7,4))+2)),SUMPRODUCT(($AH28&gt;=INDEX('Methodology &amp; Sources'!$B$269:$J$276,0,IF(Inputs!$C$12="MFJ",1,IF(Inputs!$C$12="HoH",7,4))))*INDEX('Methodology &amp; Sources'!$B$269:$J$276,0,IF(Inputs!$C$12="MFJ",1,IF(Inputs!$C$12="HoH",7,4))+2)))),IF($AN28="KS",IF($AU28="Married",SUMPRODUCT(($AZ28&gt;=INDEX('Methodology &amp; Sources'!$B$353:$J$359,0,4))*INDEX('Methodology &amp; Sources'!$B$353:$J$359,0,4+2)),SUMPRODUCT(($AZ28&gt;=INDEX('Methodology &amp; Sources'!$B$353:$J$359,0,1))*INDEX('Methodology &amp; Sources'!$B$353:$J$359,0,1+2))),IF($AN28="MD",IF(OR($AU28="Married",$AU28="Head of household"),SUMPRODUCT(($AZ28&gt;=INDEX('Methodology &amp; Sources'!$B$364:$J$370,0,1))*INDEX('Methodology &amp; Sources'!$B$364:$J$370,0,1+2)),SUMPRODUCT(($AZ28&gt;=INDEX('Methodology &amp; Sources'!$B$353:$J$359,0,7))*INDEX('Methodology &amp; Sources'!$B$353:$J$359,0,7+2)))+Inputs!$C$74,IF($AN28="MT",IF($AU28="Head of household",SUMPRODUCT(($AZ28&gt;=INDEX('Methodology &amp; Sources'!$B$387:$J$389,0,1))*INDEX('Methodology &amp; Sources'!$B$387:$J$389,0,1+2)),IF($AU28="Married",SUMPRODUCT(($AZ28&gt;=INDEX('Methodology &amp; Sources'!$B$375:$J$382,0,7))*INDEX('Methodology &amp; Sources'!$B$375:$J$382,0,7+2)),SUMPRODUCT(($AZ28&gt;=INDEX('Methodology &amp; Sources'!$B$375:$J$382,0,4))*INDEX('Methodology &amp; Sources'!$B$375:$J$382,0,4+2)))),IF($AN28="ND",IF($AU28="Head of household",SUMPRODUCT(($AZ28&gt;=INDEX('Methodology &amp; Sources'!$B$394:$J$400,0,1))*INDEX('Methodology &amp; Sources'!$B$394:$J$400,0,1+2)),IF($AU28="Married",SUMPRODUCT(($AZ28&gt;=INDEX('Methodology &amp; Sources'!$B$387:$J$389,0,7))*INDEX('Methodology &amp; Sources'!$B$387:$J$389,0,7+2)),SUMPRODUCT(($AZ28&gt;=INDEX('Methodology &amp; Sources'!$B$387:$J$389,0,4))*INDEX('Methodology &amp; Sources'!$B$387:$J$389,0,4+2)))),IF($AN28="NY",IF($AU28="Married",IF($AZ28&gt;=2155350,IF($AZ28&gt;25000000,0.117,IF($AZ28&gt;5000000,0.111,0.1045)),SUMPRODUCT(($AZ28&gt;=INDEX('Methodology &amp; Sources'!$B$434:$J$448,0,1))*INDEX('Methodology &amp; Sources'!$B$434:$J$448,0,1+2))),IF($AZ28&gt;=1077550,IF($AZ28&gt;25000000,0.117,IF($AZ28&gt;5000000,0.111,0.1045)),SUMPRODUCT(($AZ28&gt;=INDEX('Methodology &amp; Sources'!$B$417:$J$429,0,7))*INDEX('Methodology &amp; Sources'!$B$417:$J$429,0,7+2)))),"")))))))</f>
      </c>
      <c r="CB28" s="24">
        <f>IF($B28="","",IF($AN28="CA",SUMPRODUCT(($AJ28&gt;=INDEX('Methodology &amp; Sources'!$B$289:$J$298,0,IF($AU28="Married",4,IF($AU28="Head of household",7,1))))*INDEX('Methodology &amp; Sources'!$B$289:$J$298,0,IF($AU28="Married",4,IF($AU28="Head of household",7,1))+2)),IF($AN28="HI",IF($AU28="Married",SUMPRODUCT(($AZ28&gt;=INDEX('Methodology &amp; Sources'!$B$341:$J$348,0,7))*INDEX('Methodology &amp; Sources'!$B$341:$J$348,0,7+2)),SUMPRODUCT(($AZ28&gt;=INDEX('Methodology &amp; Sources'!$B$341:$J$348,0,4))*INDEX('Methodology &amp; Sources'!$B$341:$J$348,0,4+2))),IF($AN28="MN",IF($AU28="Married",SUMPRODUCT(($AZ28&gt;=INDEX('Methodology &amp; Sources'!$B$364:$J$370,0,7))*INDEX('Methodology &amp; Sources'!$B$364:$J$370,0,7+2)),SUMPRODUCT(($AZ28&gt;=INDEX('Methodology &amp; Sources'!$B$364:$J$370,0,4))*INDEX('Methodology &amp; Sources'!$B$364:$J$370,0,4+2))),IF($AN28="MO",SUMPRODUCT(($AZ28&gt;=INDEX('Methodology &amp; Sources'!$B$375:$J$382,0,1))*INDEX('Methodology &amp; Sources'!$B$375:$J$382,0,1+2)),IF($AN28="NE",MAX(IF($AU28="Married",SUMPRODUCT(($AZ28&gt;=INDEX('Methodology &amp; Sources'!$B$394:$J$400,0,7))*INDEX('Methodology &amp; Sources'!$B$394:$J$400,0,7+2)),SUMPRODUCT(($AZ28&gt;=INDEX('Methodology &amp; Sources'!$B$394:$J$400,0,4))*INDEX('Methodology &amp; Sources'!$B$394:$J$400,0,4+2))),0.015),IF($AN28="OH",IF($B28&gt;=DATE(2026,8,1),SUMPRODUCT(($AZ28&gt;=INDEX('Methodology &amp; Sources'!$B$453:$J$456,0,1))*INDEX('Methodology &amp; Sources'!$B$453:$J$456,0,1+2)),SUMPRODUCT(($AZ28&gt;=INDEX('Methodology &amp; Sources'!$B$434:$J$448,0,7))*INDEX('Methodology &amp; Sources'!$B$434:$J$448,0,7+2))),IF($AN28="OK",IF($AU28="Married",SUMPRODUCT(($AZ28&gt;=INDEX('Methodology &amp; Sources'!$B$453:$J$456,0,7))*INDEX('Methodology &amp; Sources'!$B$453:$J$456,0,7+2)),SUMPRODUCT(($AZ28&gt;=INDEX('Methodology &amp; Sources'!$B$453:$J$456,0,4))*INDEX('Methodology &amp; Sources'!$B$453:$J$456,0,4+2))),IF($AN28="RI",SUMPRODUCT(($AZ28&gt;=INDEX('Methodology &amp; Sources'!$B$461:$J$464,0,7))*INDEX('Methodology &amp; Sources'!$B$461:$J$464,0,7+2)),IF($AN28="SC",SUMPRODUCT(($AZ28&gt;=INDEX('Methodology &amp; Sources'!$B$469:$J$473,0,1))*INDEX('Methodology &amp; Sources'!$B$469:$J$473,0,1+2)),IF($AN28="VT",IF($AU28="Married",SUMPRODUCT(($AZ28&gt;=INDEX('Methodology &amp; Sources'!$B$478:$J$482,0,1))*INDEX('Methodology &amp; Sources'!$B$478:$J$482,0,1+2)),SUMPRODUCT(($AZ28&gt;=INDEX('Methodology &amp; Sources'!$B$469:$J$473,0,7))*INDEX('Methodology &amp; Sources'!$B$469:$J$473,0,7+2))),IF($AN28="WV",IF($AU28="Married",SUMPRODUCT(($AZ28&gt;=INDEX('Methodology &amp; Sources'!$B$487:$J$491,0,7))*INDEX('Methodology &amp; Sources'!$B$487:$J$491,0,7+2)),SUMPRODUCT(($AZ28&gt;=INDEX('Methodology &amp; Sources'!$B$478:$J$482,0,7))*INDEX('Methodology &amp; Sources'!$B$478:$J$482,0,7+2))),IF($AN28="IN",(0.0295+Inputs!$C$76),"")))))))))))))</f>
      </c>
      <c r="CC28" s="24">
        <f>IF($B28="","",IF($AN28="AR",SUMPRODUCT(($AZ28&gt;=INDEX('Methodology &amp; Sources'!$B$332:$J$336,0,7))*INDEX('Methodology &amp; Sources'!$B$332:$J$336,0,7+2)),IF($AN28="DE",SUMPRODUCT(($AZ28&gt;=INDEX('Methodology &amp; Sources'!$B$341:$J$348,0,1))*INDEX('Methodology &amp; Sources'!$B$341:$J$348,0,1+2)),IF($AN28="VA",SUMPRODUCT(($AZ28&gt;=INDEX('Methodology &amp; Sources'!$B$469:$J$473,0,4))*INDEX('Methodology &amp; Sources'!$B$469:$J$473,0,4+2)),IF($AN28="WI",SUMPRODUCT(($AZ28&gt;=INDEX('Methodology &amp; Sources'!$B$478:$J$482,0,4))*INDEX('Methodology &amp; Sources'!$B$478:$J$482,0,4+2)),IF($AN28="AZ",Inputs!$C$82,IF($AN28="CO",IF($AY28&gt;IF($AU28="Married",10000,5000),0.044,0),IF($AN28="IA",IF($AY28&gt;IF($AU28="Head of household",19500,IF($AU28="Married",26000,13000)),0.038,0),IF($AN28="ID",IF($AY28&gt;IF($AU28="Married",32000,16094),0.053,0),IF($AN28="IL",IF($AY28&gt;(2925*$AS28+1000*$AT28),0.0495,0),IF($AN28="KY",IF($AI28&gt;3360,0.035,0),IF($AN28="LA",0.0309,IF($AN28="MA",IF(MAX(0,$AY28-MIN(($BD27+$Q28+$R28+$S28),2000)-IF($AS28=0,0,IF($AS28=1,4400,1000*$AS28+3400)))&gt;=1107750,0.09,0.05),IF($AN28="MS",IF($AI28-IF($AU28="Head of household",3400,IF($AU28="Married",4600,2300))-Inputs!$C$85&gt;10000,0.04,0),IF($AN28="PA",0.0307,"")))))))))))))))</f>
      </c>
      <c r="CD28" s="21">
        <f>IF(YEAR(IF(Inputs!$C$7="Weekly",Inputs!$C$9+7*(($BE27+1)-1),IF(Inputs!$C$7="Biweekly",Inputs!$C$9+14*(($BE27+1)-1),IF(Inputs!$C$7="Semimonthly",DATE(YEAR(Inputs!$C$9),MONTH(Inputs!$C$9)+INT((($BE27+1)-1)/2),MIN(DAY(Inputs!$C$9),DAY(EOMONTH(DATE(YEAR(Inputs!$C$9),MONTH(Inputs!$C$9)+INT((($BE27+1)-1)/2),1),0))))+IF(MOD(($BE27+1)-1,2)=1,15,0),EDATE(Inputs!$C$9,($BE27+1)-1)))))&lt;&gt;2026,"",IF(Inputs!$C$7="Weekly",Inputs!$C$9+7*(($BE27+1)-1),IF(Inputs!$C$7="Biweekly",Inputs!$C$9+14*(($BE27+1)-1),IF(Inputs!$C$7="Semimonthly",DATE(YEAR(Inputs!$C$9),MONTH(Inputs!$C$9)+INT((($BE27+1)-1)/2),MIN(DAY(Inputs!$C$9),DAY(EOMONTH(DATE(YEAR(Inputs!$C$9),MONTH(Inputs!$C$9)+INT((($BE27+1)-1)/2),1),0))))+IF(MOD(($BE27+1)-1,2)=1,15,0),EDATE(Inputs!$C$9,($BE27+1)-1)))))</f>
      </c>
      <c r="CE28" s="21">
        <f>IF(SUMPRODUCT(MIN(IF((Inputs!$C$58:$C$67&gt;MAX($B$6:$B27))*(Inputs!$C$58:$C$67&gt;=DATE(2026,1,1))*(Inputs!$C$58:$C$67&lt;=DATE(2026,12,31)),Inputs!$C$58:$C$67,999999)))=999999,"",SUMPRODUCT(MIN(IF((Inputs!$C$58:$C$67&gt;MAX($B$6:$B27))*(Inputs!$C$58:$C$67&gt;=DATE(2026,1,1))*(Inputs!$C$58:$C$67&lt;=DATE(2026,12,31)),Inputs!$C$58:$C$67,999999))))</f>
      </c>
    </row>
    <row r="29">
      <c r="A29" t="n">
        <v>24</v>
      </c>
      <c r="B29" s="21">
        <f>IF(AND($CD29="",$CE29=""),"",IF($CE29="",$CD29,IF($CD29="",$CE29,MIN($CD29,$CE29))))</f>
      </c>
      <c r="C29" s="7">
        <f>IF($B29="","",IF($BF29=0,0,IF(Inputs!$C$4="Annual salary",ROUND($AK29/IF(AND(Inputs!$C$88="Actual paydays",MONTH(Inputs!$C$9)=1),MAX(1,MAX($BE$6:$BE$68)),Inputs!$C$8),2),$AK29)))</f>
      </c>
      <c r="D29" s="7">
        <f>IF($B29="","",SUMIF(Inputs!$C$58:$C$67,$B29,Inputs!$D$58:$D$67))</f>
      </c>
      <c r="E29" s="7">
        <f>IF($B29="","",ROUND(MAX(0,MIN(IF($AL29="Percent",$AM29*($C29+$D29),$AM29),MAX(0,Inputs!$C$91-$AC28))),2))</f>
      </c>
      <c r="F29" s="7">
        <f>IF($B29="","",ROUND(MAX(0,MIN(IF(Inputs!$C$32="Percent",Inputs!$D$32*($C29+$D29),Inputs!$D$32),MAX(0,Inputs!$C$91-$AC28-$E29))),2))</f>
      </c>
      <c r="G29" s="7">
        <f>IF($B29="","",IF($BF29=0,0,ROUND(MAX(0,MIN($BL29,Inputs!$C$92-Inputs!$C$54-$BI28)),2)))</f>
      </c>
      <c r="H29" s="7">
        <f>IF($B29="","",IF(OR($BF29=0,$BQ29=1),0,ROUND(MAX(0,MIN(IF($BS29=1,ROUND(MAX(0,MIN($BJ29,'Methodology &amp; Sources'!$C$263)-$BG28)/MAX(1,MAX($BE$6:$BE$68)-($BE28)),2),ROUND(MIN($BJ29,'Methodology &amp; Sources'!$C$263)/Inputs!$C$8,2)),MIN($BJ29,'Methodology &amp; Sources'!$C$263)-$BG28)),2)))</f>
      </c>
      <c r="I29" s="7">
        <f>IF($B29="","",IF(OR($BF29=0,$BR29=1),0,ROUND(MAX(0,MIN(IF($BT29=1,ROUND(MAX(0,MIN($BK29,IF(Inputs!$C$12="MFJ",'Methodology &amp; Sources'!$C$264,'Methodology &amp; Sources'!$C$265))-$BH28)/MAX(1,MAX($BE$6:$BE$68)-($BE28)),2),ROUND(MIN($BK29,IF(Inputs!$C$12="MFJ",'Methodology &amp; Sources'!$C$264,'Methodology &amp; Sources'!$C$265))/Inputs!$C$8,2)),MIN($BK29,IF(Inputs!$C$12="MFJ",'Methodology &amp; Sources'!$C$264,'Methodology &amp; Sources'!$C$265))-$BH28)),2)))</f>
      </c>
      <c r="J29" s="7">
        <f>IF($B29="","",IF($BF29=0,0,$BM29))</f>
      </c>
      <c r="K29" s="7">
        <f>IF($B29="","",IF($BF29=0,0,$BN29+$BO29))</f>
      </c>
      <c r="L29" s="7">
        <f>IF($B29="","",IF($BF29=0,0,Inputs!$D$46))</f>
      </c>
      <c r="M29" s="7">
        <f>IF($B29="","",$C29+$D29+$L29-$E29-$G29-$H29-$I29-$J29-$K29)</f>
      </c>
      <c r="N29" s="7">
        <f>IF($B29="","",$C29+$D29+$L29-$G29-$H29-$I29-$J29-$K29)</f>
      </c>
      <c r="O29" s="7">
        <f>IF($B29="","",$C29+$D29+$L29-$E29-$H29-$I29-$J29-$K29-IF(OR($AN29="CA",$AN29="NJ"),0,$G29))</f>
      </c>
      <c r="P29" s="7">
        <f>IF($B29="","",IF(Inputs!$C$18,0,ROUND(MAX(0,IF(Inputs!$C$13,SUMPRODUCT(($AH29&gt;INDEX('Methodology &amp; Sources'!$B$279:$J$286,0,IF(Inputs!$C$12="MFJ",1,IF(Inputs!$C$12="HoH",7,4))))*($AH29-INDEX('Methodology &amp; Sources'!$B$279:$J$286,0,IF(Inputs!$C$12="MFJ",1,IF(Inputs!$C$12="HoH",7,4))))*INDEX('Methodology &amp; Sources'!$B$279:$J$286,0,IF(Inputs!$C$12="MFJ",1,IF(Inputs!$C$12="HoH",7,4))+2)),SUMPRODUCT(($AH29&gt;INDEX('Methodology &amp; Sources'!$B$269:$J$276,0,IF(Inputs!$C$12="MFJ",1,IF(Inputs!$C$12="HoH",7,4))))*($AH29-INDEX('Methodology &amp; Sources'!$B$269:$J$276,0,IF(Inputs!$C$12="MFJ",1,IF(Inputs!$C$12="HoH",7,4))))*INDEX('Methodology &amp; Sources'!$B$269:$J$276,0,IF(Inputs!$C$12="MFJ",1,IF(Inputs!$C$12="HoH",7,4))+2)))/Inputs!$C$8-$AO29/Inputs!$C$8)+$AR29+IF(Inputs!$C$89="Aggregate",MAX(0,IF(Inputs!$C$13,SUMPRODUCT((($AH29+$D29)&gt;INDEX('Methodology &amp; Sources'!$B$279:$J$286,0,IF(Inputs!$C$12="MFJ",1,IF(Inputs!$C$12="HoH",7,4))))*(($AH29+$D29)-INDEX('Methodology &amp; Sources'!$B$279:$J$286,0,IF(Inputs!$C$12="MFJ",1,IF(Inputs!$C$12="HoH",7,4))))*INDEX('Methodology &amp; Sources'!$B$279:$J$286,0,IF(Inputs!$C$12="MFJ",1,IF(Inputs!$C$12="HoH",7,4))+2)),SUMPRODUCT((($AH29+$D29)&gt;INDEX('Methodology &amp; Sources'!$B$269:$J$276,0,IF(Inputs!$C$12="MFJ",1,IF(Inputs!$C$12="HoH",7,4))))*(($AH29+$D29)-INDEX('Methodology &amp; Sources'!$B$269:$J$276,0,IF(Inputs!$C$12="MFJ",1,IF(Inputs!$C$12="HoH",7,4))))*INDEX('Methodology &amp; Sources'!$B$269:$J$276,0,IF(Inputs!$C$12="MFJ",1,IF(Inputs!$C$12="HoH",7,4))+2)))-IF(Inputs!$C$13,SUMPRODUCT(($AH29&gt;INDEX('Methodology &amp; Sources'!$B$279:$J$286,0,IF(Inputs!$C$12="MFJ",1,IF(Inputs!$C$12="HoH",7,4))))*($AH29-INDEX('Methodology &amp; Sources'!$B$279:$J$286,0,IF(Inputs!$C$12="MFJ",1,IF(Inputs!$C$12="HoH",7,4))))*INDEX('Methodology &amp; Sources'!$B$279:$J$286,0,IF(Inputs!$C$12="MFJ",1,IF(Inputs!$C$12="HoH",7,4))+2)),SUMPRODUCT(($AH29&gt;INDEX('Methodology &amp; Sources'!$B$269:$J$276,0,IF(Inputs!$C$12="MFJ",1,IF(Inputs!$C$12="HoH",7,4))))*($AH29-INDEX('Methodology &amp; Sources'!$B$269:$J$276,0,IF(Inputs!$C$12="MFJ",1,IF(Inputs!$C$12="HoH",7,4))))*INDEX('Methodology &amp; Sources'!$B$269:$J$276,0,IF(Inputs!$C$12="MFJ",1,IF(Inputs!$C$12="HoH",7,4))+2)))),'Methodology &amp; Sources'!$C$260*$D29),2)))</f>
      </c>
      <c r="Q29" s="7">
        <f>IF($B29="","",ROUND('Methodology &amp; Sources'!$C$254*MIN($N29,MAX(0,'Methodology &amp; Sources'!$C$253-($AX29+$AB28-$AW29))),2))</f>
      </c>
      <c r="R29" s="7">
        <f>IF($B29="","",ROUND('Methodology &amp; Sources'!$C$255*$N29,2))</f>
      </c>
      <c r="S29" s="7">
        <f>IF($B29="","",ROUND('Methodology &amp; Sources'!$C$256*MAX(0,MIN($N29,$AG28+$N29-'Methodology &amp; Sources'!$C$257)),2))</f>
      </c>
      <c r="T29" s="7">
        <f>IF($B29="","",IF(Inputs!$C$26,0,IF($AN29="CA",ROUND(IF($AI29&lt;=IF(($AS29+$AT29)&gt;=2,VLOOKUP($AN29,'StateTables 2026'!$A$6:$AB$56,10,FALSE),VLOOKUP($AN29,'StateTables 2026'!$A$6:$AB$56,9,FALSE)),0,MAX(0,SUMPRODUCT(($AJ29&gt;INDEX('Methodology &amp; Sources'!$B$289:$J$298,0,IF($AU29="Married",4,IF($AU29="Head of household",7,1))))*($AJ29-INDEX('Methodology &amp; Sources'!$B$289:$J$298,0,IF($AU29="Married",4,IF($AU29="Head of household",7,1))))*INDEX('Methodology &amp; Sources'!$B$289:$J$298,0,IF($AU29="Married",4,IF($AU29="Head of household",7,1))+2))-VLOOKUP($AN29,'StateTables 2026'!$A$6:$AB$56,11,FALSE)*$AS29)/Inputs!$C$8)+Inputs!$C$25+VLOOKUP($AN29,'StateTables 2026'!$A$6:$AB$56,13,FALSE)*$D29,2),IF(VLOOKUP($AN29,'StateTables 2026'!$A$6:$AB$56,4,FALSE)="None",0,IF(ISNUMBER(SEARCH("MANUAL",VLOOKUP($AN29,'StateTables 2026'!$A$6:$AB$56,5,FALSE))),Inputs!$C$28,ROUND(MAX(0,$BA29+$BB29)/Inputs!$C$8+Inputs!$C$25+$BC29,2))))))</f>
      </c>
      <c r="U29" s="7">
        <f>IF($B29="","",IF(VLOOKUP($AN29,'StateTables 2026'!$A$6:$AB$56,24,FALSE)="flatq",IF(OR(MONTH($B29)=1,MONTH($B29)=4,MONTH($B29)=7,MONTH($B29)=10),VLOOKUP($AN29,'StateTables 2026'!$A$6:$AB$56,25,FALSE),0),IF(VLOOKUP($AN29,'StateTables 2026'!$A$6:$AB$56,24,FALSE)="dbl",MIN(ROUND(0.005*$N29,2),ROUND(0.6*52/Inputs!$C$8,2)),IF(OR(VLOOKUP($AN29,'StateTables 2026'!$A$6:$AB$56,15,FALSE)="",VLOOKUP($AN29,'StateTables 2026'!$A$6:$AB$56,15,FALSE)=0),0,ROUND(VLOOKUP($AN29,'StateTables 2026'!$A$6:$AB$56,15,FALSE)*IF(OR(VLOOKUP($AN29,'StateTables 2026'!$A$6:$AB$56,16,FALSE)="",VLOOKUP($AN29,'StateTables 2026'!$A$6:$AB$56,16,FALSE)=0),$N29,MIN($N29,MAX(0,VLOOKUP($AN29,'StateTables 2026'!$A$6:$AB$56,16,FALSE)-($AX29+$AB28-$AW29)))),2))))+IF(VLOOKUP($AN29,'StateTables 2026'!$A$6:$AB$56,27,FALSE)="flatq",IF(OR(MONTH($B29)=1,MONTH($B29)=4,MONTH($B29)=7,MONTH($B29)=10),VLOOKUP($AN29,'StateTables 2026'!$A$6:$AB$56,28,FALSE),0),IF(VLOOKUP($AN29,'StateTables 2026'!$A$6:$AB$56,27,FALSE)="dbl",MIN(ROUND(0.005*$N29,2),ROUND(0.6*52/Inputs!$C$8,2)),IF(OR(VLOOKUP($AN29,'StateTables 2026'!$A$6:$AB$56,18,FALSE)="",VLOOKUP($AN29,'StateTables 2026'!$A$6:$AB$56,18,FALSE)=0),0,ROUND(VLOOKUP($AN29,'StateTables 2026'!$A$6:$AB$56,18,FALSE)*IF(OR(VLOOKUP($AN29,'StateTables 2026'!$A$6:$AB$56,19,FALSE)="",VLOOKUP($AN29,'StateTables 2026'!$A$6:$AB$56,19,FALSE)=0),$N29,MIN($N29,MAX(0,VLOOKUP($AN29,'StateTables 2026'!$A$6:$AB$56,19,FALSE)-($AX29+$AB28-$AW29)))),2)))))</f>
      </c>
      <c r="V29" s="7">
        <f>IF($B29="","",IF($AN29="NY",IF(Inputs!$C$78,ROUND(SUMPRODUCT((MAX(0,($O29-$D29)*Inputs!$C$8-(IF($AU29="Married",5500,5000)+1000*$AS29))&gt;INDEX('Methodology &amp; Sources'!$B$434:$J$448,0,4))*(MAX(0,($O29-$D29)*Inputs!$C$8-(IF($AU29="Married",5500,5000)+1000*$AS29))-INDEX('Methodology &amp; Sources'!$B$434:$J$448,0,4))*INDEX('Methodology &amp; Sources'!$B$434:$J$448,0,4+2))/Inputs!$C$8+0.0425*$D29,2),0)+IF(Inputs!$C$79="Resident",ROUND(0.1675*$T29,2),IF(Inputs!$C$79="Nonresident",ROUND(0.005*MAX(0,($O29-$D29)-(IF($AU29="Married",7950,7400)+1000*$AS29)/Inputs!$C$8),2),0)),IF($AN29="PA",IF(Inputs!$C$80="None",Inputs!$C$27+ROUND(Inputs!$C$81*($C29+$D29),2),ROUND(IF(Inputs!$C$80="Resident",IF($B29&lt;DATE(2026,7,1),0.0374,0.03735),IF($B29&lt;DATE(2026,7,1),0.0343,0.03425))*($C29+$D29),2)),IF($BF29=0,ROUND(Inputs!$C$81*($C29+$D29),2),Inputs!$C$27+ROUND(Inputs!$C$81*($C29+$D29),2)))))</f>
      </c>
      <c r="W29" s="7">
        <f>IF($B29="","",IF($BF29=0,0,$BP29))</f>
      </c>
      <c r="X29" s="7">
        <f>IF($B29="","",SUM($E29:$K29)+$P29+$Q29+$R29+$S29+$T29+$U29+$V29+$W29)</f>
      </c>
      <c r="Y29" s="22">
        <f>IF($B29="","",$C29+$D29-$X29)</f>
      </c>
      <c r="Z29" s="7">
        <f>IF($B29="","",$Z28+$C29+$D29)</f>
      </c>
      <c r="AA29" s="7">
        <f>IF($B29="","",$AA28+$Y29)</f>
      </c>
      <c r="AB29" s="7">
        <f>IF($B29="","",$AB28+MIN($N29,MAX(0,'Methodology &amp; Sources'!$C$253-($AX29+$AB28-$AW29))))</f>
      </c>
      <c r="AC29" s="7">
        <f>IF($B29="","",$AC28+$E29+$F29)</f>
      </c>
      <c r="AD29" s="3">
        <f>IF($B29="","",IF(AND($AB28&lt;'Methodology &amp; Sources'!$C$253,$AB29&gt;='Methodology &amp; Sources'!$C$253),"★ Social Security maxed on this check — from the next check your net rises by about $"&amp;TEXT(ROUND('Methodology &amp; Sources'!$C$254*$N29,2),"#,##0.00")&amp;". ","")&amp;IF(AND($AC28&lt;Inputs!$C$91,$AC29&gt;=Inputs!$C$91),"★ 401(k) reaches the $"&amp;TEXT(Inputs!$C$91,"#,##0")&amp;" cap on this check — deferrals stop and net pay rises. ","")&amp;IF(AND($AG28&lt;'Methodology &amp; Sources'!$C$257,$AG29&gt;='Methodology &amp; Sources'!$C$257),"★ Wages pass $200,000 — the 0.9% Additional Medicare Tax starts here. ","")&amp;IF(AND($BJ29&gt;0,$H29&gt;0,$BG28&lt;MIN($BJ29,'Methodology &amp; Sources'!$C$263),$BG28+$H29&gt;=MIN($BJ29,'Methodology &amp; Sources'!$C$263)),"★ Health FSA election is now fully deferred for the year. ",""))</f>
      </c>
      <c r="AE29" s="41" t="n"/>
      <c r="AF29" s="7">
        <f>IF(OR($B29="",$AE29=""),"",$AE29-$Y29)</f>
      </c>
      <c r="AG29" s="7">
        <f>IF($B29="","",$AG28+$N29)</f>
      </c>
      <c r="AH29" s="7">
        <f>IF($B29="","",MAX(0,($M29-$D29)*Inputs!$C$8+$AP29-$AQ29-IF(Inputs!$C$13,0,IF(Inputs!$C$12="MFJ",'Methodology &amp; Sources'!$C$258,'Methodology &amp; Sources'!$C$259))))</f>
      </c>
      <c r="AI29" s="7">
        <f>IF($B29="","",$O29*Inputs!$C$8)</f>
      </c>
      <c r="AJ29" s="7">
        <f>IF($B29="","",MAX(0,$AI29-VLOOKUP($AN29,'StateTables 2026'!$A$6:$AB$56,12,FALSE)*$AT29-IF(($AS29+$AT29)&gt;=2,VLOOKUP($AN29,'StateTables 2026'!$A$6:$AB$56,8,FALSE),VLOOKUP($AN29,'StateTables 2026'!$A$6:$AB$56,7,FALSE))))</f>
      </c>
      <c r="AK29" s="7">
        <f>IF($B29="","",IFERROR(LOOKUP(2,1/((Events!$C$6:$C$17="Salary change")*(Events!$B$6:$B$17&lt;=$B29)*(Events!$B$6:$B$17&lt;&gt;"")),Events!$D$6:$D$17),IF(Inputs!$C$4="Annual salary",Inputs!$C$5,Inputs!$C$6)))</f>
      </c>
      <c r="AL29">
        <f>IF($B29="","",IFERROR(LOOKUP(2,1/((Events!$C$6:$C$17="401(k) change")*(Events!$B$6:$B$17&lt;=$B29)*(Events!$B$6:$B$17&lt;&gt;"")),Events!$D$6:$D$17),Inputs!$C$30))</f>
      </c>
      <c r="AM29" s="7">
        <f>IF($B29="","",IFERROR(LOOKUP(2,1/((Events!$C$6:$C$17="401(k) change")*(Events!$B$6:$B$17&lt;=$B29)*(Events!$B$6:$B$17&lt;&gt;"")),Events!$E$6:$E$17),Inputs!$D$30))</f>
      </c>
      <c r="AN29">
        <f>IF($B29="","",IFERROR(LOOKUP(2,1/((Events!$C$6:$C$17="State move")*(Events!$B$6:$B$17&lt;=$B29)*(Events!$B$6:$B$17&lt;&gt;"")),Events!$D$6:$D$17),Inputs!$C$21))</f>
      </c>
      <c r="AO29" s="7">
        <f>IF($B29="","",IFERROR(LOOKUP(2,1/((Events!$C$6:$C$17="W-4 change")*(Events!$B$6:$B$17&lt;=$B29)*(Events!$B$6:$B$17&lt;&gt;"")),Events!$D$6:$D$17),Inputs!$C$14))</f>
      </c>
      <c r="AP29" s="7">
        <f>IF($B29="","",IFERROR(LOOKUP(2,1/((Events!$C$6:$C$17="W-4 change")*(Events!$B$6:$B$17&lt;=$B29)*(Events!$B$6:$B$17&lt;&gt;"")),Events!$E$6:$E$17),Inputs!$C$15))</f>
      </c>
      <c r="AQ29" s="7">
        <f>IF($B29="","",IFERROR(LOOKUP(2,1/((Events!$C$6:$C$17="W-4 change")*(Events!$B$6:$B$17&lt;=$B29)*(Events!$B$6:$B$17&lt;&gt;"")),Events!$F$6:$F$17),Inputs!$C$16))</f>
      </c>
      <c r="AR29" s="7">
        <f>IF($B29="","",IFERROR(LOOKUP(2,1/((Events!$C$6:$C$17="W-4 change")*(Events!$B$6:$B$17&lt;=$B29)*(Events!$B$6:$B$17&lt;&gt;"")),Events!$G$6:$G$17),Inputs!$C$17))</f>
      </c>
      <c r="AS29" s="6">
        <f>IF($B29="","",IFERROR(LOOKUP(2,1/(((Events!$C$6:$C$17="State move")+(Events!$C$6:$C$17="State cert change"))*(Events!$B$6:$B$17&lt;=$B29)*(Events!$B$6:$B$17&lt;&gt;"")),Events!$F$6:$F$17),Inputs!$C$23))</f>
      </c>
      <c r="AT29" s="6">
        <f>IF($B29="","",IFERROR(LOOKUP(2,1/(((Events!$C$6:$C$17="State move")+(Events!$C$6:$C$17="State cert change"))*(Events!$B$6:$B$17&lt;=$B29)*(Events!$B$6:$B$17&lt;&gt;"")),Events!$G$6:$G$17),Inputs!$C$24))</f>
      </c>
      <c r="AU29">
        <f>IF($B29="","",IFERROR(LOOKUP(2,1/((Events!$C$6:$C$17="State move")*(Events!$B$6:$B$17&lt;=$B29)*(Events!$B$6:$B$17&lt;&gt;"")),Events!$E$6:$E$17),Inputs!$C$22))</f>
      </c>
      <c r="AV29" s="6">
        <f>IF($B29="","",1+COUNTIFS(Events!$C$6:$C$17,"Employer change",Events!$B$6:$B$17,"&lt;="&amp;$B29,Events!$B$6:$B$17,"&lt;&gt;"))</f>
      </c>
      <c r="AW29" s="7">
        <f>IF($B29="","",IF($AV29=1,Inputs!$C$49,IF(IFERROR(MATCH(IFERROR(LOOKUP(2,1/((Events!$C$6:$C$17="Employer change")*(Events!$B$6:$B$17&lt;=$B29)*(Events!$B$6:$B$17&lt;&gt;"")),Events!$B$6:$B$17),""),$B$6:$B$68,1),1)&lt;=1,Inputs!$C$49,INDEX($AB$6:$AB$68,MATCH(IFERROR(LOOKUP(2,1/((Events!$C$6:$C$17="Employer change")*(Events!$B$6:$B$17&lt;=$B29)*(Events!$B$6:$B$17&lt;&gt;"")),Events!$B$6:$B$17),""),$B$6:$B$68,1)-1))))</f>
      </c>
      <c r="AX29" s="7">
        <f>IF($B29="","",IF($AV29=1,Inputs!$C$49,IFERROR(LOOKUP(2,1/((Events!$C$6:$C$17="Employer change")*(Events!$B$6:$B$17&lt;=$B29)*(Events!$B$6:$B$17&lt;&gt;"")),Events!$D$6:$D$17),0)))</f>
      </c>
      <c r="AY29" s="7">
        <f>IF($B29="","",($O29-$D29)*Inputs!$C$8)</f>
      </c>
      <c r="AZ29" s="7">
        <f>IF($B29="","",IF($AN29="AL",MAX(0,$AY29-IF($AU29="Married",IF($AY29&lt;=25999,8500,MAX(5000,8500-175*CEILING(($AY29-25999)/500,1))),IF($AU29="Head of household",IF($AY29&lt;=25999,5200,MAX(2500,5200-135*CEILING(($AY29-25999)/500,1))),IF($AY29&lt;=25999,3000,MAX(2500,3000-25*CEILING(($AY29-25999)/500,1)))))-($P29-'Methodology &amp; Sources'!$C$260*$D29)*Inputs!$C$8-IF(OR($AU29="Married",$AU29="Head of household"),3000,1500)-$AT29*IF($AY29&lt;=50000,1000,IF($AY29&lt;=100000,500,300))),IF($AN29="AR",IF(MAX(0,$AY29-2470)&lt;97701,INT(MAX(0,$AY29-2470)/100)*100+50,MAX(0,$AY29-2470)),IF($AN29="DE",MAX(0,$AI29-3250),IF($AN29="HI",MAX(0,$AI29-1144*$AS29-4350),IF($AN29="KS",MAX(0,$AI29-(9160*IF($AU29="Married",2,1)+2320*$AT29+IF($AU29="Head of household",2320,0))),IF($AN29="MD",MAX(0,$AI29-3400-3200*$AS29),IF($AN29="MN",MAX(0,$AY29-5300*$AS29),IF($AN29="MO",MAX(0,$AI29-IF($AU29="Head of household",24150,IF($AU29="Married",IF(Inputs!$C$83,16100,32200),16100))),IF($AN29="MT",$AY29,IF($AN29="ND",($C29+$L29)*Inputs!$C$8,IF($AN29="NE",MAX(0,$AY29-2440*$AS29),IF($AN29="NJ",MAX(0,$AY29-1000*$AS29),IF($AN29="NY",MAX(0,$AY29-(IF($AU29="Married",7950,7400)+1000*$AS29)),IF($AN29="OH",MAX(0,$AY29-650*$AS29),IF($AN29="OK",MAX(0,$AY29-1000*$AS29),IF($AN29="RI",MAX(0,$AI29-1000*$AS29),IF($AN29="SC",MAX(0,$AI29-5000*$AS29-IF($AS29=0,0,MIN(0.1*$AI29,7500))),IF($AN29="VA",MAX(0,$AI29-IF($AU29="Married",17500,8750)-930*$AS29-800*$AT29),IF($AN29="VT",MAX(0,$AI29-5400*$AS29),IF($AN29="WI",MAX(0,$AI29-MAX(0,IF($AU29="Married",9461-0.2*MAX(0,$AI29-25727),6702-0.12*MAX(0,$AI29-17780)))-400*$AS29),IF($AN29="WV",MAX(0,$AI29-2000*$AS29),$AI29))))))))))))))))))))))</f>
      </c>
      <c r="BA29" s="7">
        <f>IF($B29="","",IF($BW29&lt;&gt;"",$BW29,IF($BX29&lt;&gt;"",$BX29,IF($BY29&lt;&gt;"",$BY29,0))))</f>
      </c>
      <c r="BB29" s="7">
        <f>IF($B29="","",IF($AN29="AR",-29*$AS29,IF($AN29="DE",-110*$AS29,IF($AN29="MD",$AZ29*Inputs!$C$74,IF($AN29="AZ",Inputs!$C$82*($M29-$D29)*Inputs!$C$8,IF($AN29="CO",0.044*MAX(0,$AY29-IF($AU29="Married",10000,5000)),IF($AN29="IA",MAX(0,0.038*MAX(0,$AY29-IF($AU29="Head of household",19500,IF($AU29="Married",26000,13000)))-40*$AS29),IF($AN29="ID",0.053*MAX(0,$AY29-IF($AU29="Married",32000,16094)),IF($AN29="IL",0.0495*MAX(0,$AY29-(2925*$AS29+1000*$AT29)),IF($AN29="IN",(0.0295+Inputs!$C$76)*MAX(0,$AY29-(1000*$AS29+1500*$AT29+3000*Inputs!$C$86)),IF($AN29="KY",0.035*MAX(0,$AI29-3360),IF($AN29="LA",IF(Inputs!$C$84="0",0.0309*$AI29,0.0309*MAX(0,$AI29-IF(Inputs!$C$84="2",25750,12875))),IF($AN29="MA",0.05*MIN(MAX(0,$AY29-MIN(($BD28+$Q29+$R29+$S29),2000)-IF($AS29=0,0,IF($AS29=1,4400,1000*$AS29+3400))),1107750)+0.09*MAX(0,MAX(0,$AY29-MIN(($BD28+$Q29+$R29+$S29),2000)-IF($AS29=0,0,IF($AS29=1,4400,1000*$AS29+3400)))-1107750)-IF($AU29="Head of household",120,0)-110*Inputs!$C$75,IF($AN29="MI",0.0425*MAX(0,$AY29-5900*$AS29),IF($AN29="MS",0.04*MAX(0,$AI29-IF($AU29="Head of household",3400,IF($AU29="Married",4600,2300))-Inputs!$C$85-10000),IF($AN29="OR",IF(OR($AU29="Married",AND($AU29="Single",$AS29&gt;=3)),SUMPRODUCT((MAX(0,$AY29-MIN(($P29-'Methodology &amp; Sources'!$C$260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Sources'!$B$461:$J$464,0,4))*(MAX(0,$AY29-MIN(($P29-'Methodology &amp; Sources'!$C$260*$D29)*Inputs!$C$8,IF(OR($AU29="Married",AND($AU29="Single",$AS29&gt;=3)),IF($AY29&lt;250000,8750,IF($AY29&lt;260000,7000,IF($AY29&lt;270000,5250,IF($AY29&lt;280000,3500,IF($AY29&lt;290000,1750,0))))),IF($AY29&lt;125000,8750,IF($AY29&lt;130000,7000,IF($AY29&lt;135000,5250,IF($AY29&lt;140000,3500,IF($AY29&lt;145000,1750,0)))))))-IF(OR($AU29="Married",AND($AU29="Single",$AS29&gt;=3)),5820,2910))-INDEX('Methodology &amp; Sources'!$B$461:$J$464,0,4))*INDEX('Methodology &amp; Sources'!$B$461:$J$464,0,4+2)),SUMPRODUCT((MAX(0,$AY29-MIN(($P29-'Methodology &amp; Sources'!$C$260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Sources'!$B$461:$J$464,0,1))*(MAX(0,$AY29-MIN(($P29-'Methodology &amp; Sources'!$C$260*$D29)*Inputs!$C$8,IF(OR($AU29="Married",AND($AU29="Single",$AS29&gt;=3)),IF($AY29&lt;250000,8750,IF($AY29&lt;260000,7000,IF($AY29&lt;270000,5250,IF($AY29&lt;280000,3500,IF($AY29&lt;290000,1750,0))))),IF($AY29&lt;125000,8750,IF($AY29&lt;130000,7000,IF($AY29&lt;135000,5250,IF($AY29&lt;140000,3500,IF($AY29&lt;145000,1750,0)))))))-IF(OR($AU29="Married",AND($AU29="Single",$AS29&gt;=3)),5820,2910))-INDEX('Methodology &amp; Sources'!$B$461:$J$464,0,1))*INDEX('Methodology &amp; Sources'!$B$461:$J$464,0,1+2)))+263-263*IF(IF($AU29="Married",$AY29&gt;200000,$AY29&gt;100000),0,$AS29),IF($AN29="PA",0.0307*(($O29+$E29+$G29)*Inputs!$C$8),IF($AN29="NY",IF($AU29="Married",IF($AZ29&gt;=2155350,0,IF($AZ29&gt;=1077550,0.48,IF($AZ29&gt;=373200,1.21,IF($AZ29&gt;=323200,0.21,IF($AZ29&gt;=211550,-0.19,IF($AZ29&gt;=157650,-2.8,IF($AZ29&gt;=107650,-0.8,IF($AZ29&gt;=96800,0.05,IF($AZ29&gt;=80650,-0.1,IF($AZ29&gt;=13900,0.4,IF($AZ29&gt;=11700,-0.3,IF($AZ29&gt;=8500,0.5,0)))))))))))),IF($AZ29&gt;=1077550,0,IF($AZ29&gt;=265400,4.29,IF($AZ29&gt;=215400,2.29,IF($AZ29&gt;=157650,2.29,IF($AZ29&gt;=107650,0.29,IF($AZ29&gt;=96800,0.05,IF($AZ29&gt;=80650,-0.1,IF($AZ29&gt;=13900,0.4,IF($AZ29&gt;=11700,-0.3,IF($AZ29&gt;=8500,0.5,0))))))))))),0))))))))))))))))))</f>
      </c>
      <c r="BC29" s="7">
        <f>IF($B29="","",IF($AN29="AL",0.05*$D29,IF($AN29="AR",0.039*$D29,IF($AN29="ID",0.053*$D29,IF($AN29="IN",(0.0295+Inputs!$C$76)*$D29,IF($AN29="KS",0.05*$D29,IF($AN29="MA",0.09*MIN($D29,MAX(0,MAX(0,$AY29-MIN(($BD28+$Q29+$R29+$S29),2000)-IF($AS29=0,0,IF($AS29=1,4400,1000*$AS29+3400)))+$D29-1107750))+0.05*($D29-MIN($D29,MAX(0,MAX(0,$AY29-MIN(($BD28+$Q29+$R29+$S29),2000)-IF($AS29=0,0,IF($AS29=1,4400,1000*$AS29+3400)))+$D29-1107750))),IF($AN29="MD",(0.065+Inputs!$C$74)*$D29,IF($AN29="MI",0.0425*$D29,IF($AN29="MN",0.0625*$D29,IF($AN29="MO",0.047*$D29,IF($AN29="MT",0.05*$D29,IF($AN29="ND",0.015*$D29,IF($AN29="NE",0.035*$D29,IF($AN29="NJ",IF(Inputs!$C$77="B",SUMPRODUCT(($D29*Inputs!$C$8&gt;INDEX('Methodology &amp; Sources'!$B$405:$J$412,0,4))*($D29*Inputs!$C$8-INDEX('Methodology &amp; Sources'!$B$405:$J$412,0,4))*INDEX('Methodology &amp; Sources'!$B$405:$J$412,0,4+2)),IF(Inputs!$C$77="C",SUMPRODUCT(($D29*Inputs!$C$8&gt;INDEX('Methodology &amp; Sources'!$B$405:$J$412,0,7))*($D29*Inputs!$C$8-INDEX('Methodology &amp; Sources'!$B$405:$J$412,0,7))*INDEX('Methodology &amp; Sources'!$B$405:$J$412,0,7+2)),IF(Inputs!$C$77="D",SUMPRODUCT(($D29*Inputs!$C$8&gt;INDEX('Methodology &amp; Sources'!$B$417:$J$429,0,1))*($D29*Inputs!$C$8-INDEX('Methodology &amp; Sources'!$B$417:$J$429,0,1))*INDEX('Methodology &amp; Sources'!$B$417:$J$429,0,1+2)),IF(Inputs!$C$77="E",SUMPRODUCT(($D29*Inputs!$C$8&gt;INDEX('Methodology &amp; Sources'!$B$417:$J$429,0,4))*($D29*Inputs!$C$8-INDEX('Methodology &amp; Sources'!$B$417:$J$429,0,4))*INDEX('Methodology &amp; Sources'!$B$417:$J$429,0,4+2)),SUMPRODUCT(($D29*Inputs!$C$8&gt;INDEX('Methodology &amp; Sources'!$B$405:$J$412,0,1))*($D29*Inputs!$C$8-INDEX('Methodology &amp; Sources'!$B$405:$J$412,0,1))*INDEX('Methodology &amp; Sources'!$B$405:$J$412,0,1+2))))))/Inputs!$C$8,IF($AN29="NY",0.117*$D29,IF($AN29="OH",0.0275*$D29,IF($AN29="OK",0.045*$D29,IF($AN29="OR",0.08*$D29,IF($AN29="WI",IF($AY29&lt;12760,0.0354,IF($AY29&lt;25520,0.0465,IF($AY29&lt;280950,0.053,0.0765)))*$D29,0))))))))))))))))))))</f>
      </c>
      <c r="BD29" s="7">
        <f>IF($B29="","",$BD28+$Q29+$R29+$S29)</f>
      </c>
      <c r="BE29" s="6">
        <f>IF($B29="",$BE28,$BE28+$BF29)</f>
      </c>
      <c r="BF29" s="6">
        <f>IF($B29="","",IF(AND(IF(YEAR(IF(Inputs!$C$7="Weekly",Inputs!$C$9+7*(($BE28+1)-1),IF(Inputs!$C$7="Biweekly",Inputs!$C$9+14*(($BE28+1)-1),IF(Inputs!$C$7="Semimonthly",DATE(YEAR(Inputs!$C$9),MONTH(Inputs!$C$9)+INT((($BE28+1)-1)/2),MIN(DAY(Inputs!$C$9),DAY(EOMONTH(DATE(YEAR(Inputs!$C$9),MONTH(Inputs!$C$9)+INT((($BE28+1)-1)/2),1),0))))+IF(MOD(($BE28+1)-1,2)=1,15,0),EDATE(Inputs!$C$9,($BE28+1)-1)))))&lt;&gt;2026,"",IF(Inputs!$C$7="Weekly",Inputs!$C$9+7*(($BE28+1)-1),IF(Inputs!$C$7="Biweekly",Inputs!$C$9+14*(($BE28+1)-1),IF(Inputs!$C$7="Semimonthly",DATE(YEAR(Inputs!$C$9),MONTH(Inputs!$C$9)+INT((($BE28+1)-1)/2),MIN(DAY(Inputs!$C$9),DAY(EOMONTH(DATE(YEAR(Inputs!$C$9),MONTH(Inputs!$C$9)+INT((($BE28+1)-1)/2),1),0))))+IF(MOD(($BE28+1)-1,2)=1,15,0),EDATE(Inputs!$C$9,($BE28+1)-1)))))&lt;&gt;"",$B29=IF(YEAR(IF(Inputs!$C$7="Weekly",Inputs!$C$9+7*(($BE28+1)-1),IF(Inputs!$C$7="Biweekly",Inputs!$C$9+14*(($BE28+1)-1),IF(Inputs!$C$7="Semimonthly",DATE(YEAR(Inputs!$C$9),MONTH(Inputs!$C$9)+INT((($BE28+1)-1)/2),MIN(DAY(Inputs!$C$9),DAY(EOMONTH(DATE(YEAR(Inputs!$C$9),MONTH(Inputs!$C$9)+INT((($BE28+1)-1)/2),1),0))))+IF(MOD(($BE28+1)-1,2)=1,15,0),EDATE(Inputs!$C$9,($BE28+1)-1)))))&lt;&gt;2026,"",IF(Inputs!$C$7="Weekly",Inputs!$C$9+7*(($BE28+1)-1),IF(Inputs!$C$7="Biweekly",Inputs!$C$9+14*(($BE28+1)-1),IF(Inputs!$C$7="Semimonthly",DATE(YEAR(Inputs!$C$9),MONTH(Inputs!$C$9)+INT((($BE28+1)-1)/2),MIN(DAY(Inputs!$C$9),DAY(EOMONTH(DATE(YEAR(Inputs!$C$9),MONTH(Inputs!$C$9)+INT((($BE28+1)-1)/2),1),0))))+IF(MOD(($BE28+1)-1,2)=1,15,0),EDATE(Inputs!$C$9,($BE28+1)-1)))))),1,0))</f>
      </c>
      <c r="BG29" s="7">
        <f>IF($B29="","",$BG28+$H29)</f>
      </c>
      <c r="BH29" s="7">
        <f>IF($B29="","",$BH28+$I29)</f>
      </c>
      <c r="BI29" s="7">
        <f>IF($B29="","",$BI28+$G29)</f>
      </c>
      <c r="BJ29" s="7">
        <f>IF($B29="","",IFERROR(LOOKUP(2,1/((((Events!$C$6:$C$17="Deduction start"))*(Events!$D$6:$D$17="Health FSA"))*(Events!$B$6:$B$17&lt;=$B29)*(Events!$B$6:$B$17&lt;&gt;"")),Events!$E$6:$E$17),Inputs!$D$38))</f>
      </c>
      <c r="BK29" s="7">
        <f>IF($B29="","",IFERROR(LOOKUP(2,1/((((Events!$C$6:$C$17="Deduction start"))*(Events!$D$6:$D$17="Dependent-care FSA"))*(Events!$B$6:$B$17&lt;=$B29)*(Events!$B$6:$B$17&lt;&gt;"")),Events!$E$6:$E$17),Inputs!$D$39))</f>
      </c>
      <c r="BL29" s="7">
        <f>IF($B29="","",IFERROR(LOOKUP(2,1/((((Events!$C$6:$C$17="Deduction start")+(Events!$C$6:$C$17="Deduction stop"))*(Events!$D$6:$D$17="HSA"))*(Events!$B$6:$B$17&lt;=$B29)*(Events!$B$6:$B$17&lt;&gt;"")),Events!$I$6:$I$17),Inputs!$D$35))</f>
      </c>
      <c r="BM29" s="7">
        <f>IF($B29="","",IFERROR(LOOKUP(2,1/((((Events!$C$6:$C$17="Deduction start")+(Events!$C$6:$C$17="Deduction stop"))*(Events!$D$6:$D$17="Premiums"))*(Events!$B$6:$B$17&lt;=$B29)*(Events!$B$6:$B$17&lt;&gt;"")),Events!$I$6:$I$17),Inputs!$D$40+Inputs!$D$41+Inputs!$D$42))</f>
      </c>
      <c r="BN29" s="7">
        <f>IF($B29="","",IFERROR(LOOKUP(2,1/((((Events!$C$6:$C$17="Deduction start")+(Events!$C$6:$C$17="Deduction stop"))*(Events!$D$6:$D$17="Commuter"))*(Events!$B$6:$B$17&lt;=$B29)*(Events!$B$6:$B$17&lt;&gt;"")),Events!$I$6:$I$17),Inputs!$D$43))</f>
      </c>
      <c r="BO29" s="7">
        <f>IF($B29="","",IFERROR(LOOKUP(2,1/((((Events!$C$6:$C$17="Deduction start")+(Events!$C$6:$C$17="Deduction stop"))*(Events!$D$6:$D$17="Other pre-tax"))*(Events!$B$6:$B$17&lt;=$B29)*(Events!$B$6:$B$17&lt;&gt;"")),Events!$I$6:$I$17),Inputs!$D$44))</f>
      </c>
      <c r="BP29" s="7">
        <f>IF($B29="","",IFERROR(LOOKUP(2,1/((((Events!$C$6:$C$17="Deduction start")+(Events!$C$6:$C$17="Deduction stop"))*(Events!$D$6:$D$17="Other post-tax"))*(Events!$B$6:$B$17&lt;=$B29)*(Events!$B$6:$B$17&lt;&gt;"")),Events!$I$6:$I$17),Inputs!$D$45))</f>
      </c>
      <c r="BQ29" s="6">
        <f>IF($B29="","",IFERROR(LOOKUP(2,1/((((Events!$C$6:$C$17="Deduction start")+(Events!$C$6:$C$17="Deduction stop"))*(Events!$D$6:$D$17="Health FSA"))*(Events!$B$6:$B$17&lt;=$B29)*(Events!$B$6:$B$17&lt;&gt;"")),Events!$J$6:$J$17),0))</f>
      </c>
      <c r="BR29" s="6">
        <f>IF($B29="","",IFERROR(LOOKUP(2,1/((((Events!$C$6:$C$17="Deduction start")+(Events!$C$6:$C$17="Deduction stop"))*(Events!$D$6:$D$17="Dependent-care FSA"))*(Events!$B$6:$B$17&lt;=$B29)*(Events!$B$6:$B$17&lt;&gt;"")),Events!$J$6:$J$17),0))</f>
      </c>
      <c r="BS29" s="6">
        <f>IF($B29="","",IF(SUMPRODUCT((Events!$C$6:$C$17="Deduction start")*(Events!$B$6:$B$17&lt;=$B29)*(Events!$B$6:$B$17&lt;&gt;"")*(Events!$D$6:$D$17="Health FSA"))&gt;0,1,0))</f>
      </c>
      <c r="BT29" s="6">
        <f>IF($B29="","",IF(SUMPRODUCT((Events!$C$6:$C$17="Deduction start")*(Events!$B$6:$B$17&lt;=$B29)*(Events!$B$6:$B$17&lt;&gt;"")*(Events!$D$6:$D$17="Dependent-care FSA"))&gt;0,1,0))</f>
      </c>
      <c r="BU29" s="24">
        <f>IF($B29="","",IF(Inputs!$C$13,SUMPRODUCT(($AH29&gt;=INDEX('Methodology &amp; Sources'!$B$279:$J$286,0,IF(Inputs!$C$12="MFJ",1,IF(Inputs!$C$12="HoH",7,4))))*INDEX('Methodology &amp; Sources'!$B$279:$J$286,0,IF(Inputs!$C$12="MFJ",1,IF(Inputs!$C$12="HoH",7,4))+2)),SUMPRODUCT(($AH29&gt;=INDEX('Methodology &amp; Sources'!$B$269:$J$276,0,IF(Inputs!$C$12="MFJ",1,IF(Inputs!$C$12="HoH",7,4))))*INDEX('Methodology &amp; Sources'!$B$269:$J$276,0,IF(Inputs!$C$12="MFJ",1,IF(Inputs!$C$12="HoH",7,4))+2))))</f>
      </c>
      <c r="BV29" s="24">
        <f>IF($B29="","",IF($BZ29&lt;&gt;"",$BZ29,IF($CA29&lt;&gt;"",$CA29,IF($CB29&lt;&gt;"",$CB29,IF($CC29&lt;&gt;"",$CC29,0)))))</f>
      </c>
      <c r="BW29" s="7">
        <f>IF($B29="","",IF($AN29="MD",IF(OR($AU29="Married",$AU29="Head of household"),SUMPRODUCT(($AZ29&gt;INDEX('Methodology &amp; Sources'!$B$364:$J$370,0,1))*($AZ29-INDEX('Methodology &amp; Sources'!$B$364:$J$370,0,1))*INDEX('Methodology &amp; Sources'!$B$364:$J$370,0,1+2)),SUMPRODUCT(($AZ29&gt;INDEX('Methodology &amp; Sources'!$B$353:$J$359,0,7))*($AZ29-INDEX('Methodology &amp; Sources'!$B$353:$J$359,0,7))*INDEX('Methodology &amp; Sources'!$B$353:$J$359,0,7+2))),IF($AN29="MO",SUMPRODUCT(($AZ29&gt;INDEX('Methodology &amp; Sources'!$B$375:$J$382,0,1))*($AZ29-INDEX('Methodology &amp; Sources'!$B$375:$J$382,0,1))*INDEX('Methodology &amp; Sources'!$B$375:$J$382,0,1+2)),IF($AN29="MT",IF($AU29="Head of household",SUMPRODUCT(($AZ29&gt;INDEX('Methodology &amp; Sources'!$B$387:$J$389,0,1))*($AZ29-INDEX('Methodology &amp; Sources'!$B$387:$J$389,0,1))*INDEX('Methodology &amp; Sources'!$B$387:$J$389,0,1+2)),IF($AU29="Married",SUMPRODUCT(($AZ29&gt;INDEX('Methodology &amp; Sources'!$B$375:$J$382,0,7))*($AZ29-INDEX('Methodology &amp; Sources'!$B$375:$J$382,0,7))*INDEX('Methodology &amp; Sources'!$B$375:$J$382,0,7+2)),SUMPRODUCT(($AZ29&gt;INDEX('Methodology &amp; Sources'!$B$375:$J$382,0,4))*($AZ29-INDEX('Methodology &amp; Sources'!$B$375:$J$382,0,4))*INDEX('Methodology &amp; Sources'!$B$375:$J$382,0,4+2)))),IF($AN29="ND",IF($AU29="Head of household",SUMPRODUCT(($AZ29&gt;INDEX('Methodology &amp; Sources'!$B$394:$J$400,0,1))*($AZ29-INDEX('Methodology &amp; Sources'!$B$394:$J$400,0,1))*INDEX('Methodology &amp; Sources'!$B$394:$J$400,0,1+2)),IF($AU29="Married",SUMPRODUCT(($AZ29&gt;INDEX('Methodology &amp; Sources'!$B$387:$J$389,0,7))*($AZ29-INDEX('Methodology &amp; Sources'!$B$387:$J$389,0,7))*INDEX('Methodology &amp; Sources'!$B$387:$J$389,0,7+2)),SUMPRODUCT(($AZ29&gt;INDEX('Methodology &amp; Sources'!$B$387:$J$389,0,4))*($AZ29-INDEX('Methodology &amp; Sources'!$B$387:$J$389,0,4))*INDEX('Methodology &amp; Sources'!$B$387:$J$389,0,4+2)))),IF($AN29="NJ",IF(Inputs!$C$77="B",SUMPRODUCT(($AZ29&gt;INDEX('Methodology &amp; Sources'!$B$405:$J$412,0,4))*($AZ29-INDEX('Methodology &amp; Sources'!$B$405:$J$412,0,4))*INDEX('Methodology &amp; Sources'!$B$405:$J$412,0,4+2)),IF(Inputs!$C$77="C",SUMPRODUCT(($AZ29&gt;INDEX('Methodology &amp; Sources'!$B$405:$J$412,0,7))*($AZ29-INDEX('Methodology &amp; Sources'!$B$405:$J$412,0,7))*INDEX('Methodology &amp; Sources'!$B$405:$J$412,0,7+2)),IF(Inputs!$C$77="D",SUMPRODUCT(($AZ29&gt;INDEX('Methodology &amp; Sources'!$B$417:$J$429,0,1))*($AZ29-INDEX('Methodology &amp; Sources'!$B$417:$J$429,0,1))*INDEX('Methodology &amp; Sources'!$B$417:$J$429,0,1+2)),IF(Inputs!$C$77="E",SUMPRODUCT(($AZ29&gt;INDEX('Methodology &amp; Sources'!$B$417:$J$429,0,4))*($AZ29-INDEX('Methodology &amp; Sources'!$B$417:$J$429,0,4))*INDEX('Methodology &amp; Sources'!$B$417:$J$429,0,4+2)),SUMPRODUCT(($AZ29&gt;INDEX('Methodology &amp; Sources'!$B$405:$J$412,0,1))*($AZ29-INDEX('Methodology &amp; Sources'!$B$405:$J$412,0,1))*INDEX('Methodology &amp; Sources'!$B$405:$J$412,0,1+2)))))),IF($AN29="NY",IF($AU29="Married",IF($AZ29&gt;=2155350,$AZ29*IF($AZ29&gt;25000000,0.117,IF($AZ29&gt;5000000,0.111,0.1045)),SUMPRODUCT(($AZ29&gt;INDEX('Methodology &amp; Sources'!$B$434:$J$448,0,1))*($AZ29-INDEX('Methodology &amp; Sources'!$B$434:$J$448,0,1))*INDEX('Methodology &amp; Sources'!$B$434:$J$448,0,1+2))),IF($AZ29&gt;=1077550,$AZ29*IF($AZ29&gt;25000000,0.117,IF($AZ29&gt;5000000,0.111,0.1045)),SUMPRODUCT(($AZ29&gt;INDEX('Methodology &amp; Sources'!$B$417:$J$429,0,7))*($AZ29-INDEX('Methodology &amp; Sources'!$B$417:$J$429,0,7))*INDEX('Methodology &amp; Sources'!$B$417:$J$429,0,7+2)))),"")))))))</f>
      </c>
      <c r="BX29" s="7">
        <f>IF($B29="","",IF($AN29="AL",IF(OR($AU29="Married",$AU29="Head of household"),SUMPRODUCT(($AZ29&gt;INDEX('Methodology &amp; Sources'!$B$332:$J$336,0,4))*($AZ29-INDEX('Methodology &amp; Sources'!$B$332:$J$336,0,4))*INDEX('Methodology &amp; Sources'!$B$332:$J$336,0,4+2)),SUMPRODUCT(($AZ29&gt;INDEX('Methodology &amp; Sources'!$B$332:$J$336,0,1))*($AZ29-INDEX('Methodology &amp; Sources'!$B$332:$J$336,0,1))*INDEX('Methodology &amp; Sources'!$B$332:$J$336,0,1+2))),IF($AN29="KS",IF($AU29="Married",SUMPRODUCT(($AZ29&gt;INDEX('Methodology &amp; Sources'!$B$353:$J$359,0,4))*($AZ29-INDEX('Methodology &amp; Sources'!$B$353:$J$359,0,4))*INDEX('Methodology &amp; Sources'!$B$353:$J$359,0,4+2)),SUMPRODUCT(($AZ29&gt;INDEX('Methodology &amp; Sources'!$B$353:$J$359,0,1))*($AZ29-INDEX('Methodology &amp; Sources'!$B$353:$J$359,0,1))*INDEX('Methodology &amp; Sources'!$B$353:$J$359,0,1+2))),IF($AN29="MN",IF($AU29="Married",SUMPRODUCT(($AZ29&gt;INDEX('Methodology &amp; Sources'!$B$364:$J$370,0,7))*($AZ29-INDEX('Methodology &amp; Sources'!$B$364:$J$370,0,7))*INDEX('Methodology &amp; Sources'!$B$364:$J$370,0,7+2)),SUMPRODUCT(($AZ29&gt;INDEX('Methodology &amp; Sources'!$B$364:$J$370,0,4))*($AZ29-INDEX('Methodology &amp; Sources'!$B$364:$J$370,0,4))*INDEX('Methodology &amp; Sources'!$B$364:$J$370,0,4+2))),IF($AN29="NE",MAX(IF($AU29="Married",SUMPRODUCT(($AZ29&gt;INDEX('Methodology &amp; Sources'!$B$394:$J$400,0,7))*($AZ29-INDEX('Methodology &amp; Sources'!$B$394:$J$400,0,7))*INDEX('Methodology &amp; Sources'!$B$394:$J$400,0,7+2)),SUMPRODUCT(($AZ29&gt;INDEX('Methodology &amp; Sources'!$B$394:$J$400,0,4))*($AZ29-INDEX('Methodology &amp; Sources'!$B$394:$J$400,0,4))*INDEX('Methodology &amp; Sources'!$B$394:$J$400,0,4+2))),0.015*$AZ29),IF($AN29="OH",IF($B29&gt;=DATE(2026,8,1),SUMPRODUCT(($AZ29&gt;INDEX('Methodology &amp; Sources'!$B$453:$J$456,0,1))*($AZ29-INDEX('Methodology &amp; Sources'!$B$453:$J$456,0,1))*INDEX('Methodology &amp; Sources'!$B$453:$J$456,0,1+2)),SUMPRODUCT(($AZ29&gt;INDEX('Methodology &amp; Sources'!$B$434:$J$448,0,7))*($AZ29-INDEX('Methodology &amp; Sources'!$B$434:$J$448,0,7))*INDEX('Methodology &amp; Sources'!$B$434:$J$448,0,7+2))),IF($AN29="OK",IF($AU29="Married",SUMPRODUCT(($AZ29&gt;INDEX('Methodology &amp; Sources'!$B$453:$J$456,0,7))*($AZ29-INDEX('Methodology &amp; Sources'!$B$453:$J$456,0,7))*INDEX('Methodology &amp; Sources'!$B$453:$J$456,0,7+2)),SUMPRODUCT(($AZ29&gt;INDEX('Methodology &amp; Sources'!$B$453:$J$456,0,4))*($AZ29-INDEX('Methodology &amp; Sources'!$B$453:$J$456,0,4))*INDEX('Methodology &amp; Sources'!$B$453:$J$456,0,4+2))),IF($AN29="RI",SUMPRODUCT(($AZ29&gt;INDEX('Methodology &amp; Sources'!$B$461:$J$464,0,7))*($AZ29-INDEX('Methodology &amp; Sources'!$B$461:$J$464,0,7))*INDEX('Methodology &amp; Sources'!$B$461:$J$464,0,7+2)),IF($AN29="VT",IF($AU29="Married",SUMPRODUCT(($AZ29&gt;INDEX('Methodology &amp; Sources'!$B$478:$J$482,0,1))*($AZ29-INDEX('Methodology &amp; Sources'!$B$478:$J$482,0,1))*INDEX('Methodology &amp; Sources'!$B$478:$J$482,0,1+2)),SUMPRODUCT(($AZ29&gt;INDEX('Methodology &amp; Sources'!$B$469:$J$473,0,7))*($AZ29-INDEX('Methodology &amp; Sources'!$B$469:$J$473,0,7))*INDEX('Methodology &amp; Sources'!$B$469:$J$473,0,7+2))),IF($AN29="WV",IF($AU29="Married",SUMPRODUCT(($AZ29&gt;INDEX('Methodology &amp; Sources'!$B$487:$J$491,0,7))*($AZ29-INDEX('Methodology &amp; Sources'!$B$487:$J$491,0,7))*INDEX('Methodology &amp; Sources'!$B$487:$J$491,0,7+2)),SUMPRODUCT(($AZ29&gt;INDEX('Methodology &amp; Sources'!$B$478:$J$482,0,7))*($AZ29-INDEX('Methodology &amp; Sources'!$B$478:$J$482,0,7))*INDEX('Methodology &amp; Sources'!$B$478:$J$482,0,7+2))),""))))))))))</f>
      </c>
      <c r="BY29" s="7">
        <f>IF($B29="","",IF($AN29="AR",SUMPRODUCT(($AZ29&gt;INDEX('Methodology &amp; Sources'!$B$332:$J$336,0,7))*($AZ29-INDEX('Methodology &amp; Sources'!$B$332:$J$336,0,7))*INDEX('Methodology &amp; Sources'!$B$332:$J$336,0,7+2)),IF($AN29="DE",SUMPRODUCT(($AZ29&gt;INDEX('Methodology &amp; Sources'!$B$341:$J$348,0,1))*($AZ29-INDEX('Methodology &amp; Sources'!$B$341:$J$348,0,1))*INDEX('Methodology &amp; Sources'!$B$341:$J$348,0,1+2)),IF($AN29="HI",IF($AU29="Married",SUMPRODUCT(($AZ29&gt;INDEX('Methodology &amp; Sources'!$B$341:$J$348,0,7))*($AZ29-INDEX('Methodology &amp; Sources'!$B$341:$J$348,0,7))*INDEX('Methodology &amp; Sources'!$B$341:$J$348,0,7+2)),SUMPRODUCT(($AZ29&gt;INDEX('Methodology &amp; Sources'!$B$341:$J$348,0,4))*($AZ29-INDEX('Methodology &amp; Sources'!$B$341:$J$348,0,4))*INDEX('Methodology &amp; Sources'!$B$341:$J$348,0,4+2))),IF($AN29="SC",SUMPRODUCT(($AZ29&gt;INDEX('Methodology &amp; Sources'!$B$469:$J$473,0,1))*($AZ29-INDEX('Methodology &amp; Sources'!$B$469:$J$473,0,1))*INDEX('Methodology &amp; Sources'!$B$469:$J$473,0,1+2)),IF($AN29="VA",SUMPRODUCT(($AZ29&gt;INDEX('Methodology &amp; Sources'!$B$469:$J$473,0,4))*($AZ29-INDEX('Methodology &amp; Sources'!$B$469:$J$473,0,4))*INDEX('Methodology &amp; Sources'!$B$469:$J$473,0,4+2)),IF($AN29="WI",SUMPRODUCT(($AZ29&gt;INDEX('Methodology &amp; Sources'!$B$478:$J$482,0,4))*($AZ29-INDEX('Methodology &amp; Sources'!$B$478:$J$482,0,4))*INDEX('Methodology &amp; Sources'!$B$478:$J$482,0,4+2)),"")))))))</f>
      </c>
      <c r="BZ29" s="24">
        <f>IF($B29="","",IF($AN29="NJ",IF(Inputs!$C$77="B",SUMPRODUCT(($AZ29&gt;=INDEX('Methodology &amp; Sources'!$B$405:$J$412,0,4))*INDEX('Methodology &amp; Sources'!$B$405:$J$412,0,4+2)),IF(Inputs!$C$77="C",SUMPRODUCT(($AZ29&gt;=INDEX('Methodology &amp; Sources'!$B$405:$J$412,0,7))*INDEX('Methodology &amp; Sources'!$B$405:$J$412,0,7+2)),IF(Inputs!$C$77="D",SUMPRODUCT(($AZ29&gt;=INDEX('Methodology &amp; Sources'!$B$417:$J$429,0,1))*INDEX('Methodology &amp; Sources'!$B$417:$J$429,0,1+2)),IF(Inputs!$C$77="E",SUMPRODUCT(($AZ29&gt;=INDEX('Methodology &amp; Sources'!$B$417:$J$429,0,4))*INDEX('Methodology &amp; Sources'!$B$417:$J$429,0,4+2)),SUMPRODUCT(($AZ29&gt;=INDEX('Methodology &amp; Sources'!$B$405:$J$412,0,1))*INDEX('Methodology &amp; Sources'!$B$405:$J$412,0,1+2)))))),IF($AN29="OR",IF(OR($AU29="Married",AND($AU29="Single",$AS29&gt;=3)),SUMPRODUCT((MAX(0,$AY29-MIN(($P29-'Methodology &amp; Sources'!$C$260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Sources'!$B$461:$J$464,0,4))*INDEX('Methodology &amp; Sources'!$B$461:$J$464,0,4+2)),SUMPRODUCT((MAX(0,$AY29-MIN(($P29-'Methodology &amp; Sources'!$C$260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Sources'!$B$461:$J$464,0,1))*INDEX('Methodology &amp; Sources'!$B$461:$J$464,0,1+2)))*IF(($P29-'Methodology &amp; Sources'!$C$260*$D29)*Inputs!$C$8&gt;=IF(OR($AU29="Married",AND($AU29="Single",$AS29&gt;=3)),IF($AY29&lt;250000,8750,IF($AY29&lt;260000,7000,IF($AY29&lt;270000,5250,IF($AY29&lt;280000,3500,IF($AY29&lt;290000,1750,0))))),IF($AY29&lt;125000,8750,IF($AY29&lt;130000,7000,IF($AY29&lt;135000,5250,IF($AY29&lt;140000,3500,IF($AY29&lt;145000,1750,0)))))),1,1-IF(Inputs!$C$13,SUMPRODUCT(($AH29&gt;=INDEX('Methodology &amp; Sources'!$B$279:$J$286,0,IF(Inputs!$C$12="MFJ",1,IF(Inputs!$C$12="HoH",7,4))))*INDEX('Methodology &amp; Sources'!$B$279:$J$286,0,IF(Inputs!$C$12="MFJ",1,IF(Inputs!$C$12="HoH",7,4))+2)),SUMPRODUCT(($AH29&gt;=INDEX('Methodology &amp; Sources'!$B$269:$J$276,0,IF(Inputs!$C$12="MFJ",1,IF(Inputs!$C$12="HoH",7,4))))*INDEX('Methodology &amp; Sources'!$B$269:$J$276,0,IF(Inputs!$C$12="MFJ",1,IF(Inputs!$C$12="HoH",7,4))+2)))),IF($AN29="MI",IF($AY29&gt;5900*$AS29,0.0425,0),""))))</f>
      </c>
      <c r="CA29" s="24">
        <f>IF($B29="","",IF($AN29="AL",IF(OR($AU29="Married",$AU29="Head of household"),SUMPRODUCT(($AZ29&gt;=INDEX('Methodology &amp; Sources'!$B$332:$J$336,0,4))*INDEX('Methodology &amp; Sources'!$B$332:$J$336,0,4+2)),SUMPRODUCT(($AZ29&gt;=INDEX('Methodology &amp; Sources'!$B$332:$J$336,0,1))*INDEX('Methodology &amp; Sources'!$B$332:$J$336,0,1+2)))*(1-IF(Inputs!$C$13,SUMPRODUCT(($AH29&gt;=INDEX('Methodology &amp; Sources'!$B$279:$J$286,0,IF(Inputs!$C$12="MFJ",1,IF(Inputs!$C$12="HoH",7,4))))*INDEX('Methodology &amp; Sources'!$B$279:$J$286,0,IF(Inputs!$C$12="MFJ",1,IF(Inputs!$C$12="HoH",7,4))+2)),SUMPRODUCT(($AH29&gt;=INDEX('Methodology &amp; Sources'!$B$269:$J$276,0,IF(Inputs!$C$12="MFJ",1,IF(Inputs!$C$12="HoH",7,4))))*INDEX('Methodology &amp; Sources'!$B$269:$J$276,0,IF(Inputs!$C$12="MFJ",1,IF(Inputs!$C$12="HoH",7,4))+2)))),IF($AN29="KS",IF($AU29="Married",SUMPRODUCT(($AZ29&gt;=INDEX('Methodology &amp; Sources'!$B$353:$J$359,0,4))*INDEX('Methodology &amp; Sources'!$B$353:$J$359,0,4+2)),SUMPRODUCT(($AZ29&gt;=INDEX('Methodology &amp; Sources'!$B$353:$J$359,0,1))*INDEX('Methodology &amp; Sources'!$B$353:$J$359,0,1+2))),IF($AN29="MD",IF(OR($AU29="Married",$AU29="Head of household"),SUMPRODUCT(($AZ29&gt;=INDEX('Methodology &amp; Sources'!$B$364:$J$370,0,1))*INDEX('Methodology &amp; Sources'!$B$364:$J$370,0,1+2)),SUMPRODUCT(($AZ29&gt;=INDEX('Methodology &amp; Sources'!$B$353:$J$359,0,7))*INDEX('Methodology &amp; Sources'!$B$353:$J$359,0,7+2)))+Inputs!$C$74,IF($AN29="MT",IF($AU29="Head of household",SUMPRODUCT(($AZ29&gt;=INDEX('Methodology &amp; Sources'!$B$387:$J$389,0,1))*INDEX('Methodology &amp; Sources'!$B$387:$J$389,0,1+2)),IF($AU29="Married",SUMPRODUCT(($AZ29&gt;=INDEX('Methodology &amp; Sources'!$B$375:$J$382,0,7))*INDEX('Methodology &amp; Sources'!$B$375:$J$382,0,7+2)),SUMPRODUCT(($AZ29&gt;=INDEX('Methodology &amp; Sources'!$B$375:$J$382,0,4))*INDEX('Methodology &amp; Sources'!$B$375:$J$382,0,4+2)))),IF($AN29="ND",IF($AU29="Head of household",SUMPRODUCT(($AZ29&gt;=INDEX('Methodology &amp; Sources'!$B$394:$J$400,0,1))*INDEX('Methodology &amp; Sources'!$B$394:$J$400,0,1+2)),IF($AU29="Married",SUMPRODUCT(($AZ29&gt;=INDEX('Methodology &amp; Sources'!$B$387:$J$389,0,7))*INDEX('Methodology &amp; Sources'!$B$387:$J$389,0,7+2)),SUMPRODUCT(($AZ29&gt;=INDEX('Methodology &amp; Sources'!$B$387:$J$389,0,4))*INDEX('Methodology &amp; Sources'!$B$387:$J$389,0,4+2)))),IF($AN29="NY",IF($AU29="Married",IF($AZ29&gt;=2155350,IF($AZ29&gt;25000000,0.117,IF($AZ29&gt;5000000,0.111,0.1045)),SUMPRODUCT(($AZ29&gt;=INDEX('Methodology &amp; Sources'!$B$434:$J$448,0,1))*INDEX('Methodology &amp; Sources'!$B$434:$J$448,0,1+2))),IF($AZ29&gt;=1077550,IF($AZ29&gt;25000000,0.117,IF($AZ29&gt;5000000,0.111,0.1045)),SUMPRODUCT(($AZ29&gt;=INDEX('Methodology &amp; Sources'!$B$417:$J$429,0,7))*INDEX('Methodology &amp; Sources'!$B$417:$J$429,0,7+2)))),"")))))))</f>
      </c>
      <c r="CB29" s="24">
        <f>IF($B29="","",IF($AN29="CA",SUMPRODUCT(($AJ29&gt;=INDEX('Methodology &amp; Sources'!$B$289:$J$298,0,IF($AU29="Married",4,IF($AU29="Head of household",7,1))))*INDEX('Methodology &amp; Sources'!$B$289:$J$298,0,IF($AU29="Married",4,IF($AU29="Head of household",7,1))+2)),IF($AN29="HI",IF($AU29="Married",SUMPRODUCT(($AZ29&gt;=INDEX('Methodology &amp; Sources'!$B$341:$J$348,0,7))*INDEX('Methodology &amp; Sources'!$B$341:$J$348,0,7+2)),SUMPRODUCT(($AZ29&gt;=INDEX('Methodology &amp; Sources'!$B$341:$J$348,0,4))*INDEX('Methodology &amp; Sources'!$B$341:$J$348,0,4+2))),IF($AN29="MN",IF($AU29="Married",SUMPRODUCT(($AZ29&gt;=INDEX('Methodology &amp; Sources'!$B$364:$J$370,0,7))*INDEX('Methodology &amp; Sources'!$B$364:$J$370,0,7+2)),SUMPRODUCT(($AZ29&gt;=INDEX('Methodology &amp; Sources'!$B$364:$J$370,0,4))*INDEX('Methodology &amp; Sources'!$B$364:$J$370,0,4+2))),IF($AN29="MO",SUMPRODUCT(($AZ29&gt;=INDEX('Methodology &amp; Sources'!$B$375:$J$382,0,1))*INDEX('Methodology &amp; Sources'!$B$375:$J$382,0,1+2)),IF($AN29="NE",MAX(IF($AU29="Married",SUMPRODUCT(($AZ29&gt;=INDEX('Methodology &amp; Sources'!$B$394:$J$400,0,7))*INDEX('Methodology &amp; Sources'!$B$394:$J$400,0,7+2)),SUMPRODUCT(($AZ29&gt;=INDEX('Methodology &amp; Sources'!$B$394:$J$400,0,4))*INDEX('Methodology &amp; Sources'!$B$394:$J$400,0,4+2))),0.015),IF($AN29="OH",IF($B29&gt;=DATE(2026,8,1),SUMPRODUCT(($AZ29&gt;=INDEX('Methodology &amp; Sources'!$B$453:$J$456,0,1))*INDEX('Methodology &amp; Sources'!$B$453:$J$456,0,1+2)),SUMPRODUCT(($AZ29&gt;=INDEX('Methodology &amp; Sources'!$B$434:$J$448,0,7))*INDEX('Methodology &amp; Sources'!$B$434:$J$448,0,7+2))),IF($AN29="OK",IF($AU29="Married",SUMPRODUCT(($AZ29&gt;=INDEX('Methodology &amp; Sources'!$B$453:$J$456,0,7))*INDEX('Methodology &amp; Sources'!$B$453:$J$456,0,7+2)),SUMPRODUCT(($AZ29&gt;=INDEX('Methodology &amp; Sources'!$B$453:$J$456,0,4))*INDEX('Methodology &amp; Sources'!$B$453:$J$456,0,4+2))),IF($AN29="RI",SUMPRODUCT(($AZ29&gt;=INDEX('Methodology &amp; Sources'!$B$461:$J$464,0,7))*INDEX('Methodology &amp; Sources'!$B$461:$J$464,0,7+2)),IF($AN29="SC",SUMPRODUCT(($AZ29&gt;=INDEX('Methodology &amp; Sources'!$B$469:$J$473,0,1))*INDEX('Methodology &amp; Sources'!$B$469:$J$473,0,1+2)),IF($AN29="VT",IF($AU29="Married",SUMPRODUCT(($AZ29&gt;=INDEX('Methodology &amp; Sources'!$B$478:$J$482,0,1))*INDEX('Methodology &amp; Sources'!$B$478:$J$482,0,1+2)),SUMPRODUCT(($AZ29&gt;=INDEX('Methodology &amp; Sources'!$B$469:$J$473,0,7))*INDEX('Methodology &amp; Sources'!$B$469:$J$473,0,7+2))),IF($AN29="WV",IF($AU29="Married",SUMPRODUCT(($AZ29&gt;=INDEX('Methodology &amp; Sources'!$B$487:$J$491,0,7))*INDEX('Methodology &amp; Sources'!$B$487:$J$491,0,7+2)),SUMPRODUCT(($AZ29&gt;=INDEX('Methodology &amp; Sources'!$B$478:$J$482,0,7))*INDEX('Methodology &amp; Sources'!$B$478:$J$482,0,7+2))),IF($AN29="IN",(0.0295+Inputs!$C$76),"")))))))))))))</f>
      </c>
      <c r="CC29" s="24">
        <f>IF($B29="","",IF($AN29="AR",SUMPRODUCT(($AZ29&gt;=INDEX('Methodology &amp; Sources'!$B$332:$J$336,0,7))*INDEX('Methodology &amp; Sources'!$B$332:$J$336,0,7+2)),IF($AN29="DE",SUMPRODUCT(($AZ29&gt;=INDEX('Methodology &amp; Sources'!$B$341:$J$348,0,1))*INDEX('Methodology &amp; Sources'!$B$341:$J$348,0,1+2)),IF($AN29="VA",SUMPRODUCT(($AZ29&gt;=INDEX('Methodology &amp; Sources'!$B$469:$J$473,0,4))*INDEX('Methodology &amp; Sources'!$B$469:$J$473,0,4+2)),IF($AN29="WI",SUMPRODUCT(($AZ29&gt;=INDEX('Methodology &amp; Sources'!$B$478:$J$482,0,4))*INDEX('Methodology &amp; Sources'!$B$478:$J$482,0,4+2)),IF($AN29="AZ",Inputs!$C$82,IF($AN29="CO",IF($AY29&gt;IF($AU29="Married",10000,5000),0.044,0),IF($AN29="IA",IF($AY29&gt;IF($AU29="Head of household",19500,IF($AU29="Married",26000,13000)),0.038,0),IF($AN29="ID",IF($AY29&gt;IF($AU29="Married",32000,16094),0.053,0),IF($AN29="IL",IF($AY29&gt;(2925*$AS29+1000*$AT29),0.0495,0),IF($AN29="KY",IF($AI29&gt;3360,0.035,0),IF($AN29="LA",0.0309,IF($AN29="MA",IF(MAX(0,$AY29-MIN(($BD28+$Q29+$R29+$S29),2000)-IF($AS29=0,0,IF($AS29=1,4400,1000*$AS29+3400)))&gt;=1107750,0.09,0.05),IF($AN29="MS",IF($AI29-IF($AU29="Head of household",3400,IF($AU29="Married",4600,2300))-Inputs!$C$85&gt;10000,0.04,0),IF($AN29="PA",0.0307,"")))))))))))))))</f>
      </c>
      <c r="CD29" s="21">
        <f>IF(YEAR(IF(Inputs!$C$7="Weekly",Inputs!$C$9+7*(($BE28+1)-1),IF(Inputs!$C$7="Biweekly",Inputs!$C$9+14*(($BE28+1)-1),IF(Inputs!$C$7="Semimonthly",DATE(YEAR(Inputs!$C$9),MONTH(Inputs!$C$9)+INT((($BE28+1)-1)/2),MIN(DAY(Inputs!$C$9),DAY(EOMONTH(DATE(YEAR(Inputs!$C$9),MONTH(Inputs!$C$9)+INT((($BE28+1)-1)/2),1),0))))+IF(MOD(($BE28+1)-1,2)=1,15,0),EDATE(Inputs!$C$9,($BE28+1)-1)))))&lt;&gt;2026,"",IF(Inputs!$C$7="Weekly",Inputs!$C$9+7*(($BE28+1)-1),IF(Inputs!$C$7="Biweekly",Inputs!$C$9+14*(($BE28+1)-1),IF(Inputs!$C$7="Semimonthly",DATE(YEAR(Inputs!$C$9),MONTH(Inputs!$C$9)+INT((($BE28+1)-1)/2),MIN(DAY(Inputs!$C$9),DAY(EOMONTH(DATE(YEAR(Inputs!$C$9),MONTH(Inputs!$C$9)+INT((($BE28+1)-1)/2),1),0))))+IF(MOD(($BE28+1)-1,2)=1,15,0),EDATE(Inputs!$C$9,($BE28+1)-1)))))</f>
      </c>
      <c r="CE29" s="21">
        <f>IF(SUMPRODUCT(MIN(IF((Inputs!$C$58:$C$67&gt;MAX($B$6:$B28))*(Inputs!$C$58:$C$67&gt;=DATE(2026,1,1))*(Inputs!$C$58:$C$67&lt;=DATE(2026,12,31)),Inputs!$C$58:$C$67,999999)))=999999,"",SUMPRODUCT(MIN(IF((Inputs!$C$58:$C$67&gt;MAX($B$6:$B28))*(Inputs!$C$58:$C$67&gt;=DATE(2026,1,1))*(Inputs!$C$58:$C$67&lt;=DATE(2026,12,31)),Inputs!$C$58:$C$67,999999))))</f>
      </c>
    </row>
    <row r="30">
      <c r="A30" t="n">
        <v>25</v>
      </c>
      <c r="B30" s="21">
        <f>IF(AND($CD30="",$CE30=""),"",IF($CE30="",$CD30,IF($CD30="",$CE30,MIN($CD30,$CE30))))</f>
      </c>
      <c r="C30" s="7">
        <f>IF($B30="","",IF($BF30=0,0,IF(Inputs!$C$4="Annual salary",ROUND($AK30/IF(AND(Inputs!$C$88="Actual paydays",MONTH(Inputs!$C$9)=1),MAX(1,MAX($BE$6:$BE$68)),Inputs!$C$8),2),$AK30)))</f>
      </c>
      <c r="D30" s="7">
        <f>IF($B30="","",SUMIF(Inputs!$C$58:$C$67,$B30,Inputs!$D$58:$D$67))</f>
      </c>
      <c r="E30" s="7">
        <f>IF($B30="","",ROUND(MAX(0,MIN(IF($AL30="Percent",$AM30*($C30+$D30),$AM30),MAX(0,Inputs!$C$91-$AC29))),2))</f>
      </c>
      <c r="F30" s="7">
        <f>IF($B30="","",ROUND(MAX(0,MIN(IF(Inputs!$C$32="Percent",Inputs!$D$32*($C30+$D30),Inputs!$D$32),MAX(0,Inputs!$C$91-$AC29-$E30))),2))</f>
      </c>
      <c r="G30" s="7">
        <f>IF($B30="","",IF($BF30=0,0,ROUND(MAX(0,MIN($BL30,Inputs!$C$92-Inputs!$C$54-$BI29)),2)))</f>
      </c>
      <c r="H30" s="7">
        <f>IF($B30="","",IF(OR($BF30=0,$BQ30=1),0,ROUND(MAX(0,MIN(IF($BS30=1,ROUND(MAX(0,MIN($BJ30,'Methodology &amp; Sources'!$C$263)-$BG29)/MAX(1,MAX($BE$6:$BE$68)-($BE29)),2),ROUND(MIN($BJ30,'Methodology &amp; Sources'!$C$263)/Inputs!$C$8,2)),MIN($BJ30,'Methodology &amp; Sources'!$C$263)-$BG29)),2)))</f>
      </c>
      <c r="I30" s="7">
        <f>IF($B30="","",IF(OR($BF30=0,$BR30=1),0,ROUND(MAX(0,MIN(IF($BT30=1,ROUND(MAX(0,MIN($BK30,IF(Inputs!$C$12="MFJ",'Methodology &amp; Sources'!$C$264,'Methodology &amp; Sources'!$C$265))-$BH29)/MAX(1,MAX($BE$6:$BE$68)-($BE29)),2),ROUND(MIN($BK30,IF(Inputs!$C$12="MFJ",'Methodology &amp; Sources'!$C$264,'Methodology &amp; Sources'!$C$265))/Inputs!$C$8,2)),MIN($BK30,IF(Inputs!$C$12="MFJ",'Methodology &amp; Sources'!$C$264,'Methodology &amp; Sources'!$C$265))-$BH29)),2)))</f>
      </c>
      <c r="J30" s="7">
        <f>IF($B30="","",IF($BF30=0,0,$BM30))</f>
      </c>
      <c r="K30" s="7">
        <f>IF($B30="","",IF($BF30=0,0,$BN30+$BO30))</f>
      </c>
      <c r="L30" s="7">
        <f>IF($B30="","",IF($BF30=0,0,Inputs!$D$46))</f>
      </c>
      <c r="M30" s="7">
        <f>IF($B30="","",$C30+$D30+$L30-$E30-$G30-$H30-$I30-$J30-$K30)</f>
      </c>
      <c r="N30" s="7">
        <f>IF($B30="","",$C30+$D30+$L30-$G30-$H30-$I30-$J30-$K30)</f>
      </c>
      <c r="O30" s="7">
        <f>IF($B30="","",$C30+$D30+$L30-$E30-$H30-$I30-$J30-$K30-IF(OR($AN30="CA",$AN30="NJ"),0,$G30))</f>
      </c>
      <c r="P30" s="7">
        <f>IF($B30="","",IF(Inputs!$C$18,0,ROUND(MAX(0,IF(Inputs!$C$13,SUMPRODUCT(($AH30&gt;INDEX('Methodology &amp; Sources'!$B$279:$J$286,0,IF(Inputs!$C$12="MFJ",1,IF(Inputs!$C$12="HoH",7,4))))*($AH30-INDEX('Methodology &amp; Sources'!$B$279:$J$286,0,IF(Inputs!$C$12="MFJ",1,IF(Inputs!$C$12="HoH",7,4))))*INDEX('Methodology &amp; Sources'!$B$279:$J$286,0,IF(Inputs!$C$12="MFJ",1,IF(Inputs!$C$12="HoH",7,4))+2)),SUMPRODUCT(($AH30&gt;INDEX('Methodology &amp; Sources'!$B$269:$J$276,0,IF(Inputs!$C$12="MFJ",1,IF(Inputs!$C$12="HoH",7,4))))*($AH30-INDEX('Methodology &amp; Sources'!$B$269:$J$276,0,IF(Inputs!$C$12="MFJ",1,IF(Inputs!$C$12="HoH",7,4))))*INDEX('Methodology &amp; Sources'!$B$269:$J$276,0,IF(Inputs!$C$12="MFJ",1,IF(Inputs!$C$12="HoH",7,4))+2)))/Inputs!$C$8-$AO30/Inputs!$C$8)+$AR30+IF(Inputs!$C$89="Aggregate",MAX(0,IF(Inputs!$C$13,SUMPRODUCT((($AH30+$D30)&gt;INDEX('Methodology &amp; Sources'!$B$279:$J$286,0,IF(Inputs!$C$12="MFJ",1,IF(Inputs!$C$12="HoH",7,4))))*(($AH30+$D30)-INDEX('Methodology &amp; Sources'!$B$279:$J$286,0,IF(Inputs!$C$12="MFJ",1,IF(Inputs!$C$12="HoH",7,4))))*INDEX('Methodology &amp; Sources'!$B$279:$J$286,0,IF(Inputs!$C$12="MFJ",1,IF(Inputs!$C$12="HoH",7,4))+2)),SUMPRODUCT((($AH30+$D30)&gt;INDEX('Methodology &amp; Sources'!$B$269:$J$276,0,IF(Inputs!$C$12="MFJ",1,IF(Inputs!$C$12="HoH",7,4))))*(($AH30+$D30)-INDEX('Methodology &amp; Sources'!$B$269:$J$276,0,IF(Inputs!$C$12="MFJ",1,IF(Inputs!$C$12="HoH",7,4))))*INDEX('Methodology &amp; Sources'!$B$269:$J$276,0,IF(Inputs!$C$12="MFJ",1,IF(Inputs!$C$12="HoH",7,4))+2)))-IF(Inputs!$C$13,SUMPRODUCT(($AH30&gt;INDEX('Methodology &amp; Sources'!$B$279:$J$286,0,IF(Inputs!$C$12="MFJ",1,IF(Inputs!$C$12="HoH",7,4))))*($AH30-INDEX('Methodology &amp; Sources'!$B$279:$J$286,0,IF(Inputs!$C$12="MFJ",1,IF(Inputs!$C$12="HoH",7,4))))*INDEX('Methodology &amp; Sources'!$B$279:$J$286,0,IF(Inputs!$C$12="MFJ",1,IF(Inputs!$C$12="HoH",7,4))+2)),SUMPRODUCT(($AH30&gt;INDEX('Methodology &amp; Sources'!$B$269:$J$276,0,IF(Inputs!$C$12="MFJ",1,IF(Inputs!$C$12="HoH",7,4))))*($AH30-INDEX('Methodology &amp; Sources'!$B$269:$J$276,0,IF(Inputs!$C$12="MFJ",1,IF(Inputs!$C$12="HoH",7,4))))*INDEX('Methodology &amp; Sources'!$B$269:$J$276,0,IF(Inputs!$C$12="MFJ",1,IF(Inputs!$C$12="HoH",7,4))+2)))),'Methodology &amp; Sources'!$C$260*$D30),2)))</f>
      </c>
      <c r="Q30" s="7">
        <f>IF($B30="","",ROUND('Methodology &amp; Sources'!$C$254*MIN($N30,MAX(0,'Methodology &amp; Sources'!$C$253-($AX30+$AB29-$AW30))),2))</f>
      </c>
      <c r="R30" s="7">
        <f>IF($B30="","",ROUND('Methodology &amp; Sources'!$C$255*$N30,2))</f>
      </c>
      <c r="S30" s="7">
        <f>IF($B30="","",ROUND('Methodology &amp; Sources'!$C$256*MAX(0,MIN($N30,$AG29+$N30-'Methodology &amp; Sources'!$C$257)),2))</f>
      </c>
      <c r="T30" s="7">
        <f>IF($B30="","",IF(Inputs!$C$26,0,IF($AN30="CA",ROUND(IF($AI30&lt;=IF(($AS30+$AT30)&gt;=2,VLOOKUP($AN30,'StateTables 2026'!$A$6:$AB$56,10,FALSE),VLOOKUP($AN30,'StateTables 2026'!$A$6:$AB$56,9,FALSE)),0,MAX(0,SUMPRODUCT(($AJ30&gt;INDEX('Methodology &amp; Sources'!$B$289:$J$298,0,IF($AU30="Married",4,IF($AU30="Head of household",7,1))))*($AJ30-INDEX('Methodology &amp; Sources'!$B$289:$J$298,0,IF($AU30="Married",4,IF($AU30="Head of household",7,1))))*INDEX('Methodology &amp; Sources'!$B$289:$J$298,0,IF($AU30="Married",4,IF($AU30="Head of household",7,1))+2))-VLOOKUP($AN30,'StateTables 2026'!$A$6:$AB$56,11,FALSE)*$AS30)/Inputs!$C$8)+Inputs!$C$25+VLOOKUP($AN30,'StateTables 2026'!$A$6:$AB$56,13,FALSE)*$D30,2),IF(VLOOKUP($AN30,'StateTables 2026'!$A$6:$AB$56,4,FALSE)="None",0,IF(ISNUMBER(SEARCH("MANUAL",VLOOKUP($AN30,'StateTables 2026'!$A$6:$AB$56,5,FALSE))),Inputs!$C$28,ROUND(MAX(0,$BA30+$BB30)/Inputs!$C$8+Inputs!$C$25+$BC30,2))))))</f>
      </c>
      <c r="U30" s="7">
        <f>IF($B30="","",IF(VLOOKUP($AN30,'StateTables 2026'!$A$6:$AB$56,24,FALSE)="flatq",IF(OR(MONTH($B30)=1,MONTH($B30)=4,MONTH($B30)=7,MONTH($B30)=10),VLOOKUP($AN30,'StateTables 2026'!$A$6:$AB$56,25,FALSE),0),IF(VLOOKUP($AN30,'StateTables 2026'!$A$6:$AB$56,24,FALSE)="dbl",MIN(ROUND(0.005*$N30,2),ROUND(0.6*52/Inputs!$C$8,2)),IF(OR(VLOOKUP($AN30,'StateTables 2026'!$A$6:$AB$56,15,FALSE)="",VLOOKUP($AN30,'StateTables 2026'!$A$6:$AB$56,15,FALSE)=0),0,ROUND(VLOOKUP($AN30,'StateTables 2026'!$A$6:$AB$56,15,FALSE)*IF(OR(VLOOKUP($AN30,'StateTables 2026'!$A$6:$AB$56,16,FALSE)="",VLOOKUP($AN30,'StateTables 2026'!$A$6:$AB$56,16,FALSE)=0),$N30,MIN($N30,MAX(0,VLOOKUP($AN30,'StateTables 2026'!$A$6:$AB$56,16,FALSE)-($AX30+$AB29-$AW30)))),2))))+IF(VLOOKUP($AN30,'StateTables 2026'!$A$6:$AB$56,27,FALSE)="flatq",IF(OR(MONTH($B30)=1,MONTH($B30)=4,MONTH($B30)=7,MONTH($B30)=10),VLOOKUP($AN30,'StateTables 2026'!$A$6:$AB$56,28,FALSE),0),IF(VLOOKUP($AN30,'StateTables 2026'!$A$6:$AB$56,27,FALSE)="dbl",MIN(ROUND(0.005*$N30,2),ROUND(0.6*52/Inputs!$C$8,2)),IF(OR(VLOOKUP($AN30,'StateTables 2026'!$A$6:$AB$56,18,FALSE)="",VLOOKUP($AN30,'StateTables 2026'!$A$6:$AB$56,18,FALSE)=0),0,ROUND(VLOOKUP($AN30,'StateTables 2026'!$A$6:$AB$56,18,FALSE)*IF(OR(VLOOKUP($AN30,'StateTables 2026'!$A$6:$AB$56,19,FALSE)="",VLOOKUP($AN30,'StateTables 2026'!$A$6:$AB$56,19,FALSE)=0),$N30,MIN($N30,MAX(0,VLOOKUP($AN30,'StateTables 2026'!$A$6:$AB$56,19,FALSE)-($AX30+$AB29-$AW30)))),2)))))</f>
      </c>
      <c r="V30" s="7">
        <f>IF($B30="","",IF($AN30="NY",IF(Inputs!$C$78,ROUND(SUMPRODUCT((MAX(0,($O30-$D30)*Inputs!$C$8-(IF($AU30="Married",5500,5000)+1000*$AS30))&gt;INDEX('Methodology &amp; Sources'!$B$434:$J$448,0,4))*(MAX(0,($O30-$D30)*Inputs!$C$8-(IF($AU30="Married",5500,5000)+1000*$AS30))-INDEX('Methodology &amp; Sources'!$B$434:$J$448,0,4))*INDEX('Methodology &amp; Sources'!$B$434:$J$448,0,4+2))/Inputs!$C$8+0.0425*$D30,2),0)+IF(Inputs!$C$79="Resident",ROUND(0.1675*$T30,2),IF(Inputs!$C$79="Nonresident",ROUND(0.005*MAX(0,($O30-$D30)-(IF($AU30="Married",7950,7400)+1000*$AS30)/Inputs!$C$8),2),0)),IF($AN30="PA",IF(Inputs!$C$80="None",Inputs!$C$27+ROUND(Inputs!$C$81*($C30+$D30),2),ROUND(IF(Inputs!$C$80="Resident",IF($B30&lt;DATE(2026,7,1),0.0374,0.03735),IF($B30&lt;DATE(2026,7,1),0.0343,0.03425))*($C30+$D30),2)),IF($BF30=0,ROUND(Inputs!$C$81*($C30+$D30),2),Inputs!$C$27+ROUND(Inputs!$C$81*($C30+$D30),2)))))</f>
      </c>
      <c r="W30" s="7">
        <f>IF($B30="","",IF($BF30=0,0,$BP30))</f>
      </c>
      <c r="X30" s="7">
        <f>IF($B30="","",SUM($E30:$K30)+$P30+$Q30+$R30+$S30+$T30+$U30+$V30+$W30)</f>
      </c>
      <c r="Y30" s="22">
        <f>IF($B30="","",$C30+$D30-$X30)</f>
      </c>
      <c r="Z30" s="7">
        <f>IF($B30="","",$Z29+$C30+$D30)</f>
      </c>
      <c r="AA30" s="7">
        <f>IF($B30="","",$AA29+$Y30)</f>
      </c>
      <c r="AB30" s="7">
        <f>IF($B30="","",$AB29+MIN($N30,MAX(0,'Methodology &amp; Sources'!$C$253-($AX30+$AB29-$AW30))))</f>
      </c>
      <c r="AC30" s="7">
        <f>IF($B30="","",$AC29+$E30+$F30)</f>
      </c>
      <c r="AD30" s="3">
        <f>IF($B30="","",IF(AND($AB29&lt;'Methodology &amp; Sources'!$C$253,$AB30&gt;='Methodology &amp; Sources'!$C$253),"★ Social Security maxed on this check — from the next check your net rises by about $"&amp;TEXT(ROUND('Methodology &amp; Sources'!$C$254*$N30,2),"#,##0.00")&amp;". ","")&amp;IF(AND($AC29&lt;Inputs!$C$91,$AC30&gt;=Inputs!$C$91),"★ 401(k) reaches the $"&amp;TEXT(Inputs!$C$91,"#,##0")&amp;" cap on this check — deferrals stop and net pay rises. ","")&amp;IF(AND($AG29&lt;'Methodology &amp; Sources'!$C$257,$AG30&gt;='Methodology &amp; Sources'!$C$257),"★ Wages pass $200,000 — the 0.9% Additional Medicare Tax starts here. ","")&amp;IF(AND($BJ30&gt;0,$H30&gt;0,$BG29&lt;MIN($BJ30,'Methodology &amp; Sources'!$C$263),$BG29+$H30&gt;=MIN($BJ30,'Methodology &amp; Sources'!$C$263)),"★ Health FSA election is now fully deferred for the year. ",""))</f>
      </c>
      <c r="AE30" s="41" t="n"/>
      <c r="AF30" s="7">
        <f>IF(OR($B30="",$AE30=""),"",$AE30-$Y30)</f>
      </c>
      <c r="AG30" s="7">
        <f>IF($B30="","",$AG29+$N30)</f>
      </c>
      <c r="AH30" s="7">
        <f>IF($B30="","",MAX(0,($M30-$D30)*Inputs!$C$8+$AP30-$AQ30-IF(Inputs!$C$13,0,IF(Inputs!$C$12="MFJ",'Methodology &amp; Sources'!$C$258,'Methodology &amp; Sources'!$C$259))))</f>
      </c>
      <c r="AI30" s="7">
        <f>IF($B30="","",$O30*Inputs!$C$8)</f>
      </c>
      <c r="AJ30" s="7">
        <f>IF($B30="","",MAX(0,$AI30-VLOOKUP($AN30,'StateTables 2026'!$A$6:$AB$56,12,FALSE)*$AT30-IF(($AS30+$AT30)&gt;=2,VLOOKUP($AN30,'StateTables 2026'!$A$6:$AB$56,8,FALSE),VLOOKUP($AN30,'StateTables 2026'!$A$6:$AB$56,7,FALSE))))</f>
      </c>
      <c r="AK30" s="7">
        <f>IF($B30="","",IFERROR(LOOKUP(2,1/((Events!$C$6:$C$17="Salary change")*(Events!$B$6:$B$17&lt;=$B30)*(Events!$B$6:$B$17&lt;&gt;"")),Events!$D$6:$D$17),IF(Inputs!$C$4="Annual salary",Inputs!$C$5,Inputs!$C$6)))</f>
      </c>
      <c r="AL30">
        <f>IF($B30="","",IFERROR(LOOKUP(2,1/((Events!$C$6:$C$17="401(k) change")*(Events!$B$6:$B$17&lt;=$B30)*(Events!$B$6:$B$17&lt;&gt;"")),Events!$D$6:$D$17),Inputs!$C$30))</f>
      </c>
      <c r="AM30" s="7">
        <f>IF($B30="","",IFERROR(LOOKUP(2,1/((Events!$C$6:$C$17="401(k) change")*(Events!$B$6:$B$17&lt;=$B30)*(Events!$B$6:$B$17&lt;&gt;"")),Events!$E$6:$E$17),Inputs!$D$30))</f>
      </c>
      <c r="AN30">
        <f>IF($B30="","",IFERROR(LOOKUP(2,1/((Events!$C$6:$C$17="State move")*(Events!$B$6:$B$17&lt;=$B30)*(Events!$B$6:$B$17&lt;&gt;"")),Events!$D$6:$D$17),Inputs!$C$21))</f>
      </c>
      <c r="AO30" s="7">
        <f>IF($B30="","",IFERROR(LOOKUP(2,1/((Events!$C$6:$C$17="W-4 change")*(Events!$B$6:$B$17&lt;=$B30)*(Events!$B$6:$B$17&lt;&gt;"")),Events!$D$6:$D$17),Inputs!$C$14))</f>
      </c>
      <c r="AP30" s="7">
        <f>IF($B30="","",IFERROR(LOOKUP(2,1/((Events!$C$6:$C$17="W-4 change")*(Events!$B$6:$B$17&lt;=$B30)*(Events!$B$6:$B$17&lt;&gt;"")),Events!$E$6:$E$17),Inputs!$C$15))</f>
      </c>
      <c r="AQ30" s="7">
        <f>IF($B30="","",IFERROR(LOOKUP(2,1/((Events!$C$6:$C$17="W-4 change")*(Events!$B$6:$B$17&lt;=$B30)*(Events!$B$6:$B$17&lt;&gt;"")),Events!$F$6:$F$17),Inputs!$C$16))</f>
      </c>
      <c r="AR30" s="7">
        <f>IF($B30="","",IFERROR(LOOKUP(2,1/((Events!$C$6:$C$17="W-4 change")*(Events!$B$6:$B$17&lt;=$B30)*(Events!$B$6:$B$17&lt;&gt;"")),Events!$G$6:$G$17),Inputs!$C$17))</f>
      </c>
      <c r="AS30" s="6">
        <f>IF($B30="","",IFERROR(LOOKUP(2,1/(((Events!$C$6:$C$17="State move")+(Events!$C$6:$C$17="State cert change"))*(Events!$B$6:$B$17&lt;=$B30)*(Events!$B$6:$B$17&lt;&gt;"")),Events!$F$6:$F$17),Inputs!$C$23))</f>
      </c>
      <c r="AT30" s="6">
        <f>IF($B30="","",IFERROR(LOOKUP(2,1/(((Events!$C$6:$C$17="State move")+(Events!$C$6:$C$17="State cert change"))*(Events!$B$6:$B$17&lt;=$B30)*(Events!$B$6:$B$17&lt;&gt;"")),Events!$G$6:$G$17),Inputs!$C$24))</f>
      </c>
      <c r="AU30">
        <f>IF($B30="","",IFERROR(LOOKUP(2,1/((Events!$C$6:$C$17="State move")*(Events!$B$6:$B$17&lt;=$B30)*(Events!$B$6:$B$17&lt;&gt;"")),Events!$E$6:$E$17),Inputs!$C$22))</f>
      </c>
      <c r="AV30" s="6">
        <f>IF($B30="","",1+COUNTIFS(Events!$C$6:$C$17,"Employer change",Events!$B$6:$B$17,"&lt;="&amp;$B30,Events!$B$6:$B$17,"&lt;&gt;"))</f>
      </c>
      <c r="AW30" s="7">
        <f>IF($B30="","",IF($AV30=1,Inputs!$C$49,IF(IFERROR(MATCH(IFERROR(LOOKUP(2,1/((Events!$C$6:$C$17="Employer change")*(Events!$B$6:$B$17&lt;=$B30)*(Events!$B$6:$B$17&lt;&gt;"")),Events!$B$6:$B$17),""),$B$6:$B$68,1),1)&lt;=1,Inputs!$C$49,INDEX($AB$6:$AB$68,MATCH(IFERROR(LOOKUP(2,1/((Events!$C$6:$C$17="Employer change")*(Events!$B$6:$B$17&lt;=$B30)*(Events!$B$6:$B$17&lt;&gt;"")),Events!$B$6:$B$17),""),$B$6:$B$68,1)-1))))</f>
      </c>
      <c r="AX30" s="7">
        <f>IF($B30="","",IF($AV30=1,Inputs!$C$49,IFERROR(LOOKUP(2,1/((Events!$C$6:$C$17="Employer change")*(Events!$B$6:$B$17&lt;=$B30)*(Events!$B$6:$B$17&lt;&gt;"")),Events!$D$6:$D$17),0)))</f>
      </c>
      <c r="AY30" s="7">
        <f>IF($B30="","",($O30-$D30)*Inputs!$C$8)</f>
      </c>
      <c r="AZ30" s="7">
        <f>IF($B30="","",IF($AN30="AL",MAX(0,$AY30-IF($AU30="Married",IF($AY30&lt;=25999,8500,MAX(5000,8500-175*CEILING(($AY30-25999)/500,1))),IF($AU30="Head of household",IF($AY30&lt;=25999,5200,MAX(2500,5200-135*CEILING(($AY30-25999)/500,1))),IF($AY30&lt;=25999,3000,MAX(2500,3000-25*CEILING(($AY30-25999)/500,1)))))-($P30-'Methodology &amp; Sources'!$C$260*$D30)*Inputs!$C$8-IF(OR($AU30="Married",$AU30="Head of household"),3000,1500)-$AT30*IF($AY30&lt;=50000,1000,IF($AY30&lt;=100000,500,300))),IF($AN30="AR",IF(MAX(0,$AY30-2470)&lt;97701,INT(MAX(0,$AY30-2470)/100)*100+50,MAX(0,$AY30-2470)),IF($AN30="DE",MAX(0,$AI30-3250),IF($AN30="HI",MAX(0,$AI30-1144*$AS30-4350),IF($AN30="KS",MAX(0,$AI30-(9160*IF($AU30="Married",2,1)+2320*$AT30+IF($AU30="Head of household",2320,0))),IF($AN30="MD",MAX(0,$AI30-3400-3200*$AS30),IF($AN30="MN",MAX(0,$AY30-5300*$AS30),IF($AN30="MO",MAX(0,$AI30-IF($AU30="Head of household",24150,IF($AU30="Married",IF(Inputs!$C$83,16100,32200),16100))),IF($AN30="MT",$AY30,IF($AN30="ND",($C30+$L30)*Inputs!$C$8,IF($AN30="NE",MAX(0,$AY30-2440*$AS30),IF($AN30="NJ",MAX(0,$AY30-1000*$AS30),IF($AN30="NY",MAX(0,$AY30-(IF($AU30="Married",7950,7400)+1000*$AS30)),IF($AN30="OH",MAX(0,$AY30-650*$AS30),IF($AN30="OK",MAX(0,$AY30-1000*$AS30),IF($AN30="RI",MAX(0,$AI30-1000*$AS30),IF($AN30="SC",MAX(0,$AI30-5000*$AS30-IF($AS30=0,0,MIN(0.1*$AI30,7500))),IF($AN30="VA",MAX(0,$AI30-IF($AU30="Married",17500,8750)-930*$AS30-800*$AT30),IF($AN30="VT",MAX(0,$AI30-5400*$AS30),IF($AN30="WI",MAX(0,$AI30-MAX(0,IF($AU30="Married",9461-0.2*MAX(0,$AI30-25727),6702-0.12*MAX(0,$AI30-17780)))-400*$AS30),IF($AN30="WV",MAX(0,$AI30-2000*$AS30),$AI30))))))))))))))))))))))</f>
      </c>
      <c r="BA30" s="7">
        <f>IF($B30="","",IF($BW30&lt;&gt;"",$BW30,IF($BX30&lt;&gt;"",$BX30,IF($BY30&lt;&gt;"",$BY30,0))))</f>
      </c>
      <c r="BB30" s="7">
        <f>IF($B30="","",IF($AN30="AR",-29*$AS30,IF($AN30="DE",-110*$AS30,IF($AN30="MD",$AZ30*Inputs!$C$74,IF($AN30="AZ",Inputs!$C$82*($M30-$D30)*Inputs!$C$8,IF($AN30="CO",0.044*MAX(0,$AY30-IF($AU30="Married",10000,5000)),IF($AN30="IA",MAX(0,0.038*MAX(0,$AY30-IF($AU30="Head of household",19500,IF($AU30="Married",26000,13000)))-40*$AS30),IF($AN30="ID",0.053*MAX(0,$AY30-IF($AU30="Married",32000,16094)),IF($AN30="IL",0.0495*MAX(0,$AY30-(2925*$AS30+1000*$AT30)),IF($AN30="IN",(0.0295+Inputs!$C$76)*MAX(0,$AY30-(1000*$AS30+1500*$AT30+3000*Inputs!$C$86)),IF($AN30="KY",0.035*MAX(0,$AI30-3360),IF($AN30="LA",IF(Inputs!$C$84="0",0.0309*$AI30,0.0309*MAX(0,$AI30-IF(Inputs!$C$84="2",25750,12875))),IF($AN30="MA",0.05*MIN(MAX(0,$AY30-MIN(($BD29+$Q30+$R30+$S30),2000)-IF($AS30=0,0,IF($AS30=1,4400,1000*$AS30+3400))),1107750)+0.09*MAX(0,MAX(0,$AY30-MIN(($BD29+$Q30+$R30+$S30),2000)-IF($AS30=0,0,IF($AS30=1,4400,1000*$AS30+3400)))-1107750)-IF($AU30="Head of household",120,0)-110*Inputs!$C$75,IF($AN30="MI",0.0425*MAX(0,$AY30-5900*$AS30),IF($AN30="MS",0.04*MAX(0,$AI30-IF($AU30="Head of household",3400,IF($AU30="Married",4600,2300))-Inputs!$C$85-10000),IF($AN30="OR",IF(OR($AU30="Married",AND($AU30="Single",$AS30&gt;=3)),SUMPRODUCT((MAX(0,$AY30-MIN(($P30-'Methodology &amp; Sources'!$C$260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Sources'!$B$461:$J$464,0,4))*(MAX(0,$AY30-MIN(($P30-'Methodology &amp; Sources'!$C$260*$D30)*Inputs!$C$8,IF(OR($AU30="Married",AND($AU30="Single",$AS30&gt;=3)),IF($AY30&lt;250000,8750,IF($AY30&lt;260000,7000,IF($AY30&lt;270000,5250,IF($AY30&lt;280000,3500,IF($AY30&lt;290000,1750,0))))),IF($AY30&lt;125000,8750,IF($AY30&lt;130000,7000,IF($AY30&lt;135000,5250,IF($AY30&lt;140000,3500,IF($AY30&lt;145000,1750,0)))))))-IF(OR($AU30="Married",AND($AU30="Single",$AS30&gt;=3)),5820,2910))-INDEX('Methodology &amp; Sources'!$B$461:$J$464,0,4))*INDEX('Methodology &amp; Sources'!$B$461:$J$464,0,4+2)),SUMPRODUCT((MAX(0,$AY30-MIN(($P30-'Methodology &amp; Sources'!$C$260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Sources'!$B$461:$J$464,0,1))*(MAX(0,$AY30-MIN(($P30-'Methodology &amp; Sources'!$C$260*$D30)*Inputs!$C$8,IF(OR($AU30="Married",AND($AU30="Single",$AS30&gt;=3)),IF($AY30&lt;250000,8750,IF($AY30&lt;260000,7000,IF($AY30&lt;270000,5250,IF($AY30&lt;280000,3500,IF($AY30&lt;290000,1750,0))))),IF($AY30&lt;125000,8750,IF($AY30&lt;130000,7000,IF($AY30&lt;135000,5250,IF($AY30&lt;140000,3500,IF($AY30&lt;145000,1750,0)))))))-IF(OR($AU30="Married",AND($AU30="Single",$AS30&gt;=3)),5820,2910))-INDEX('Methodology &amp; Sources'!$B$461:$J$464,0,1))*INDEX('Methodology &amp; Sources'!$B$461:$J$464,0,1+2)))+263-263*IF(IF($AU30="Married",$AY30&gt;200000,$AY30&gt;100000),0,$AS30),IF($AN30="PA",0.0307*(($O30+$E30+$G30)*Inputs!$C$8),IF($AN30="NY",IF($AU30="Married",IF($AZ30&gt;=2155350,0,IF($AZ30&gt;=1077550,0.48,IF($AZ30&gt;=373200,1.21,IF($AZ30&gt;=323200,0.21,IF($AZ30&gt;=211550,-0.19,IF($AZ30&gt;=157650,-2.8,IF($AZ30&gt;=107650,-0.8,IF($AZ30&gt;=96800,0.05,IF($AZ30&gt;=80650,-0.1,IF($AZ30&gt;=13900,0.4,IF($AZ30&gt;=11700,-0.3,IF($AZ30&gt;=8500,0.5,0)))))))))))),IF($AZ30&gt;=1077550,0,IF($AZ30&gt;=265400,4.29,IF($AZ30&gt;=215400,2.29,IF($AZ30&gt;=157650,2.29,IF($AZ30&gt;=107650,0.29,IF($AZ30&gt;=96800,0.05,IF($AZ30&gt;=80650,-0.1,IF($AZ30&gt;=13900,0.4,IF($AZ30&gt;=11700,-0.3,IF($AZ30&gt;=8500,0.5,0))))))))))),0))))))))))))))))))</f>
      </c>
      <c r="BC30" s="7">
        <f>IF($B30="","",IF($AN30="AL",0.05*$D30,IF($AN30="AR",0.039*$D30,IF($AN30="ID",0.053*$D30,IF($AN30="IN",(0.0295+Inputs!$C$76)*$D30,IF($AN30="KS",0.05*$D30,IF($AN30="MA",0.09*MIN($D30,MAX(0,MAX(0,$AY30-MIN(($BD29+$Q30+$R30+$S30),2000)-IF($AS30=0,0,IF($AS30=1,4400,1000*$AS30+3400)))+$D30-1107750))+0.05*($D30-MIN($D30,MAX(0,MAX(0,$AY30-MIN(($BD29+$Q30+$R30+$S30),2000)-IF($AS30=0,0,IF($AS30=1,4400,1000*$AS30+3400)))+$D30-1107750))),IF($AN30="MD",(0.065+Inputs!$C$74)*$D30,IF($AN30="MI",0.0425*$D30,IF($AN30="MN",0.0625*$D30,IF($AN30="MO",0.047*$D30,IF($AN30="MT",0.05*$D30,IF($AN30="ND",0.015*$D30,IF($AN30="NE",0.035*$D30,IF($AN30="NJ",IF(Inputs!$C$77="B",SUMPRODUCT(($D30*Inputs!$C$8&gt;INDEX('Methodology &amp; Sources'!$B$405:$J$412,0,4))*($D30*Inputs!$C$8-INDEX('Methodology &amp; Sources'!$B$405:$J$412,0,4))*INDEX('Methodology &amp; Sources'!$B$405:$J$412,0,4+2)),IF(Inputs!$C$77="C",SUMPRODUCT(($D30*Inputs!$C$8&gt;INDEX('Methodology &amp; Sources'!$B$405:$J$412,0,7))*($D30*Inputs!$C$8-INDEX('Methodology &amp; Sources'!$B$405:$J$412,0,7))*INDEX('Methodology &amp; Sources'!$B$405:$J$412,0,7+2)),IF(Inputs!$C$77="D",SUMPRODUCT(($D30*Inputs!$C$8&gt;INDEX('Methodology &amp; Sources'!$B$417:$J$429,0,1))*($D30*Inputs!$C$8-INDEX('Methodology &amp; Sources'!$B$417:$J$429,0,1))*INDEX('Methodology &amp; Sources'!$B$417:$J$429,0,1+2)),IF(Inputs!$C$77="E",SUMPRODUCT(($D30*Inputs!$C$8&gt;INDEX('Methodology &amp; Sources'!$B$417:$J$429,0,4))*($D30*Inputs!$C$8-INDEX('Methodology &amp; Sources'!$B$417:$J$429,0,4))*INDEX('Methodology &amp; Sources'!$B$417:$J$429,0,4+2)),SUMPRODUCT(($D30*Inputs!$C$8&gt;INDEX('Methodology &amp; Sources'!$B$405:$J$412,0,1))*($D30*Inputs!$C$8-INDEX('Methodology &amp; Sources'!$B$405:$J$412,0,1))*INDEX('Methodology &amp; Sources'!$B$405:$J$412,0,1+2))))))/Inputs!$C$8,IF($AN30="NY",0.117*$D30,IF($AN30="OH",0.0275*$D30,IF($AN30="OK",0.045*$D30,IF($AN30="OR",0.08*$D30,IF($AN30="WI",IF($AY30&lt;12760,0.0354,IF($AY30&lt;25520,0.0465,IF($AY30&lt;280950,0.053,0.0765)))*$D30,0))))))))))))))))))))</f>
      </c>
      <c r="BD30" s="7">
        <f>IF($B30="","",$BD29+$Q30+$R30+$S30)</f>
      </c>
      <c r="BE30" s="6">
        <f>IF($B30="",$BE29,$BE29+$BF30)</f>
      </c>
      <c r="BF30" s="6">
        <f>IF($B30="","",IF(AND(IF(YEAR(IF(Inputs!$C$7="Weekly",Inputs!$C$9+7*(($BE29+1)-1),IF(Inputs!$C$7="Biweekly",Inputs!$C$9+14*(($BE29+1)-1),IF(Inputs!$C$7="Semimonthly",DATE(YEAR(Inputs!$C$9),MONTH(Inputs!$C$9)+INT((($BE29+1)-1)/2),MIN(DAY(Inputs!$C$9),DAY(EOMONTH(DATE(YEAR(Inputs!$C$9),MONTH(Inputs!$C$9)+INT((($BE29+1)-1)/2),1),0))))+IF(MOD(($BE29+1)-1,2)=1,15,0),EDATE(Inputs!$C$9,($BE29+1)-1)))))&lt;&gt;2026,"",IF(Inputs!$C$7="Weekly",Inputs!$C$9+7*(($BE29+1)-1),IF(Inputs!$C$7="Biweekly",Inputs!$C$9+14*(($BE29+1)-1),IF(Inputs!$C$7="Semimonthly",DATE(YEAR(Inputs!$C$9),MONTH(Inputs!$C$9)+INT((($BE29+1)-1)/2),MIN(DAY(Inputs!$C$9),DAY(EOMONTH(DATE(YEAR(Inputs!$C$9),MONTH(Inputs!$C$9)+INT((($BE29+1)-1)/2),1),0))))+IF(MOD(($BE29+1)-1,2)=1,15,0),EDATE(Inputs!$C$9,($BE29+1)-1)))))&lt;&gt;"",$B30=IF(YEAR(IF(Inputs!$C$7="Weekly",Inputs!$C$9+7*(($BE29+1)-1),IF(Inputs!$C$7="Biweekly",Inputs!$C$9+14*(($BE29+1)-1),IF(Inputs!$C$7="Semimonthly",DATE(YEAR(Inputs!$C$9),MONTH(Inputs!$C$9)+INT((($BE29+1)-1)/2),MIN(DAY(Inputs!$C$9),DAY(EOMONTH(DATE(YEAR(Inputs!$C$9),MONTH(Inputs!$C$9)+INT((($BE29+1)-1)/2),1),0))))+IF(MOD(($BE29+1)-1,2)=1,15,0),EDATE(Inputs!$C$9,($BE29+1)-1)))))&lt;&gt;2026,"",IF(Inputs!$C$7="Weekly",Inputs!$C$9+7*(($BE29+1)-1),IF(Inputs!$C$7="Biweekly",Inputs!$C$9+14*(($BE29+1)-1),IF(Inputs!$C$7="Semimonthly",DATE(YEAR(Inputs!$C$9),MONTH(Inputs!$C$9)+INT((($BE29+1)-1)/2),MIN(DAY(Inputs!$C$9),DAY(EOMONTH(DATE(YEAR(Inputs!$C$9),MONTH(Inputs!$C$9)+INT((($BE29+1)-1)/2),1),0))))+IF(MOD(($BE29+1)-1,2)=1,15,0),EDATE(Inputs!$C$9,($BE29+1)-1)))))),1,0))</f>
      </c>
      <c r="BG30" s="7">
        <f>IF($B30="","",$BG29+$H30)</f>
      </c>
      <c r="BH30" s="7">
        <f>IF($B30="","",$BH29+$I30)</f>
      </c>
      <c r="BI30" s="7">
        <f>IF($B30="","",$BI29+$G30)</f>
      </c>
      <c r="BJ30" s="7">
        <f>IF($B30="","",IFERROR(LOOKUP(2,1/((((Events!$C$6:$C$17="Deduction start"))*(Events!$D$6:$D$17="Health FSA"))*(Events!$B$6:$B$17&lt;=$B30)*(Events!$B$6:$B$17&lt;&gt;"")),Events!$E$6:$E$17),Inputs!$D$38))</f>
      </c>
      <c r="BK30" s="7">
        <f>IF($B30="","",IFERROR(LOOKUP(2,1/((((Events!$C$6:$C$17="Deduction start"))*(Events!$D$6:$D$17="Dependent-care FSA"))*(Events!$B$6:$B$17&lt;=$B30)*(Events!$B$6:$B$17&lt;&gt;"")),Events!$E$6:$E$17),Inputs!$D$39))</f>
      </c>
      <c r="BL30" s="7">
        <f>IF($B30="","",IFERROR(LOOKUP(2,1/((((Events!$C$6:$C$17="Deduction start")+(Events!$C$6:$C$17="Deduction stop"))*(Events!$D$6:$D$17="HSA"))*(Events!$B$6:$B$17&lt;=$B30)*(Events!$B$6:$B$17&lt;&gt;"")),Events!$I$6:$I$17),Inputs!$D$35))</f>
      </c>
      <c r="BM30" s="7">
        <f>IF($B30="","",IFERROR(LOOKUP(2,1/((((Events!$C$6:$C$17="Deduction start")+(Events!$C$6:$C$17="Deduction stop"))*(Events!$D$6:$D$17="Premiums"))*(Events!$B$6:$B$17&lt;=$B30)*(Events!$B$6:$B$17&lt;&gt;"")),Events!$I$6:$I$17),Inputs!$D$40+Inputs!$D$41+Inputs!$D$42))</f>
      </c>
      <c r="BN30" s="7">
        <f>IF($B30="","",IFERROR(LOOKUP(2,1/((((Events!$C$6:$C$17="Deduction start")+(Events!$C$6:$C$17="Deduction stop"))*(Events!$D$6:$D$17="Commuter"))*(Events!$B$6:$B$17&lt;=$B30)*(Events!$B$6:$B$17&lt;&gt;"")),Events!$I$6:$I$17),Inputs!$D$43))</f>
      </c>
      <c r="BO30" s="7">
        <f>IF($B30="","",IFERROR(LOOKUP(2,1/((((Events!$C$6:$C$17="Deduction start")+(Events!$C$6:$C$17="Deduction stop"))*(Events!$D$6:$D$17="Other pre-tax"))*(Events!$B$6:$B$17&lt;=$B30)*(Events!$B$6:$B$17&lt;&gt;"")),Events!$I$6:$I$17),Inputs!$D$44))</f>
      </c>
      <c r="BP30" s="7">
        <f>IF($B30="","",IFERROR(LOOKUP(2,1/((((Events!$C$6:$C$17="Deduction start")+(Events!$C$6:$C$17="Deduction stop"))*(Events!$D$6:$D$17="Other post-tax"))*(Events!$B$6:$B$17&lt;=$B30)*(Events!$B$6:$B$17&lt;&gt;"")),Events!$I$6:$I$17),Inputs!$D$45))</f>
      </c>
      <c r="BQ30" s="6">
        <f>IF($B30="","",IFERROR(LOOKUP(2,1/((((Events!$C$6:$C$17="Deduction start")+(Events!$C$6:$C$17="Deduction stop"))*(Events!$D$6:$D$17="Health FSA"))*(Events!$B$6:$B$17&lt;=$B30)*(Events!$B$6:$B$17&lt;&gt;"")),Events!$J$6:$J$17),0))</f>
      </c>
      <c r="BR30" s="6">
        <f>IF($B30="","",IFERROR(LOOKUP(2,1/((((Events!$C$6:$C$17="Deduction start")+(Events!$C$6:$C$17="Deduction stop"))*(Events!$D$6:$D$17="Dependent-care FSA"))*(Events!$B$6:$B$17&lt;=$B30)*(Events!$B$6:$B$17&lt;&gt;"")),Events!$J$6:$J$17),0))</f>
      </c>
      <c r="BS30" s="6">
        <f>IF($B30="","",IF(SUMPRODUCT((Events!$C$6:$C$17="Deduction start")*(Events!$B$6:$B$17&lt;=$B30)*(Events!$B$6:$B$17&lt;&gt;"")*(Events!$D$6:$D$17="Health FSA"))&gt;0,1,0))</f>
      </c>
      <c r="BT30" s="6">
        <f>IF($B30="","",IF(SUMPRODUCT((Events!$C$6:$C$17="Deduction start")*(Events!$B$6:$B$17&lt;=$B30)*(Events!$B$6:$B$17&lt;&gt;"")*(Events!$D$6:$D$17="Dependent-care FSA"))&gt;0,1,0))</f>
      </c>
      <c r="BU30" s="24">
        <f>IF($B30="","",IF(Inputs!$C$13,SUMPRODUCT(($AH30&gt;=INDEX('Methodology &amp; Sources'!$B$279:$J$286,0,IF(Inputs!$C$12="MFJ",1,IF(Inputs!$C$12="HoH",7,4))))*INDEX('Methodology &amp; Sources'!$B$279:$J$286,0,IF(Inputs!$C$12="MFJ",1,IF(Inputs!$C$12="HoH",7,4))+2)),SUMPRODUCT(($AH30&gt;=INDEX('Methodology &amp; Sources'!$B$269:$J$276,0,IF(Inputs!$C$12="MFJ",1,IF(Inputs!$C$12="HoH",7,4))))*INDEX('Methodology &amp; Sources'!$B$269:$J$276,0,IF(Inputs!$C$12="MFJ",1,IF(Inputs!$C$12="HoH",7,4))+2))))</f>
      </c>
      <c r="BV30" s="24">
        <f>IF($B30="","",IF($BZ30&lt;&gt;"",$BZ30,IF($CA30&lt;&gt;"",$CA30,IF($CB30&lt;&gt;"",$CB30,IF($CC30&lt;&gt;"",$CC30,0)))))</f>
      </c>
      <c r="BW30" s="7">
        <f>IF($B30="","",IF($AN30="MD",IF(OR($AU30="Married",$AU30="Head of household"),SUMPRODUCT(($AZ30&gt;INDEX('Methodology &amp; Sources'!$B$364:$J$370,0,1))*($AZ30-INDEX('Methodology &amp; Sources'!$B$364:$J$370,0,1))*INDEX('Methodology &amp; Sources'!$B$364:$J$370,0,1+2)),SUMPRODUCT(($AZ30&gt;INDEX('Methodology &amp; Sources'!$B$353:$J$359,0,7))*($AZ30-INDEX('Methodology &amp; Sources'!$B$353:$J$359,0,7))*INDEX('Methodology &amp; Sources'!$B$353:$J$359,0,7+2))),IF($AN30="MO",SUMPRODUCT(($AZ30&gt;INDEX('Methodology &amp; Sources'!$B$375:$J$382,0,1))*($AZ30-INDEX('Methodology &amp; Sources'!$B$375:$J$382,0,1))*INDEX('Methodology &amp; Sources'!$B$375:$J$382,0,1+2)),IF($AN30="MT",IF($AU30="Head of household",SUMPRODUCT(($AZ30&gt;INDEX('Methodology &amp; Sources'!$B$387:$J$389,0,1))*($AZ30-INDEX('Methodology &amp; Sources'!$B$387:$J$389,0,1))*INDEX('Methodology &amp; Sources'!$B$387:$J$389,0,1+2)),IF($AU30="Married",SUMPRODUCT(($AZ30&gt;INDEX('Methodology &amp; Sources'!$B$375:$J$382,0,7))*($AZ30-INDEX('Methodology &amp; Sources'!$B$375:$J$382,0,7))*INDEX('Methodology &amp; Sources'!$B$375:$J$382,0,7+2)),SUMPRODUCT(($AZ30&gt;INDEX('Methodology &amp; Sources'!$B$375:$J$382,0,4))*($AZ30-INDEX('Methodology &amp; Sources'!$B$375:$J$382,0,4))*INDEX('Methodology &amp; Sources'!$B$375:$J$382,0,4+2)))),IF($AN30="ND",IF($AU30="Head of household",SUMPRODUCT(($AZ30&gt;INDEX('Methodology &amp; Sources'!$B$394:$J$400,0,1))*($AZ30-INDEX('Methodology &amp; Sources'!$B$394:$J$400,0,1))*INDEX('Methodology &amp; Sources'!$B$394:$J$400,0,1+2)),IF($AU30="Married",SUMPRODUCT(($AZ30&gt;INDEX('Methodology &amp; Sources'!$B$387:$J$389,0,7))*($AZ30-INDEX('Methodology &amp; Sources'!$B$387:$J$389,0,7))*INDEX('Methodology &amp; Sources'!$B$387:$J$389,0,7+2)),SUMPRODUCT(($AZ30&gt;INDEX('Methodology &amp; Sources'!$B$387:$J$389,0,4))*($AZ30-INDEX('Methodology &amp; Sources'!$B$387:$J$389,0,4))*INDEX('Methodology &amp; Sources'!$B$387:$J$389,0,4+2)))),IF($AN30="NJ",IF(Inputs!$C$77="B",SUMPRODUCT(($AZ30&gt;INDEX('Methodology &amp; Sources'!$B$405:$J$412,0,4))*($AZ30-INDEX('Methodology &amp; Sources'!$B$405:$J$412,0,4))*INDEX('Methodology &amp; Sources'!$B$405:$J$412,0,4+2)),IF(Inputs!$C$77="C",SUMPRODUCT(($AZ30&gt;INDEX('Methodology &amp; Sources'!$B$405:$J$412,0,7))*($AZ30-INDEX('Methodology &amp; Sources'!$B$405:$J$412,0,7))*INDEX('Methodology &amp; Sources'!$B$405:$J$412,0,7+2)),IF(Inputs!$C$77="D",SUMPRODUCT(($AZ30&gt;INDEX('Methodology &amp; Sources'!$B$417:$J$429,0,1))*($AZ30-INDEX('Methodology &amp; Sources'!$B$417:$J$429,0,1))*INDEX('Methodology &amp; Sources'!$B$417:$J$429,0,1+2)),IF(Inputs!$C$77="E",SUMPRODUCT(($AZ30&gt;INDEX('Methodology &amp; Sources'!$B$417:$J$429,0,4))*($AZ30-INDEX('Methodology &amp; Sources'!$B$417:$J$429,0,4))*INDEX('Methodology &amp; Sources'!$B$417:$J$429,0,4+2)),SUMPRODUCT(($AZ30&gt;INDEX('Methodology &amp; Sources'!$B$405:$J$412,0,1))*($AZ30-INDEX('Methodology &amp; Sources'!$B$405:$J$412,0,1))*INDEX('Methodology &amp; Sources'!$B$405:$J$412,0,1+2)))))),IF($AN30="NY",IF($AU30="Married",IF($AZ30&gt;=2155350,$AZ30*IF($AZ30&gt;25000000,0.117,IF($AZ30&gt;5000000,0.111,0.1045)),SUMPRODUCT(($AZ30&gt;INDEX('Methodology &amp; Sources'!$B$434:$J$448,0,1))*($AZ30-INDEX('Methodology &amp; Sources'!$B$434:$J$448,0,1))*INDEX('Methodology &amp; Sources'!$B$434:$J$448,0,1+2))),IF($AZ30&gt;=1077550,$AZ30*IF($AZ30&gt;25000000,0.117,IF($AZ30&gt;5000000,0.111,0.1045)),SUMPRODUCT(($AZ30&gt;INDEX('Methodology &amp; Sources'!$B$417:$J$429,0,7))*($AZ30-INDEX('Methodology &amp; Sources'!$B$417:$J$429,0,7))*INDEX('Methodology &amp; Sources'!$B$417:$J$429,0,7+2)))),"")))))))</f>
      </c>
      <c r="BX30" s="7">
        <f>IF($B30="","",IF($AN30="AL",IF(OR($AU30="Married",$AU30="Head of household"),SUMPRODUCT(($AZ30&gt;INDEX('Methodology &amp; Sources'!$B$332:$J$336,0,4))*($AZ30-INDEX('Methodology &amp; Sources'!$B$332:$J$336,0,4))*INDEX('Methodology &amp; Sources'!$B$332:$J$336,0,4+2)),SUMPRODUCT(($AZ30&gt;INDEX('Methodology &amp; Sources'!$B$332:$J$336,0,1))*($AZ30-INDEX('Methodology &amp; Sources'!$B$332:$J$336,0,1))*INDEX('Methodology &amp; Sources'!$B$332:$J$336,0,1+2))),IF($AN30="KS",IF($AU30="Married",SUMPRODUCT(($AZ30&gt;INDEX('Methodology &amp; Sources'!$B$353:$J$359,0,4))*($AZ30-INDEX('Methodology &amp; Sources'!$B$353:$J$359,0,4))*INDEX('Methodology &amp; Sources'!$B$353:$J$359,0,4+2)),SUMPRODUCT(($AZ30&gt;INDEX('Methodology &amp; Sources'!$B$353:$J$359,0,1))*($AZ30-INDEX('Methodology &amp; Sources'!$B$353:$J$359,0,1))*INDEX('Methodology &amp; Sources'!$B$353:$J$359,0,1+2))),IF($AN30="MN",IF($AU30="Married",SUMPRODUCT(($AZ30&gt;INDEX('Methodology &amp; Sources'!$B$364:$J$370,0,7))*($AZ30-INDEX('Methodology &amp; Sources'!$B$364:$J$370,0,7))*INDEX('Methodology &amp; Sources'!$B$364:$J$370,0,7+2)),SUMPRODUCT(($AZ30&gt;INDEX('Methodology &amp; Sources'!$B$364:$J$370,0,4))*($AZ30-INDEX('Methodology &amp; Sources'!$B$364:$J$370,0,4))*INDEX('Methodology &amp; Sources'!$B$364:$J$370,0,4+2))),IF($AN30="NE",MAX(IF($AU30="Married",SUMPRODUCT(($AZ30&gt;INDEX('Methodology &amp; Sources'!$B$394:$J$400,0,7))*($AZ30-INDEX('Methodology &amp; Sources'!$B$394:$J$400,0,7))*INDEX('Methodology &amp; Sources'!$B$394:$J$400,0,7+2)),SUMPRODUCT(($AZ30&gt;INDEX('Methodology &amp; Sources'!$B$394:$J$400,0,4))*($AZ30-INDEX('Methodology &amp; Sources'!$B$394:$J$400,0,4))*INDEX('Methodology &amp; Sources'!$B$394:$J$400,0,4+2))),0.015*$AZ30),IF($AN30="OH",IF($B30&gt;=DATE(2026,8,1),SUMPRODUCT(($AZ30&gt;INDEX('Methodology &amp; Sources'!$B$453:$J$456,0,1))*($AZ30-INDEX('Methodology &amp; Sources'!$B$453:$J$456,0,1))*INDEX('Methodology &amp; Sources'!$B$453:$J$456,0,1+2)),SUMPRODUCT(($AZ30&gt;INDEX('Methodology &amp; Sources'!$B$434:$J$448,0,7))*($AZ30-INDEX('Methodology &amp; Sources'!$B$434:$J$448,0,7))*INDEX('Methodology &amp; Sources'!$B$434:$J$448,0,7+2))),IF($AN30="OK",IF($AU30="Married",SUMPRODUCT(($AZ30&gt;INDEX('Methodology &amp; Sources'!$B$453:$J$456,0,7))*($AZ30-INDEX('Methodology &amp; Sources'!$B$453:$J$456,0,7))*INDEX('Methodology &amp; Sources'!$B$453:$J$456,0,7+2)),SUMPRODUCT(($AZ30&gt;INDEX('Methodology &amp; Sources'!$B$453:$J$456,0,4))*($AZ30-INDEX('Methodology &amp; Sources'!$B$453:$J$456,0,4))*INDEX('Methodology &amp; Sources'!$B$453:$J$456,0,4+2))),IF($AN30="RI",SUMPRODUCT(($AZ30&gt;INDEX('Methodology &amp; Sources'!$B$461:$J$464,0,7))*($AZ30-INDEX('Methodology &amp; Sources'!$B$461:$J$464,0,7))*INDEX('Methodology &amp; Sources'!$B$461:$J$464,0,7+2)),IF($AN30="VT",IF($AU30="Married",SUMPRODUCT(($AZ30&gt;INDEX('Methodology &amp; Sources'!$B$478:$J$482,0,1))*($AZ30-INDEX('Methodology &amp; Sources'!$B$478:$J$482,0,1))*INDEX('Methodology &amp; Sources'!$B$478:$J$482,0,1+2)),SUMPRODUCT(($AZ30&gt;INDEX('Methodology &amp; Sources'!$B$469:$J$473,0,7))*($AZ30-INDEX('Methodology &amp; Sources'!$B$469:$J$473,0,7))*INDEX('Methodology &amp; Sources'!$B$469:$J$473,0,7+2))),IF($AN30="WV",IF($AU30="Married",SUMPRODUCT(($AZ30&gt;INDEX('Methodology &amp; Sources'!$B$487:$J$491,0,7))*($AZ30-INDEX('Methodology &amp; Sources'!$B$487:$J$491,0,7))*INDEX('Methodology &amp; Sources'!$B$487:$J$491,0,7+2)),SUMPRODUCT(($AZ30&gt;INDEX('Methodology &amp; Sources'!$B$478:$J$482,0,7))*($AZ30-INDEX('Methodology &amp; Sources'!$B$478:$J$482,0,7))*INDEX('Methodology &amp; Sources'!$B$478:$J$482,0,7+2))),""))))))))))</f>
      </c>
      <c r="BY30" s="7">
        <f>IF($B30="","",IF($AN30="AR",SUMPRODUCT(($AZ30&gt;INDEX('Methodology &amp; Sources'!$B$332:$J$336,0,7))*($AZ30-INDEX('Methodology &amp; Sources'!$B$332:$J$336,0,7))*INDEX('Methodology &amp; Sources'!$B$332:$J$336,0,7+2)),IF($AN30="DE",SUMPRODUCT(($AZ30&gt;INDEX('Methodology &amp; Sources'!$B$341:$J$348,0,1))*($AZ30-INDEX('Methodology &amp; Sources'!$B$341:$J$348,0,1))*INDEX('Methodology &amp; Sources'!$B$341:$J$348,0,1+2)),IF($AN30="HI",IF($AU30="Married",SUMPRODUCT(($AZ30&gt;INDEX('Methodology &amp; Sources'!$B$341:$J$348,0,7))*($AZ30-INDEX('Methodology &amp; Sources'!$B$341:$J$348,0,7))*INDEX('Methodology &amp; Sources'!$B$341:$J$348,0,7+2)),SUMPRODUCT(($AZ30&gt;INDEX('Methodology &amp; Sources'!$B$341:$J$348,0,4))*($AZ30-INDEX('Methodology &amp; Sources'!$B$341:$J$348,0,4))*INDEX('Methodology &amp; Sources'!$B$341:$J$348,0,4+2))),IF($AN30="SC",SUMPRODUCT(($AZ30&gt;INDEX('Methodology &amp; Sources'!$B$469:$J$473,0,1))*($AZ30-INDEX('Methodology &amp; Sources'!$B$469:$J$473,0,1))*INDEX('Methodology &amp; Sources'!$B$469:$J$473,0,1+2)),IF($AN30="VA",SUMPRODUCT(($AZ30&gt;INDEX('Methodology &amp; Sources'!$B$469:$J$473,0,4))*($AZ30-INDEX('Methodology &amp; Sources'!$B$469:$J$473,0,4))*INDEX('Methodology &amp; Sources'!$B$469:$J$473,0,4+2)),IF($AN30="WI",SUMPRODUCT(($AZ30&gt;INDEX('Methodology &amp; Sources'!$B$478:$J$482,0,4))*($AZ30-INDEX('Methodology &amp; Sources'!$B$478:$J$482,0,4))*INDEX('Methodology &amp; Sources'!$B$478:$J$482,0,4+2)),"")))))))</f>
      </c>
      <c r="BZ30" s="24">
        <f>IF($B30="","",IF($AN30="NJ",IF(Inputs!$C$77="B",SUMPRODUCT(($AZ30&gt;=INDEX('Methodology &amp; Sources'!$B$405:$J$412,0,4))*INDEX('Methodology &amp; Sources'!$B$405:$J$412,0,4+2)),IF(Inputs!$C$77="C",SUMPRODUCT(($AZ30&gt;=INDEX('Methodology &amp; Sources'!$B$405:$J$412,0,7))*INDEX('Methodology &amp; Sources'!$B$405:$J$412,0,7+2)),IF(Inputs!$C$77="D",SUMPRODUCT(($AZ30&gt;=INDEX('Methodology &amp; Sources'!$B$417:$J$429,0,1))*INDEX('Methodology &amp; Sources'!$B$417:$J$429,0,1+2)),IF(Inputs!$C$77="E",SUMPRODUCT(($AZ30&gt;=INDEX('Methodology &amp; Sources'!$B$417:$J$429,0,4))*INDEX('Methodology &amp; Sources'!$B$417:$J$429,0,4+2)),SUMPRODUCT(($AZ30&gt;=INDEX('Methodology &amp; Sources'!$B$405:$J$412,0,1))*INDEX('Methodology &amp; Sources'!$B$405:$J$412,0,1+2)))))),IF($AN30="OR",IF(OR($AU30="Married",AND($AU30="Single",$AS30&gt;=3)),SUMPRODUCT((MAX(0,$AY30-MIN(($P30-'Methodology &amp; Sources'!$C$260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Sources'!$B$461:$J$464,0,4))*INDEX('Methodology &amp; Sources'!$B$461:$J$464,0,4+2)),SUMPRODUCT((MAX(0,$AY30-MIN(($P30-'Methodology &amp; Sources'!$C$260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Sources'!$B$461:$J$464,0,1))*INDEX('Methodology &amp; Sources'!$B$461:$J$464,0,1+2)))*IF(($P30-'Methodology &amp; Sources'!$C$260*$D30)*Inputs!$C$8&gt;=IF(OR($AU30="Married",AND($AU30="Single",$AS30&gt;=3)),IF($AY30&lt;250000,8750,IF($AY30&lt;260000,7000,IF($AY30&lt;270000,5250,IF($AY30&lt;280000,3500,IF($AY30&lt;290000,1750,0))))),IF($AY30&lt;125000,8750,IF($AY30&lt;130000,7000,IF($AY30&lt;135000,5250,IF($AY30&lt;140000,3500,IF($AY30&lt;145000,1750,0)))))),1,1-IF(Inputs!$C$13,SUMPRODUCT(($AH30&gt;=INDEX('Methodology &amp; Sources'!$B$279:$J$286,0,IF(Inputs!$C$12="MFJ",1,IF(Inputs!$C$12="HoH",7,4))))*INDEX('Methodology &amp; Sources'!$B$279:$J$286,0,IF(Inputs!$C$12="MFJ",1,IF(Inputs!$C$12="HoH",7,4))+2)),SUMPRODUCT(($AH30&gt;=INDEX('Methodology &amp; Sources'!$B$269:$J$276,0,IF(Inputs!$C$12="MFJ",1,IF(Inputs!$C$12="HoH",7,4))))*INDEX('Methodology &amp; Sources'!$B$269:$J$276,0,IF(Inputs!$C$12="MFJ",1,IF(Inputs!$C$12="HoH",7,4))+2)))),IF($AN30="MI",IF($AY30&gt;5900*$AS30,0.0425,0),""))))</f>
      </c>
      <c r="CA30" s="24">
        <f>IF($B30="","",IF($AN30="AL",IF(OR($AU30="Married",$AU30="Head of household"),SUMPRODUCT(($AZ30&gt;=INDEX('Methodology &amp; Sources'!$B$332:$J$336,0,4))*INDEX('Methodology &amp; Sources'!$B$332:$J$336,0,4+2)),SUMPRODUCT(($AZ30&gt;=INDEX('Methodology &amp; Sources'!$B$332:$J$336,0,1))*INDEX('Methodology &amp; Sources'!$B$332:$J$336,0,1+2)))*(1-IF(Inputs!$C$13,SUMPRODUCT(($AH30&gt;=INDEX('Methodology &amp; Sources'!$B$279:$J$286,0,IF(Inputs!$C$12="MFJ",1,IF(Inputs!$C$12="HoH",7,4))))*INDEX('Methodology &amp; Sources'!$B$279:$J$286,0,IF(Inputs!$C$12="MFJ",1,IF(Inputs!$C$12="HoH",7,4))+2)),SUMPRODUCT(($AH30&gt;=INDEX('Methodology &amp; Sources'!$B$269:$J$276,0,IF(Inputs!$C$12="MFJ",1,IF(Inputs!$C$12="HoH",7,4))))*INDEX('Methodology &amp; Sources'!$B$269:$J$276,0,IF(Inputs!$C$12="MFJ",1,IF(Inputs!$C$12="HoH",7,4))+2)))),IF($AN30="KS",IF($AU30="Married",SUMPRODUCT(($AZ30&gt;=INDEX('Methodology &amp; Sources'!$B$353:$J$359,0,4))*INDEX('Methodology &amp; Sources'!$B$353:$J$359,0,4+2)),SUMPRODUCT(($AZ30&gt;=INDEX('Methodology &amp; Sources'!$B$353:$J$359,0,1))*INDEX('Methodology &amp; Sources'!$B$353:$J$359,0,1+2))),IF($AN30="MD",IF(OR($AU30="Married",$AU30="Head of household"),SUMPRODUCT(($AZ30&gt;=INDEX('Methodology &amp; Sources'!$B$364:$J$370,0,1))*INDEX('Methodology &amp; Sources'!$B$364:$J$370,0,1+2)),SUMPRODUCT(($AZ30&gt;=INDEX('Methodology &amp; Sources'!$B$353:$J$359,0,7))*INDEX('Methodology &amp; Sources'!$B$353:$J$359,0,7+2)))+Inputs!$C$74,IF($AN30="MT",IF($AU30="Head of household",SUMPRODUCT(($AZ30&gt;=INDEX('Methodology &amp; Sources'!$B$387:$J$389,0,1))*INDEX('Methodology &amp; Sources'!$B$387:$J$389,0,1+2)),IF($AU30="Married",SUMPRODUCT(($AZ30&gt;=INDEX('Methodology &amp; Sources'!$B$375:$J$382,0,7))*INDEX('Methodology &amp; Sources'!$B$375:$J$382,0,7+2)),SUMPRODUCT(($AZ30&gt;=INDEX('Methodology &amp; Sources'!$B$375:$J$382,0,4))*INDEX('Methodology &amp; Sources'!$B$375:$J$382,0,4+2)))),IF($AN30="ND",IF($AU30="Head of household",SUMPRODUCT(($AZ30&gt;=INDEX('Methodology &amp; Sources'!$B$394:$J$400,0,1))*INDEX('Methodology &amp; Sources'!$B$394:$J$400,0,1+2)),IF($AU30="Married",SUMPRODUCT(($AZ30&gt;=INDEX('Methodology &amp; Sources'!$B$387:$J$389,0,7))*INDEX('Methodology &amp; Sources'!$B$387:$J$389,0,7+2)),SUMPRODUCT(($AZ30&gt;=INDEX('Methodology &amp; Sources'!$B$387:$J$389,0,4))*INDEX('Methodology &amp; Sources'!$B$387:$J$389,0,4+2)))),IF($AN30="NY",IF($AU30="Married",IF($AZ30&gt;=2155350,IF($AZ30&gt;25000000,0.117,IF($AZ30&gt;5000000,0.111,0.1045)),SUMPRODUCT(($AZ30&gt;=INDEX('Methodology &amp; Sources'!$B$434:$J$448,0,1))*INDEX('Methodology &amp; Sources'!$B$434:$J$448,0,1+2))),IF($AZ30&gt;=1077550,IF($AZ30&gt;25000000,0.117,IF($AZ30&gt;5000000,0.111,0.1045)),SUMPRODUCT(($AZ30&gt;=INDEX('Methodology &amp; Sources'!$B$417:$J$429,0,7))*INDEX('Methodology &amp; Sources'!$B$417:$J$429,0,7+2)))),"")))))))</f>
      </c>
      <c r="CB30" s="24">
        <f>IF($B30="","",IF($AN30="CA",SUMPRODUCT(($AJ30&gt;=INDEX('Methodology &amp; Sources'!$B$289:$J$298,0,IF($AU30="Married",4,IF($AU30="Head of household",7,1))))*INDEX('Methodology &amp; Sources'!$B$289:$J$298,0,IF($AU30="Married",4,IF($AU30="Head of household",7,1))+2)),IF($AN30="HI",IF($AU30="Married",SUMPRODUCT(($AZ30&gt;=INDEX('Methodology &amp; Sources'!$B$341:$J$348,0,7))*INDEX('Methodology &amp; Sources'!$B$341:$J$348,0,7+2)),SUMPRODUCT(($AZ30&gt;=INDEX('Methodology &amp; Sources'!$B$341:$J$348,0,4))*INDEX('Methodology &amp; Sources'!$B$341:$J$348,0,4+2))),IF($AN30="MN",IF($AU30="Married",SUMPRODUCT(($AZ30&gt;=INDEX('Methodology &amp; Sources'!$B$364:$J$370,0,7))*INDEX('Methodology &amp; Sources'!$B$364:$J$370,0,7+2)),SUMPRODUCT(($AZ30&gt;=INDEX('Methodology &amp; Sources'!$B$364:$J$370,0,4))*INDEX('Methodology &amp; Sources'!$B$364:$J$370,0,4+2))),IF($AN30="MO",SUMPRODUCT(($AZ30&gt;=INDEX('Methodology &amp; Sources'!$B$375:$J$382,0,1))*INDEX('Methodology &amp; Sources'!$B$375:$J$382,0,1+2)),IF($AN30="NE",MAX(IF($AU30="Married",SUMPRODUCT(($AZ30&gt;=INDEX('Methodology &amp; Sources'!$B$394:$J$400,0,7))*INDEX('Methodology &amp; Sources'!$B$394:$J$400,0,7+2)),SUMPRODUCT(($AZ30&gt;=INDEX('Methodology &amp; Sources'!$B$394:$J$400,0,4))*INDEX('Methodology &amp; Sources'!$B$394:$J$400,0,4+2))),0.015),IF($AN30="OH",IF($B30&gt;=DATE(2026,8,1),SUMPRODUCT(($AZ30&gt;=INDEX('Methodology &amp; Sources'!$B$453:$J$456,0,1))*INDEX('Methodology &amp; Sources'!$B$453:$J$456,0,1+2)),SUMPRODUCT(($AZ30&gt;=INDEX('Methodology &amp; Sources'!$B$434:$J$448,0,7))*INDEX('Methodology &amp; Sources'!$B$434:$J$448,0,7+2))),IF($AN30="OK",IF($AU30="Married",SUMPRODUCT(($AZ30&gt;=INDEX('Methodology &amp; Sources'!$B$453:$J$456,0,7))*INDEX('Methodology &amp; Sources'!$B$453:$J$456,0,7+2)),SUMPRODUCT(($AZ30&gt;=INDEX('Methodology &amp; Sources'!$B$453:$J$456,0,4))*INDEX('Methodology &amp; Sources'!$B$453:$J$456,0,4+2))),IF($AN30="RI",SUMPRODUCT(($AZ30&gt;=INDEX('Methodology &amp; Sources'!$B$461:$J$464,0,7))*INDEX('Methodology &amp; Sources'!$B$461:$J$464,0,7+2)),IF($AN30="SC",SUMPRODUCT(($AZ30&gt;=INDEX('Methodology &amp; Sources'!$B$469:$J$473,0,1))*INDEX('Methodology &amp; Sources'!$B$469:$J$473,0,1+2)),IF($AN30="VT",IF($AU30="Married",SUMPRODUCT(($AZ30&gt;=INDEX('Methodology &amp; Sources'!$B$478:$J$482,0,1))*INDEX('Methodology &amp; Sources'!$B$478:$J$482,0,1+2)),SUMPRODUCT(($AZ30&gt;=INDEX('Methodology &amp; Sources'!$B$469:$J$473,0,7))*INDEX('Methodology &amp; Sources'!$B$469:$J$473,0,7+2))),IF($AN30="WV",IF($AU30="Married",SUMPRODUCT(($AZ30&gt;=INDEX('Methodology &amp; Sources'!$B$487:$J$491,0,7))*INDEX('Methodology &amp; Sources'!$B$487:$J$491,0,7+2)),SUMPRODUCT(($AZ30&gt;=INDEX('Methodology &amp; Sources'!$B$478:$J$482,0,7))*INDEX('Methodology &amp; Sources'!$B$478:$J$482,0,7+2))),IF($AN30="IN",(0.0295+Inputs!$C$76),"")))))))))))))</f>
      </c>
      <c r="CC30" s="24">
        <f>IF($B30="","",IF($AN30="AR",SUMPRODUCT(($AZ30&gt;=INDEX('Methodology &amp; Sources'!$B$332:$J$336,0,7))*INDEX('Methodology &amp; Sources'!$B$332:$J$336,0,7+2)),IF($AN30="DE",SUMPRODUCT(($AZ30&gt;=INDEX('Methodology &amp; Sources'!$B$341:$J$348,0,1))*INDEX('Methodology &amp; Sources'!$B$341:$J$348,0,1+2)),IF($AN30="VA",SUMPRODUCT(($AZ30&gt;=INDEX('Methodology &amp; Sources'!$B$469:$J$473,0,4))*INDEX('Methodology &amp; Sources'!$B$469:$J$473,0,4+2)),IF($AN30="WI",SUMPRODUCT(($AZ30&gt;=INDEX('Methodology &amp; Sources'!$B$478:$J$482,0,4))*INDEX('Methodology &amp; Sources'!$B$478:$J$482,0,4+2)),IF($AN30="AZ",Inputs!$C$82,IF($AN30="CO",IF($AY30&gt;IF($AU30="Married",10000,5000),0.044,0),IF($AN30="IA",IF($AY30&gt;IF($AU30="Head of household",19500,IF($AU30="Married",26000,13000)),0.038,0),IF($AN30="ID",IF($AY30&gt;IF($AU30="Married",32000,16094),0.053,0),IF($AN30="IL",IF($AY30&gt;(2925*$AS30+1000*$AT30),0.0495,0),IF($AN30="KY",IF($AI30&gt;3360,0.035,0),IF($AN30="LA",0.0309,IF($AN30="MA",IF(MAX(0,$AY30-MIN(($BD29+$Q30+$R30+$S30),2000)-IF($AS30=0,0,IF($AS30=1,4400,1000*$AS30+3400)))&gt;=1107750,0.09,0.05),IF($AN30="MS",IF($AI30-IF($AU30="Head of household",3400,IF($AU30="Married",4600,2300))-Inputs!$C$85&gt;10000,0.04,0),IF($AN30="PA",0.0307,"")))))))))))))))</f>
      </c>
      <c r="CD30" s="21">
        <f>IF(YEAR(IF(Inputs!$C$7="Weekly",Inputs!$C$9+7*(($BE29+1)-1),IF(Inputs!$C$7="Biweekly",Inputs!$C$9+14*(($BE29+1)-1),IF(Inputs!$C$7="Semimonthly",DATE(YEAR(Inputs!$C$9),MONTH(Inputs!$C$9)+INT((($BE29+1)-1)/2),MIN(DAY(Inputs!$C$9),DAY(EOMONTH(DATE(YEAR(Inputs!$C$9),MONTH(Inputs!$C$9)+INT((($BE29+1)-1)/2),1),0))))+IF(MOD(($BE29+1)-1,2)=1,15,0),EDATE(Inputs!$C$9,($BE29+1)-1)))))&lt;&gt;2026,"",IF(Inputs!$C$7="Weekly",Inputs!$C$9+7*(($BE29+1)-1),IF(Inputs!$C$7="Biweekly",Inputs!$C$9+14*(($BE29+1)-1),IF(Inputs!$C$7="Semimonthly",DATE(YEAR(Inputs!$C$9),MONTH(Inputs!$C$9)+INT((($BE29+1)-1)/2),MIN(DAY(Inputs!$C$9),DAY(EOMONTH(DATE(YEAR(Inputs!$C$9),MONTH(Inputs!$C$9)+INT((($BE29+1)-1)/2),1),0))))+IF(MOD(($BE29+1)-1,2)=1,15,0),EDATE(Inputs!$C$9,($BE29+1)-1)))))</f>
      </c>
      <c r="CE30" s="21">
        <f>IF(SUMPRODUCT(MIN(IF((Inputs!$C$58:$C$67&gt;MAX($B$6:$B29))*(Inputs!$C$58:$C$67&gt;=DATE(2026,1,1))*(Inputs!$C$58:$C$67&lt;=DATE(2026,12,31)),Inputs!$C$58:$C$67,999999)))=999999,"",SUMPRODUCT(MIN(IF((Inputs!$C$58:$C$67&gt;MAX($B$6:$B29))*(Inputs!$C$58:$C$67&gt;=DATE(2026,1,1))*(Inputs!$C$58:$C$67&lt;=DATE(2026,12,31)),Inputs!$C$58:$C$67,999999))))</f>
      </c>
    </row>
    <row r="31">
      <c r="A31" t="n">
        <v>26</v>
      </c>
      <c r="B31" s="21">
        <f>IF(AND($CD31="",$CE31=""),"",IF($CE31="",$CD31,IF($CD31="",$CE31,MIN($CD31,$CE31))))</f>
      </c>
      <c r="C31" s="7">
        <f>IF($B31="","",IF($BF31=0,0,IF(Inputs!$C$4="Annual salary",ROUND($AK31/IF(AND(Inputs!$C$88="Actual paydays",MONTH(Inputs!$C$9)=1),MAX(1,MAX($BE$6:$BE$68)),Inputs!$C$8),2),$AK31)))</f>
      </c>
      <c r="D31" s="7">
        <f>IF($B31="","",SUMIF(Inputs!$C$58:$C$67,$B31,Inputs!$D$58:$D$67))</f>
      </c>
      <c r="E31" s="7">
        <f>IF($B31="","",ROUND(MAX(0,MIN(IF($AL31="Percent",$AM31*($C31+$D31),$AM31),MAX(0,Inputs!$C$91-$AC30))),2))</f>
      </c>
      <c r="F31" s="7">
        <f>IF($B31="","",ROUND(MAX(0,MIN(IF(Inputs!$C$32="Percent",Inputs!$D$32*($C31+$D31),Inputs!$D$32),MAX(0,Inputs!$C$91-$AC30-$E31))),2))</f>
      </c>
      <c r="G31" s="7">
        <f>IF($B31="","",IF($BF31=0,0,ROUND(MAX(0,MIN($BL31,Inputs!$C$92-Inputs!$C$54-$BI30)),2)))</f>
      </c>
      <c r="H31" s="7">
        <f>IF($B31="","",IF(OR($BF31=0,$BQ31=1),0,ROUND(MAX(0,MIN(IF($BS31=1,ROUND(MAX(0,MIN($BJ31,'Methodology &amp; Sources'!$C$263)-$BG30)/MAX(1,MAX($BE$6:$BE$68)-($BE30)),2),ROUND(MIN($BJ31,'Methodology &amp; Sources'!$C$263)/Inputs!$C$8,2)),MIN($BJ31,'Methodology &amp; Sources'!$C$263)-$BG30)),2)))</f>
      </c>
      <c r="I31" s="7">
        <f>IF($B31="","",IF(OR($BF31=0,$BR31=1),0,ROUND(MAX(0,MIN(IF($BT31=1,ROUND(MAX(0,MIN($BK31,IF(Inputs!$C$12="MFJ",'Methodology &amp; Sources'!$C$264,'Methodology &amp; Sources'!$C$265))-$BH30)/MAX(1,MAX($BE$6:$BE$68)-($BE30)),2),ROUND(MIN($BK31,IF(Inputs!$C$12="MFJ",'Methodology &amp; Sources'!$C$264,'Methodology &amp; Sources'!$C$265))/Inputs!$C$8,2)),MIN($BK31,IF(Inputs!$C$12="MFJ",'Methodology &amp; Sources'!$C$264,'Methodology &amp; Sources'!$C$265))-$BH30)),2)))</f>
      </c>
      <c r="J31" s="7">
        <f>IF($B31="","",IF($BF31=0,0,$BM31))</f>
      </c>
      <c r="K31" s="7">
        <f>IF($B31="","",IF($BF31=0,0,$BN31+$BO31))</f>
      </c>
      <c r="L31" s="7">
        <f>IF($B31="","",IF($BF31=0,0,Inputs!$D$46))</f>
      </c>
      <c r="M31" s="7">
        <f>IF($B31="","",$C31+$D31+$L31-$E31-$G31-$H31-$I31-$J31-$K31)</f>
      </c>
      <c r="N31" s="7">
        <f>IF($B31="","",$C31+$D31+$L31-$G31-$H31-$I31-$J31-$K31)</f>
      </c>
      <c r="O31" s="7">
        <f>IF($B31="","",$C31+$D31+$L31-$E31-$H31-$I31-$J31-$K31-IF(OR($AN31="CA",$AN31="NJ"),0,$G31))</f>
      </c>
      <c r="P31" s="7">
        <f>IF($B31="","",IF(Inputs!$C$18,0,ROUND(MAX(0,IF(Inputs!$C$13,SUMPRODUCT(($AH31&gt;INDEX('Methodology &amp; Sources'!$B$279:$J$286,0,IF(Inputs!$C$12="MFJ",1,IF(Inputs!$C$12="HoH",7,4))))*($AH31-INDEX('Methodology &amp; Sources'!$B$279:$J$286,0,IF(Inputs!$C$12="MFJ",1,IF(Inputs!$C$12="HoH",7,4))))*INDEX('Methodology &amp; Sources'!$B$279:$J$286,0,IF(Inputs!$C$12="MFJ",1,IF(Inputs!$C$12="HoH",7,4))+2)),SUMPRODUCT(($AH31&gt;INDEX('Methodology &amp; Sources'!$B$269:$J$276,0,IF(Inputs!$C$12="MFJ",1,IF(Inputs!$C$12="HoH",7,4))))*($AH31-INDEX('Methodology &amp; Sources'!$B$269:$J$276,0,IF(Inputs!$C$12="MFJ",1,IF(Inputs!$C$12="HoH",7,4))))*INDEX('Methodology &amp; Sources'!$B$269:$J$276,0,IF(Inputs!$C$12="MFJ",1,IF(Inputs!$C$12="HoH",7,4))+2)))/Inputs!$C$8-$AO31/Inputs!$C$8)+$AR31+IF(Inputs!$C$89="Aggregate",MAX(0,IF(Inputs!$C$13,SUMPRODUCT((($AH31+$D31)&gt;INDEX('Methodology &amp; Sources'!$B$279:$J$286,0,IF(Inputs!$C$12="MFJ",1,IF(Inputs!$C$12="HoH",7,4))))*(($AH31+$D31)-INDEX('Methodology &amp; Sources'!$B$279:$J$286,0,IF(Inputs!$C$12="MFJ",1,IF(Inputs!$C$12="HoH",7,4))))*INDEX('Methodology &amp; Sources'!$B$279:$J$286,0,IF(Inputs!$C$12="MFJ",1,IF(Inputs!$C$12="HoH",7,4))+2)),SUMPRODUCT((($AH31+$D31)&gt;INDEX('Methodology &amp; Sources'!$B$269:$J$276,0,IF(Inputs!$C$12="MFJ",1,IF(Inputs!$C$12="HoH",7,4))))*(($AH31+$D31)-INDEX('Methodology &amp; Sources'!$B$269:$J$276,0,IF(Inputs!$C$12="MFJ",1,IF(Inputs!$C$12="HoH",7,4))))*INDEX('Methodology &amp; Sources'!$B$269:$J$276,0,IF(Inputs!$C$12="MFJ",1,IF(Inputs!$C$12="HoH",7,4))+2)))-IF(Inputs!$C$13,SUMPRODUCT(($AH31&gt;INDEX('Methodology &amp; Sources'!$B$279:$J$286,0,IF(Inputs!$C$12="MFJ",1,IF(Inputs!$C$12="HoH",7,4))))*($AH31-INDEX('Methodology &amp; Sources'!$B$279:$J$286,0,IF(Inputs!$C$12="MFJ",1,IF(Inputs!$C$12="HoH",7,4))))*INDEX('Methodology &amp; Sources'!$B$279:$J$286,0,IF(Inputs!$C$12="MFJ",1,IF(Inputs!$C$12="HoH",7,4))+2)),SUMPRODUCT(($AH31&gt;INDEX('Methodology &amp; Sources'!$B$269:$J$276,0,IF(Inputs!$C$12="MFJ",1,IF(Inputs!$C$12="HoH",7,4))))*($AH31-INDEX('Methodology &amp; Sources'!$B$269:$J$276,0,IF(Inputs!$C$12="MFJ",1,IF(Inputs!$C$12="HoH",7,4))))*INDEX('Methodology &amp; Sources'!$B$269:$J$276,0,IF(Inputs!$C$12="MFJ",1,IF(Inputs!$C$12="HoH",7,4))+2)))),'Methodology &amp; Sources'!$C$260*$D31),2)))</f>
      </c>
      <c r="Q31" s="7">
        <f>IF($B31="","",ROUND('Methodology &amp; Sources'!$C$254*MIN($N31,MAX(0,'Methodology &amp; Sources'!$C$253-($AX31+$AB30-$AW31))),2))</f>
      </c>
      <c r="R31" s="7">
        <f>IF($B31="","",ROUND('Methodology &amp; Sources'!$C$255*$N31,2))</f>
      </c>
      <c r="S31" s="7">
        <f>IF($B31="","",ROUND('Methodology &amp; Sources'!$C$256*MAX(0,MIN($N31,$AG30+$N31-'Methodology &amp; Sources'!$C$257)),2))</f>
      </c>
      <c r="T31" s="7">
        <f>IF($B31="","",IF(Inputs!$C$26,0,IF($AN31="CA",ROUND(IF($AI31&lt;=IF(($AS31+$AT31)&gt;=2,VLOOKUP($AN31,'StateTables 2026'!$A$6:$AB$56,10,FALSE),VLOOKUP($AN31,'StateTables 2026'!$A$6:$AB$56,9,FALSE)),0,MAX(0,SUMPRODUCT(($AJ31&gt;INDEX('Methodology &amp; Sources'!$B$289:$J$298,0,IF($AU31="Married",4,IF($AU31="Head of household",7,1))))*($AJ31-INDEX('Methodology &amp; Sources'!$B$289:$J$298,0,IF($AU31="Married",4,IF($AU31="Head of household",7,1))))*INDEX('Methodology &amp; Sources'!$B$289:$J$298,0,IF($AU31="Married",4,IF($AU31="Head of household",7,1))+2))-VLOOKUP($AN31,'StateTables 2026'!$A$6:$AB$56,11,FALSE)*$AS31)/Inputs!$C$8)+Inputs!$C$25+VLOOKUP($AN31,'StateTables 2026'!$A$6:$AB$56,13,FALSE)*$D31,2),IF(VLOOKUP($AN31,'StateTables 2026'!$A$6:$AB$56,4,FALSE)="None",0,IF(ISNUMBER(SEARCH("MANUAL",VLOOKUP($AN31,'StateTables 2026'!$A$6:$AB$56,5,FALSE))),Inputs!$C$28,ROUND(MAX(0,$BA31+$BB31)/Inputs!$C$8+Inputs!$C$25+$BC31,2))))))</f>
      </c>
      <c r="U31" s="7">
        <f>IF($B31="","",IF(VLOOKUP($AN31,'StateTables 2026'!$A$6:$AB$56,24,FALSE)="flatq",IF(OR(MONTH($B31)=1,MONTH($B31)=4,MONTH($B31)=7,MONTH($B31)=10),VLOOKUP($AN31,'StateTables 2026'!$A$6:$AB$56,25,FALSE),0),IF(VLOOKUP($AN31,'StateTables 2026'!$A$6:$AB$56,24,FALSE)="dbl",MIN(ROUND(0.005*$N31,2),ROUND(0.6*52/Inputs!$C$8,2)),IF(OR(VLOOKUP($AN31,'StateTables 2026'!$A$6:$AB$56,15,FALSE)="",VLOOKUP($AN31,'StateTables 2026'!$A$6:$AB$56,15,FALSE)=0),0,ROUND(VLOOKUP($AN31,'StateTables 2026'!$A$6:$AB$56,15,FALSE)*IF(OR(VLOOKUP($AN31,'StateTables 2026'!$A$6:$AB$56,16,FALSE)="",VLOOKUP($AN31,'StateTables 2026'!$A$6:$AB$56,16,FALSE)=0),$N31,MIN($N31,MAX(0,VLOOKUP($AN31,'StateTables 2026'!$A$6:$AB$56,16,FALSE)-($AX31+$AB30-$AW31)))),2))))+IF(VLOOKUP($AN31,'StateTables 2026'!$A$6:$AB$56,27,FALSE)="flatq",IF(OR(MONTH($B31)=1,MONTH($B31)=4,MONTH($B31)=7,MONTH($B31)=10),VLOOKUP($AN31,'StateTables 2026'!$A$6:$AB$56,28,FALSE),0),IF(VLOOKUP($AN31,'StateTables 2026'!$A$6:$AB$56,27,FALSE)="dbl",MIN(ROUND(0.005*$N31,2),ROUND(0.6*52/Inputs!$C$8,2)),IF(OR(VLOOKUP($AN31,'StateTables 2026'!$A$6:$AB$56,18,FALSE)="",VLOOKUP($AN31,'StateTables 2026'!$A$6:$AB$56,18,FALSE)=0),0,ROUND(VLOOKUP($AN31,'StateTables 2026'!$A$6:$AB$56,18,FALSE)*IF(OR(VLOOKUP($AN31,'StateTables 2026'!$A$6:$AB$56,19,FALSE)="",VLOOKUP($AN31,'StateTables 2026'!$A$6:$AB$56,19,FALSE)=0),$N31,MIN($N31,MAX(0,VLOOKUP($AN31,'StateTables 2026'!$A$6:$AB$56,19,FALSE)-($AX31+$AB30-$AW31)))),2)))))</f>
      </c>
      <c r="V31" s="7">
        <f>IF($B31="","",IF($AN31="NY",IF(Inputs!$C$78,ROUND(SUMPRODUCT((MAX(0,($O31-$D31)*Inputs!$C$8-(IF($AU31="Married",5500,5000)+1000*$AS31))&gt;INDEX('Methodology &amp; Sources'!$B$434:$J$448,0,4))*(MAX(0,($O31-$D31)*Inputs!$C$8-(IF($AU31="Married",5500,5000)+1000*$AS31))-INDEX('Methodology &amp; Sources'!$B$434:$J$448,0,4))*INDEX('Methodology &amp; Sources'!$B$434:$J$448,0,4+2))/Inputs!$C$8+0.0425*$D31,2),0)+IF(Inputs!$C$79="Resident",ROUND(0.1675*$T31,2),IF(Inputs!$C$79="Nonresident",ROUND(0.005*MAX(0,($O31-$D31)-(IF($AU31="Married",7950,7400)+1000*$AS31)/Inputs!$C$8),2),0)),IF($AN31="PA",IF(Inputs!$C$80="None",Inputs!$C$27+ROUND(Inputs!$C$81*($C31+$D31),2),ROUND(IF(Inputs!$C$80="Resident",IF($B31&lt;DATE(2026,7,1),0.0374,0.03735),IF($B31&lt;DATE(2026,7,1),0.0343,0.03425))*($C31+$D31),2)),IF($BF31=0,ROUND(Inputs!$C$81*($C31+$D31),2),Inputs!$C$27+ROUND(Inputs!$C$81*($C31+$D31),2)))))</f>
      </c>
      <c r="W31" s="7">
        <f>IF($B31="","",IF($BF31=0,0,$BP31))</f>
      </c>
      <c r="X31" s="7">
        <f>IF($B31="","",SUM($E31:$K31)+$P31+$Q31+$R31+$S31+$T31+$U31+$V31+$W31)</f>
      </c>
      <c r="Y31" s="22">
        <f>IF($B31="","",$C31+$D31-$X31)</f>
      </c>
      <c r="Z31" s="7">
        <f>IF($B31="","",$Z30+$C31+$D31)</f>
      </c>
      <c r="AA31" s="7">
        <f>IF($B31="","",$AA30+$Y31)</f>
      </c>
      <c r="AB31" s="7">
        <f>IF($B31="","",$AB30+MIN($N31,MAX(0,'Methodology &amp; Sources'!$C$253-($AX31+$AB30-$AW31))))</f>
      </c>
      <c r="AC31" s="7">
        <f>IF($B31="","",$AC30+$E31+$F31)</f>
      </c>
      <c r="AD31" s="3">
        <f>IF($B31="","",IF(AND($AB30&lt;'Methodology &amp; Sources'!$C$253,$AB31&gt;='Methodology &amp; Sources'!$C$253),"★ Social Security maxed on this check — from the next check your net rises by about $"&amp;TEXT(ROUND('Methodology &amp; Sources'!$C$254*$N31,2),"#,##0.00")&amp;". ","")&amp;IF(AND($AC30&lt;Inputs!$C$91,$AC31&gt;=Inputs!$C$91),"★ 401(k) reaches the $"&amp;TEXT(Inputs!$C$91,"#,##0")&amp;" cap on this check — deferrals stop and net pay rises. ","")&amp;IF(AND($AG30&lt;'Methodology &amp; Sources'!$C$257,$AG31&gt;='Methodology &amp; Sources'!$C$257),"★ Wages pass $200,000 — the 0.9% Additional Medicare Tax starts here. ","")&amp;IF(AND($BJ31&gt;0,$H31&gt;0,$BG30&lt;MIN($BJ31,'Methodology &amp; Sources'!$C$263),$BG30+$H31&gt;=MIN($BJ31,'Methodology &amp; Sources'!$C$263)),"★ Health FSA election is now fully deferred for the year. ",""))</f>
      </c>
      <c r="AE31" s="41" t="n"/>
      <c r="AF31" s="7">
        <f>IF(OR($B31="",$AE31=""),"",$AE31-$Y31)</f>
      </c>
      <c r="AG31" s="7">
        <f>IF($B31="","",$AG30+$N31)</f>
      </c>
      <c r="AH31" s="7">
        <f>IF($B31="","",MAX(0,($M31-$D31)*Inputs!$C$8+$AP31-$AQ31-IF(Inputs!$C$13,0,IF(Inputs!$C$12="MFJ",'Methodology &amp; Sources'!$C$258,'Methodology &amp; Sources'!$C$259))))</f>
      </c>
      <c r="AI31" s="7">
        <f>IF($B31="","",$O31*Inputs!$C$8)</f>
      </c>
      <c r="AJ31" s="7">
        <f>IF($B31="","",MAX(0,$AI31-VLOOKUP($AN31,'StateTables 2026'!$A$6:$AB$56,12,FALSE)*$AT31-IF(($AS31+$AT31)&gt;=2,VLOOKUP($AN31,'StateTables 2026'!$A$6:$AB$56,8,FALSE),VLOOKUP($AN31,'StateTables 2026'!$A$6:$AB$56,7,FALSE))))</f>
      </c>
      <c r="AK31" s="7">
        <f>IF($B31="","",IFERROR(LOOKUP(2,1/((Events!$C$6:$C$17="Salary change")*(Events!$B$6:$B$17&lt;=$B31)*(Events!$B$6:$B$17&lt;&gt;"")),Events!$D$6:$D$17),IF(Inputs!$C$4="Annual salary",Inputs!$C$5,Inputs!$C$6)))</f>
      </c>
      <c r="AL31">
        <f>IF($B31="","",IFERROR(LOOKUP(2,1/((Events!$C$6:$C$17="401(k) change")*(Events!$B$6:$B$17&lt;=$B31)*(Events!$B$6:$B$17&lt;&gt;"")),Events!$D$6:$D$17),Inputs!$C$30))</f>
      </c>
      <c r="AM31" s="7">
        <f>IF($B31="","",IFERROR(LOOKUP(2,1/((Events!$C$6:$C$17="401(k) change")*(Events!$B$6:$B$17&lt;=$B31)*(Events!$B$6:$B$17&lt;&gt;"")),Events!$E$6:$E$17),Inputs!$D$30))</f>
      </c>
      <c r="AN31">
        <f>IF($B31="","",IFERROR(LOOKUP(2,1/((Events!$C$6:$C$17="State move")*(Events!$B$6:$B$17&lt;=$B31)*(Events!$B$6:$B$17&lt;&gt;"")),Events!$D$6:$D$17),Inputs!$C$21))</f>
      </c>
      <c r="AO31" s="7">
        <f>IF($B31="","",IFERROR(LOOKUP(2,1/((Events!$C$6:$C$17="W-4 change")*(Events!$B$6:$B$17&lt;=$B31)*(Events!$B$6:$B$17&lt;&gt;"")),Events!$D$6:$D$17),Inputs!$C$14))</f>
      </c>
      <c r="AP31" s="7">
        <f>IF($B31="","",IFERROR(LOOKUP(2,1/((Events!$C$6:$C$17="W-4 change")*(Events!$B$6:$B$17&lt;=$B31)*(Events!$B$6:$B$17&lt;&gt;"")),Events!$E$6:$E$17),Inputs!$C$15))</f>
      </c>
      <c r="AQ31" s="7">
        <f>IF($B31="","",IFERROR(LOOKUP(2,1/((Events!$C$6:$C$17="W-4 change")*(Events!$B$6:$B$17&lt;=$B31)*(Events!$B$6:$B$17&lt;&gt;"")),Events!$F$6:$F$17),Inputs!$C$16))</f>
      </c>
      <c r="AR31" s="7">
        <f>IF($B31="","",IFERROR(LOOKUP(2,1/((Events!$C$6:$C$17="W-4 change")*(Events!$B$6:$B$17&lt;=$B31)*(Events!$B$6:$B$17&lt;&gt;"")),Events!$G$6:$G$17),Inputs!$C$17))</f>
      </c>
      <c r="AS31" s="6">
        <f>IF($B31="","",IFERROR(LOOKUP(2,1/(((Events!$C$6:$C$17="State move")+(Events!$C$6:$C$17="State cert change"))*(Events!$B$6:$B$17&lt;=$B31)*(Events!$B$6:$B$17&lt;&gt;"")),Events!$F$6:$F$17),Inputs!$C$23))</f>
      </c>
      <c r="AT31" s="6">
        <f>IF($B31="","",IFERROR(LOOKUP(2,1/(((Events!$C$6:$C$17="State move")+(Events!$C$6:$C$17="State cert change"))*(Events!$B$6:$B$17&lt;=$B31)*(Events!$B$6:$B$17&lt;&gt;"")),Events!$G$6:$G$17),Inputs!$C$24))</f>
      </c>
      <c r="AU31">
        <f>IF($B31="","",IFERROR(LOOKUP(2,1/((Events!$C$6:$C$17="State move")*(Events!$B$6:$B$17&lt;=$B31)*(Events!$B$6:$B$17&lt;&gt;"")),Events!$E$6:$E$17),Inputs!$C$22))</f>
      </c>
      <c r="AV31" s="6">
        <f>IF($B31="","",1+COUNTIFS(Events!$C$6:$C$17,"Employer change",Events!$B$6:$B$17,"&lt;="&amp;$B31,Events!$B$6:$B$17,"&lt;&gt;"))</f>
      </c>
      <c r="AW31" s="7">
        <f>IF($B31="","",IF($AV31=1,Inputs!$C$49,IF(IFERROR(MATCH(IFERROR(LOOKUP(2,1/((Events!$C$6:$C$17="Employer change")*(Events!$B$6:$B$17&lt;=$B31)*(Events!$B$6:$B$17&lt;&gt;"")),Events!$B$6:$B$17),""),$B$6:$B$68,1),1)&lt;=1,Inputs!$C$49,INDEX($AB$6:$AB$68,MATCH(IFERROR(LOOKUP(2,1/((Events!$C$6:$C$17="Employer change")*(Events!$B$6:$B$17&lt;=$B31)*(Events!$B$6:$B$17&lt;&gt;"")),Events!$B$6:$B$17),""),$B$6:$B$68,1)-1))))</f>
      </c>
      <c r="AX31" s="7">
        <f>IF($B31="","",IF($AV31=1,Inputs!$C$49,IFERROR(LOOKUP(2,1/((Events!$C$6:$C$17="Employer change")*(Events!$B$6:$B$17&lt;=$B31)*(Events!$B$6:$B$17&lt;&gt;"")),Events!$D$6:$D$17),0)))</f>
      </c>
      <c r="AY31" s="7">
        <f>IF($B31="","",($O31-$D31)*Inputs!$C$8)</f>
      </c>
      <c r="AZ31" s="7">
        <f>IF($B31="","",IF($AN31="AL",MAX(0,$AY31-IF($AU31="Married",IF($AY31&lt;=25999,8500,MAX(5000,8500-175*CEILING(($AY31-25999)/500,1))),IF($AU31="Head of household",IF($AY31&lt;=25999,5200,MAX(2500,5200-135*CEILING(($AY31-25999)/500,1))),IF($AY31&lt;=25999,3000,MAX(2500,3000-25*CEILING(($AY31-25999)/500,1)))))-($P31-'Methodology &amp; Sources'!$C$260*$D31)*Inputs!$C$8-IF(OR($AU31="Married",$AU31="Head of household"),3000,1500)-$AT31*IF($AY31&lt;=50000,1000,IF($AY31&lt;=100000,500,300))),IF($AN31="AR",IF(MAX(0,$AY31-2470)&lt;97701,INT(MAX(0,$AY31-2470)/100)*100+50,MAX(0,$AY31-2470)),IF($AN31="DE",MAX(0,$AI31-3250),IF($AN31="HI",MAX(0,$AI31-1144*$AS31-4350),IF($AN31="KS",MAX(0,$AI31-(9160*IF($AU31="Married",2,1)+2320*$AT31+IF($AU31="Head of household",2320,0))),IF($AN31="MD",MAX(0,$AI31-3400-3200*$AS31),IF($AN31="MN",MAX(0,$AY31-5300*$AS31),IF($AN31="MO",MAX(0,$AI31-IF($AU31="Head of household",24150,IF($AU31="Married",IF(Inputs!$C$83,16100,32200),16100))),IF($AN31="MT",$AY31,IF($AN31="ND",($C31+$L31)*Inputs!$C$8,IF($AN31="NE",MAX(0,$AY31-2440*$AS31),IF($AN31="NJ",MAX(0,$AY31-1000*$AS31),IF($AN31="NY",MAX(0,$AY31-(IF($AU31="Married",7950,7400)+1000*$AS31)),IF($AN31="OH",MAX(0,$AY31-650*$AS31),IF($AN31="OK",MAX(0,$AY31-1000*$AS31),IF($AN31="RI",MAX(0,$AI31-1000*$AS31),IF($AN31="SC",MAX(0,$AI31-5000*$AS31-IF($AS31=0,0,MIN(0.1*$AI31,7500))),IF($AN31="VA",MAX(0,$AI31-IF($AU31="Married",17500,8750)-930*$AS31-800*$AT31),IF($AN31="VT",MAX(0,$AI31-5400*$AS31),IF($AN31="WI",MAX(0,$AI31-MAX(0,IF($AU31="Married",9461-0.2*MAX(0,$AI31-25727),6702-0.12*MAX(0,$AI31-17780)))-400*$AS31),IF($AN31="WV",MAX(0,$AI31-2000*$AS31),$AI31))))))))))))))))))))))</f>
      </c>
      <c r="BA31" s="7">
        <f>IF($B31="","",IF($BW31&lt;&gt;"",$BW31,IF($BX31&lt;&gt;"",$BX31,IF($BY31&lt;&gt;"",$BY31,0))))</f>
      </c>
      <c r="BB31" s="7">
        <f>IF($B31="","",IF($AN31="AR",-29*$AS31,IF($AN31="DE",-110*$AS31,IF($AN31="MD",$AZ31*Inputs!$C$74,IF($AN31="AZ",Inputs!$C$82*($M31-$D31)*Inputs!$C$8,IF($AN31="CO",0.044*MAX(0,$AY31-IF($AU31="Married",10000,5000)),IF($AN31="IA",MAX(0,0.038*MAX(0,$AY31-IF($AU31="Head of household",19500,IF($AU31="Married",26000,13000)))-40*$AS31),IF($AN31="ID",0.053*MAX(0,$AY31-IF($AU31="Married",32000,16094)),IF($AN31="IL",0.0495*MAX(0,$AY31-(2925*$AS31+1000*$AT31)),IF($AN31="IN",(0.0295+Inputs!$C$76)*MAX(0,$AY31-(1000*$AS31+1500*$AT31+3000*Inputs!$C$86)),IF($AN31="KY",0.035*MAX(0,$AI31-3360),IF($AN31="LA",IF(Inputs!$C$84="0",0.0309*$AI31,0.0309*MAX(0,$AI31-IF(Inputs!$C$84="2",25750,12875))),IF($AN31="MA",0.05*MIN(MAX(0,$AY31-MIN(($BD30+$Q31+$R31+$S31),2000)-IF($AS31=0,0,IF($AS31=1,4400,1000*$AS31+3400))),1107750)+0.09*MAX(0,MAX(0,$AY31-MIN(($BD30+$Q31+$R31+$S31),2000)-IF($AS31=0,0,IF($AS31=1,4400,1000*$AS31+3400)))-1107750)-IF($AU31="Head of household",120,0)-110*Inputs!$C$75,IF($AN31="MI",0.0425*MAX(0,$AY31-5900*$AS31),IF($AN31="MS",0.04*MAX(0,$AI31-IF($AU31="Head of household",3400,IF($AU31="Married",4600,2300))-Inputs!$C$85-10000),IF($AN31="OR",IF(OR($AU31="Married",AND($AU31="Single",$AS31&gt;=3)),SUMPRODUCT((MAX(0,$AY31-MIN(($P31-'Methodology &amp; Sources'!$C$260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Sources'!$B$461:$J$464,0,4))*(MAX(0,$AY31-MIN(($P31-'Methodology &amp; Sources'!$C$260*$D31)*Inputs!$C$8,IF(OR($AU31="Married",AND($AU31="Single",$AS31&gt;=3)),IF($AY31&lt;250000,8750,IF($AY31&lt;260000,7000,IF($AY31&lt;270000,5250,IF($AY31&lt;280000,3500,IF($AY31&lt;290000,1750,0))))),IF($AY31&lt;125000,8750,IF($AY31&lt;130000,7000,IF($AY31&lt;135000,5250,IF($AY31&lt;140000,3500,IF($AY31&lt;145000,1750,0)))))))-IF(OR($AU31="Married",AND($AU31="Single",$AS31&gt;=3)),5820,2910))-INDEX('Methodology &amp; Sources'!$B$461:$J$464,0,4))*INDEX('Methodology &amp; Sources'!$B$461:$J$464,0,4+2)),SUMPRODUCT((MAX(0,$AY31-MIN(($P31-'Methodology &amp; Sources'!$C$260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Sources'!$B$461:$J$464,0,1))*(MAX(0,$AY31-MIN(($P31-'Methodology &amp; Sources'!$C$260*$D31)*Inputs!$C$8,IF(OR($AU31="Married",AND($AU31="Single",$AS31&gt;=3)),IF($AY31&lt;250000,8750,IF($AY31&lt;260000,7000,IF($AY31&lt;270000,5250,IF($AY31&lt;280000,3500,IF($AY31&lt;290000,1750,0))))),IF($AY31&lt;125000,8750,IF($AY31&lt;130000,7000,IF($AY31&lt;135000,5250,IF($AY31&lt;140000,3500,IF($AY31&lt;145000,1750,0)))))))-IF(OR($AU31="Married",AND($AU31="Single",$AS31&gt;=3)),5820,2910))-INDEX('Methodology &amp; Sources'!$B$461:$J$464,0,1))*INDEX('Methodology &amp; Sources'!$B$461:$J$464,0,1+2)))+263-263*IF(IF($AU31="Married",$AY31&gt;200000,$AY31&gt;100000),0,$AS31),IF($AN31="PA",0.0307*(($O31+$E31+$G31)*Inputs!$C$8),IF($AN31="NY",IF($AU31="Married",IF($AZ31&gt;=2155350,0,IF($AZ31&gt;=1077550,0.48,IF($AZ31&gt;=373200,1.21,IF($AZ31&gt;=323200,0.21,IF($AZ31&gt;=211550,-0.19,IF($AZ31&gt;=157650,-2.8,IF($AZ31&gt;=107650,-0.8,IF($AZ31&gt;=96800,0.05,IF($AZ31&gt;=80650,-0.1,IF($AZ31&gt;=13900,0.4,IF($AZ31&gt;=11700,-0.3,IF($AZ31&gt;=8500,0.5,0)))))))))))),IF($AZ31&gt;=1077550,0,IF($AZ31&gt;=265400,4.29,IF($AZ31&gt;=215400,2.29,IF($AZ31&gt;=157650,2.29,IF($AZ31&gt;=107650,0.29,IF($AZ31&gt;=96800,0.05,IF($AZ31&gt;=80650,-0.1,IF($AZ31&gt;=13900,0.4,IF($AZ31&gt;=11700,-0.3,IF($AZ31&gt;=8500,0.5,0))))))))))),0))))))))))))))))))</f>
      </c>
      <c r="BC31" s="7">
        <f>IF($B31="","",IF($AN31="AL",0.05*$D31,IF($AN31="AR",0.039*$D31,IF($AN31="ID",0.053*$D31,IF($AN31="IN",(0.0295+Inputs!$C$76)*$D31,IF($AN31="KS",0.05*$D31,IF($AN31="MA",0.09*MIN($D31,MAX(0,MAX(0,$AY31-MIN(($BD30+$Q31+$R31+$S31),2000)-IF($AS31=0,0,IF($AS31=1,4400,1000*$AS31+3400)))+$D31-1107750))+0.05*($D31-MIN($D31,MAX(0,MAX(0,$AY31-MIN(($BD30+$Q31+$R31+$S31),2000)-IF($AS31=0,0,IF($AS31=1,4400,1000*$AS31+3400)))+$D31-1107750))),IF($AN31="MD",(0.065+Inputs!$C$74)*$D31,IF($AN31="MI",0.0425*$D31,IF($AN31="MN",0.0625*$D31,IF($AN31="MO",0.047*$D31,IF($AN31="MT",0.05*$D31,IF($AN31="ND",0.015*$D31,IF($AN31="NE",0.035*$D31,IF($AN31="NJ",IF(Inputs!$C$77="B",SUMPRODUCT(($D31*Inputs!$C$8&gt;INDEX('Methodology &amp; Sources'!$B$405:$J$412,0,4))*($D31*Inputs!$C$8-INDEX('Methodology &amp; Sources'!$B$405:$J$412,0,4))*INDEX('Methodology &amp; Sources'!$B$405:$J$412,0,4+2)),IF(Inputs!$C$77="C",SUMPRODUCT(($D31*Inputs!$C$8&gt;INDEX('Methodology &amp; Sources'!$B$405:$J$412,0,7))*($D31*Inputs!$C$8-INDEX('Methodology &amp; Sources'!$B$405:$J$412,0,7))*INDEX('Methodology &amp; Sources'!$B$405:$J$412,0,7+2)),IF(Inputs!$C$77="D",SUMPRODUCT(($D31*Inputs!$C$8&gt;INDEX('Methodology &amp; Sources'!$B$417:$J$429,0,1))*($D31*Inputs!$C$8-INDEX('Methodology &amp; Sources'!$B$417:$J$429,0,1))*INDEX('Methodology &amp; Sources'!$B$417:$J$429,0,1+2)),IF(Inputs!$C$77="E",SUMPRODUCT(($D31*Inputs!$C$8&gt;INDEX('Methodology &amp; Sources'!$B$417:$J$429,0,4))*($D31*Inputs!$C$8-INDEX('Methodology &amp; Sources'!$B$417:$J$429,0,4))*INDEX('Methodology &amp; Sources'!$B$417:$J$429,0,4+2)),SUMPRODUCT(($D31*Inputs!$C$8&gt;INDEX('Methodology &amp; Sources'!$B$405:$J$412,0,1))*($D31*Inputs!$C$8-INDEX('Methodology &amp; Sources'!$B$405:$J$412,0,1))*INDEX('Methodology &amp; Sources'!$B$405:$J$412,0,1+2))))))/Inputs!$C$8,IF($AN31="NY",0.117*$D31,IF($AN31="OH",0.0275*$D31,IF($AN31="OK",0.045*$D31,IF($AN31="OR",0.08*$D31,IF($AN31="WI",IF($AY31&lt;12760,0.0354,IF($AY31&lt;25520,0.0465,IF($AY31&lt;280950,0.053,0.0765)))*$D31,0))))))))))))))))))))</f>
      </c>
      <c r="BD31" s="7">
        <f>IF($B31="","",$BD30+$Q31+$R31+$S31)</f>
      </c>
      <c r="BE31" s="6">
        <f>IF($B31="",$BE30,$BE30+$BF31)</f>
      </c>
      <c r="BF31" s="6">
        <f>IF($B31="","",IF(AND(IF(YEAR(IF(Inputs!$C$7="Weekly",Inputs!$C$9+7*(($BE30+1)-1),IF(Inputs!$C$7="Biweekly",Inputs!$C$9+14*(($BE30+1)-1),IF(Inputs!$C$7="Semimonthly",DATE(YEAR(Inputs!$C$9),MONTH(Inputs!$C$9)+INT((($BE30+1)-1)/2),MIN(DAY(Inputs!$C$9),DAY(EOMONTH(DATE(YEAR(Inputs!$C$9),MONTH(Inputs!$C$9)+INT((($BE30+1)-1)/2),1),0))))+IF(MOD(($BE30+1)-1,2)=1,15,0),EDATE(Inputs!$C$9,($BE30+1)-1)))))&lt;&gt;2026,"",IF(Inputs!$C$7="Weekly",Inputs!$C$9+7*(($BE30+1)-1),IF(Inputs!$C$7="Biweekly",Inputs!$C$9+14*(($BE30+1)-1),IF(Inputs!$C$7="Semimonthly",DATE(YEAR(Inputs!$C$9),MONTH(Inputs!$C$9)+INT((($BE30+1)-1)/2),MIN(DAY(Inputs!$C$9),DAY(EOMONTH(DATE(YEAR(Inputs!$C$9),MONTH(Inputs!$C$9)+INT((($BE30+1)-1)/2),1),0))))+IF(MOD(($BE30+1)-1,2)=1,15,0),EDATE(Inputs!$C$9,($BE30+1)-1)))))&lt;&gt;"",$B31=IF(YEAR(IF(Inputs!$C$7="Weekly",Inputs!$C$9+7*(($BE30+1)-1),IF(Inputs!$C$7="Biweekly",Inputs!$C$9+14*(($BE30+1)-1),IF(Inputs!$C$7="Semimonthly",DATE(YEAR(Inputs!$C$9),MONTH(Inputs!$C$9)+INT((($BE30+1)-1)/2),MIN(DAY(Inputs!$C$9),DAY(EOMONTH(DATE(YEAR(Inputs!$C$9),MONTH(Inputs!$C$9)+INT((($BE30+1)-1)/2),1),0))))+IF(MOD(($BE30+1)-1,2)=1,15,0),EDATE(Inputs!$C$9,($BE30+1)-1)))))&lt;&gt;2026,"",IF(Inputs!$C$7="Weekly",Inputs!$C$9+7*(($BE30+1)-1),IF(Inputs!$C$7="Biweekly",Inputs!$C$9+14*(($BE30+1)-1),IF(Inputs!$C$7="Semimonthly",DATE(YEAR(Inputs!$C$9),MONTH(Inputs!$C$9)+INT((($BE30+1)-1)/2),MIN(DAY(Inputs!$C$9),DAY(EOMONTH(DATE(YEAR(Inputs!$C$9),MONTH(Inputs!$C$9)+INT((($BE30+1)-1)/2),1),0))))+IF(MOD(($BE30+1)-1,2)=1,15,0),EDATE(Inputs!$C$9,($BE30+1)-1)))))),1,0))</f>
      </c>
      <c r="BG31" s="7">
        <f>IF($B31="","",$BG30+$H31)</f>
      </c>
      <c r="BH31" s="7">
        <f>IF($B31="","",$BH30+$I31)</f>
      </c>
      <c r="BI31" s="7">
        <f>IF($B31="","",$BI30+$G31)</f>
      </c>
      <c r="BJ31" s="7">
        <f>IF($B31="","",IFERROR(LOOKUP(2,1/((((Events!$C$6:$C$17="Deduction start"))*(Events!$D$6:$D$17="Health FSA"))*(Events!$B$6:$B$17&lt;=$B31)*(Events!$B$6:$B$17&lt;&gt;"")),Events!$E$6:$E$17),Inputs!$D$38))</f>
      </c>
      <c r="BK31" s="7">
        <f>IF($B31="","",IFERROR(LOOKUP(2,1/((((Events!$C$6:$C$17="Deduction start"))*(Events!$D$6:$D$17="Dependent-care FSA"))*(Events!$B$6:$B$17&lt;=$B31)*(Events!$B$6:$B$17&lt;&gt;"")),Events!$E$6:$E$17),Inputs!$D$39))</f>
      </c>
      <c r="BL31" s="7">
        <f>IF($B31="","",IFERROR(LOOKUP(2,1/((((Events!$C$6:$C$17="Deduction start")+(Events!$C$6:$C$17="Deduction stop"))*(Events!$D$6:$D$17="HSA"))*(Events!$B$6:$B$17&lt;=$B31)*(Events!$B$6:$B$17&lt;&gt;"")),Events!$I$6:$I$17),Inputs!$D$35))</f>
      </c>
      <c r="BM31" s="7">
        <f>IF($B31="","",IFERROR(LOOKUP(2,1/((((Events!$C$6:$C$17="Deduction start")+(Events!$C$6:$C$17="Deduction stop"))*(Events!$D$6:$D$17="Premiums"))*(Events!$B$6:$B$17&lt;=$B31)*(Events!$B$6:$B$17&lt;&gt;"")),Events!$I$6:$I$17),Inputs!$D$40+Inputs!$D$41+Inputs!$D$42))</f>
      </c>
      <c r="BN31" s="7">
        <f>IF($B31="","",IFERROR(LOOKUP(2,1/((((Events!$C$6:$C$17="Deduction start")+(Events!$C$6:$C$17="Deduction stop"))*(Events!$D$6:$D$17="Commuter"))*(Events!$B$6:$B$17&lt;=$B31)*(Events!$B$6:$B$17&lt;&gt;"")),Events!$I$6:$I$17),Inputs!$D$43))</f>
      </c>
      <c r="BO31" s="7">
        <f>IF($B31="","",IFERROR(LOOKUP(2,1/((((Events!$C$6:$C$17="Deduction start")+(Events!$C$6:$C$17="Deduction stop"))*(Events!$D$6:$D$17="Other pre-tax"))*(Events!$B$6:$B$17&lt;=$B31)*(Events!$B$6:$B$17&lt;&gt;"")),Events!$I$6:$I$17),Inputs!$D$44))</f>
      </c>
      <c r="BP31" s="7">
        <f>IF($B31="","",IFERROR(LOOKUP(2,1/((((Events!$C$6:$C$17="Deduction start")+(Events!$C$6:$C$17="Deduction stop"))*(Events!$D$6:$D$17="Other post-tax"))*(Events!$B$6:$B$17&lt;=$B31)*(Events!$B$6:$B$17&lt;&gt;"")),Events!$I$6:$I$17),Inputs!$D$45))</f>
      </c>
      <c r="BQ31" s="6">
        <f>IF($B31="","",IFERROR(LOOKUP(2,1/((((Events!$C$6:$C$17="Deduction start")+(Events!$C$6:$C$17="Deduction stop"))*(Events!$D$6:$D$17="Health FSA"))*(Events!$B$6:$B$17&lt;=$B31)*(Events!$B$6:$B$17&lt;&gt;"")),Events!$J$6:$J$17),0))</f>
      </c>
      <c r="BR31" s="6">
        <f>IF($B31="","",IFERROR(LOOKUP(2,1/((((Events!$C$6:$C$17="Deduction start")+(Events!$C$6:$C$17="Deduction stop"))*(Events!$D$6:$D$17="Dependent-care FSA"))*(Events!$B$6:$B$17&lt;=$B31)*(Events!$B$6:$B$17&lt;&gt;"")),Events!$J$6:$J$17),0))</f>
      </c>
      <c r="BS31" s="6">
        <f>IF($B31="","",IF(SUMPRODUCT((Events!$C$6:$C$17="Deduction start")*(Events!$B$6:$B$17&lt;=$B31)*(Events!$B$6:$B$17&lt;&gt;"")*(Events!$D$6:$D$17="Health FSA"))&gt;0,1,0))</f>
      </c>
      <c r="BT31" s="6">
        <f>IF($B31="","",IF(SUMPRODUCT((Events!$C$6:$C$17="Deduction start")*(Events!$B$6:$B$17&lt;=$B31)*(Events!$B$6:$B$17&lt;&gt;"")*(Events!$D$6:$D$17="Dependent-care FSA"))&gt;0,1,0))</f>
      </c>
      <c r="BU31" s="24">
        <f>IF($B31="","",IF(Inputs!$C$13,SUMPRODUCT(($AH31&gt;=INDEX('Methodology &amp; Sources'!$B$279:$J$286,0,IF(Inputs!$C$12="MFJ",1,IF(Inputs!$C$12="HoH",7,4))))*INDEX('Methodology &amp; Sources'!$B$279:$J$286,0,IF(Inputs!$C$12="MFJ",1,IF(Inputs!$C$12="HoH",7,4))+2)),SUMPRODUCT(($AH31&gt;=INDEX('Methodology &amp; Sources'!$B$269:$J$276,0,IF(Inputs!$C$12="MFJ",1,IF(Inputs!$C$12="HoH",7,4))))*INDEX('Methodology &amp; Sources'!$B$269:$J$276,0,IF(Inputs!$C$12="MFJ",1,IF(Inputs!$C$12="HoH",7,4))+2))))</f>
      </c>
      <c r="BV31" s="24">
        <f>IF($B31="","",IF($BZ31&lt;&gt;"",$BZ31,IF($CA31&lt;&gt;"",$CA31,IF($CB31&lt;&gt;"",$CB31,IF($CC31&lt;&gt;"",$CC31,0)))))</f>
      </c>
      <c r="BW31" s="7">
        <f>IF($B31="","",IF($AN31="MD",IF(OR($AU31="Married",$AU31="Head of household"),SUMPRODUCT(($AZ31&gt;INDEX('Methodology &amp; Sources'!$B$364:$J$370,0,1))*($AZ31-INDEX('Methodology &amp; Sources'!$B$364:$J$370,0,1))*INDEX('Methodology &amp; Sources'!$B$364:$J$370,0,1+2)),SUMPRODUCT(($AZ31&gt;INDEX('Methodology &amp; Sources'!$B$353:$J$359,0,7))*($AZ31-INDEX('Methodology &amp; Sources'!$B$353:$J$359,0,7))*INDEX('Methodology &amp; Sources'!$B$353:$J$359,0,7+2))),IF($AN31="MO",SUMPRODUCT(($AZ31&gt;INDEX('Methodology &amp; Sources'!$B$375:$J$382,0,1))*($AZ31-INDEX('Methodology &amp; Sources'!$B$375:$J$382,0,1))*INDEX('Methodology &amp; Sources'!$B$375:$J$382,0,1+2)),IF($AN31="MT",IF($AU31="Head of household",SUMPRODUCT(($AZ31&gt;INDEX('Methodology &amp; Sources'!$B$387:$J$389,0,1))*($AZ31-INDEX('Methodology &amp; Sources'!$B$387:$J$389,0,1))*INDEX('Methodology &amp; Sources'!$B$387:$J$389,0,1+2)),IF($AU31="Married",SUMPRODUCT(($AZ31&gt;INDEX('Methodology &amp; Sources'!$B$375:$J$382,0,7))*($AZ31-INDEX('Methodology &amp; Sources'!$B$375:$J$382,0,7))*INDEX('Methodology &amp; Sources'!$B$375:$J$382,0,7+2)),SUMPRODUCT(($AZ31&gt;INDEX('Methodology &amp; Sources'!$B$375:$J$382,0,4))*($AZ31-INDEX('Methodology &amp; Sources'!$B$375:$J$382,0,4))*INDEX('Methodology &amp; Sources'!$B$375:$J$382,0,4+2)))),IF($AN31="ND",IF($AU31="Head of household",SUMPRODUCT(($AZ31&gt;INDEX('Methodology &amp; Sources'!$B$394:$J$400,0,1))*($AZ31-INDEX('Methodology &amp; Sources'!$B$394:$J$400,0,1))*INDEX('Methodology &amp; Sources'!$B$394:$J$400,0,1+2)),IF($AU31="Married",SUMPRODUCT(($AZ31&gt;INDEX('Methodology &amp; Sources'!$B$387:$J$389,0,7))*($AZ31-INDEX('Methodology &amp; Sources'!$B$387:$J$389,0,7))*INDEX('Methodology &amp; Sources'!$B$387:$J$389,0,7+2)),SUMPRODUCT(($AZ31&gt;INDEX('Methodology &amp; Sources'!$B$387:$J$389,0,4))*($AZ31-INDEX('Methodology &amp; Sources'!$B$387:$J$389,0,4))*INDEX('Methodology &amp; Sources'!$B$387:$J$389,0,4+2)))),IF($AN31="NJ",IF(Inputs!$C$77="B",SUMPRODUCT(($AZ31&gt;INDEX('Methodology &amp; Sources'!$B$405:$J$412,0,4))*($AZ31-INDEX('Methodology &amp; Sources'!$B$405:$J$412,0,4))*INDEX('Methodology &amp; Sources'!$B$405:$J$412,0,4+2)),IF(Inputs!$C$77="C",SUMPRODUCT(($AZ31&gt;INDEX('Methodology &amp; Sources'!$B$405:$J$412,0,7))*($AZ31-INDEX('Methodology &amp; Sources'!$B$405:$J$412,0,7))*INDEX('Methodology &amp; Sources'!$B$405:$J$412,0,7+2)),IF(Inputs!$C$77="D",SUMPRODUCT(($AZ31&gt;INDEX('Methodology &amp; Sources'!$B$417:$J$429,0,1))*($AZ31-INDEX('Methodology &amp; Sources'!$B$417:$J$429,0,1))*INDEX('Methodology &amp; Sources'!$B$417:$J$429,0,1+2)),IF(Inputs!$C$77="E",SUMPRODUCT(($AZ31&gt;INDEX('Methodology &amp; Sources'!$B$417:$J$429,0,4))*($AZ31-INDEX('Methodology &amp; Sources'!$B$417:$J$429,0,4))*INDEX('Methodology &amp; Sources'!$B$417:$J$429,0,4+2)),SUMPRODUCT(($AZ31&gt;INDEX('Methodology &amp; Sources'!$B$405:$J$412,0,1))*($AZ31-INDEX('Methodology &amp; Sources'!$B$405:$J$412,0,1))*INDEX('Methodology &amp; Sources'!$B$405:$J$412,0,1+2)))))),IF($AN31="NY",IF($AU31="Married",IF($AZ31&gt;=2155350,$AZ31*IF($AZ31&gt;25000000,0.117,IF($AZ31&gt;5000000,0.111,0.1045)),SUMPRODUCT(($AZ31&gt;INDEX('Methodology &amp; Sources'!$B$434:$J$448,0,1))*($AZ31-INDEX('Methodology &amp; Sources'!$B$434:$J$448,0,1))*INDEX('Methodology &amp; Sources'!$B$434:$J$448,0,1+2))),IF($AZ31&gt;=1077550,$AZ31*IF($AZ31&gt;25000000,0.117,IF($AZ31&gt;5000000,0.111,0.1045)),SUMPRODUCT(($AZ31&gt;INDEX('Methodology &amp; Sources'!$B$417:$J$429,0,7))*($AZ31-INDEX('Methodology &amp; Sources'!$B$417:$J$429,0,7))*INDEX('Methodology &amp; Sources'!$B$417:$J$429,0,7+2)))),"")))))))</f>
      </c>
      <c r="BX31" s="7">
        <f>IF($B31="","",IF($AN31="AL",IF(OR($AU31="Married",$AU31="Head of household"),SUMPRODUCT(($AZ31&gt;INDEX('Methodology &amp; Sources'!$B$332:$J$336,0,4))*($AZ31-INDEX('Methodology &amp; Sources'!$B$332:$J$336,0,4))*INDEX('Methodology &amp; Sources'!$B$332:$J$336,0,4+2)),SUMPRODUCT(($AZ31&gt;INDEX('Methodology &amp; Sources'!$B$332:$J$336,0,1))*($AZ31-INDEX('Methodology &amp; Sources'!$B$332:$J$336,0,1))*INDEX('Methodology &amp; Sources'!$B$332:$J$336,0,1+2))),IF($AN31="KS",IF($AU31="Married",SUMPRODUCT(($AZ31&gt;INDEX('Methodology &amp; Sources'!$B$353:$J$359,0,4))*($AZ31-INDEX('Methodology &amp; Sources'!$B$353:$J$359,0,4))*INDEX('Methodology &amp; Sources'!$B$353:$J$359,0,4+2)),SUMPRODUCT(($AZ31&gt;INDEX('Methodology &amp; Sources'!$B$353:$J$359,0,1))*($AZ31-INDEX('Methodology &amp; Sources'!$B$353:$J$359,0,1))*INDEX('Methodology &amp; Sources'!$B$353:$J$359,0,1+2))),IF($AN31="MN",IF($AU31="Married",SUMPRODUCT(($AZ31&gt;INDEX('Methodology &amp; Sources'!$B$364:$J$370,0,7))*($AZ31-INDEX('Methodology &amp; Sources'!$B$364:$J$370,0,7))*INDEX('Methodology &amp; Sources'!$B$364:$J$370,0,7+2)),SUMPRODUCT(($AZ31&gt;INDEX('Methodology &amp; Sources'!$B$364:$J$370,0,4))*($AZ31-INDEX('Methodology &amp; Sources'!$B$364:$J$370,0,4))*INDEX('Methodology &amp; Sources'!$B$364:$J$370,0,4+2))),IF($AN31="NE",MAX(IF($AU31="Married",SUMPRODUCT(($AZ31&gt;INDEX('Methodology &amp; Sources'!$B$394:$J$400,0,7))*($AZ31-INDEX('Methodology &amp; Sources'!$B$394:$J$400,0,7))*INDEX('Methodology &amp; Sources'!$B$394:$J$400,0,7+2)),SUMPRODUCT(($AZ31&gt;INDEX('Methodology &amp; Sources'!$B$394:$J$400,0,4))*($AZ31-INDEX('Methodology &amp; Sources'!$B$394:$J$400,0,4))*INDEX('Methodology &amp; Sources'!$B$394:$J$400,0,4+2))),0.015*$AZ31),IF($AN31="OH",IF($B31&gt;=DATE(2026,8,1),SUMPRODUCT(($AZ31&gt;INDEX('Methodology &amp; Sources'!$B$453:$J$456,0,1))*($AZ31-INDEX('Methodology &amp; Sources'!$B$453:$J$456,0,1))*INDEX('Methodology &amp; Sources'!$B$453:$J$456,0,1+2)),SUMPRODUCT(($AZ31&gt;INDEX('Methodology &amp; Sources'!$B$434:$J$448,0,7))*($AZ31-INDEX('Methodology &amp; Sources'!$B$434:$J$448,0,7))*INDEX('Methodology &amp; Sources'!$B$434:$J$448,0,7+2))),IF($AN31="OK",IF($AU31="Married",SUMPRODUCT(($AZ31&gt;INDEX('Methodology &amp; Sources'!$B$453:$J$456,0,7))*($AZ31-INDEX('Methodology &amp; Sources'!$B$453:$J$456,0,7))*INDEX('Methodology &amp; Sources'!$B$453:$J$456,0,7+2)),SUMPRODUCT(($AZ31&gt;INDEX('Methodology &amp; Sources'!$B$453:$J$456,0,4))*($AZ31-INDEX('Methodology &amp; Sources'!$B$453:$J$456,0,4))*INDEX('Methodology &amp; Sources'!$B$453:$J$456,0,4+2))),IF($AN31="RI",SUMPRODUCT(($AZ31&gt;INDEX('Methodology &amp; Sources'!$B$461:$J$464,0,7))*($AZ31-INDEX('Methodology &amp; Sources'!$B$461:$J$464,0,7))*INDEX('Methodology &amp; Sources'!$B$461:$J$464,0,7+2)),IF($AN31="VT",IF($AU31="Married",SUMPRODUCT(($AZ31&gt;INDEX('Methodology &amp; Sources'!$B$478:$J$482,0,1))*($AZ31-INDEX('Methodology &amp; Sources'!$B$478:$J$482,0,1))*INDEX('Methodology &amp; Sources'!$B$478:$J$482,0,1+2)),SUMPRODUCT(($AZ31&gt;INDEX('Methodology &amp; Sources'!$B$469:$J$473,0,7))*($AZ31-INDEX('Methodology &amp; Sources'!$B$469:$J$473,0,7))*INDEX('Methodology &amp; Sources'!$B$469:$J$473,0,7+2))),IF($AN31="WV",IF($AU31="Married",SUMPRODUCT(($AZ31&gt;INDEX('Methodology &amp; Sources'!$B$487:$J$491,0,7))*($AZ31-INDEX('Methodology &amp; Sources'!$B$487:$J$491,0,7))*INDEX('Methodology &amp; Sources'!$B$487:$J$491,0,7+2)),SUMPRODUCT(($AZ31&gt;INDEX('Methodology &amp; Sources'!$B$478:$J$482,0,7))*($AZ31-INDEX('Methodology &amp; Sources'!$B$478:$J$482,0,7))*INDEX('Methodology &amp; Sources'!$B$478:$J$482,0,7+2))),""))))))))))</f>
      </c>
      <c r="BY31" s="7">
        <f>IF($B31="","",IF($AN31="AR",SUMPRODUCT(($AZ31&gt;INDEX('Methodology &amp; Sources'!$B$332:$J$336,0,7))*($AZ31-INDEX('Methodology &amp; Sources'!$B$332:$J$336,0,7))*INDEX('Methodology &amp; Sources'!$B$332:$J$336,0,7+2)),IF($AN31="DE",SUMPRODUCT(($AZ31&gt;INDEX('Methodology &amp; Sources'!$B$341:$J$348,0,1))*($AZ31-INDEX('Methodology &amp; Sources'!$B$341:$J$348,0,1))*INDEX('Methodology &amp; Sources'!$B$341:$J$348,0,1+2)),IF($AN31="HI",IF($AU31="Married",SUMPRODUCT(($AZ31&gt;INDEX('Methodology &amp; Sources'!$B$341:$J$348,0,7))*($AZ31-INDEX('Methodology &amp; Sources'!$B$341:$J$348,0,7))*INDEX('Methodology &amp; Sources'!$B$341:$J$348,0,7+2)),SUMPRODUCT(($AZ31&gt;INDEX('Methodology &amp; Sources'!$B$341:$J$348,0,4))*($AZ31-INDEX('Methodology &amp; Sources'!$B$341:$J$348,0,4))*INDEX('Methodology &amp; Sources'!$B$341:$J$348,0,4+2))),IF($AN31="SC",SUMPRODUCT(($AZ31&gt;INDEX('Methodology &amp; Sources'!$B$469:$J$473,0,1))*($AZ31-INDEX('Methodology &amp; Sources'!$B$469:$J$473,0,1))*INDEX('Methodology &amp; Sources'!$B$469:$J$473,0,1+2)),IF($AN31="VA",SUMPRODUCT(($AZ31&gt;INDEX('Methodology &amp; Sources'!$B$469:$J$473,0,4))*($AZ31-INDEX('Methodology &amp; Sources'!$B$469:$J$473,0,4))*INDEX('Methodology &amp; Sources'!$B$469:$J$473,0,4+2)),IF($AN31="WI",SUMPRODUCT(($AZ31&gt;INDEX('Methodology &amp; Sources'!$B$478:$J$482,0,4))*($AZ31-INDEX('Methodology &amp; Sources'!$B$478:$J$482,0,4))*INDEX('Methodology &amp; Sources'!$B$478:$J$482,0,4+2)),"")))))))</f>
      </c>
      <c r="BZ31" s="24">
        <f>IF($B31="","",IF($AN31="NJ",IF(Inputs!$C$77="B",SUMPRODUCT(($AZ31&gt;=INDEX('Methodology &amp; Sources'!$B$405:$J$412,0,4))*INDEX('Methodology &amp; Sources'!$B$405:$J$412,0,4+2)),IF(Inputs!$C$77="C",SUMPRODUCT(($AZ31&gt;=INDEX('Methodology &amp; Sources'!$B$405:$J$412,0,7))*INDEX('Methodology &amp; Sources'!$B$405:$J$412,0,7+2)),IF(Inputs!$C$77="D",SUMPRODUCT(($AZ31&gt;=INDEX('Methodology &amp; Sources'!$B$417:$J$429,0,1))*INDEX('Methodology &amp; Sources'!$B$417:$J$429,0,1+2)),IF(Inputs!$C$77="E",SUMPRODUCT(($AZ31&gt;=INDEX('Methodology &amp; Sources'!$B$417:$J$429,0,4))*INDEX('Methodology &amp; Sources'!$B$417:$J$429,0,4+2)),SUMPRODUCT(($AZ31&gt;=INDEX('Methodology &amp; Sources'!$B$405:$J$412,0,1))*INDEX('Methodology &amp; Sources'!$B$405:$J$412,0,1+2)))))),IF($AN31="OR",IF(OR($AU31="Married",AND($AU31="Single",$AS31&gt;=3)),SUMPRODUCT((MAX(0,$AY31-MIN(($P31-'Methodology &amp; Sources'!$C$260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Sources'!$B$461:$J$464,0,4))*INDEX('Methodology &amp; Sources'!$B$461:$J$464,0,4+2)),SUMPRODUCT((MAX(0,$AY31-MIN(($P31-'Methodology &amp; Sources'!$C$260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Sources'!$B$461:$J$464,0,1))*INDEX('Methodology &amp; Sources'!$B$461:$J$464,0,1+2)))*IF(($P31-'Methodology &amp; Sources'!$C$260*$D31)*Inputs!$C$8&gt;=IF(OR($AU31="Married",AND($AU31="Single",$AS31&gt;=3)),IF($AY31&lt;250000,8750,IF($AY31&lt;260000,7000,IF($AY31&lt;270000,5250,IF($AY31&lt;280000,3500,IF($AY31&lt;290000,1750,0))))),IF($AY31&lt;125000,8750,IF($AY31&lt;130000,7000,IF($AY31&lt;135000,5250,IF($AY31&lt;140000,3500,IF($AY31&lt;145000,1750,0)))))),1,1-IF(Inputs!$C$13,SUMPRODUCT(($AH31&gt;=INDEX('Methodology &amp; Sources'!$B$279:$J$286,0,IF(Inputs!$C$12="MFJ",1,IF(Inputs!$C$12="HoH",7,4))))*INDEX('Methodology &amp; Sources'!$B$279:$J$286,0,IF(Inputs!$C$12="MFJ",1,IF(Inputs!$C$12="HoH",7,4))+2)),SUMPRODUCT(($AH31&gt;=INDEX('Methodology &amp; Sources'!$B$269:$J$276,0,IF(Inputs!$C$12="MFJ",1,IF(Inputs!$C$12="HoH",7,4))))*INDEX('Methodology &amp; Sources'!$B$269:$J$276,0,IF(Inputs!$C$12="MFJ",1,IF(Inputs!$C$12="HoH",7,4))+2)))),IF($AN31="MI",IF($AY31&gt;5900*$AS31,0.0425,0),""))))</f>
      </c>
      <c r="CA31" s="24">
        <f>IF($B31="","",IF($AN31="AL",IF(OR($AU31="Married",$AU31="Head of household"),SUMPRODUCT(($AZ31&gt;=INDEX('Methodology &amp; Sources'!$B$332:$J$336,0,4))*INDEX('Methodology &amp; Sources'!$B$332:$J$336,0,4+2)),SUMPRODUCT(($AZ31&gt;=INDEX('Methodology &amp; Sources'!$B$332:$J$336,0,1))*INDEX('Methodology &amp; Sources'!$B$332:$J$336,0,1+2)))*(1-IF(Inputs!$C$13,SUMPRODUCT(($AH31&gt;=INDEX('Methodology &amp; Sources'!$B$279:$J$286,0,IF(Inputs!$C$12="MFJ",1,IF(Inputs!$C$12="HoH",7,4))))*INDEX('Methodology &amp; Sources'!$B$279:$J$286,0,IF(Inputs!$C$12="MFJ",1,IF(Inputs!$C$12="HoH",7,4))+2)),SUMPRODUCT(($AH31&gt;=INDEX('Methodology &amp; Sources'!$B$269:$J$276,0,IF(Inputs!$C$12="MFJ",1,IF(Inputs!$C$12="HoH",7,4))))*INDEX('Methodology &amp; Sources'!$B$269:$J$276,0,IF(Inputs!$C$12="MFJ",1,IF(Inputs!$C$12="HoH",7,4))+2)))),IF($AN31="KS",IF($AU31="Married",SUMPRODUCT(($AZ31&gt;=INDEX('Methodology &amp; Sources'!$B$353:$J$359,0,4))*INDEX('Methodology &amp; Sources'!$B$353:$J$359,0,4+2)),SUMPRODUCT(($AZ31&gt;=INDEX('Methodology &amp; Sources'!$B$353:$J$359,0,1))*INDEX('Methodology &amp; Sources'!$B$353:$J$359,0,1+2))),IF($AN31="MD",IF(OR($AU31="Married",$AU31="Head of household"),SUMPRODUCT(($AZ31&gt;=INDEX('Methodology &amp; Sources'!$B$364:$J$370,0,1))*INDEX('Methodology &amp; Sources'!$B$364:$J$370,0,1+2)),SUMPRODUCT(($AZ31&gt;=INDEX('Methodology &amp; Sources'!$B$353:$J$359,0,7))*INDEX('Methodology &amp; Sources'!$B$353:$J$359,0,7+2)))+Inputs!$C$74,IF($AN31="MT",IF($AU31="Head of household",SUMPRODUCT(($AZ31&gt;=INDEX('Methodology &amp; Sources'!$B$387:$J$389,0,1))*INDEX('Methodology &amp; Sources'!$B$387:$J$389,0,1+2)),IF($AU31="Married",SUMPRODUCT(($AZ31&gt;=INDEX('Methodology &amp; Sources'!$B$375:$J$382,0,7))*INDEX('Methodology &amp; Sources'!$B$375:$J$382,0,7+2)),SUMPRODUCT(($AZ31&gt;=INDEX('Methodology &amp; Sources'!$B$375:$J$382,0,4))*INDEX('Methodology &amp; Sources'!$B$375:$J$382,0,4+2)))),IF($AN31="ND",IF($AU31="Head of household",SUMPRODUCT(($AZ31&gt;=INDEX('Methodology &amp; Sources'!$B$394:$J$400,0,1))*INDEX('Methodology &amp; Sources'!$B$394:$J$400,0,1+2)),IF($AU31="Married",SUMPRODUCT(($AZ31&gt;=INDEX('Methodology &amp; Sources'!$B$387:$J$389,0,7))*INDEX('Methodology &amp; Sources'!$B$387:$J$389,0,7+2)),SUMPRODUCT(($AZ31&gt;=INDEX('Methodology &amp; Sources'!$B$387:$J$389,0,4))*INDEX('Methodology &amp; Sources'!$B$387:$J$389,0,4+2)))),IF($AN31="NY",IF($AU31="Married",IF($AZ31&gt;=2155350,IF($AZ31&gt;25000000,0.117,IF($AZ31&gt;5000000,0.111,0.1045)),SUMPRODUCT(($AZ31&gt;=INDEX('Methodology &amp; Sources'!$B$434:$J$448,0,1))*INDEX('Methodology &amp; Sources'!$B$434:$J$448,0,1+2))),IF($AZ31&gt;=1077550,IF($AZ31&gt;25000000,0.117,IF($AZ31&gt;5000000,0.111,0.1045)),SUMPRODUCT(($AZ31&gt;=INDEX('Methodology &amp; Sources'!$B$417:$J$429,0,7))*INDEX('Methodology &amp; Sources'!$B$417:$J$429,0,7+2)))),"")))))))</f>
      </c>
      <c r="CB31" s="24">
        <f>IF($B31="","",IF($AN31="CA",SUMPRODUCT(($AJ31&gt;=INDEX('Methodology &amp; Sources'!$B$289:$J$298,0,IF($AU31="Married",4,IF($AU31="Head of household",7,1))))*INDEX('Methodology &amp; Sources'!$B$289:$J$298,0,IF($AU31="Married",4,IF($AU31="Head of household",7,1))+2)),IF($AN31="HI",IF($AU31="Married",SUMPRODUCT(($AZ31&gt;=INDEX('Methodology &amp; Sources'!$B$341:$J$348,0,7))*INDEX('Methodology &amp; Sources'!$B$341:$J$348,0,7+2)),SUMPRODUCT(($AZ31&gt;=INDEX('Methodology &amp; Sources'!$B$341:$J$348,0,4))*INDEX('Methodology &amp; Sources'!$B$341:$J$348,0,4+2))),IF($AN31="MN",IF($AU31="Married",SUMPRODUCT(($AZ31&gt;=INDEX('Methodology &amp; Sources'!$B$364:$J$370,0,7))*INDEX('Methodology &amp; Sources'!$B$364:$J$370,0,7+2)),SUMPRODUCT(($AZ31&gt;=INDEX('Methodology &amp; Sources'!$B$364:$J$370,0,4))*INDEX('Methodology &amp; Sources'!$B$364:$J$370,0,4+2))),IF($AN31="MO",SUMPRODUCT(($AZ31&gt;=INDEX('Methodology &amp; Sources'!$B$375:$J$382,0,1))*INDEX('Methodology &amp; Sources'!$B$375:$J$382,0,1+2)),IF($AN31="NE",MAX(IF($AU31="Married",SUMPRODUCT(($AZ31&gt;=INDEX('Methodology &amp; Sources'!$B$394:$J$400,0,7))*INDEX('Methodology &amp; Sources'!$B$394:$J$400,0,7+2)),SUMPRODUCT(($AZ31&gt;=INDEX('Methodology &amp; Sources'!$B$394:$J$400,0,4))*INDEX('Methodology &amp; Sources'!$B$394:$J$400,0,4+2))),0.015),IF($AN31="OH",IF($B31&gt;=DATE(2026,8,1),SUMPRODUCT(($AZ31&gt;=INDEX('Methodology &amp; Sources'!$B$453:$J$456,0,1))*INDEX('Methodology &amp; Sources'!$B$453:$J$456,0,1+2)),SUMPRODUCT(($AZ31&gt;=INDEX('Methodology &amp; Sources'!$B$434:$J$448,0,7))*INDEX('Methodology &amp; Sources'!$B$434:$J$448,0,7+2))),IF($AN31="OK",IF($AU31="Married",SUMPRODUCT(($AZ31&gt;=INDEX('Methodology &amp; Sources'!$B$453:$J$456,0,7))*INDEX('Methodology &amp; Sources'!$B$453:$J$456,0,7+2)),SUMPRODUCT(($AZ31&gt;=INDEX('Methodology &amp; Sources'!$B$453:$J$456,0,4))*INDEX('Methodology &amp; Sources'!$B$453:$J$456,0,4+2))),IF($AN31="RI",SUMPRODUCT(($AZ31&gt;=INDEX('Methodology &amp; Sources'!$B$461:$J$464,0,7))*INDEX('Methodology &amp; Sources'!$B$461:$J$464,0,7+2)),IF($AN31="SC",SUMPRODUCT(($AZ31&gt;=INDEX('Methodology &amp; Sources'!$B$469:$J$473,0,1))*INDEX('Methodology &amp; Sources'!$B$469:$J$473,0,1+2)),IF($AN31="VT",IF($AU31="Married",SUMPRODUCT(($AZ31&gt;=INDEX('Methodology &amp; Sources'!$B$478:$J$482,0,1))*INDEX('Methodology &amp; Sources'!$B$478:$J$482,0,1+2)),SUMPRODUCT(($AZ31&gt;=INDEX('Methodology &amp; Sources'!$B$469:$J$473,0,7))*INDEX('Methodology &amp; Sources'!$B$469:$J$473,0,7+2))),IF($AN31="WV",IF($AU31="Married",SUMPRODUCT(($AZ31&gt;=INDEX('Methodology &amp; Sources'!$B$487:$J$491,0,7))*INDEX('Methodology &amp; Sources'!$B$487:$J$491,0,7+2)),SUMPRODUCT(($AZ31&gt;=INDEX('Methodology &amp; Sources'!$B$478:$J$482,0,7))*INDEX('Methodology &amp; Sources'!$B$478:$J$482,0,7+2))),IF($AN31="IN",(0.0295+Inputs!$C$76),"")))))))))))))</f>
      </c>
      <c r="CC31" s="24">
        <f>IF($B31="","",IF($AN31="AR",SUMPRODUCT(($AZ31&gt;=INDEX('Methodology &amp; Sources'!$B$332:$J$336,0,7))*INDEX('Methodology &amp; Sources'!$B$332:$J$336,0,7+2)),IF($AN31="DE",SUMPRODUCT(($AZ31&gt;=INDEX('Methodology &amp; Sources'!$B$341:$J$348,0,1))*INDEX('Methodology &amp; Sources'!$B$341:$J$348,0,1+2)),IF($AN31="VA",SUMPRODUCT(($AZ31&gt;=INDEX('Methodology &amp; Sources'!$B$469:$J$473,0,4))*INDEX('Methodology &amp; Sources'!$B$469:$J$473,0,4+2)),IF($AN31="WI",SUMPRODUCT(($AZ31&gt;=INDEX('Methodology &amp; Sources'!$B$478:$J$482,0,4))*INDEX('Methodology &amp; Sources'!$B$478:$J$482,0,4+2)),IF($AN31="AZ",Inputs!$C$82,IF($AN31="CO",IF($AY31&gt;IF($AU31="Married",10000,5000),0.044,0),IF($AN31="IA",IF($AY31&gt;IF($AU31="Head of household",19500,IF($AU31="Married",26000,13000)),0.038,0),IF($AN31="ID",IF($AY31&gt;IF($AU31="Married",32000,16094),0.053,0),IF($AN31="IL",IF($AY31&gt;(2925*$AS31+1000*$AT31),0.0495,0),IF($AN31="KY",IF($AI31&gt;3360,0.035,0),IF($AN31="LA",0.0309,IF($AN31="MA",IF(MAX(0,$AY31-MIN(($BD30+$Q31+$R31+$S31),2000)-IF($AS31=0,0,IF($AS31=1,4400,1000*$AS31+3400)))&gt;=1107750,0.09,0.05),IF($AN31="MS",IF($AI31-IF($AU31="Head of household",3400,IF($AU31="Married",4600,2300))-Inputs!$C$85&gt;10000,0.04,0),IF($AN31="PA",0.0307,"")))))))))))))))</f>
      </c>
      <c r="CD31" s="21">
        <f>IF(YEAR(IF(Inputs!$C$7="Weekly",Inputs!$C$9+7*(($BE30+1)-1),IF(Inputs!$C$7="Biweekly",Inputs!$C$9+14*(($BE30+1)-1),IF(Inputs!$C$7="Semimonthly",DATE(YEAR(Inputs!$C$9),MONTH(Inputs!$C$9)+INT((($BE30+1)-1)/2),MIN(DAY(Inputs!$C$9),DAY(EOMONTH(DATE(YEAR(Inputs!$C$9),MONTH(Inputs!$C$9)+INT((($BE30+1)-1)/2),1),0))))+IF(MOD(($BE30+1)-1,2)=1,15,0),EDATE(Inputs!$C$9,($BE30+1)-1)))))&lt;&gt;2026,"",IF(Inputs!$C$7="Weekly",Inputs!$C$9+7*(($BE30+1)-1),IF(Inputs!$C$7="Biweekly",Inputs!$C$9+14*(($BE30+1)-1),IF(Inputs!$C$7="Semimonthly",DATE(YEAR(Inputs!$C$9),MONTH(Inputs!$C$9)+INT((($BE30+1)-1)/2),MIN(DAY(Inputs!$C$9),DAY(EOMONTH(DATE(YEAR(Inputs!$C$9),MONTH(Inputs!$C$9)+INT((($BE30+1)-1)/2),1),0))))+IF(MOD(($BE30+1)-1,2)=1,15,0),EDATE(Inputs!$C$9,($BE30+1)-1)))))</f>
      </c>
      <c r="CE31" s="21">
        <f>IF(SUMPRODUCT(MIN(IF((Inputs!$C$58:$C$67&gt;MAX($B$6:$B30))*(Inputs!$C$58:$C$67&gt;=DATE(2026,1,1))*(Inputs!$C$58:$C$67&lt;=DATE(2026,12,31)),Inputs!$C$58:$C$67,999999)))=999999,"",SUMPRODUCT(MIN(IF((Inputs!$C$58:$C$67&gt;MAX($B$6:$B30))*(Inputs!$C$58:$C$67&gt;=DATE(2026,1,1))*(Inputs!$C$58:$C$67&lt;=DATE(2026,12,31)),Inputs!$C$58:$C$67,999999))))</f>
      </c>
    </row>
    <row r="32">
      <c r="A32" t="n">
        <v>27</v>
      </c>
      <c r="B32" s="21">
        <f>IF(AND($CD32="",$CE32=""),"",IF($CE32="",$CD32,IF($CD32="",$CE32,MIN($CD32,$CE32))))</f>
      </c>
      <c r="C32" s="7">
        <f>IF($B32="","",IF($BF32=0,0,IF(Inputs!$C$4="Annual salary",ROUND($AK32/IF(AND(Inputs!$C$88="Actual paydays",MONTH(Inputs!$C$9)=1),MAX(1,MAX($BE$6:$BE$68)),Inputs!$C$8),2),$AK32)))</f>
      </c>
      <c r="D32" s="7">
        <f>IF($B32="","",SUMIF(Inputs!$C$58:$C$67,$B32,Inputs!$D$58:$D$67))</f>
      </c>
      <c r="E32" s="7">
        <f>IF($B32="","",ROUND(MAX(0,MIN(IF($AL32="Percent",$AM32*($C32+$D32),$AM32),MAX(0,Inputs!$C$91-$AC31))),2))</f>
      </c>
      <c r="F32" s="7">
        <f>IF($B32="","",ROUND(MAX(0,MIN(IF(Inputs!$C$32="Percent",Inputs!$D$32*($C32+$D32),Inputs!$D$32),MAX(0,Inputs!$C$91-$AC31-$E32))),2))</f>
      </c>
      <c r="G32" s="7">
        <f>IF($B32="","",IF($BF32=0,0,ROUND(MAX(0,MIN($BL32,Inputs!$C$92-Inputs!$C$54-$BI31)),2)))</f>
      </c>
      <c r="H32" s="7">
        <f>IF($B32="","",IF(OR($BF32=0,$BQ32=1),0,ROUND(MAX(0,MIN(IF($BS32=1,ROUND(MAX(0,MIN($BJ32,'Methodology &amp; Sources'!$C$263)-$BG31)/MAX(1,MAX($BE$6:$BE$68)-($BE31)),2),ROUND(MIN($BJ32,'Methodology &amp; Sources'!$C$263)/Inputs!$C$8,2)),MIN($BJ32,'Methodology &amp; Sources'!$C$263)-$BG31)),2)))</f>
      </c>
      <c r="I32" s="7">
        <f>IF($B32="","",IF(OR($BF32=0,$BR32=1),0,ROUND(MAX(0,MIN(IF($BT32=1,ROUND(MAX(0,MIN($BK32,IF(Inputs!$C$12="MFJ",'Methodology &amp; Sources'!$C$264,'Methodology &amp; Sources'!$C$265))-$BH31)/MAX(1,MAX($BE$6:$BE$68)-($BE31)),2),ROUND(MIN($BK32,IF(Inputs!$C$12="MFJ",'Methodology &amp; Sources'!$C$264,'Methodology &amp; Sources'!$C$265))/Inputs!$C$8,2)),MIN($BK32,IF(Inputs!$C$12="MFJ",'Methodology &amp; Sources'!$C$264,'Methodology &amp; Sources'!$C$265))-$BH31)),2)))</f>
      </c>
      <c r="J32" s="7">
        <f>IF($B32="","",IF($BF32=0,0,$BM32))</f>
      </c>
      <c r="K32" s="7">
        <f>IF($B32="","",IF($BF32=0,0,$BN32+$BO32))</f>
      </c>
      <c r="L32" s="7">
        <f>IF($B32="","",IF($BF32=0,0,Inputs!$D$46))</f>
      </c>
      <c r="M32" s="7">
        <f>IF($B32="","",$C32+$D32+$L32-$E32-$G32-$H32-$I32-$J32-$K32)</f>
      </c>
      <c r="N32" s="7">
        <f>IF($B32="","",$C32+$D32+$L32-$G32-$H32-$I32-$J32-$K32)</f>
      </c>
      <c r="O32" s="7">
        <f>IF($B32="","",$C32+$D32+$L32-$E32-$H32-$I32-$J32-$K32-IF(OR($AN32="CA",$AN32="NJ"),0,$G32))</f>
      </c>
      <c r="P32" s="7">
        <f>IF($B32="","",IF(Inputs!$C$18,0,ROUND(MAX(0,IF(Inputs!$C$13,SUMPRODUCT(($AH32&gt;INDEX('Methodology &amp; Sources'!$B$279:$J$286,0,IF(Inputs!$C$12="MFJ",1,IF(Inputs!$C$12="HoH",7,4))))*($AH32-INDEX('Methodology &amp; Sources'!$B$279:$J$286,0,IF(Inputs!$C$12="MFJ",1,IF(Inputs!$C$12="HoH",7,4))))*INDEX('Methodology &amp; Sources'!$B$279:$J$286,0,IF(Inputs!$C$12="MFJ",1,IF(Inputs!$C$12="HoH",7,4))+2)),SUMPRODUCT(($AH32&gt;INDEX('Methodology &amp; Sources'!$B$269:$J$276,0,IF(Inputs!$C$12="MFJ",1,IF(Inputs!$C$12="HoH",7,4))))*($AH32-INDEX('Methodology &amp; Sources'!$B$269:$J$276,0,IF(Inputs!$C$12="MFJ",1,IF(Inputs!$C$12="HoH",7,4))))*INDEX('Methodology &amp; Sources'!$B$269:$J$276,0,IF(Inputs!$C$12="MFJ",1,IF(Inputs!$C$12="HoH",7,4))+2)))/Inputs!$C$8-$AO32/Inputs!$C$8)+$AR32+IF(Inputs!$C$89="Aggregate",MAX(0,IF(Inputs!$C$13,SUMPRODUCT((($AH32+$D32)&gt;INDEX('Methodology &amp; Sources'!$B$279:$J$286,0,IF(Inputs!$C$12="MFJ",1,IF(Inputs!$C$12="HoH",7,4))))*(($AH32+$D32)-INDEX('Methodology &amp; Sources'!$B$279:$J$286,0,IF(Inputs!$C$12="MFJ",1,IF(Inputs!$C$12="HoH",7,4))))*INDEX('Methodology &amp; Sources'!$B$279:$J$286,0,IF(Inputs!$C$12="MFJ",1,IF(Inputs!$C$12="HoH",7,4))+2)),SUMPRODUCT((($AH32+$D32)&gt;INDEX('Methodology &amp; Sources'!$B$269:$J$276,0,IF(Inputs!$C$12="MFJ",1,IF(Inputs!$C$12="HoH",7,4))))*(($AH32+$D32)-INDEX('Methodology &amp; Sources'!$B$269:$J$276,0,IF(Inputs!$C$12="MFJ",1,IF(Inputs!$C$12="HoH",7,4))))*INDEX('Methodology &amp; Sources'!$B$269:$J$276,0,IF(Inputs!$C$12="MFJ",1,IF(Inputs!$C$12="HoH",7,4))+2)))-IF(Inputs!$C$13,SUMPRODUCT(($AH32&gt;INDEX('Methodology &amp; Sources'!$B$279:$J$286,0,IF(Inputs!$C$12="MFJ",1,IF(Inputs!$C$12="HoH",7,4))))*($AH32-INDEX('Methodology &amp; Sources'!$B$279:$J$286,0,IF(Inputs!$C$12="MFJ",1,IF(Inputs!$C$12="HoH",7,4))))*INDEX('Methodology &amp; Sources'!$B$279:$J$286,0,IF(Inputs!$C$12="MFJ",1,IF(Inputs!$C$12="HoH",7,4))+2)),SUMPRODUCT(($AH32&gt;INDEX('Methodology &amp; Sources'!$B$269:$J$276,0,IF(Inputs!$C$12="MFJ",1,IF(Inputs!$C$12="HoH",7,4))))*($AH32-INDEX('Methodology &amp; Sources'!$B$269:$J$276,0,IF(Inputs!$C$12="MFJ",1,IF(Inputs!$C$12="HoH",7,4))))*INDEX('Methodology &amp; Sources'!$B$269:$J$276,0,IF(Inputs!$C$12="MFJ",1,IF(Inputs!$C$12="HoH",7,4))+2)))),'Methodology &amp; Sources'!$C$260*$D32),2)))</f>
      </c>
      <c r="Q32" s="7">
        <f>IF($B32="","",ROUND('Methodology &amp; Sources'!$C$254*MIN($N32,MAX(0,'Methodology &amp; Sources'!$C$253-($AX32+$AB31-$AW32))),2))</f>
      </c>
      <c r="R32" s="7">
        <f>IF($B32="","",ROUND('Methodology &amp; Sources'!$C$255*$N32,2))</f>
      </c>
      <c r="S32" s="7">
        <f>IF($B32="","",ROUND('Methodology &amp; Sources'!$C$256*MAX(0,MIN($N32,$AG31+$N32-'Methodology &amp; Sources'!$C$257)),2))</f>
      </c>
      <c r="T32" s="7">
        <f>IF($B32="","",IF(Inputs!$C$26,0,IF($AN32="CA",ROUND(IF($AI32&lt;=IF(($AS32+$AT32)&gt;=2,VLOOKUP($AN32,'StateTables 2026'!$A$6:$AB$56,10,FALSE),VLOOKUP($AN32,'StateTables 2026'!$A$6:$AB$56,9,FALSE)),0,MAX(0,SUMPRODUCT(($AJ32&gt;INDEX('Methodology &amp; Sources'!$B$289:$J$298,0,IF($AU32="Married",4,IF($AU32="Head of household",7,1))))*($AJ32-INDEX('Methodology &amp; Sources'!$B$289:$J$298,0,IF($AU32="Married",4,IF($AU32="Head of household",7,1))))*INDEX('Methodology &amp; Sources'!$B$289:$J$298,0,IF($AU32="Married",4,IF($AU32="Head of household",7,1))+2))-VLOOKUP($AN32,'StateTables 2026'!$A$6:$AB$56,11,FALSE)*$AS32)/Inputs!$C$8)+Inputs!$C$25+VLOOKUP($AN32,'StateTables 2026'!$A$6:$AB$56,13,FALSE)*$D32,2),IF(VLOOKUP($AN32,'StateTables 2026'!$A$6:$AB$56,4,FALSE)="None",0,IF(ISNUMBER(SEARCH("MANUAL",VLOOKUP($AN32,'StateTables 2026'!$A$6:$AB$56,5,FALSE))),Inputs!$C$28,ROUND(MAX(0,$BA32+$BB32)/Inputs!$C$8+Inputs!$C$25+$BC32,2))))))</f>
      </c>
      <c r="U32" s="7">
        <f>IF($B32="","",IF(VLOOKUP($AN32,'StateTables 2026'!$A$6:$AB$56,24,FALSE)="flatq",IF(OR(MONTH($B32)=1,MONTH($B32)=4,MONTH($B32)=7,MONTH($B32)=10),VLOOKUP($AN32,'StateTables 2026'!$A$6:$AB$56,25,FALSE),0),IF(VLOOKUP($AN32,'StateTables 2026'!$A$6:$AB$56,24,FALSE)="dbl",MIN(ROUND(0.005*$N32,2),ROUND(0.6*52/Inputs!$C$8,2)),IF(OR(VLOOKUP($AN32,'StateTables 2026'!$A$6:$AB$56,15,FALSE)="",VLOOKUP($AN32,'StateTables 2026'!$A$6:$AB$56,15,FALSE)=0),0,ROUND(VLOOKUP($AN32,'StateTables 2026'!$A$6:$AB$56,15,FALSE)*IF(OR(VLOOKUP($AN32,'StateTables 2026'!$A$6:$AB$56,16,FALSE)="",VLOOKUP($AN32,'StateTables 2026'!$A$6:$AB$56,16,FALSE)=0),$N32,MIN($N32,MAX(0,VLOOKUP($AN32,'StateTables 2026'!$A$6:$AB$56,16,FALSE)-($AX32+$AB31-$AW32)))),2))))+IF(VLOOKUP($AN32,'StateTables 2026'!$A$6:$AB$56,27,FALSE)="flatq",IF(OR(MONTH($B32)=1,MONTH($B32)=4,MONTH($B32)=7,MONTH($B32)=10),VLOOKUP($AN32,'StateTables 2026'!$A$6:$AB$56,28,FALSE),0),IF(VLOOKUP($AN32,'StateTables 2026'!$A$6:$AB$56,27,FALSE)="dbl",MIN(ROUND(0.005*$N32,2),ROUND(0.6*52/Inputs!$C$8,2)),IF(OR(VLOOKUP($AN32,'StateTables 2026'!$A$6:$AB$56,18,FALSE)="",VLOOKUP($AN32,'StateTables 2026'!$A$6:$AB$56,18,FALSE)=0),0,ROUND(VLOOKUP($AN32,'StateTables 2026'!$A$6:$AB$56,18,FALSE)*IF(OR(VLOOKUP($AN32,'StateTables 2026'!$A$6:$AB$56,19,FALSE)="",VLOOKUP($AN32,'StateTables 2026'!$A$6:$AB$56,19,FALSE)=0),$N32,MIN($N32,MAX(0,VLOOKUP($AN32,'StateTables 2026'!$A$6:$AB$56,19,FALSE)-($AX32+$AB31-$AW32)))),2)))))</f>
      </c>
      <c r="V32" s="7">
        <f>IF($B32="","",IF($AN32="NY",IF(Inputs!$C$78,ROUND(SUMPRODUCT((MAX(0,($O32-$D32)*Inputs!$C$8-(IF($AU32="Married",5500,5000)+1000*$AS32))&gt;INDEX('Methodology &amp; Sources'!$B$434:$J$448,0,4))*(MAX(0,($O32-$D32)*Inputs!$C$8-(IF($AU32="Married",5500,5000)+1000*$AS32))-INDEX('Methodology &amp; Sources'!$B$434:$J$448,0,4))*INDEX('Methodology &amp; Sources'!$B$434:$J$448,0,4+2))/Inputs!$C$8+0.0425*$D32,2),0)+IF(Inputs!$C$79="Resident",ROUND(0.1675*$T32,2),IF(Inputs!$C$79="Nonresident",ROUND(0.005*MAX(0,($O32-$D32)-(IF($AU32="Married",7950,7400)+1000*$AS32)/Inputs!$C$8),2),0)),IF($AN32="PA",IF(Inputs!$C$80="None",Inputs!$C$27+ROUND(Inputs!$C$81*($C32+$D32),2),ROUND(IF(Inputs!$C$80="Resident",IF($B32&lt;DATE(2026,7,1),0.0374,0.03735),IF($B32&lt;DATE(2026,7,1),0.0343,0.03425))*($C32+$D32),2)),IF($BF32=0,ROUND(Inputs!$C$81*($C32+$D32),2),Inputs!$C$27+ROUND(Inputs!$C$81*($C32+$D32),2)))))</f>
      </c>
      <c r="W32" s="7">
        <f>IF($B32="","",IF($BF32=0,0,$BP32))</f>
      </c>
      <c r="X32" s="7">
        <f>IF($B32="","",SUM($E32:$K32)+$P32+$Q32+$R32+$S32+$T32+$U32+$V32+$W32)</f>
      </c>
      <c r="Y32" s="22">
        <f>IF($B32="","",$C32+$D32-$X32)</f>
      </c>
      <c r="Z32" s="7">
        <f>IF($B32="","",$Z31+$C32+$D32)</f>
      </c>
      <c r="AA32" s="7">
        <f>IF($B32="","",$AA31+$Y32)</f>
      </c>
      <c r="AB32" s="7">
        <f>IF($B32="","",$AB31+MIN($N32,MAX(0,'Methodology &amp; Sources'!$C$253-($AX32+$AB31-$AW32))))</f>
      </c>
      <c r="AC32" s="7">
        <f>IF($B32="","",$AC31+$E32+$F32)</f>
      </c>
      <c r="AD32" s="3">
        <f>IF($B32="","",IF(AND($AB31&lt;'Methodology &amp; Sources'!$C$253,$AB32&gt;='Methodology &amp; Sources'!$C$253),"★ Social Security maxed on this check — from the next check your net rises by about $"&amp;TEXT(ROUND('Methodology &amp; Sources'!$C$254*$N32,2),"#,##0.00")&amp;". ","")&amp;IF(AND($AC31&lt;Inputs!$C$91,$AC32&gt;=Inputs!$C$91),"★ 401(k) reaches the $"&amp;TEXT(Inputs!$C$91,"#,##0")&amp;" cap on this check — deferrals stop and net pay rises. ","")&amp;IF(AND($AG31&lt;'Methodology &amp; Sources'!$C$257,$AG32&gt;='Methodology &amp; Sources'!$C$257),"★ Wages pass $200,000 — the 0.9% Additional Medicare Tax starts here. ","")&amp;IF(AND($BJ32&gt;0,$H32&gt;0,$BG31&lt;MIN($BJ32,'Methodology &amp; Sources'!$C$263),$BG31+$H32&gt;=MIN($BJ32,'Methodology &amp; Sources'!$C$263)),"★ Health FSA election is now fully deferred for the year. ",""))</f>
      </c>
      <c r="AE32" s="41" t="n"/>
      <c r="AF32" s="7">
        <f>IF(OR($B32="",$AE32=""),"",$AE32-$Y32)</f>
      </c>
      <c r="AG32" s="7">
        <f>IF($B32="","",$AG31+$N32)</f>
      </c>
      <c r="AH32" s="7">
        <f>IF($B32="","",MAX(0,($M32-$D32)*Inputs!$C$8+$AP32-$AQ32-IF(Inputs!$C$13,0,IF(Inputs!$C$12="MFJ",'Methodology &amp; Sources'!$C$258,'Methodology &amp; Sources'!$C$259))))</f>
      </c>
      <c r="AI32" s="7">
        <f>IF($B32="","",$O32*Inputs!$C$8)</f>
      </c>
      <c r="AJ32" s="7">
        <f>IF($B32="","",MAX(0,$AI32-VLOOKUP($AN32,'StateTables 2026'!$A$6:$AB$56,12,FALSE)*$AT32-IF(($AS32+$AT32)&gt;=2,VLOOKUP($AN32,'StateTables 2026'!$A$6:$AB$56,8,FALSE),VLOOKUP($AN32,'StateTables 2026'!$A$6:$AB$56,7,FALSE))))</f>
      </c>
      <c r="AK32" s="7">
        <f>IF($B32="","",IFERROR(LOOKUP(2,1/((Events!$C$6:$C$17="Salary change")*(Events!$B$6:$B$17&lt;=$B32)*(Events!$B$6:$B$17&lt;&gt;"")),Events!$D$6:$D$17),IF(Inputs!$C$4="Annual salary",Inputs!$C$5,Inputs!$C$6)))</f>
      </c>
      <c r="AL32">
        <f>IF($B32="","",IFERROR(LOOKUP(2,1/((Events!$C$6:$C$17="401(k) change")*(Events!$B$6:$B$17&lt;=$B32)*(Events!$B$6:$B$17&lt;&gt;"")),Events!$D$6:$D$17),Inputs!$C$30))</f>
      </c>
      <c r="AM32" s="7">
        <f>IF($B32="","",IFERROR(LOOKUP(2,1/((Events!$C$6:$C$17="401(k) change")*(Events!$B$6:$B$17&lt;=$B32)*(Events!$B$6:$B$17&lt;&gt;"")),Events!$E$6:$E$17),Inputs!$D$30))</f>
      </c>
      <c r="AN32">
        <f>IF($B32="","",IFERROR(LOOKUP(2,1/((Events!$C$6:$C$17="State move")*(Events!$B$6:$B$17&lt;=$B32)*(Events!$B$6:$B$17&lt;&gt;"")),Events!$D$6:$D$17),Inputs!$C$21))</f>
      </c>
      <c r="AO32" s="7">
        <f>IF($B32="","",IFERROR(LOOKUP(2,1/((Events!$C$6:$C$17="W-4 change")*(Events!$B$6:$B$17&lt;=$B32)*(Events!$B$6:$B$17&lt;&gt;"")),Events!$D$6:$D$17),Inputs!$C$14))</f>
      </c>
      <c r="AP32" s="7">
        <f>IF($B32="","",IFERROR(LOOKUP(2,1/((Events!$C$6:$C$17="W-4 change")*(Events!$B$6:$B$17&lt;=$B32)*(Events!$B$6:$B$17&lt;&gt;"")),Events!$E$6:$E$17),Inputs!$C$15))</f>
      </c>
      <c r="AQ32" s="7">
        <f>IF($B32="","",IFERROR(LOOKUP(2,1/((Events!$C$6:$C$17="W-4 change")*(Events!$B$6:$B$17&lt;=$B32)*(Events!$B$6:$B$17&lt;&gt;"")),Events!$F$6:$F$17),Inputs!$C$16))</f>
      </c>
      <c r="AR32" s="7">
        <f>IF($B32="","",IFERROR(LOOKUP(2,1/((Events!$C$6:$C$17="W-4 change")*(Events!$B$6:$B$17&lt;=$B32)*(Events!$B$6:$B$17&lt;&gt;"")),Events!$G$6:$G$17),Inputs!$C$17))</f>
      </c>
      <c r="AS32" s="6">
        <f>IF($B32="","",IFERROR(LOOKUP(2,1/(((Events!$C$6:$C$17="State move")+(Events!$C$6:$C$17="State cert change"))*(Events!$B$6:$B$17&lt;=$B32)*(Events!$B$6:$B$17&lt;&gt;"")),Events!$F$6:$F$17),Inputs!$C$23))</f>
      </c>
      <c r="AT32" s="6">
        <f>IF($B32="","",IFERROR(LOOKUP(2,1/(((Events!$C$6:$C$17="State move")+(Events!$C$6:$C$17="State cert change"))*(Events!$B$6:$B$17&lt;=$B32)*(Events!$B$6:$B$17&lt;&gt;"")),Events!$G$6:$G$17),Inputs!$C$24))</f>
      </c>
      <c r="AU32">
        <f>IF($B32="","",IFERROR(LOOKUP(2,1/((Events!$C$6:$C$17="State move")*(Events!$B$6:$B$17&lt;=$B32)*(Events!$B$6:$B$17&lt;&gt;"")),Events!$E$6:$E$17),Inputs!$C$22))</f>
      </c>
      <c r="AV32" s="6">
        <f>IF($B32="","",1+COUNTIFS(Events!$C$6:$C$17,"Employer change",Events!$B$6:$B$17,"&lt;="&amp;$B32,Events!$B$6:$B$17,"&lt;&gt;"))</f>
      </c>
      <c r="AW32" s="7">
        <f>IF($B32="","",IF($AV32=1,Inputs!$C$49,IF(IFERROR(MATCH(IFERROR(LOOKUP(2,1/((Events!$C$6:$C$17="Employer change")*(Events!$B$6:$B$17&lt;=$B32)*(Events!$B$6:$B$17&lt;&gt;"")),Events!$B$6:$B$17),""),$B$6:$B$68,1),1)&lt;=1,Inputs!$C$49,INDEX($AB$6:$AB$68,MATCH(IFERROR(LOOKUP(2,1/((Events!$C$6:$C$17="Employer change")*(Events!$B$6:$B$17&lt;=$B32)*(Events!$B$6:$B$17&lt;&gt;"")),Events!$B$6:$B$17),""),$B$6:$B$68,1)-1))))</f>
      </c>
      <c r="AX32" s="7">
        <f>IF($B32="","",IF($AV32=1,Inputs!$C$49,IFERROR(LOOKUP(2,1/((Events!$C$6:$C$17="Employer change")*(Events!$B$6:$B$17&lt;=$B32)*(Events!$B$6:$B$17&lt;&gt;"")),Events!$D$6:$D$17),0)))</f>
      </c>
      <c r="AY32" s="7">
        <f>IF($B32="","",($O32-$D32)*Inputs!$C$8)</f>
      </c>
      <c r="AZ32" s="7">
        <f>IF($B32="","",IF($AN32="AL",MAX(0,$AY32-IF($AU32="Married",IF($AY32&lt;=25999,8500,MAX(5000,8500-175*CEILING(($AY32-25999)/500,1))),IF($AU32="Head of household",IF($AY32&lt;=25999,5200,MAX(2500,5200-135*CEILING(($AY32-25999)/500,1))),IF($AY32&lt;=25999,3000,MAX(2500,3000-25*CEILING(($AY32-25999)/500,1)))))-($P32-'Methodology &amp; Sources'!$C$260*$D32)*Inputs!$C$8-IF(OR($AU32="Married",$AU32="Head of household"),3000,1500)-$AT32*IF($AY32&lt;=50000,1000,IF($AY32&lt;=100000,500,300))),IF($AN32="AR",IF(MAX(0,$AY32-2470)&lt;97701,INT(MAX(0,$AY32-2470)/100)*100+50,MAX(0,$AY32-2470)),IF($AN32="DE",MAX(0,$AI32-3250),IF($AN32="HI",MAX(0,$AI32-1144*$AS32-4350),IF($AN32="KS",MAX(0,$AI32-(9160*IF($AU32="Married",2,1)+2320*$AT32+IF($AU32="Head of household",2320,0))),IF($AN32="MD",MAX(0,$AI32-3400-3200*$AS32),IF($AN32="MN",MAX(0,$AY32-5300*$AS32),IF($AN32="MO",MAX(0,$AI32-IF($AU32="Head of household",24150,IF($AU32="Married",IF(Inputs!$C$83,16100,32200),16100))),IF($AN32="MT",$AY32,IF($AN32="ND",($C32+$L32)*Inputs!$C$8,IF($AN32="NE",MAX(0,$AY32-2440*$AS32),IF($AN32="NJ",MAX(0,$AY32-1000*$AS32),IF($AN32="NY",MAX(0,$AY32-(IF($AU32="Married",7950,7400)+1000*$AS32)),IF($AN32="OH",MAX(0,$AY32-650*$AS32),IF($AN32="OK",MAX(0,$AY32-1000*$AS32),IF($AN32="RI",MAX(0,$AI32-1000*$AS32),IF($AN32="SC",MAX(0,$AI32-5000*$AS32-IF($AS32=0,0,MIN(0.1*$AI32,7500))),IF($AN32="VA",MAX(0,$AI32-IF($AU32="Married",17500,8750)-930*$AS32-800*$AT32),IF($AN32="VT",MAX(0,$AI32-5400*$AS32),IF($AN32="WI",MAX(0,$AI32-MAX(0,IF($AU32="Married",9461-0.2*MAX(0,$AI32-25727),6702-0.12*MAX(0,$AI32-17780)))-400*$AS32),IF($AN32="WV",MAX(0,$AI32-2000*$AS32),$AI32))))))))))))))))))))))</f>
      </c>
      <c r="BA32" s="7">
        <f>IF($B32="","",IF($BW32&lt;&gt;"",$BW32,IF($BX32&lt;&gt;"",$BX32,IF($BY32&lt;&gt;"",$BY32,0))))</f>
      </c>
      <c r="BB32" s="7">
        <f>IF($B32="","",IF($AN32="AR",-29*$AS32,IF($AN32="DE",-110*$AS32,IF($AN32="MD",$AZ32*Inputs!$C$74,IF($AN32="AZ",Inputs!$C$82*($M32-$D32)*Inputs!$C$8,IF($AN32="CO",0.044*MAX(0,$AY32-IF($AU32="Married",10000,5000)),IF($AN32="IA",MAX(0,0.038*MAX(0,$AY32-IF($AU32="Head of household",19500,IF($AU32="Married",26000,13000)))-40*$AS32),IF($AN32="ID",0.053*MAX(0,$AY32-IF($AU32="Married",32000,16094)),IF($AN32="IL",0.0495*MAX(0,$AY32-(2925*$AS32+1000*$AT32)),IF($AN32="IN",(0.0295+Inputs!$C$76)*MAX(0,$AY32-(1000*$AS32+1500*$AT32+3000*Inputs!$C$86)),IF($AN32="KY",0.035*MAX(0,$AI32-3360),IF($AN32="LA",IF(Inputs!$C$84="0",0.0309*$AI32,0.0309*MAX(0,$AI32-IF(Inputs!$C$84="2",25750,12875))),IF($AN32="MA",0.05*MIN(MAX(0,$AY32-MIN(($BD31+$Q32+$R32+$S32),2000)-IF($AS32=0,0,IF($AS32=1,4400,1000*$AS32+3400))),1107750)+0.09*MAX(0,MAX(0,$AY32-MIN(($BD31+$Q32+$R32+$S32),2000)-IF($AS32=0,0,IF($AS32=1,4400,1000*$AS32+3400)))-1107750)-IF($AU32="Head of household",120,0)-110*Inputs!$C$75,IF($AN32="MI",0.0425*MAX(0,$AY32-5900*$AS32),IF($AN32="MS",0.04*MAX(0,$AI32-IF($AU32="Head of household",3400,IF($AU32="Married",4600,2300))-Inputs!$C$85-10000),IF($AN32="OR",IF(OR($AU32="Married",AND($AU32="Single",$AS32&gt;=3)),SUMPRODUCT((MAX(0,$AY32-MIN(($P32-'Methodology &amp; Sources'!$C$260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Sources'!$B$461:$J$464,0,4))*(MAX(0,$AY32-MIN(($P32-'Methodology &amp; Sources'!$C$260*$D32)*Inputs!$C$8,IF(OR($AU32="Married",AND($AU32="Single",$AS32&gt;=3)),IF($AY32&lt;250000,8750,IF($AY32&lt;260000,7000,IF($AY32&lt;270000,5250,IF($AY32&lt;280000,3500,IF($AY32&lt;290000,1750,0))))),IF($AY32&lt;125000,8750,IF($AY32&lt;130000,7000,IF($AY32&lt;135000,5250,IF($AY32&lt;140000,3500,IF($AY32&lt;145000,1750,0)))))))-IF(OR($AU32="Married",AND($AU32="Single",$AS32&gt;=3)),5820,2910))-INDEX('Methodology &amp; Sources'!$B$461:$J$464,0,4))*INDEX('Methodology &amp; Sources'!$B$461:$J$464,0,4+2)),SUMPRODUCT((MAX(0,$AY32-MIN(($P32-'Methodology &amp; Sources'!$C$260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Sources'!$B$461:$J$464,0,1))*(MAX(0,$AY32-MIN(($P32-'Methodology &amp; Sources'!$C$260*$D32)*Inputs!$C$8,IF(OR($AU32="Married",AND($AU32="Single",$AS32&gt;=3)),IF($AY32&lt;250000,8750,IF($AY32&lt;260000,7000,IF($AY32&lt;270000,5250,IF($AY32&lt;280000,3500,IF($AY32&lt;290000,1750,0))))),IF($AY32&lt;125000,8750,IF($AY32&lt;130000,7000,IF($AY32&lt;135000,5250,IF($AY32&lt;140000,3500,IF($AY32&lt;145000,1750,0)))))))-IF(OR($AU32="Married",AND($AU32="Single",$AS32&gt;=3)),5820,2910))-INDEX('Methodology &amp; Sources'!$B$461:$J$464,0,1))*INDEX('Methodology &amp; Sources'!$B$461:$J$464,0,1+2)))+263-263*IF(IF($AU32="Married",$AY32&gt;200000,$AY32&gt;100000),0,$AS32),IF($AN32="PA",0.0307*(($O32+$E32+$G32)*Inputs!$C$8),IF($AN32="NY",IF($AU32="Married",IF($AZ32&gt;=2155350,0,IF($AZ32&gt;=1077550,0.48,IF($AZ32&gt;=373200,1.21,IF($AZ32&gt;=323200,0.21,IF($AZ32&gt;=211550,-0.19,IF($AZ32&gt;=157650,-2.8,IF($AZ32&gt;=107650,-0.8,IF($AZ32&gt;=96800,0.05,IF($AZ32&gt;=80650,-0.1,IF($AZ32&gt;=13900,0.4,IF($AZ32&gt;=11700,-0.3,IF($AZ32&gt;=8500,0.5,0)))))))))))),IF($AZ32&gt;=1077550,0,IF($AZ32&gt;=265400,4.29,IF($AZ32&gt;=215400,2.29,IF($AZ32&gt;=157650,2.29,IF($AZ32&gt;=107650,0.29,IF($AZ32&gt;=96800,0.05,IF($AZ32&gt;=80650,-0.1,IF($AZ32&gt;=13900,0.4,IF($AZ32&gt;=11700,-0.3,IF($AZ32&gt;=8500,0.5,0))))))))))),0))))))))))))))))))</f>
      </c>
      <c r="BC32" s="7">
        <f>IF($B32="","",IF($AN32="AL",0.05*$D32,IF($AN32="AR",0.039*$D32,IF($AN32="ID",0.053*$D32,IF($AN32="IN",(0.0295+Inputs!$C$76)*$D32,IF($AN32="KS",0.05*$D32,IF($AN32="MA",0.09*MIN($D32,MAX(0,MAX(0,$AY32-MIN(($BD31+$Q32+$R32+$S32),2000)-IF($AS32=0,0,IF($AS32=1,4400,1000*$AS32+3400)))+$D32-1107750))+0.05*($D32-MIN($D32,MAX(0,MAX(0,$AY32-MIN(($BD31+$Q32+$R32+$S32),2000)-IF($AS32=0,0,IF($AS32=1,4400,1000*$AS32+3400)))+$D32-1107750))),IF($AN32="MD",(0.065+Inputs!$C$74)*$D32,IF($AN32="MI",0.0425*$D32,IF($AN32="MN",0.0625*$D32,IF($AN32="MO",0.047*$D32,IF($AN32="MT",0.05*$D32,IF($AN32="ND",0.015*$D32,IF($AN32="NE",0.035*$D32,IF($AN32="NJ",IF(Inputs!$C$77="B",SUMPRODUCT(($D32*Inputs!$C$8&gt;INDEX('Methodology &amp; Sources'!$B$405:$J$412,0,4))*($D32*Inputs!$C$8-INDEX('Methodology &amp; Sources'!$B$405:$J$412,0,4))*INDEX('Methodology &amp; Sources'!$B$405:$J$412,0,4+2)),IF(Inputs!$C$77="C",SUMPRODUCT(($D32*Inputs!$C$8&gt;INDEX('Methodology &amp; Sources'!$B$405:$J$412,0,7))*($D32*Inputs!$C$8-INDEX('Methodology &amp; Sources'!$B$405:$J$412,0,7))*INDEX('Methodology &amp; Sources'!$B$405:$J$412,0,7+2)),IF(Inputs!$C$77="D",SUMPRODUCT(($D32*Inputs!$C$8&gt;INDEX('Methodology &amp; Sources'!$B$417:$J$429,0,1))*($D32*Inputs!$C$8-INDEX('Methodology &amp; Sources'!$B$417:$J$429,0,1))*INDEX('Methodology &amp; Sources'!$B$417:$J$429,0,1+2)),IF(Inputs!$C$77="E",SUMPRODUCT(($D32*Inputs!$C$8&gt;INDEX('Methodology &amp; Sources'!$B$417:$J$429,0,4))*($D32*Inputs!$C$8-INDEX('Methodology &amp; Sources'!$B$417:$J$429,0,4))*INDEX('Methodology &amp; Sources'!$B$417:$J$429,0,4+2)),SUMPRODUCT(($D32*Inputs!$C$8&gt;INDEX('Methodology &amp; Sources'!$B$405:$J$412,0,1))*($D32*Inputs!$C$8-INDEX('Methodology &amp; Sources'!$B$405:$J$412,0,1))*INDEX('Methodology &amp; Sources'!$B$405:$J$412,0,1+2))))))/Inputs!$C$8,IF($AN32="NY",0.117*$D32,IF($AN32="OH",0.0275*$D32,IF($AN32="OK",0.045*$D32,IF($AN32="OR",0.08*$D32,IF($AN32="WI",IF($AY32&lt;12760,0.0354,IF($AY32&lt;25520,0.0465,IF($AY32&lt;280950,0.053,0.0765)))*$D32,0))))))))))))))))))))</f>
      </c>
      <c r="BD32" s="7">
        <f>IF($B32="","",$BD31+$Q32+$R32+$S32)</f>
      </c>
      <c r="BE32" s="6">
        <f>IF($B32="",$BE31,$BE31+$BF32)</f>
      </c>
      <c r="BF32" s="6">
        <f>IF($B32="","",IF(AND(IF(YEAR(IF(Inputs!$C$7="Weekly",Inputs!$C$9+7*(($BE31+1)-1),IF(Inputs!$C$7="Biweekly",Inputs!$C$9+14*(($BE31+1)-1),IF(Inputs!$C$7="Semimonthly",DATE(YEAR(Inputs!$C$9),MONTH(Inputs!$C$9)+INT((($BE31+1)-1)/2),MIN(DAY(Inputs!$C$9),DAY(EOMONTH(DATE(YEAR(Inputs!$C$9),MONTH(Inputs!$C$9)+INT((($BE31+1)-1)/2),1),0))))+IF(MOD(($BE31+1)-1,2)=1,15,0),EDATE(Inputs!$C$9,($BE31+1)-1)))))&lt;&gt;2026,"",IF(Inputs!$C$7="Weekly",Inputs!$C$9+7*(($BE31+1)-1),IF(Inputs!$C$7="Biweekly",Inputs!$C$9+14*(($BE31+1)-1),IF(Inputs!$C$7="Semimonthly",DATE(YEAR(Inputs!$C$9),MONTH(Inputs!$C$9)+INT((($BE31+1)-1)/2),MIN(DAY(Inputs!$C$9),DAY(EOMONTH(DATE(YEAR(Inputs!$C$9),MONTH(Inputs!$C$9)+INT((($BE31+1)-1)/2),1),0))))+IF(MOD(($BE31+1)-1,2)=1,15,0),EDATE(Inputs!$C$9,($BE31+1)-1)))))&lt;&gt;"",$B32=IF(YEAR(IF(Inputs!$C$7="Weekly",Inputs!$C$9+7*(($BE31+1)-1),IF(Inputs!$C$7="Biweekly",Inputs!$C$9+14*(($BE31+1)-1),IF(Inputs!$C$7="Semimonthly",DATE(YEAR(Inputs!$C$9),MONTH(Inputs!$C$9)+INT((($BE31+1)-1)/2),MIN(DAY(Inputs!$C$9),DAY(EOMONTH(DATE(YEAR(Inputs!$C$9),MONTH(Inputs!$C$9)+INT((($BE31+1)-1)/2),1),0))))+IF(MOD(($BE31+1)-1,2)=1,15,0),EDATE(Inputs!$C$9,($BE31+1)-1)))))&lt;&gt;2026,"",IF(Inputs!$C$7="Weekly",Inputs!$C$9+7*(($BE31+1)-1),IF(Inputs!$C$7="Biweekly",Inputs!$C$9+14*(($BE31+1)-1),IF(Inputs!$C$7="Semimonthly",DATE(YEAR(Inputs!$C$9),MONTH(Inputs!$C$9)+INT((($BE31+1)-1)/2),MIN(DAY(Inputs!$C$9),DAY(EOMONTH(DATE(YEAR(Inputs!$C$9),MONTH(Inputs!$C$9)+INT((($BE31+1)-1)/2),1),0))))+IF(MOD(($BE31+1)-1,2)=1,15,0),EDATE(Inputs!$C$9,($BE31+1)-1)))))),1,0))</f>
      </c>
      <c r="BG32" s="7">
        <f>IF($B32="","",$BG31+$H32)</f>
      </c>
      <c r="BH32" s="7">
        <f>IF($B32="","",$BH31+$I32)</f>
      </c>
      <c r="BI32" s="7">
        <f>IF($B32="","",$BI31+$G32)</f>
      </c>
      <c r="BJ32" s="7">
        <f>IF($B32="","",IFERROR(LOOKUP(2,1/((((Events!$C$6:$C$17="Deduction start"))*(Events!$D$6:$D$17="Health FSA"))*(Events!$B$6:$B$17&lt;=$B32)*(Events!$B$6:$B$17&lt;&gt;"")),Events!$E$6:$E$17),Inputs!$D$38))</f>
      </c>
      <c r="BK32" s="7">
        <f>IF($B32="","",IFERROR(LOOKUP(2,1/((((Events!$C$6:$C$17="Deduction start"))*(Events!$D$6:$D$17="Dependent-care FSA"))*(Events!$B$6:$B$17&lt;=$B32)*(Events!$B$6:$B$17&lt;&gt;"")),Events!$E$6:$E$17),Inputs!$D$39))</f>
      </c>
      <c r="BL32" s="7">
        <f>IF($B32="","",IFERROR(LOOKUP(2,1/((((Events!$C$6:$C$17="Deduction start")+(Events!$C$6:$C$17="Deduction stop"))*(Events!$D$6:$D$17="HSA"))*(Events!$B$6:$B$17&lt;=$B32)*(Events!$B$6:$B$17&lt;&gt;"")),Events!$I$6:$I$17),Inputs!$D$35))</f>
      </c>
      <c r="BM32" s="7">
        <f>IF($B32="","",IFERROR(LOOKUP(2,1/((((Events!$C$6:$C$17="Deduction start")+(Events!$C$6:$C$17="Deduction stop"))*(Events!$D$6:$D$17="Premiums"))*(Events!$B$6:$B$17&lt;=$B32)*(Events!$B$6:$B$17&lt;&gt;"")),Events!$I$6:$I$17),Inputs!$D$40+Inputs!$D$41+Inputs!$D$42))</f>
      </c>
      <c r="BN32" s="7">
        <f>IF($B32="","",IFERROR(LOOKUP(2,1/((((Events!$C$6:$C$17="Deduction start")+(Events!$C$6:$C$17="Deduction stop"))*(Events!$D$6:$D$17="Commuter"))*(Events!$B$6:$B$17&lt;=$B32)*(Events!$B$6:$B$17&lt;&gt;"")),Events!$I$6:$I$17),Inputs!$D$43))</f>
      </c>
      <c r="BO32" s="7">
        <f>IF($B32="","",IFERROR(LOOKUP(2,1/((((Events!$C$6:$C$17="Deduction start")+(Events!$C$6:$C$17="Deduction stop"))*(Events!$D$6:$D$17="Other pre-tax"))*(Events!$B$6:$B$17&lt;=$B32)*(Events!$B$6:$B$17&lt;&gt;"")),Events!$I$6:$I$17),Inputs!$D$44))</f>
      </c>
      <c r="BP32" s="7">
        <f>IF($B32="","",IFERROR(LOOKUP(2,1/((((Events!$C$6:$C$17="Deduction start")+(Events!$C$6:$C$17="Deduction stop"))*(Events!$D$6:$D$17="Other post-tax"))*(Events!$B$6:$B$17&lt;=$B32)*(Events!$B$6:$B$17&lt;&gt;"")),Events!$I$6:$I$17),Inputs!$D$45))</f>
      </c>
      <c r="BQ32" s="6">
        <f>IF($B32="","",IFERROR(LOOKUP(2,1/((((Events!$C$6:$C$17="Deduction start")+(Events!$C$6:$C$17="Deduction stop"))*(Events!$D$6:$D$17="Health FSA"))*(Events!$B$6:$B$17&lt;=$B32)*(Events!$B$6:$B$17&lt;&gt;"")),Events!$J$6:$J$17),0))</f>
      </c>
      <c r="BR32" s="6">
        <f>IF($B32="","",IFERROR(LOOKUP(2,1/((((Events!$C$6:$C$17="Deduction start")+(Events!$C$6:$C$17="Deduction stop"))*(Events!$D$6:$D$17="Dependent-care FSA"))*(Events!$B$6:$B$17&lt;=$B32)*(Events!$B$6:$B$17&lt;&gt;"")),Events!$J$6:$J$17),0))</f>
      </c>
      <c r="BS32" s="6">
        <f>IF($B32="","",IF(SUMPRODUCT((Events!$C$6:$C$17="Deduction start")*(Events!$B$6:$B$17&lt;=$B32)*(Events!$B$6:$B$17&lt;&gt;"")*(Events!$D$6:$D$17="Health FSA"))&gt;0,1,0))</f>
      </c>
      <c r="BT32" s="6">
        <f>IF($B32="","",IF(SUMPRODUCT((Events!$C$6:$C$17="Deduction start")*(Events!$B$6:$B$17&lt;=$B32)*(Events!$B$6:$B$17&lt;&gt;"")*(Events!$D$6:$D$17="Dependent-care FSA"))&gt;0,1,0))</f>
      </c>
      <c r="BU32" s="24">
        <f>IF($B32="","",IF(Inputs!$C$13,SUMPRODUCT(($AH32&gt;=INDEX('Methodology &amp; Sources'!$B$279:$J$286,0,IF(Inputs!$C$12="MFJ",1,IF(Inputs!$C$12="HoH",7,4))))*INDEX('Methodology &amp; Sources'!$B$279:$J$286,0,IF(Inputs!$C$12="MFJ",1,IF(Inputs!$C$12="HoH",7,4))+2)),SUMPRODUCT(($AH32&gt;=INDEX('Methodology &amp; Sources'!$B$269:$J$276,0,IF(Inputs!$C$12="MFJ",1,IF(Inputs!$C$12="HoH",7,4))))*INDEX('Methodology &amp; Sources'!$B$269:$J$276,0,IF(Inputs!$C$12="MFJ",1,IF(Inputs!$C$12="HoH",7,4))+2))))</f>
      </c>
      <c r="BV32" s="24">
        <f>IF($B32="","",IF($BZ32&lt;&gt;"",$BZ32,IF($CA32&lt;&gt;"",$CA32,IF($CB32&lt;&gt;"",$CB32,IF($CC32&lt;&gt;"",$CC32,0)))))</f>
      </c>
      <c r="BW32" s="7">
        <f>IF($B32="","",IF($AN32="MD",IF(OR($AU32="Married",$AU32="Head of household"),SUMPRODUCT(($AZ32&gt;INDEX('Methodology &amp; Sources'!$B$364:$J$370,0,1))*($AZ32-INDEX('Methodology &amp; Sources'!$B$364:$J$370,0,1))*INDEX('Methodology &amp; Sources'!$B$364:$J$370,0,1+2)),SUMPRODUCT(($AZ32&gt;INDEX('Methodology &amp; Sources'!$B$353:$J$359,0,7))*($AZ32-INDEX('Methodology &amp; Sources'!$B$353:$J$359,0,7))*INDEX('Methodology &amp; Sources'!$B$353:$J$359,0,7+2))),IF($AN32="MO",SUMPRODUCT(($AZ32&gt;INDEX('Methodology &amp; Sources'!$B$375:$J$382,0,1))*($AZ32-INDEX('Methodology &amp; Sources'!$B$375:$J$382,0,1))*INDEX('Methodology &amp; Sources'!$B$375:$J$382,0,1+2)),IF($AN32="MT",IF($AU32="Head of household",SUMPRODUCT(($AZ32&gt;INDEX('Methodology &amp; Sources'!$B$387:$J$389,0,1))*($AZ32-INDEX('Methodology &amp; Sources'!$B$387:$J$389,0,1))*INDEX('Methodology &amp; Sources'!$B$387:$J$389,0,1+2)),IF($AU32="Married",SUMPRODUCT(($AZ32&gt;INDEX('Methodology &amp; Sources'!$B$375:$J$382,0,7))*($AZ32-INDEX('Methodology &amp; Sources'!$B$375:$J$382,0,7))*INDEX('Methodology &amp; Sources'!$B$375:$J$382,0,7+2)),SUMPRODUCT(($AZ32&gt;INDEX('Methodology &amp; Sources'!$B$375:$J$382,0,4))*($AZ32-INDEX('Methodology &amp; Sources'!$B$375:$J$382,0,4))*INDEX('Methodology &amp; Sources'!$B$375:$J$382,0,4+2)))),IF($AN32="ND",IF($AU32="Head of household",SUMPRODUCT(($AZ32&gt;INDEX('Methodology &amp; Sources'!$B$394:$J$400,0,1))*($AZ32-INDEX('Methodology &amp; Sources'!$B$394:$J$400,0,1))*INDEX('Methodology &amp; Sources'!$B$394:$J$400,0,1+2)),IF($AU32="Married",SUMPRODUCT(($AZ32&gt;INDEX('Methodology &amp; Sources'!$B$387:$J$389,0,7))*($AZ32-INDEX('Methodology &amp; Sources'!$B$387:$J$389,0,7))*INDEX('Methodology &amp; Sources'!$B$387:$J$389,0,7+2)),SUMPRODUCT(($AZ32&gt;INDEX('Methodology &amp; Sources'!$B$387:$J$389,0,4))*($AZ32-INDEX('Methodology &amp; Sources'!$B$387:$J$389,0,4))*INDEX('Methodology &amp; Sources'!$B$387:$J$389,0,4+2)))),IF($AN32="NJ",IF(Inputs!$C$77="B",SUMPRODUCT(($AZ32&gt;INDEX('Methodology &amp; Sources'!$B$405:$J$412,0,4))*($AZ32-INDEX('Methodology &amp; Sources'!$B$405:$J$412,0,4))*INDEX('Methodology &amp; Sources'!$B$405:$J$412,0,4+2)),IF(Inputs!$C$77="C",SUMPRODUCT(($AZ32&gt;INDEX('Methodology &amp; Sources'!$B$405:$J$412,0,7))*($AZ32-INDEX('Methodology &amp; Sources'!$B$405:$J$412,0,7))*INDEX('Methodology &amp; Sources'!$B$405:$J$412,0,7+2)),IF(Inputs!$C$77="D",SUMPRODUCT(($AZ32&gt;INDEX('Methodology &amp; Sources'!$B$417:$J$429,0,1))*($AZ32-INDEX('Methodology &amp; Sources'!$B$417:$J$429,0,1))*INDEX('Methodology &amp; Sources'!$B$417:$J$429,0,1+2)),IF(Inputs!$C$77="E",SUMPRODUCT(($AZ32&gt;INDEX('Methodology &amp; Sources'!$B$417:$J$429,0,4))*($AZ32-INDEX('Methodology &amp; Sources'!$B$417:$J$429,0,4))*INDEX('Methodology &amp; Sources'!$B$417:$J$429,0,4+2)),SUMPRODUCT(($AZ32&gt;INDEX('Methodology &amp; Sources'!$B$405:$J$412,0,1))*($AZ32-INDEX('Methodology &amp; Sources'!$B$405:$J$412,0,1))*INDEX('Methodology &amp; Sources'!$B$405:$J$412,0,1+2)))))),IF($AN32="NY",IF($AU32="Married",IF($AZ32&gt;=2155350,$AZ32*IF($AZ32&gt;25000000,0.117,IF($AZ32&gt;5000000,0.111,0.1045)),SUMPRODUCT(($AZ32&gt;INDEX('Methodology &amp; Sources'!$B$434:$J$448,0,1))*($AZ32-INDEX('Methodology &amp; Sources'!$B$434:$J$448,0,1))*INDEX('Methodology &amp; Sources'!$B$434:$J$448,0,1+2))),IF($AZ32&gt;=1077550,$AZ32*IF($AZ32&gt;25000000,0.117,IF($AZ32&gt;5000000,0.111,0.1045)),SUMPRODUCT(($AZ32&gt;INDEX('Methodology &amp; Sources'!$B$417:$J$429,0,7))*($AZ32-INDEX('Methodology &amp; Sources'!$B$417:$J$429,0,7))*INDEX('Methodology &amp; Sources'!$B$417:$J$429,0,7+2)))),"")))))))</f>
      </c>
      <c r="BX32" s="7">
        <f>IF($B32="","",IF($AN32="AL",IF(OR($AU32="Married",$AU32="Head of household"),SUMPRODUCT(($AZ32&gt;INDEX('Methodology &amp; Sources'!$B$332:$J$336,0,4))*($AZ32-INDEX('Methodology &amp; Sources'!$B$332:$J$336,0,4))*INDEX('Methodology &amp; Sources'!$B$332:$J$336,0,4+2)),SUMPRODUCT(($AZ32&gt;INDEX('Methodology &amp; Sources'!$B$332:$J$336,0,1))*($AZ32-INDEX('Methodology &amp; Sources'!$B$332:$J$336,0,1))*INDEX('Methodology &amp; Sources'!$B$332:$J$336,0,1+2))),IF($AN32="KS",IF($AU32="Married",SUMPRODUCT(($AZ32&gt;INDEX('Methodology &amp; Sources'!$B$353:$J$359,0,4))*($AZ32-INDEX('Methodology &amp; Sources'!$B$353:$J$359,0,4))*INDEX('Methodology &amp; Sources'!$B$353:$J$359,0,4+2)),SUMPRODUCT(($AZ32&gt;INDEX('Methodology &amp; Sources'!$B$353:$J$359,0,1))*($AZ32-INDEX('Methodology &amp; Sources'!$B$353:$J$359,0,1))*INDEX('Methodology &amp; Sources'!$B$353:$J$359,0,1+2))),IF($AN32="MN",IF($AU32="Married",SUMPRODUCT(($AZ32&gt;INDEX('Methodology &amp; Sources'!$B$364:$J$370,0,7))*($AZ32-INDEX('Methodology &amp; Sources'!$B$364:$J$370,0,7))*INDEX('Methodology &amp; Sources'!$B$364:$J$370,0,7+2)),SUMPRODUCT(($AZ32&gt;INDEX('Methodology &amp; Sources'!$B$364:$J$370,0,4))*($AZ32-INDEX('Methodology &amp; Sources'!$B$364:$J$370,0,4))*INDEX('Methodology &amp; Sources'!$B$364:$J$370,0,4+2))),IF($AN32="NE",MAX(IF($AU32="Married",SUMPRODUCT(($AZ32&gt;INDEX('Methodology &amp; Sources'!$B$394:$J$400,0,7))*($AZ32-INDEX('Methodology &amp; Sources'!$B$394:$J$400,0,7))*INDEX('Methodology &amp; Sources'!$B$394:$J$400,0,7+2)),SUMPRODUCT(($AZ32&gt;INDEX('Methodology &amp; Sources'!$B$394:$J$400,0,4))*($AZ32-INDEX('Methodology &amp; Sources'!$B$394:$J$400,0,4))*INDEX('Methodology &amp; Sources'!$B$394:$J$400,0,4+2))),0.015*$AZ32),IF($AN32="OH",IF($B32&gt;=DATE(2026,8,1),SUMPRODUCT(($AZ32&gt;INDEX('Methodology &amp; Sources'!$B$453:$J$456,0,1))*($AZ32-INDEX('Methodology &amp; Sources'!$B$453:$J$456,0,1))*INDEX('Methodology &amp; Sources'!$B$453:$J$456,0,1+2)),SUMPRODUCT(($AZ32&gt;INDEX('Methodology &amp; Sources'!$B$434:$J$448,0,7))*($AZ32-INDEX('Methodology &amp; Sources'!$B$434:$J$448,0,7))*INDEX('Methodology &amp; Sources'!$B$434:$J$448,0,7+2))),IF($AN32="OK",IF($AU32="Married",SUMPRODUCT(($AZ32&gt;INDEX('Methodology &amp; Sources'!$B$453:$J$456,0,7))*($AZ32-INDEX('Methodology &amp; Sources'!$B$453:$J$456,0,7))*INDEX('Methodology &amp; Sources'!$B$453:$J$456,0,7+2)),SUMPRODUCT(($AZ32&gt;INDEX('Methodology &amp; Sources'!$B$453:$J$456,0,4))*($AZ32-INDEX('Methodology &amp; Sources'!$B$453:$J$456,0,4))*INDEX('Methodology &amp; Sources'!$B$453:$J$456,0,4+2))),IF($AN32="RI",SUMPRODUCT(($AZ32&gt;INDEX('Methodology &amp; Sources'!$B$461:$J$464,0,7))*($AZ32-INDEX('Methodology &amp; Sources'!$B$461:$J$464,0,7))*INDEX('Methodology &amp; Sources'!$B$461:$J$464,0,7+2)),IF($AN32="VT",IF($AU32="Married",SUMPRODUCT(($AZ32&gt;INDEX('Methodology &amp; Sources'!$B$478:$J$482,0,1))*($AZ32-INDEX('Methodology &amp; Sources'!$B$478:$J$482,0,1))*INDEX('Methodology &amp; Sources'!$B$478:$J$482,0,1+2)),SUMPRODUCT(($AZ32&gt;INDEX('Methodology &amp; Sources'!$B$469:$J$473,0,7))*($AZ32-INDEX('Methodology &amp; Sources'!$B$469:$J$473,0,7))*INDEX('Methodology &amp; Sources'!$B$469:$J$473,0,7+2))),IF($AN32="WV",IF($AU32="Married",SUMPRODUCT(($AZ32&gt;INDEX('Methodology &amp; Sources'!$B$487:$J$491,0,7))*($AZ32-INDEX('Methodology &amp; Sources'!$B$487:$J$491,0,7))*INDEX('Methodology &amp; Sources'!$B$487:$J$491,0,7+2)),SUMPRODUCT(($AZ32&gt;INDEX('Methodology &amp; Sources'!$B$478:$J$482,0,7))*($AZ32-INDEX('Methodology &amp; Sources'!$B$478:$J$482,0,7))*INDEX('Methodology &amp; Sources'!$B$478:$J$482,0,7+2))),""))))))))))</f>
      </c>
      <c r="BY32" s="7">
        <f>IF($B32="","",IF($AN32="AR",SUMPRODUCT(($AZ32&gt;INDEX('Methodology &amp; Sources'!$B$332:$J$336,0,7))*($AZ32-INDEX('Methodology &amp; Sources'!$B$332:$J$336,0,7))*INDEX('Methodology &amp; Sources'!$B$332:$J$336,0,7+2)),IF($AN32="DE",SUMPRODUCT(($AZ32&gt;INDEX('Methodology &amp; Sources'!$B$341:$J$348,0,1))*($AZ32-INDEX('Methodology &amp; Sources'!$B$341:$J$348,0,1))*INDEX('Methodology &amp; Sources'!$B$341:$J$348,0,1+2)),IF($AN32="HI",IF($AU32="Married",SUMPRODUCT(($AZ32&gt;INDEX('Methodology &amp; Sources'!$B$341:$J$348,0,7))*($AZ32-INDEX('Methodology &amp; Sources'!$B$341:$J$348,0,7))*INDEX('Methodology &amp; Sources'!$B$341:$J$348,0,7+2)),SUMPRODUCT(($AZ32&gt;INDEX('Methodology &amp; Sources'!$B$341:$J$348,0,4))*($AZ32-INDEX('Methodology &amp; Sources'!$B$341:$J$348,0,4))*INDEX('Methodology &amp; Sources'!$B$341:$J$348,0,4+2))),IF($AN32="SC",SUMPRODUCT(($AZ32&gt;INDEX('Methodology &amp; Sources'!$B$469:$J$473,0,1))*($AZ32-INDEX('Methodology &amp; Sources'!$B$469:$J$473,0,1))*INDEX('Methodology &amp; Sources'!$B$469:$J$473,0,1+2)),IF($AN32="VA",SUMPRODUCT(($AZ32&gt;INDEX('Methodology &amp; Sources'!$B$469:$J$473,0,4))*($AZ32-INDEX('Methodology &amp; Sources'!$B$469:$J$473,0,4))*INDEX('Methodology &amp; Sources'!$B$469:$J$473,0,4+2)),IF($AN32="WI",SUMPRODUCT(($AZ32&gt;INDEX('Methodology &amp; Sources'!$B$478:$J$482,0,4))*($AZ32-INDEX('Methodology &amp; Sources'!$B$478:$J$482,0,4))*INDEX('Methodology &amp; Sources'!$B$478:$J$482,0,4+2)),"")))))))</f>
      </c>
      <c r="BZ32" s="24">
        <f>IF($B32="","",IF($AN32="NJ",IF(Inputs!$C$77="B",SUMPRODUCT(($AZ32&gt;=INDEX('Methodology &amp; Sources'!$B$405:$J$412,0,4))*INDEX('Methodology &amp; Sources'!$B$405:$J$412,0,4+2)),IF(Inputs!$C$77="C",SUMPRODUCT(($AZ32&gt;=INDEX('Methodology &amp; Sources'!$B$405:$J$412,0,7))*INDEX('Methodology &amp; Sources'!$B$405:$J$412,0,7+2)),IF(Inputs!$C$77="D",SUMPRODUCT(($AZ32&gt;=INDEX('Methodology &amp; Sources'!$B$417:$J$429,0,1))*INDEX('Methodology &amp; Sources'!$B$417:$J$429,0,1+2)),IF(Inputs!$C$77="E",SUMPRODUCT(($AZ32&gt;=INDEX('Methodology &amp; Sources'!$B$417:$J$429,0,4))*INDEX('Methodology &amp; Sources'!$B$417:$J$429,0,4+2)),SUMPRODUCT(($AZ32&gt;=INDEX('Methodology &amp; Sources'!$B$405:$J$412,0,1))*INDEX('Methodology &amp; Sources'!$B$405:$J$412,0,1+2)))))),IF($AN32="OR",IF(OR($AU32="Married",AND($AU32="Single",$AS32&gt;=3)),SUMPRODUCT((MAX(0,$AY32-MIN(($P32-'Methodology &amp; Sources'!$C$260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Sources'!$B$461:$J$464,0,4))*INDEX('Methodology &amp; Sources'!$B$461:$J$464,0,4+2)),SUMPRODUCT((MAX(0,$AY32-MIN(($P32-'Methodology &amp; Sources'!$C$260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Sources'!$B$461:$J$464,0,1))*INDEX('Methodology &amp; Sources'!$B$461:$J$464,0,1+2)))*IF(($P32-'Methodology &amp; Sources'!$C$260*$D32)*Inputs!$C$8&gt;=IF(OR($AU32="Married",AND($AU32="Single",$AS32&gt;=3)),IF($AY32&lt;250000,8750,IF($AY32&lt;260000,7000,IF($AY32&lt;270000,5250,IF($AY32&lt;280000,3500,IF($AY32&lt;290000,1750,0))))),IF($AY32&lt;125000,8750,IF($AY32&lt;130000,7000,IF($AY32&lt;135000,5250,IF($AY32&lt;140000,3500,IF($AY32&lt;145000,1750,0)))))),1,1-IF(Inputs!$C$13,SUMPRODUCT(($AH32&gt;=INDEX('Methodology &amp; Sources'!$B$279:$J$286,0,IF(Inputs!$C$12="MFJ",1,IF(Inputs!$C$12="HoH",7,4))))*INDEX('Methodology &amp; Sources'!$B$279:$J$286,0,IF(Inputs!$C$12="MFJ",1,IF(Inputs!$C$12="HoH",7,4))+2)),SUMPRODUCT(($AH32&gt;=INDEX('Methodology &amp; Sources'!$B$269:$J$276,0,IF(Inputs!$C$12="MFJ",1,IF(Inputs!$C$12="HoH",7,4))))*INDEX('Methodology &amp; Sources'!$B$269:$J$276,0,IF(Inputs!$C$12="MFJ",1,IF(Inputs!$C$12="HoH",7,4))+2)))),IF($AN32="MI",IF($AY32&gt;5900*$AS32,0.0425,0),""))))</f>
      </c>
      <c r="CA32" s="24">
        <f>IF($B32="","",IF($AN32="AL",IF(OR($AU32="Married",$AU32="Head of household"),SUMPRODUCT(($AZ32&gt;=INDEX('Methodology &amp; Sources'!$B$332:$J$336,0,4))*INDEX('Methodology &amp; Sources'!$B$332:$J$336,0,4+2)),SUMPRODUCT(($AZ32&gt;=INDEX('Methodology &amp; Sources'!$B$332:$J$336,0,1))*INDEX('Methodology &amp; Sources'!$B$332:$J$336,0,1+2)))*(1-IF(Inputs!$C$13,SUMPRODUCT(($AH32&gt;=INDEX('Methodology &amp; Sources'!$B$279:$J$286,0,IF(Inputs!$C$12="MFJ",1,IF(Inputs!$C$12="HoH",7,4))))*INDEX('Methodology &amp; Sources'!$B$279:$J$286,0,IF(Inputs!$C$12="MFJ",1,IF(Inputs!$C$12="HoH",7,4))+2)),SUMPRODUCT(($AH32&gt;=INDEX('Methodology &amp; Sources'!$B$269:$J$276,0,IF(Inputs!$C$12="MFJ",1,IF(Inputs!$C$12="HoH",7,4))))*INDEX('Methodology &amp; Sources'!$B$269:$J$276,0,IF(Inputs!$C$12="MFJ",1,IF(Inputs!$C$12="HoH",7,4))+2)))),IF($AN32="KS",IF($AU32="Married",SUMPRODUCT(($AZ32&gt;=INDEX('Methodology &amp; Sources'!$B$353:$J$359,0,4))*INDEX('Methodology &amp; Sources'!$B$353:$J$359,0,4+2)),SUMPRODUCT(($AZ32&gt;=INDEX('Methodology &amp; Sources'!$B$353:$J$359,0,1))*INDEX('Methodology &amp; Sources'!$B$353:$J$359,0,1+2))),IF($AN32="MD",IF(OR($AU32="Married",$AU32="Head of household"),SUMPRODUCT(($AZ32&gt;=INDEX('Methodology &amp; Sources'!$B$364:$J$370,0,1))*INDEX('Methodology &amp; Sources'!$B$364:$J$370,0,1+2)),SUMPRODUCT(($AZ32&gt;=INDEX('Methodology &amp; Sources'!$B$353:$J$359,0,7))*INDEX('Methodology &amp; Sources'!$B$353:$J$359,0,7+2)))+Inputs!$C$74,IF($AN32="MT",IF($AU32="Head of household",SUMPRODUCT(($AZ32&gt;=INDEX('Methodology &amp; Sources'!$B$387:$J$389,0,1))*INDEX('Methodology &amp; Sources'!$B$387:$J$389,0,1+2)),IF($AU32="Married",SUMPRODUCT(($AZ32&gt;=INDEX('Methodology &amp; Sources'!$B$375:$J$382,0,7))*INDEX('Methodology &amp; Sources'!$B$375:$J$382,0,7+2)),SUMPRODUCT(($AZ32&gt;=INDEX('Methodology &amp; Sources'!$B$375:$J$382,0,4))*INDEX('Methodology &amp; Sources'!$B$375:$J$382,0,4+2)))),IF($AN32="ND",IF($AU32="Head of household",SUMPRODUCT(($AZ32&gt;=INDEX('Methodology &amp; Sources'!$B$394:$J$400,0,1))*INDEX('Methodology &amp; Sources'!$B$394:$J$400,0,1+2)),IF($AU32="Married",SUMPRODUCT(($AZ32&gt;=INDEX('Methodology &amp; Sources'!$B$387:$J$389,0,7))*INDEX('Methodology &amp; Sources'!$B$387:$J$389,0,7+2)),SUMPRODUCT(($AZ32&gt;=INDEX('Methodology &amp; Sources'!$B$387:$J$389,0,4))*INDEX('Methodology &amp; Sources'!$B$387:$J$389,0,4+2)))),IF($AN32="NY",IF($AU32="Married",IF($AZ32&gt;=2155350,IF($AZ32&gt;25000000,0.117,IF($AZ32&gt;5000000,0.111,0.1045)),SUMPRODUCT(($AZ32&gt;=INDEX('Methodology &amp; Sources'!$B$434:$J$448,0,1))*INDEX('Methodology &amp; Sources'!$B$434:$J$448,0,1+2))),IF($AZ32&gt;=1077550,IF($AZ32&gt;25000000,0.117,IF($AZ32&gt;5000000,0.111,0.1045)),SUMPRODUCT(($AZ32&gt;=INDEX('Methodology &amp; Sources'!$B$417:$J$429,0,7))*INDEX('Methodology &amp; Sources'!$B$417:$J$429,0,7+2)))),"")))))))</f>
      </c>
      <c r="CB32" s="24">
        <f>IF($B32="","",IF($AN32="CA",SUMPRODUCT(($AJ32&gt;=INDEX('Methodology &amp; Sources'!$B$289:$J$298,0,IF($AU32="Married",4,IF($AU32="Head of household",7,1))))*INDEX('Methodology &amp; Sources'!$B$289:$J$298,0,IF($AU32="Married",4,IF($AU32="Head of household",7,1))+2)),IF($AN32="HI",IF($AU32="Married",SUMPRODUCT(($AZ32&gt;=INDEX('Methodology &amp; Sources'!$B$341:$J$348,0,7))*INDEX('Methodology &amp; Sources'!$B$341:$J$348,0,7+2)),SUMPRODUCT(($AZ32&gt;=INDEX('Methodology &amp; Sources'!$B$341:$J$348,0,4))*INDEX('Methodology &amp; Sources'!$B$341:$J$348,0,4+2))),IF($AN32="MN",IF($AU32="Married",SUMPRODUCT(($AZ32&gt;=INDEX('Methodology &amp; Sources'!$B$364:$J$370,0,7))*INDEX('Methodology &amp; Sources'!$B$364:$J$370,0,7+2)),SUMPRODUCT(($AZ32&gt;=INDEX('Methodology &amp; Sources'!$B$364:$J$370,0,4))*INDEX('Methodology &amp; Sources'!$B$364:$J$370,0,4+2))),IF($AN32="MO",SUMPRODUCT(($AZ32&gt;=INDEX('Methodology &amp; Sources'!$B$375:$J$382,0,1))*INDEX('Methodology &amp; Sources'!$B$375:$J$382,0,1+2)),IF($AN32="NE",MAX(IF($AU32="Married",SUMPRODUCT(($AZ32&gt;=INDEX('Methodology &amp; Sources'!$B$394:$J$400,0,7))*INDEX('Methodology &amp; Sources'!$B$394:$J$400,0,7+2)),SUMPRODUCT(($AZ32&gt;=INDEX('Methodology &amp; Sources'!$B$394:$J$400,0,4))*INDEX('Methodology &amp; Sources'!$B$394:$J$400,0,4+2))),0.015),IF($AN32="OH",IF($B32&gt;=DATE(2026,8,1),SUMPRODUCT(($AZ32&gt;=INDEX('Methodology &amp; Sources'!$B$453:$J$456,0,1))*INDEX('Methodology &amp; Sources'!$B$453:$J$456,0,1+2)),SUMPRODUCT(($AZ32&gt;=INDEX('Methodology &amp; Sources'!$B$434:$J$448,0,7))*INDEX('Methodology &amp; Sources'!$B$434:$J$448,0,7+2))),IF($AN32="OK",IF($AU32="Married",SUMPRODUCT(($AZ32&gt;=INDEX('Methodology &amp; Sources'!$B$453:$J$456,0,7))*INDEX('Methodology &amp; Sources'!$B$453:$J$456,0,7+2)),SUMPRODUCT(($AZ32&gt;=INDEX('Methodology &amp; Sources'!$B$453:$J$456,0,4))*INDEX('Methodology &amp; Sources'!$B$453:$J$456,0,4+2))),IF($AN32="RI",SUMPRODUCT(($AZ32&gt;=INDEX('Methodology &amp; Sources'!$B$461:$J$464,0,7))*INDEX('Methodology &amp; Sources'!$B$461:$J$464,0,7+2)),IF($AN32="SC",SUMPRODUCT(($AZ32&gt;=INDEX('Methodology &amp; Sources'!$B$469:$J$473,0,1))*INDEX('Methodology &amp; Sources'!$B$469:$J$473,0,1+2)),IF($AN32="VT",IF($AU32="Married",SUMPRODUCT(($AZ32&gt;=INDEX('Methodology &amp; Sources'!$B$478:$J$482,0,1))*INDEX('Methodology &amp; Sources'!$B$478:$J$482,0,1+2)),SUMPRODUCT(($AZ32&gt;=INDEX('Methodology &amp; Sources'!$B$469:$J$473,0,7))*INDEX('Methodology &amp; Sources'!$B$469:$J$473,0,7+2))),IF($AN32="WV",IF($AU32="Married",SUMPRODUCT(($AZ32&gt;=INDEX('Methodology &amp; Sources'!$B$487:$J$491,0,7))*INDEX('Methodology &amp; Sources'!$B$487:$J$491,0,7+2)),SUMPRODUCT(($AZ32&gt;=INDEX('Methodology &amp; Sources'!$B$478:$J$482,0,7))*INDEX('Methodology &amp; Sources'!$B$478:$J$482,0,7+2))),IF($AN32="IN",(0.0295+Inputs!$C$76),"")))))))))))))</f>
      </c>
      <c r="CC32" s="24">
        <f>IF($B32="","",IF($AN32="AR",SUMPRODUCT(($AZ32&gt;=INDEX('Methodology &amp; Sources'!$B$332:$J$336,0,7))*INDEX('Methodology &amp; Sources'!$B$332:$J$336,0,7+2)),IF($AN32="DE",SUMPRODUCT(($AZ32&gt;=INDEX('Methodology &amp; Sources'!$B$341:$J$348,0,1))*INDEX('Methodology &amp; Sources'!$B$341:$J$348,0,1+2)),IF($AN32="VA",SUMPRODUCT(($AZ32&gt;=INDEX('Methodology &amp; Sources'!$B$469:$J$473,0,4))*INDEX('Methodology &amp; Sources'!$B$469:$J$473,0,4+2)),IF($AN32="WI",SUMPRODUCT(($AZ32&gt;=INDEX('Methodology &amp; Sources'!$B$478:$J$482,0,4))*INDEX('Methodology &amp; Sources'!$B$478:$J$482,0,4+2)),IF($AN32="AZ",Inputs!$C$82,IF($AN32="CO",IF($AY32&gt;IF($AU32="Married",10000,5000),0.044,0),IF($AN32="IA",IF($AY32&gt;IF($AU32="Head of household",19500,IF($AU32="Married",26000,13000)),0.038,0),IF($AN32="ID",IF($AY32&gt;IF($AU32="Married",32000,16094),0.053,0),IF($AN32="IL",IF($AY32&gt;(2925*$AS32+1000*$AT32),0.0495,0),IF($AN32="KY",IF($AI32&gt;3360,0.035,0),IF($AN32="LA",0.0309,IF($AN32="MA",IF(MAX(0,$AY32-MIN(($BD31+$Q32+$R32+$S32),2000)-IF($AS32=0,0,IF($AS32=1,4400,1000*$AS32+3400)))&gt;=1107750,0.09,0.05),IF($AN32="MS",IF($AI32-IF($AU32="Head of household",3400,IF($AU32="Married",4600,2300))-Inputs!$C$85&gt;10000,0.04,0),IF($AN32="PA",0.0307,"")))))))))))))))</f>
      </c>
      <c r="CD32" s="21">
        <f>IF(YEAR(IF(Inputs!$C$7="Weekly",Inputs!$C$9+7*(($BE31+1)-1),IF(Inputs!$C$7="Biweekly",Inputs!$C$9+14*(($BE31+1)-1),IF(Inputs!$C$7="Semimonthly",DATE(YEAR(Inputs!$C$9),MONTH(Inputs!$C$9)+INT((($BE31+1)-1)/2),MIN(DAY(Inputs!$C$9),DAY(EOMONTH(DATE(YEAR(Inputs!$C$9),MONTH(Inputs!$C$9)+INT((($BE31+1)-1)/2),1),0))))+IF(MOD(($BE31+1)-1,2)=1,15,0),EDATE(Inputs!$C$9,($BE31+1)-1)))))&lt;&gt;2026,"",IF(Inputs!$C$7="Weekly",Inputs!$C$9+7*(($BE31+1)-1),IF(Inputs!$C$7="Biweekly",Inputs!$C$9+14*(($BE31+1)-1),IF(Inputs!$C$7="Semimonthly",DATE(YEAR(Inputs!$C$9),MONTH(Inputs!$C$9)+INT((($BE31+1)-1)/2),MIN(DAY(Inputs!$C$9),DAY(EOMONTH(DATE(YEAR(Inputs!$C$9),MONTH(Inputs!$C$9)+INT((($BE31+1)-1)/2),1),0))))+IF(MOD(($BE31+1)-1,2)=1,15,0),EDATE(Inputs!$C$9,($BE31+1)-1)))))</f>
      </c>
      <c r="CE32" s="21">
        <f>IF(SUMPRODUCT(MIN(IF((Inputs!$C$58:$C$67&gt;MAX($B$6:$B31))*(Inputs!$C$58:$C$67&gt;=DATE(2026,1,1))*(Inputs!$C$58:$C$67&lt;=DATE(2026,12,31)),Inputs!$C$58:$C$67,999999)))=999999,"",SUMPRODUCT(MIN(IF((Inputs!$C$58:$C$67&gt;MAX($B$6:$B31))*(Inputs!$C$58:$C$67&gt;=DATE(2026,1,1))*(Inputs!$C$58:$C$67&lt;=DATE(2026,12,31)),Inputs!$C$58:$C$67,999999))))</f>
      </c>
    </row>
    <row r="33">
      <c r="A33" t="n">
        <v>28</v>
      </c>
      <c r="B33" s="21">
        <f>IF(AND($CD33="",$CE33=""),"",IF($CE33="",$CD33,IF($CD33="",$CE33,MIN($CD33,$CE33))))</f>
      </c>
      <c r="C33" s="7">
        <f>IF($B33="","",IF($BF33=0,0,IF(Inputs!$C$4="Annual salary",ROUND($AK33/IF(AND(Inputs!$C$88="Actual paydays",MONTH(Inputs!$C$9)=1),MAX(1,MAX($BE$6:$BE$68)),Inputs!$C$8),2),$AK33)))</f>
      </c>
      <c r="D33" s="7">
        <f>IF($B33="","",SUMIF(Inputs!$C$58:$C$67,$B33,Inputs!$D$58:$D$67))</f>
      </c>
      <c r="E33" s="7">
        <f>IF($B33="","",ROUND(MAX(0,MIN(IF($AL33="Percent",$AM33*($C33+$D33),$AM33),MAX(0,Inputs!$C$91-$AC32))),2))</f>
      </c>
      <c r="F33" s="7">
        <f>IF($B33="","",ROUND(MAX(0,MIN(IF(Inputs!$C$32="Percent",Inputs!$D$32*($C33+$D33),Inputs!$D$32),MAX(0,Inputs!$C$91-$AC32-$E33))),2))</f>
      </c>
      <c r="G33" s="7">
        <f>IF($B33="","",IF($BF33=0,0,ROUND(MAX(0,MIN($BL33,Inputs!$C$92-Inputs!$C$54-$BI32)),2)))</f>
      </c>
      <c r="H33" s="7">
        <f>IF($B33="","",IF(OR($BF33=0,$BQ33=1),0,ROUND(MAX(0,MIN(IF($BS33=1,ROUND(MAX(0,MIN($BJ33,'Methodology &amp; Sources'!$C$263)-$BG32)/MAX(1,MAX($BE$6:$BE$68)-($BE32)),2),ROUND(MIN($BJ33,'Methodology &amp; Sources'!$C$263)/Inputs!$C$8,2)),MIN($BJ33,'Methodology &amp; Sources'!$C$263)-$BG32)),2)))</f>
      </c>
      <c r="I33" s="7">
        <f>IF($B33="","",IF(OR($BF33=0,$BR33=1),0,ROUND(MAX(0,MIN(IF($BT33=1,ROUND(MAX(0,MIN($BK33,IF(Inputs!$C$12="MFJ",'Methodology &amp; Sources'!$C$264,'Methodology &amp; Sources'!$C$265))-$BH32)/MAX(1,MAX($BE$6:$BE$68)-($BE32)),2),ROUND(MIN($BK33,IF(Inputs!$C$12="MFJ",'Methodology &amp; Sources'!$C$264,'Methodology &amp; Sources'!$C$265))/Inputs!$C$8,2)),MIN($BK33,IF(Inputs!$C$12="MFJ",'Methodology &amp; Sources'!$C$264,'Methodology &amp; Sources'!$C$265))-$BH32)),2)))</f>
      </c>
      <c r="J33" s="7">
        <f>IF($B33="","",IF($BF33=0,0,$BM33))</f>
      </c>
      <c r="K33" s="7">
        <f>IF($B33="","",IF($BF33=0,0,$BN33+$BO33))</f>
      </c>
      <c r="L33" s="7">
        <f>IF($B33="","",IF($BF33=0,0,Inputs!$D$46))</f>
      </c>
      <c r="M33" s="7">
        <f>IF($B33="","",$C33+$D33+$L33-$E33-$G33-$H33-$I33-$J33-$K33)</f>
      </c>
      <c r="N33" s="7">
        <f>IF($B33="","",$C33+$D33+$L33-$G33-$H33-$I33-$J33-$K33)</f>
      </c>
      <c r="O33" s="7">
        <f>IF($B33="","",$C33+$D33+$L33-$E33-$H33-$I33-$J33-$K33-IF(OR($AN33="CA",$AN33="NJ"),0,$G33))</f>
      </c>
      <c r="P33" s="7">
        <f>IF($B33="","",IF(Inputs!$C$18,0,ROUND(MAX(0,IF(Inputs!$C$13,SUMPRODUCT(($AH33&gt;INDEX('Methodology &amp; Sources'!$B$279:$J$286,0,IF(Inputs!$C$12="MFJ",1,IF(Inputs!$C$12="HoH",7,4))))*($AH33-INDEX('Methodology &amp; Sources'!$B$279:$J$286,0,IF(Inputs!$C$12="MFJ",1,IF(Inputs!$C$12="HoH",7,4))))*INDEX('Methodology &amp; Sources'!$B$279:$J$286,0,IF(Inputs!$C$12="MFJ",1,IF(Inputs!$C$12="HoH",7,4))+2)),SUMPRODUCT(($AH33&gt;INDEX('Methodology &amp; Sources'!$B$269:$J$276,0,IF(Inputs!$C$12="MFJ",1,IF(Inputs!$C$12="HoH",7,4))))*($AH33-INDEX('Methodology &amp; Sources'!$B$269:$J$276,0,IF(Inputs!$C$12="MFJ",1,IF(Inputs!$C$12="HoH",7,4))))*INDEX('Methodology &amp; Sources'!$B$269:$J$276,0,IF(Inputs!$C$12="MFJ",1,IF(Inputs!$C$12="HoH",7,4))+2)))/Inputs!$C$8-$AO33/Inputs!$C$8)+$AR33+IF(Inputs!$C$89="Aggregate",MAX(0,IF(Inputs!$C$13,SUMPRODUCT((($AH33+$D33)&gt;INDEX('Methodology &amp; Sources'!$B$279:$J$286,0,IF(Inputs!$C$12="MFJ",1,IF(Inputs!$C$12="HoH",7,4))))*(($AH33+$D33)-INDEX('Methodology &amp; Sources'!$B$279:$J$286,0,IF(Inputs!$C$12="MFJ",1,IF(Inputs!$C$12="HoH",7,4))))*INDEX('Methodology &amp; Sources'!$B$279:$J$286,0,IF(Inputs!$C$12="MFJ",1,IF(Inputs!$C$12="HoH",7,4))+2)),SUMPRODUCT((($AH33+$D33)&gt;INDEX('Methodology &amp; Sources'!$B$269:$J$276,0,IF(Inputs!$C$12="MFJ",1,IF(Inputs!$C$12="HoH",7,4))))*(($AH33+$D33)-INDEX('Methodology &amp; Sources'!$B$269:$J$276,0,IF(Inputs!$C$12="MFJ",1,IF(Inputs!$C$12="HoH",7,4))))*INDEX('Methodology &amp; Sources'!$B$269:$J$276,0,IF(Inputs!$C$12="MFJ",1,IF(Inputs!$C$12="HoH",7,4))+2)))-IF(Inputs!$C$13,SUMPRODUCT(($AH33&gt;INDEX('Methodology &amp; Sources'!$B$279:$J$286,0,IF(Inputs!$C$12="MFJ",1,IF(Inputs!$C$12="HoH",7,4))))*($AH33-INDEX('Methodology &amp; Sources'!$B$279:$J$286,0,IF(Inputs!$C$12="MFJ",1,IF(Inputs!$C$12="HoH",7,4))))*INDEX('Methodology &amp; Sources'!$B$279:$J$286,0,IF(Inputs!$C$12="MFJ",1,IF(Inputs!$C$12="HoH",7,4))+2)),SUMPRODUCT(($AH33&gt;INDEX('Methodology &amp; Sources'!$B$269:$J$276,0,IF(Inputs!$C$12="MFJ",1,IF(Inputs!$C$12="HoH",7,4))))*($AH33-INDEX('Methodology &amp; Sources'!$B$269:$J$276,0,IF(Inputs!$C$12="MFJ",1,IF(Inputs!$C$12="HoH",7,4))))*INDEX('Methodology &amp; Sources'!$B$269:$J$276,0,IF(Inputs!$C$12="MFJ",1,IF(Inputs!$C$12="HoH",7,4))+2)))),'Methodology &amp; Sources'!$C$260*$D33),2)))</f>
      </c>
      <c r="Q33" s="7">
        <f>IF($B33="","",ROUND('Methodology &amp; Sources'!$C$254*MIN($N33,MAX(0,'Methodology &amp; Sources'!$C$253-($AX33+$AB32-$AW33))),2))</f>
      </c>
      <c r="R33" s="7">
        <f>IF($B33="","",ROUND('Methodology &amp; Sources'!$C$255*$N33,2))</f>
      </c>
      <c r="S33" s="7">
        <f>IF($B33="","",ROUND('Methodology &amp; Sources'!$C$256*MAX(0,MIN($N33,$AG32+$N33-'Methodology &amp; Sources'!$C$257)),2))</f>
      </c>
      <c r="T33" s="7">
        <f>IF($B33="","",IF(Inputs!$C$26,0,IF($AN33="CA",ROUND(IF($AI33&lt;=IF(($AS33+$AT33)&gt;=2,VLOOKUP($AN33,'StateTables 2026'!$A$6:$AB$56,10,FALSE),VLOOKUP($AN33,'StateTables 2026'!$A$6:$AB$56,9,FALSE)),0,MAX(0,SUMPRODUCT(($AJ33&gt;INDEX('Methodology &amp; Sources'!$B$289:$J$298,0,IF($AU33="Married",4,IF($AU33="Head of household",7,1))))*($AJ33-INDEX('Methodology &amp; Sources'!$B$289:$J$298,0,IF($AU33="Married",4,IF($AU33="Head of household",7,1))))*INDEX('Methodology &amp; Sources'!$B$289:$J$298,0,IF($AU33="Married",4,IF($AU33="Head of household",7,1))+2))-VLOOKUP($AN33,'StateTables 2026'!$A$6:$AB$56,11,FALSE)*$AS33)/Inputs!$C$8)+Inputs!$C$25+VLOOKUP($AN33,'StateTables 2026'!$A$6:$AB$56,13,FALSE)*$D33,2),IF(VLOOKUP($AN33,'StateTables 2026'!$A$6:$AB$56,4,FALSE)="None",0,IF(ISNUMBER(SEARCH("MANUAL",VLOOKUP($AN33,'StateTables 2026'!$A$6:$AB$56,5,FALSE))),Inputs!$C$28,ROUND(MAX(0,$BA33+$BB33)/Inputs!$C$8+Inputs!$C$25+$BC33,2))))))</f>
      </c>
      <c r="U33" s="7">
        <f>IF($B33="","",IF(VLOOKUP($AN33,'StateTables 2026'!$A$6:$AB$56,24,FALSE)="flatq",IF(OR(MONTH($B33)=1,MONTH($B33)=4,MONTH($B33)=7,MONTH($B33)=10),VLOOKUP($AN33,'StateTables 2026'!$A$6:$AB$56,25,FALSE),0),IF(VLOOKUP($AN33,'StateTables 2026'!$A$6:$AB$56,24,FALSE)="dbl",MIN(ROUND(0.005*$N33,2),ROUND(0.6*52/Inputs!$C$8,2)),IF(OR(VLOOKUP($AN33,'StateTables 2026'!$A$6:$AB$56,15,FALSE)="",VLOOKUP($AN33,'StateTables 2026'!$A$6:$AB$56,15,FALSE)=0),0,ROUND(VLOOKUP($AN33,'StateTables 2026'!$A$6:$AB$56,15,FALSE)*IF(OR(VLOOKUP($AN33,'StateTables 2026'!$A$6:$AB$56,16,FALSE)="",VLOOKUP($AN33,'StateTables 2026'!$A$6:$AB$56,16,FALSE)=0),$N33,MIN($N33,MAX(0,VLOOKUP($AN33,'StateTables 2026'!$A$6:$AB$56,16,FALSE)-($AX33+$AB32-$AW33)))),2))))+IF(VLOOKUP($AN33,'StateTables 2026'!$A$6:$AB$56,27,FALSE)="flatq",IF(OR(MONTH($B33)=1,MONTH($B33)=4,MONTH($B33)=7,MONTH($B33)=10),VLOOKUP($AN33,'StateTables 2026'!$A$6:$AB$56,28,FALSE),0),IF(VLOOKUP($AN33,'StateTables 2026'!$A$6:$AB$56,27,FALSE)="dbl",MIN(ROUND(0.005*$N33,2),ROUND(0.6*52/Inputs!$C$8,2)),IF(OR(VLOOKUP($AN33,'StateTables 2026'!$A$6:$AB$56,18,FALSE)="",VLOOKUP($AN33,'StateTables 2026'!$A$6:$AB$56,18,FALSE)=0),0,ROUND(VLOOKUP($AN33,'StateTables 2026'!$A$6:$AB$56,18,FALSE)*IF(OR(VLOOKUP($AN33,'StateTables 2026'!$A$6:$AB$56,19,FALSE)="",VLOOKUP($AN33,'StateTables 2026'!$A$6:$AB$56,19,FALSE)=0),$N33,MIN($N33,MAX(0,VLOOKUP($AN33,'StateTables 2026'!$A$6:$AB$56,19,FALSE)-($AX33+$AB32-$AW33)))),2)))))</f>
      </c>
      <c r="V33" s="7">
        <f>IF($B33="","",IF($AN33="NY",IF(Inputs!$C$78,ROUND(SUMPRODUCT((MAX(0,($O33-$D33)*Inputs!$C$8-(IF($AU33="Married",5500,5000)+1000*$AS33))&gt;INDEX('Methodology &amp; Sources'!$B$434:$J$448,0,4))*(MAX(0,($O33-$D33)*Inputs!$C$8-(IF($AU33="Married",5500,5000)+1000*$AS33))-INDEX('Methodology &amp; Sources'!$B$434:$J$448,0,4))*INDEX('Methodology &amp; Sources'!$B$434:$J$448,0,4+2))/Inputs!$C$8+0.0425*$D33,2),0)+IF(Inputs!$C$79="Resident",ROUND(0.1675*$T33,2),IF(Inputs!$C$79="Nonresident",ROUND(0.005*MAX(0,($O33-$D33)-(IF($AU33="Married",7950,7400)+1000*$AS33)/Inputs!$C$8),2),0)),IF($AN33="PA",IF(Inputs!$C$80="None",Inputs!$C$27+ROUND(Inputs!$C$81*($C33+$D33),2),ROUND(IF(Inputs!$C$80="Resident",IF($B33&lt;DATE(2026,7,1),0.0374,0.03735),IF($B33&lt;DATE(2026,7,1),0.0343,0.03425))*($C33+$D33),2)),IF($BF33=0,ROUND(Inputs!$C$81*($C33+$D33),2),Inputs!$C$27+ROUND(Inputs!$C$81*($C33+$D33),2)))))</f>
      </c>
      <c r="W33" s="7">
        <f>IF($B33="","",IF($BF33=0,0,$BP33))</f>
      </c>
      <c r="X33" s="7">
        <f>IF($B33="","",SUM($E33:$K33)+$P33+$Q33+$R33+$S33+$T33+$U33+$V33+$W33)</f>
      </c>
      <c r="Y33" s="22">
        <f>IF($B33="","",$C33+$D33-$X33)</f>
      </c>
      <c r="Z33" s="7">
        <f>IF($B33="","",$Z32+$C33+$D33)</f>
      </c>
      <c r="AA33" s="7">
        <f>IF($B33="","",$AA32+$Y33)</f>
      </c>
      <c r="AB33" s="7">
        <f>IF($B33="","",$AB32+MIN($N33,MAX(0,'Methodology &amp; Sources'!$C$253-($AX33+$AB32-$AW33))))</f>
      </c>
      <c r="AC33" s="7">
        <f>IF($B33="","",$AC32+$E33+$F33)</f>
      </c>
      <c r="AD33" s="3">
        <f>IF($B33="","",IF(AND($AB32&lt;'Methodology &amp; Sources'!$C$253,$AB33&gt;='Methodology &amp; Sources'!$C$253),"★ Social Security maxed on this check — from the next check your net rises by about $"&amp;TEXT(ROUND('Methodology &amp; Sources'!$C$254*$N33,2),"#,##0.00")&amp;". ","")&amp;IF(AND($AC32&lt;Inputs!$C$91,$AC33&gt;=Inputs!$C$91),"★ 401(k) reaches the $"&amp;TEXT(Inputs!$C$91,"#,##0")&amp;" cap on this check — deferrals stop and net pay rises. ","")&amp;IF(AND($AG32&lt;'Methodology &amp; Sources'!$C$257,$AG33&gt;='Methodology &amp; Sources'!$C$257),"★ Wages pass $200,000 — the 0.9% Additional Medicare Tax starts here. ","")&amp;IF(AND($BJ33&gt;0,$H33&gt;0,$BG32&lt;MIN($BJ33,'Methodology &amp; Sources'!$C$263),$BG32+$H33&gt;=MIN($BJ33,'Methodology &amp; Sources'!$C$263)),"★ Health FSA election is now fully deferred for the year. ",""))</f>
      </c>
      <c r="AE33" s="41" t="n"/>
      <c r="AF33" s="7">
        <f>IF(OR($B33="",$AE33=""),"",$AE33-$Y33)</f>
      </c>
      <c r="AG33" s="7">
        <f>IF($B33="","",$AG32+$N33)</f>
      </c>
      <c r="AH33" s="7">
        <f>IF($B33="","",MAX(0,($M33-$D33)*Inputs!$C$8+$AP33-$AQ33-IF(Inputs!$C$13,0,IF(Inputs!$C$12="MFJ",'Methodology &amp; Sources'!$C$258,'Methodology &amp; Sources'!$C$259))))</f>
      </c>
      <c r="AI33" s="7">
        <f>IF($B33="","",$O33*Inputs!$C$8)</f>
      </c>
      <c r="AJ33" s="7">
        <f>IF($B33="","",MAX(0,$AI33-VLOOKUP($AN33,'StateTables 2026'!$A$6:$AB$56,12,FALSE)*$AT33-IF(($AS33+$AT33)&gt;=2,VLOOKUP($AN33,'StateTables 2026'!$A$6:$AB$56,8,FALSE),VLOOKUP($AN33,'StateTables 2026'!$A$6:$AB$56,7,FALSE))))</f>
      </c>
      <c r="AK33" s="7">
        <f>IF($B33="","",IFERROR(LOOKUP(2,1/((Events!$C$6:$C$17="Salary change")*(Events!$B$6:$B$17&lt;=$B33)*(Events!$B$6:$B$17&lt;&gt;"")),Events!$D$6:$D$17),IF(Inputs!$C$4="Annual salary",Inputs!$C$5,Inputs!$C$6)))</f>
      </c>
      <c r="AL33">
        <f>IF($B33="","",IFERROR(LOOKUP(2,1/((Events!$C$6:$C$17="401(k) change")*(Events!$B$6:$B$17&lt;=$B33)*(Events!$B$6:$B$17&lt;&gt;"")),Events!$D$6:$D$17),Inputs!$C$30))</f>
      </c>
      <c r="AM33" s="7">
        <f>IF($B33="","",IFERROR(LOOKUP(2,1/((Events!$C$6:$C$17="401(k) change")*(Events!$B$6:$B$17&lt;=$B33)*(Events!$B$6:$B$17&lt;&gt;"")),Events!$E$6:$E$17),Inputs!$D$30))</f>
      </c>
      <c r="AN33">
        <f>IF($B33="","",IFERROR(LOOKUP(2,1/((Events!$C$6:$C$17="State move")*(Events!$B$6:$B$17&lt;=$B33)*(Events!$B$6:$B$17&lt;&gt;"")),Events!$D$6:$D$17),Inputs!$C$21))</f>
      </c>
      <c r="AO33" s="7">
        <f>IF($B33="","",IFERROR(LOOKUP(2,1/((Events!$C$6:$C$17="W-4 change")*(Events!$B$6:$B$17&lt;=$B33)*(Events!$B$6:$B$17&lt;&gt;"")),Events!$D$6:$D$17),Inputs!$C$14))</f>
      </c>
      <c r="AP33" s="7">
        <f>IF($B33="","",IFERROR(LOOKUP(2,1/((Events!$C$6:$C$17="W-4 change")*(Events!$B$6:$B$17&lt;=$B33)*(Events!$B$6:$B$17&lt;&gt;"")),Events!$E$6:$E$17),Inputs!$C$15))</f>
      </c>
      <c r="AQ33" s="7">
        <f>IF($B33="","",IFERROR(LOOKUP(2,1/((Events!$C$6:$C$17="W-4 change")*(Events!$B$6:$B$17&lt;=$B33)*(Events!$B$6:$B$17&lt;&gt;"")),Events!$F$6:$F$17),Inputs!$C$16))</f>
      </c>
      <c r="AR33" s="7">
        <f>IF($B33="","",IFERROR(LOOKUP(2,1/((Events!$C$6:$C$17="W-4 change")*(Events!$B$6:$B$17&lt;=$B33)*(Events!$B$6:$B$17&lt;&gt;"")),Events!$G$6:$G$17),Inputs!$C$17))</f>
      </c>
      <c r="AS33" s="6">
        <f>IF($B33="","",IFERROR(LOOKUP(2,1/(((Events!$C$6:$C$17="State move")+(Events!$C$6:$C$17="State cert change"))*(Events!$B$6:$B$17&lt;=$B33)*(Events!$B$6:$B$17&lt;&gt;"")),Events!$F$6:$F$17),Inputs!$C$23))</f>
      </c>
      <c r="AT33" s="6">
        <f>IF($B33="","",IFERROR(LOOKUP(2,1/(((Events!$C$6:$C$17="State move")+(Events!$C$6:$C$17="State cert change"))*(Events!$B$6:$B$17&lt;=$B33)*(Events!$B$6:$B$17&lt;&gt;"")),Events!$G$6:$G$17),Inputs!$C$24))</f>
      </c>
      <c r="AU33">
        <f>IF($B33="","",IFERROR(LOOKUP(2,1/((Events!$C$6:$C$17="State move")*(Events!$B$6:$B$17&lt;=$B33)*(Events!$B$6:$B$17&lt;&gt;"")),Events!$E$6:$E$17),Inputs!$C$22))</f>
      </c>
      <c r="AV33" s="6">
        <f>IF($B33="","",1+COUNTIFS(Events!$C$6:$C$17,"Employer change",Events!$B$6:$B$17,"&lt;="&amp;$B33,Events!$B$6:$B$17,"&lt;&gt;"))</f>
      </c>
      <c r="AW33" s="7">
        <f>IF($B33="","",IF($AV33=1,Inputs!$C$49,IF(IFERROR(MATCH(IFERROR(LOOKUP(2,1/((Events!$C$6:$C$17="Employer change")*(Events!$B$6:$B$17&lt;=$B33)*(Events!$B$6:$B$17&lt;&gt;"")),Events!$B$6:$B$17),""),$B$6:$B$68,1),1)&lt;=1,Inputs!$C$49,INDEX($AB$6:$AB$68,MATCH(IFERROR(LOOKUP(2,1/((Events!$C$6:$C$17="Employer change")*(Events!$B$6:$B$17&lt;=$B33)*(Events!$B$6:$B$17&lt;&gt;"")),Events!$B$6:$B$17),""),$B$6:$B$68,1)-1))))</f>
      </c>
      <c r="AX33" s="7">
        <f>IF($B33="","",IF($AV33=1,Inputs!$C$49,IFERROR(LOOKUP(2,1/((Events!$C$6:$C$17="Employer change")*(Events!$B$6:$B$17&lt;=$B33)*(Events!$B$6:$B$17&lt;&gt;"")),Events!$D$6:$D$17),0)))</f>
      </c>
      <c r="AY33" s="7">
        <f>IF($B33="","",($O33-$D33)*Inputs!$C$8)</f>
      </c>
      <c r="AZ33" s="7">
        <f>IF($B33="","",IF($AN33="AL",MAX(0,$AY33-IF($AU33="Married",IF($AY33&lt;=25999,8500,MAX(5000,8500-175*CEILING(($AY33-25999)/500,1))),IF($AU33="Head of household",IF($AY33&lt;=25999,5200,MAX(2500,5200-135*CEILING(($AY33-25999)/500,1))),IF($AY33&lt;=25999,3000,MAX(2500,3000-25*CEILING(($AY33-25999)/500,1)))))-($P33-'Methodology &amp; Sources'!$C$260*$D33)*Inputs!$C$8-IF(OR($AU33="Married",$AU33="Head of household"),3000,1500)-$AT33*IF($AY33&lt;=50000,1000,IF($AY33&lt;=100000,500,300))),IF($AN33="AR",IF(MAX(0,$AY33-2470)&lt;97701,INT(MAX(0,$AY33-2470)/100)*100+50,MAX(0,$AY33-2470)),IF($AN33="DE",MAX(0,$AI33-3250),IF($AN33="HI",MAX(0,$AI33-1144*$AS33-4350),IF($AN33="KS",MAX(0,$AI33-(9160*IF($AU33="Married",2,1)+2320*$AT33+IF($AU33="Head of household",2320,0))),IF($AN33="MD",MAX(0,$AI33-3400-3200*$AS33),IF($AN33="MN",MAX(0,$AY33-5300*$AS33),IF($AN33="MO",MAX(0,$AI33-IF($AU33="Head of household",24150,IF($AU33="Married",IF(Inputs!$C$83,16100,32200),16100))),IF($AN33="MT",$AY33,IF($AN33="ND",($C33+$L33)*Inputs!$C$8,IF($AN33="NE",MAX(0,$AY33-2440*$AS33),IF($AN33="NJ",MAX(0,$AY33-1000*$AS33),IF($AN33="NY",MAX(0,$AY33-(IF($AU33="Married",7950,7400)+1000*$AS33)),IF($AN33="OH",MAX(0,$AY33-650*$AS33),IF($AN33="OK",MAX(0,$AY33-1000*$AS33),IF($AN33="RI",MAX(0,$AI33-1000*$AS33),IF($AN33="SC",MAX(0,$AI33-5000*$AS33-IF($AS33=0,0,MIN(0.1*$AI33,7500))),IF($AN33="VA",MAX(0,$AI33-IF($AU33="Married",17500,8750)-930*$AS33-800*$AT33),IF($AN33="VT",MAX(0,$AI33-5400*$AS33),IF($AN33="WI",MAX(0,$AI33-MAX(0,IF($AU33="Married",9461-0.2*MAX(0,$AI33-25727),6702-0.12*MAX(0,$AI33-17780)))-400*$AS33),IF($AN33="WV",MAX(0,$AI33-2000*$AS33),$AI33))))))))))))))))))))))</f>
      </c>
      <c r="BA33" s="7">
        <f>IF($B33="","",IF($BW33&lt;&gt;"",$BW33,IF($BX33&lt;&gt;"",$BX33,IF($BY33&lt;&gt;"",$BY33,0))))</f>
      </c>
      <c r="BB33" s="7">
        <f>IF($B33="","",IF($AN33="AR",-29*$AS33,IF($AN33="DE",-110*$AS33,IF($AN33="MD",$AZ33*Inputs!$C$74,IF($AN33="AZ",Inputs!$C$82*($M33-$D33)*Inputs!$C$8,IF($AN33="CO",0.044*MAX(0,$AY33-IF($AU33="Married",10000,5000)),IF($AN33="IA",MAX(0,0.038*MAX(0,$AY33-IF($AU33="Head of household",19500,IF($AU33="Married",26000,13000)))-40*$AS33),IF($AN33="ID",0.053*MAX(0,$AY33-IF($AU33="Married",32000,16094)),IF($AN33="IL",0.0495*MAX(0,$AY33-(2925*$AS33+1000*$AT33)),IF($AN33="IN",(0.0295+Inputs!$C$76)*MAX(0,$AY33-(1000*$AS33+1500*$AT33+3000*Inputs!$C$86)),IF($AN33="KY",0.035*MAX(0,$AI33-3360),IF($AN33="LA",IF(Inputs!$C$84="0",0.0309*$AI33,0.0309*MAX(0,$AI33-IF(Inputs!$C$84="2",25750,12875))),IF($AN33="MA",0.05*MIN(MAX(0,$AY33-MIN(($BD32+$Q33+$R33+$S33),2000)-IF($AS33=0,0,IF($AS33=1,4400,1000*$AS33+3400))),1107750)+0.09*MAX(0,MAX(0,$AY33-MIN(($BD32+$Q33+$R33+$S33),2000)-IF($AS33=0,0,IF($AS33=1,4400,1000*$AS33+3400)))-1107750)-IF($AU33="Head of household",120,0)-110*Inputs!$C$75,IF($AN33="MI",0.0425*MAX(0,$AY33-5900*$AS33),IF($AN33="MS",0.04*MAX(0,$AI33-IF($AU33="Head of household",3400,IF($AU33="Married",4600,2300))-Inputs!$C$85-10000),IF($AN33="OR",IF(OR($AU33="Married",AND($AU33="Single",$AS33&gt;=3)),SUMPRODUCT((MAX(0,$AY33-MIN(($P33-'Methodology &amp; Sources'!$C$260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Sources'!$B$461:$J$464,0,4))*(MAX(0,$AY33-MIN(($P33-'Methodology &amp; Sources'!$C$260*$D33)*Inputs!$C$8,IF(OR($AU33="Married",AND($AU33="Single",$AS33&gt;=3)),IF($AY33&lt;250000,8750,IF($AY33&lt;260000,7000,IF($AY33&lt;270000,5250,IF($AY33&lt;280000,3500,IF($AY33&lt;290000,1750,0))))),IF($AY33&lt;125000,8750,IF($AY33&lt;130000,7000,IF($AY33&lt;135000,5250,IF($AY33&lt;140000,3500,IF($AY33&lt;145000,1750,0)))))))-IF(OR($AU33="Married",AND($AU33="Single",$AS33&gt;=3)),5820,2910))-INDEX('Methodology &amp; Sources'!$B$461:$J$464,0,4))*INDEX('Methodology &amp; Sources'!$B$461:$J$464,0,4+2)),SUMPRODUCT((MAX(0,$AY33-MIN(($P33-'Methodology &amp; Sources'!$C$260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Sources'!$B$461:$J$464,0,1))*(MAX(0,$AY33-MIN(($P33-'Methodology &amp; Sources'!$C$260*$D33)*Inputs!$C$8,IF(OR($AU33="Married",AND($AU33="Single",$AS33&gt;=3)),IF($AY33&lt;250000,8750,IF($AY33&lt;260000,7000,IF($AY33&lt;270000,5250,IF($AY33&lt;280000,3500,IF($AY33&lt;290000,1750,0))))),IF($AY33&lt;125000,8750,IF($AY33&lt;130000,7000,IF($AY33&lt;135000,5250,IF($AY33&lt;140000,3500,IF($AY33&lt;145000,1750,0)))))))-IF(OR($AU33="Married",AND($AU33="Single",$AS33&gt;=3)),5820,2910))-INDEX('Methodology &amp; Sources'!$B$461:$J$464,0,1))*INDEX('Methodology &amp; Sources'!$B$461:$J$464,0,1+2)))+263-263*IF(IF($AU33="Married",$AY33&gt;200000,$AY33&gt;100000),0,$AS33),IF($AN33="PA",0.0307*(($O33+$E33+$G33)*Inputs!$C$8),IF($AN33="NY",IF($AU33="Married",IF($AZ33&gt;=2155350,0,IF($AZ33&gt;=1077550,0.48,IF($AZ33&gt;=373200,1.21,IF($AZ33&gt;=323200,0.21,IF($AZ33&gt;=211550,-0.19,IF($AZ33&gt;=157650,-2.8,IF($AZ33&gt;=107650,-0.8,IF($AZ33&gt;=96800,0.05,IF($AZ33&gt;=80650,-0.1,IF($AZ33&gt;=13900,0.4,IF($AZ33&gt;=11700,-0.3,IF($AZ33&gt;=8500,0.5,0)))))))))))),IF($AZ33&gt;=1077550,0,IF($AZ33&gt;=265400,4.29,IF($AZ33&gt;=215400,2.29,IF($AZ33&gt;=157650,2.29,IF($AZ33&gt;=107650,0.29,IF($AZ33&gt;=96800,0.05,IF($AZ33&gt;=80650,-0.1,IF($AZ33&gt;=13900,0.4,IF($AZ33&gt;=11700,-0.3,IF($AZ33&gt;=8500,0.5,0))))))))))),0))))))))))))))))))</f>
      </c>
      <c r="BC33" s="7">
        <f>IF($B33="","",IF($AN33="AL",0.05*$D33,IF($AN33="AR",0.039*$D33,IF($AN33="ID",0.053*$D33,IF($AN33="IN",(0.0295+Inputs!$C$76)*$D33,IF($AN33="KS",0.05*$D33,IF($AN33="MA",0.09*MIN($D33,MAX(0,MAX(0,$AY33-MIN(($BD32+$Q33+$R33+$S33),2000)-IF($AS33=0,0,IF($AS33=1,4400,1000*$AS33+3400)))+$D33-1107750))+0.05*($D33-MIN($D33,MAX(0,MAX(0,$AY33-MIN(($BD32+$Q33+$R33+$S33),2000)-IF($AS33=0,0,IF($AS33=1,4400,1000*$AS33+3400)))+$D33-1107750))),IF($AN33="MD",(0.065+Inputs!$C$74)*$D33,IF($AN33="MI",0.0425*$D33,IF($AN33="MN",0.0625*$D33,IF($AN33="MO",0.047*$D33,IF($AN33="MT",0.05*$D33,IF($AN33="ND",0.015*$D33,IF($AN33="NE",0.035*$D33,IF($AN33="NJ",IF(Inputs!$C$77="B",SUMPRODUCT(($D33*Inputs!$C$8&gt;INDEX('Methodology &amp; Sources'!$B$405:$J$412,0,4))*($D33*Inputs!$C$8-INDEX('Methodology &amp; Sources'!$B$405:$J$412,0,4))*INDEX('Methodology &amp; Sources'!$B$405:$J$412,0,4+2)),IF(Inputs!$C$77="C",SUMPRODUCT(($D33*Inputs!$C$8&gt;INDEX('Methodology &amp; Sources'!$B$405:$J$412,0,7))*($D33*Inputs!$C$8-INDEX('Methodology &amp; Sources'!$B$405:$J$412,0,7))*INDEX('Methodology &amp; Sources'!$B$405:$J$412,0,7+2)),IF(Inputs!$C$77="D",SUMPRODUCT(($D33*Inputs!$C$8&gt;INDEX('Methodology &amp; Sources'!$B$417:$J$429,0,1))*($D33*Inputs!$C$8-INDEX('Methodology &amp; Sources'!$B$417:$J$429,0,1))*INDEX('Methodology &amp; Sources'!$B$417:$J$429,0,1+2)),IF(Inputs!$C$77="E",SUMPRODUCT(($D33*Inputs!$C$8&gt;INDEX('Methodology &amp; Sources'!$B$417:$J$429,0,4))*($D33*Inputs!$C$8-INDEX('Methodology &amp; Sources'!$B$417:$J$429,0,4))*INDEX('Methodology &amp; Sources'!$B$417:$J$429,0,4+2)),SUMPRODUCT(($D33*Inputs!$C$8&gt;INDEX('Methodology &amp; Sources'!$B$405:$J$412,0,1))*($D33*Inputs!$C$8-INDEX('Methodology &amp; Sources'!$B$405:$J$412,0,1))*INDEX('Methodology &amp; Sources'!$B$405:$J$412,0,1+2))))))/Inputs!$C$8,IF($AN33="NY",0.117*$D33,IF($AN33="OH",0.0275*$D33,IF($AN33="OK",0.045*$D33,IF($AN33="OR",0.08*$D33,IF($AN33="WI",IF($AY33&lt;12760,0.0354,IF($AY33&lt;25520,0.0465,IF($AY33&lt;280950,0.053,0.0765)))*$D33,0))))))))))))))))))))</f>
      </c>
      <c r="BD33" s="7">
        <f>IF($B33="","",$BD32+$Q33+$R33+$S33)</f>
      </c>
      <c r="BE33" s="6">
        <f>IF($B33="",$BE32,$BE32+$BF33)</f>
      </c>
      <c r="BF33" s="6">
        <f>IF($B33="","",IF(AND(IF(YEAR(IF(Inputs!$C$7="Weekly",Inputs!$C$9+7*(($BE32+1)-1),IF(Inputs!$C$7="Biweekly",Inputs!$C$9+14*(($BE32+1)-1),IF(Inputs!$C$7="Semimonthly",DATE(YEAR(Inputs!$C$9),MONTH(Inputs!$C$9)+INT((($BE32+1)-1)/2),MIN(DAY(Inputs!$C$9),DAY(EOMONTH(DATE(YEAR(Inputs!$C$9),MONTH(Inputs!$C$9)+INT((($BE32+1)-1)/2),1),0))))+IF(MOD(($BE32+1)-1,2)=1,15,0),EDATE(Inputs!$C$9,($BE32+1)-1)))))&lt;&gt;2026,"",IF(Inputs!$C$7="Weekly",Inputs!$C$9+7*(($BE32+1)-1),IF(Inputs!$C$7="Biweekly",Inputs!$C$9+14*(($BE32+1)-1),IF(Inputs!$C$7="Semimonthly",DATE(YEAR(Inputs!$C$9),MONTH(Inputs!$C$9)+INT((($BE32+1)-1)/2),MIN(DAY(Inputs!$C$9),DAY(EOMONTH(DATE(YEAR(Inputs!$C$9),MONTH(Inputs!$C$9)+INT((($BE32+1)-1)/2),1),0))))+IF(MOD(($BE32+1)-1,2)=1,15,0),EDATE(Inputs!$C$9,($BE32+1)-1)))))&lt;&gt;"",$B33=IF(YEAR(IF(Inputs!$C$7="Weekly",Inputs!$C$9+7*(($BE32+1)-1),IF(Inputs!$C$7="Biweekly",Inputs!$C$9+14*(($BE32+1)-1),IF(Inputs!$C$7="Semimonthly",DATE(YEAR(Inputs!$C$9),MONTH(Inputs!$C$9)+INT((($BE32+1)-1)/2),MIN(DAY(Inputs!$C$9),DAY(EOMONTH(DATE(YEAR(Inputs!$C$9),MONTH(Inputs!$C$9)+INT((($BE32+1)-1)/2),1),0))))+IF(MOD(($BE32+1)-1,2)=1,15,0),EDATE(Inputs!$C$9,($BE32+1)-1)))))&lt;&gt;2026,"",IF(Inputs!$C$7="Weekly",Inputs!$C$9+7*(($BE32+1)-1),IF(Inputs!$C$7="Biweekly",Inputs!$C$9+14*(($BE32+1)-1),IF(Inputs!$C$7="Semimonthly",DATE(YEAR(Inputs!$C$9),MONTH(Inputs!$C$9)+INT((($BE32+1)-1)/2),MIN(DAY(Inputs!$C$9),DAY(EOMONTH(DATE(YEAR(Inputs!$C$9),MONTH(Inputs!$C$9)+INT((($BE32+1)-1)/2),1),0))))+IF(MOD(($BE32+1)-1,2)=1,15,0),EDATE(Inputs!$C$9,($BE32+1)-1)))))),1,0))</f>
      </c>
      <c r="BG33" s="7">
        <f>IF($B33="","",$BG32+$H33)</f>
      </c>
      <c r="BH33" s="7">
        <f>IF($B33="","",$BH32+$I33)</f>
      </c>
      <c r="BI33" s="7">
        <f>IF($B33="","",$BI32+$G33)</f>
      </c>
      <c r="BJ33" s="7">
        <f>IF($B33="","",IFERROR(LOOKUP(2,1/((((Events!$C$6:$C$17="Deduction start"))*(Events!$D$6:$D$17="Health FSA"))*(Events!$B$6:$B$17&lt;=$B33)*(Events!$B$6:$B$17&lt;&gt;"")),Events!$E$6:$E$17),Inputs!$D$38))</f>
      </c>
      <c r="BK33" s="7">
        <f>IF($B33="","",IFERROR(LOOKUP(2,1/((((Events!$C$6:$C$17="Deduction start"))*(Events!$D$6:$D$17="Dependent-care FSA"))*(Events!$B$6:$B$17&lt;=$B33)*(Events!$B$6:$B$17&lt;&gt;"")),Events!$E$6:$E$17),Inputs!$D$39))</f>
      </c>
      <c r="BL33" s="7">
        <f>IF($B33="","",IFERROR(LOOKUP(2,1/((((Events!$C$6:$C$17="Deduction start")+(Events!$C$6:$C$17="Deduction stop"))*(Events!$D$6:$D$17="HSA"))*(Events!$B$6:$B$17&lt;=$B33)*(Events!$B$6:$B$17&lt;&gt;"")),Events!$I$6:$I$17),Inputs!$D$35))</f>
      </c>
      <c r="BM33" s="7">
        <f>IF($B33="","",IFERROR(LOOKUP(2,1/((((Events!$C$6:$C$17="Deduction start")+(Events!$C$6:$C$17="Deduction stop"))*(Events!$D$6:$D$17="Premiums"))*(Events!$B$6:$B$17&lt;=$B33)*(Events!$B$6:$B$17&lt;&gt;"")),Events!$I$6:$I$17),Inputs!$D$40+Inputs!$D$41+Inputs!$D$42))</f>
      </c>
      <c r="BN33" s="7">
        <f>IF($B33="","",IFERROR(LOOKUP(2,1/((((Events!$C$6:$C$17="Deduction start")+(Events!$C$6:$C$17="Deduction stop"))*(Events!$D$6:$D$17="Commuter"))*(Events!$B$6:$B$17&lt;=$B33)*(Events!$B$6:$B$17&lt;&gt;"")),Events!$I$6:$I$17),Inputs!$D$43))</f>
      </c>
      <c r="BO33" s="7">
        <f>IF($B33="","",IFERROR(LOOKUP(2,1/((((Events!$C$6:$C$17="Deduction start")+(Events!$C$6:$C$17="Deduction stop"))*(Events!$D$6:$D$17="Other pre-tax"))*(Events!$B$6:$B$17&lt;=$B33)*(Events!$B$6:$B$17&lt;&gt;"")),Events!$I$6:$I$17),Inputs!$D$44))</f>
      </c>
      <c r="BP33" s="7">
        <f>IF($B33="","",IFERROR(LOOKUP(2,1/((((Events!$C$6:$C$17="Deduction start")+(Events!$C$6:$C$17="Deduction stop"))*(Events!$D$6:$D$17="Other post-tax"))*(Events!$B$6:$B$17&lt;=$B33)*(Events!$B$6:$B$17&lt;&gt;"")),Events!$I$6:$I$17),Inputs!$D$45))</f>
      </c>
      <c r="BQ33" s="6">
        <f>IF($B33="","",IFERROR(LOOKUP(2,1/((((Events!$C$6:$C$17="Deduction start")+(Events!$C$6:$C$17="Deduction stop"))*(Events!$D$6:$D$17="Health FSA"))*(Events!$B$6:$B$17&lt;=$B33)*(Events!$B$6:$B$17&lt;&gt;"")),Events!$J$6:$J$17),0))</f>
      </c>
      <c r="BR33" s="6">
        <f>IF($B33="","",IFERROR(LOOKUP(2,1/((((Events!$C$6:$C$17="Deduction start")+(Events!$C$6:$C$17="Deduction stop"))*(Events!$D$6:$D$17="Dependent-care FSA"))*(Events!$B$6:$B$17&lt;=$B33)*(Events!$B$6:$B$17&lt;&gt;"")),Events!$J$6:$J$17),0))</f>
      </c>
      <c r="BS33" s="6">
        <f>IF($B33="","",IF(SUMPRODUCT((Events!$C$6:$C$17="Deduction start")*(Events!$B$6:$B$17&lt;=$B33)*(Events!$B$6:$B$17&lt;&gt;"")*(Events!$D$6:$D$17="Health FSA"))&gt;0,1,0))</f>
      </c>
      <c r="BT33" s="6">
        <f>IF($B33="","",IF(SUMPRODUCT((Events!$C$6:$C$17="Deduction start")*(Events!$B$6:$B$17&lt;=$B33)*(Events!$B$6:$B$17&lt;&gt;"")*(Events!$D$6:$D$17="Dependent-care FSA"))&gt;0,1,0))</f>
      </c>
      <c r="BU33" s="24">
        <f>IF($B33="","",IF(Inputs!$C$13,SUMPRODUCT(($AH33&gt;=INDEX('Methodology &amp; Sources'!$B$279:$J$286,0,IF(Inputs!$C$12="MFJ",1,IF(Inputs!$C$12="HoH",7,4))))*INDEX('Methodology &amp; Sources'!$B$279:$J$286,0,IF(Inputs!$C$12="MFJ",1,IF(Inputs!$C$12="HoH",7,4))+2)),SUMPRODUCT(($AH33&gt;=INDEX('Methodology &amp; Sources'!$B$269:$J$276,0,IF(Inputs!$C$12="MFJ",1,IF(Inputs!$C$12="HoH",7,4))))*INDEX('Methodology &amp; Sources'!$B$269:$J$276,0,IF(Inputs!$C$12="MFJ",1,IF(Inputs!$C$12="HoH",7,4))+2))))</f>
      </c>
      <c r="BV33" s="24">
        <f>IF($B33="","",IF($BZ33&lt;&gt;"",$BZ33,IF($CA33&lt;&gt;"",$CA33,IF($CB33&lt;&gt;"",$CB33,IF($CC33&lt;&gt;"",$CC33,0)))))</f>
      </c>
      <c r="BW33" s="7">
        <f>IF($B33="","",IF($AN33="MD",IF(OR($AU33="Married",$AU33="Head of household"),SUMPRODUCT(($AZ33&gt;INDEX('Methodology &amp; Sources'!$B$364:$J$370,0,1))*($AZ33-INDEX('Methodology &amp; Sources'!$B$364:$J$370,0,1))*INDEX('Methodology &amp; Sources'!$B$364:$J$370,0,1+2)),SUMPRODUCT(($AZ33&gt;INDEX('Methodology &amp; Sources'!$B$353:$J$359,0,7))*($AZ33-INDEX('Methodology &amp; Sources'!$B$353:$J$359,0,7))*INDEX('Methodology &amp; Sources'!$B$353:$J$359,0,7+2))),IF($AN33="MO",SUMPRODUCT(($AZ33&gt;INDEX('Methodology &amp; Sources'!$B$375:$J$382,0,1))*($AZ33-INDEX('Methodology &amp; Sources'!$B$375:$J$382,0,1))*INDEX('Methodology &amp; Sources'!$B$375:$J$382,0,1+2)),IF($AN33="MT",IF($AU33="Head of household",SUMPRODUCT(($AZ33&gt;INDEX('Methodology &amp; Sources'!$B$387:$J$389,0,1))*($AZ33-INDEX('Methodology &amp; Sources'!$B$387:$J$389,0,1))*INDEX('Methodology &amp; Sources'!$B$387:$J$389,0,1+2)),IF($AU33="Married",SUMPRODUCT(($AZ33&gt;INDEX('Methodology &amp; Sources'!$B$375:$J$382,0,7))*($AZ33-INDEX('Methodology &amp; Sources'!$B$375:$J$382,0,7))*INDEX('Methodology &amp; Sources'!$B$375:$J$382,0,7+2)),SUMPRODUCT(($AZ33&gt;INDEX('Methodology &amp; Sources'!$B$375:$J$382,0,4))*($AZ33-INDEX('Methodology &amp; Sources'!$B$375:$J$382,0,4))*INDEX('Methodology &amp; Sources'!$B$375:$J$382,0,4+2)))),IF($AN33="ND",IF($AU33="Head of household",SUMPRODUCT(($AZ33&gt;INDEX('Methodology &amp; Sources'!$B$394:$J$400,0,1))*($AZ33-INDEX('Methodology &amp; Sources'!$B$394:$J$400,0,1))*INDEX('Methodology &amp; Sources'!$B$394:$J$400,0,1+2)),IF($AU33="Married",SUMPRODUCT(($AZ33&gt;INDEX('Methodology &amp; Sources'!$B$387:$J$389,0,7))*($AZ33-INDEX('Methodology &amp; Sources'!$B$387:$J$389,0,7))*INDEX('Methodology &amp; Sources'!$B$387:$J$389,0,7+2)),SUMPRODUCT(($AZ33&gt;INDEX('Methodology &amp; Sources'!$B$387:$J$389,0,4))*($AZ33-INDEX('Methodology &amp; Sources'!$B$387:$J$389,0,4))*INDEX('Methodology &amp; Sources'!$B$387:$J$389,0,4+2)))),IF($AN33="NJ",IF(Inputs!$C$77="B",SUMPRODUCT(($AZ33&gt;INDEX('Methodology &amp; Sources'!$B$405:$J$412,0,4))*($AZ33-INDEX('Methodology &amp; Sources'!$B$405:$J$412,0,4))*INDEX('Methodology &amp; Sources'!$B$405:$J$412,0,4+2)),IF(Inputs!$C$77="C",SUMPRODUCT(($AZ33&gt;INDEX('Methodology &amp; Sources'!$B$405:$J$412,0,7))*($AZ33-INDEX('Methodology &amp; Sources'!$B$405:$J$412,0,7))*INDEX('Methodology &amp; Sources'!$B$405:$J$412,0,7+2)),IF(Inputs!$C$77="D",SUMPRODUCT(($AZ33&gt;INDEX('Methodology &amp; Sources'!$B$417:$J$429,0,1))*($AZ33-INDEX('Methodology &amp; Sources'!$B$417:$J$429,0,1))*INDEX('Methodology &amp; Sources'!$B$417:$J$429,0,1+2)),IF(Inputs!$C$77="E",SUMPRODUCT(($AZ33&gt;INDEX('Methodology &amp; Sources'!$B$417:$J$429,0,4))*($AZ33-INDEX('Methodology &amp; Sources'!$B$417:$J$429,0,4))*INDEX('Methodology &amp; Sources'!$B$417:$J$429,0,4+2)),SUMPRODUCT(($AZ33&gt;INDEX('Methodology &amp; Sources'!$B$405:$J$412,0,1))*($AZ33-INDEX('Methodology &amp; Sources'!$B$405:$J$412,0,1))*INDEX('Methodology &amp; Sources'!$B$405:$J$412,0,1+2)))))),IF($AN33="NY",IF($AU33="Married",IF($AZ33&gt;=2155350,$AZ33*IF($AZ33&gt;25000000,0.117,IF($AZ33&gt;5000000,0.111,0.1045)),SUMPRODUCT(($AZ33&gt;INDEX('Methodology &amp; Sources'!$B$434:$J$448,0,1))*($AZ33-INDEX('Methodology &amp; Sources'!$B$434:$J$448,0,1))*INDEX('Methodology &amp; Sources'!$B$434:$J$448,0,1+2))),IF($AZ33&gt;=1077550,$AZ33*IF($AZ33&gt;25000000,0.117,IF($AZ33&gt;5000000,0.111,0.1045)),SUMPRODUCT(($AZ33&gt;INDEX('Methodology &amp; Sources'!$B$417:$J$429,0,7))*($AZ33-INDEX('Methodology &amp; Sources'!$B$417:$J$429,0,7))*INDEX('Methodology &amp; Sources'!$B$417:$J$429,0,7+2)))),"")))))))</f>
      </c>
      <c r="BX33" s="7">
        <f>IF($B33="","",IF($AN33="AL",IF(OR($AU33="Married",$AU33="Head of household"),SUMPRODUCT(($AZ33&gt;INDEX('Methodology &amp; Sources'!$B$332:$J$336,0,4))*($AZ33-INDEX('Methodology &amp; Sources'!$B$332:$J$336,0,4))*INDEX('Methodology &amp; Sources'!$B$332:$J$336,0,4+2)),SUMPRODUCT(($AZ33&gt;INDEX('Methodology &amp; Sources'!$B$332:$J$336,0,1))*($AZ33-INDEX('Methodology &amp; Sources'!$B$332:$J$336,0,1))*INDEX('Methodology &amp; Sources'!$B$332:$J$336,0,1+2))),IF($AN33="KS",IF($AU33="Married",SUMPRODUCT(($AZ33&gt;INDEX('Methodology &amp; Sources'!$B$353:$J$359,0,4))*($AZ33-INDEX('Methodology &amp; Sources'!$B$353:$J$359,0,4))*INDEX('Methodology &amp; Sources'!$B$353:$J$359,0,4+2)),SUMPRODUCT(($AZ33&gt;INDEX('Methodology &amp; Sources'!$B$353:$J$359,0,1))*($AZ33-INDEX('Methodology &amp; Sources'!$B$353:$J$359,0,1))*INDEX('Methodology &amp; Sources'!$B$353:$J$359,0,1+2))),IF($AN33="MN",IF($AU33="Married",SUMPRODUCT(($AZ33&gt;INDEX('Methodology &amp; Sources'!$B$364:$J$370,0,7))*($AZ33-INDEX('Methodology &amp; Sources'!$B$364:$J$370,0,7))*INDEX('Methodology &amp; Sources'!$B$364:$J$370,0,7+2)),SUMPRODUCT(($AZ33&gt;INDEX('Methodology &amp; Sources'!$B$364:$J$370,0,4))*($AZ33-INDEX('Methodology &amp; Sources'!$B$364:$J$370,0,4))*INDEX('Methodology &amp; Sources'!$B$364:$J$370,0,4+2))),IF($AN33="NE",MAX(IF($AU33="Married",SUMPRODUCT(($AZ33&gt;INDEX('Methodology &amp; Sources'!$B$394:$J$400,0,7))*($AZ33-INDEX('Methodology &amp; Sources'!$B$394:$J$400,0,7))*INDEX('Methodology &amp; Sources'!$B$394:$J$400,0,7+2)),SUMPRODUCT(($AZ33&gt;INDEX('Methodology &amp; Sources'!$B$394:$J$400,0,4))*($AZ33-INDEX('Methodology &amp; Sources'!$B$394:$J$400,0,4))*INDEX('Methodology &amp; Sources'!$B$394:$J$400,0,4+2))),0.015*$AZ33),IF($AN33="OH",IF($B33&gt;=DATE(2026,8,1),SUMPRODUCT(($AZ33&gt;INDEX('Methodology &amp; Sources'!$B$453:$J$456,0,1))*($AZ33-INDEX('Methodology &amp; Sources'!$B$453:$J$456,0,1))*INDEX('Methodology &amp; Sources'!$B$453:$J$456,0,1+2)),SUMPRODUCT(($AZ33&gt;INDEX('Methodology &amp; Sources'!$B$434:$J$448,0,7))*($AZ33-INDEX('Methodology &amp; Sources'!$B$434:$J$448,0,7))*INDEX('Methodology &amp; Sources'!$B$434:$J$448,0,7+2))),IF($AN33="OK",IF($AU33="Married",SUMPRODUCT(($AZ33&gt;INDEX('Methodology &amp; Sources'!$B$453:$J$456,0,7))*($AZ33-INDEX('Methodology &amp; Sources'!$B$453:$J$456,0,7))*INDEX('Methodology &amp; Sources'!$B$453:$J$456,0,7+2)),SUMPRODUCT(($AZ33&gt;INDEX('Methodology &amp; Sources'!$B$453:$J$456,0,4))*($AZ33-INDEX('Methodology &amp; Sources'!$B$453:$J$456,0,4))*INDEX('Methodology &amp; Sources'!$B$453:$J$456,0,4+2))),IF($AN33="RI",SUMPRODUCT(($AZ33&gt;INDEX('Methodology &amp; Sources'!$B$461:$J$464,0,7))*($AZ33-INDEX('Methodology &amp; Sources'!$B$461:$J$464,0,7))*INDEX('Methodology &amp; Sources'!$B$461:$J$464,0,7+2)),IF($AN33="VT",IF($AU33="Married",SUMPRODUCT(($AZ33&gt;INDEX('Methodology &amp; Sources'!$B$478:$J$482,0,1))*($AZ33-INDEX('Methodology &amp; Sources'!$B$478:$J$482,0,1))*INDEX('Methodology &amp; Sources'!$B$478:$J$482,0,1+2)),SUMPRODUCT(($AZ33&gt;INDEX('Methodology &amp; Sources'!$B$469:$J$473,0,7))*($AZ33-INDEX('Methodology &amp; Sources'!$B$469:$J$473,0,7))*INDEX('Methodology &amp; Sources'!$B$469:$J$473,0,7+2))),IF($AN33="WV",IF($AU33="Married",SUMPRODUCT(($AZ33&gt;INDEX('Methodology &amp; Sources'!$B$487:$J$491,0,7))*($AZ33-INDEX('Methodology &amp; Sources'!$B$487:$J$491,0,7))*INDEX('Methodology &amp; Sources'!$B$487:$J$491,0,7+2)),SUMPRODUCT(($AZ33&gt;INDEX('Methodology &amp; Sources'!$B$478:$J$482,0,7))*($AZ33-INDEX('Methodology &amp; Sources'!$B$478:$J$482,0,7))*INDEX('Methodology &amp; Sources'!$B$478:$J$482,0,7+2))),""))))))))))</f>
      </c>
      <c r="BY33" s="7">
        <f>IF($B33="","",IF($AN33="AR",SUMPRODUCT(($AZ33&gt;INDEX('Methodology &amp; Sources'!$B$332:$J$336,0,7))*($AZ33-INDEX('Methodology &amp; Sources'!$B$332:$J$336,0,7))*INDEX('Methodology &amp; Sources'!$B$332:$J$336,0,7+2)),IF($AN33="DE",SUMPRODUCT(($AZ33&gt;INDEX('Methodology &amp; Sources'!$B$341:$J$348,0,1))*($AZ33-INDEX('Methodology &amp; Sources'!$B$341:$J$348,0,1))*INDEX('Methodology &amp; Sources'!$B$341:$J$348,0,1+2)),IF($AN33="HI",IF($AU33="Married",SUMPRODUCT(($AZ33&gt;INDEX('Methodology &amp; Sources'!$B$341:$J$348,0,7))*($AZ33-INDEX('Methodology &amp; Sources'!$B$341:$J$348,0,7))*INDEX('Methodology &amp; Sources'!$B$341:$J$348,0,7+2)),SUMPRODUCT(($AZ33&gt;INDEX('Methodology &amp; Sources'!$B$341:$J$348,0,4))*($AZ33-INDEX('Methodology &amp; Sources'!$B$341:$J$348,0,4))*INDEX('Methodology &amp; Sources'!$B$341:$J$348,0,4+2))),IF($AN33="SC",SUMPRODUCT(($AZ33&gt;INDEX('Methodology &amp; Sources'!$B$469:$J$473,0,1))*($AZ33-INDEX('Methodology &amp; Sources'!$B$469:$J$473,0,1))*INDEX('Methodology &amp; Sources'!$B$469:$J$473,0,1+2)),IF($AN33="VA",SUMPRODUCT(($AZ33&gt;INDEX('Methodology &amp; Sources'!$B$469:$J$473,0,4))*($AZ33-INDEX('Methodology &amp; Sources'!$B$469:$J$473,0,4))*INDEX('Methodology &amp; Sources'!$B$469:$J$473,0,4+2)),IF($AN33="WI",SUMPRODUCT(($AZ33&gt;INDEX('Methodology &amp; Sources'!$B$478:$J$482,0,4))*($AZ33-INDEX('Methodology &amp; Sources'!$B$478:$J$482,0,4))*INDEX('Methodology &amp; Sources'!$B$478:$J$482,0,4+2)),"")))))))</f>
      </c>
      <c r="BZ33" s="24">
        <f>IF($B33="","",IF($AN33="NJ",IF(Inputs!$C$77="B",SUMPRODUCT(($AZ33&gt;=INDEX('Methodology &amp; Sources'!$B$405:$J$412,0,4))*INDEX('Methodology &amp; Sources'!$B$405:$J$412,0,4+2)),IF(Inputs!$C$77="C",SUMPRODUCT(($AZ33&gt;=INDEX('Methodology &amp; Sources'!$B$405:$J$412,0,7))*INDEX('Methodology &amp; Sources'!$B$405:$J$412,0,7+2)),IF(Inputs!$C$77="D",SUMPRODUCT(($AZ33&gt;=INDEX('Methodology &amp; Sources'!$B$417:$J$429,0,1))*INDEX('Methodology &amp; Sources'!$B$417:$J$429,0,1+2)),IF(Inputs!$C$77="E",SUMPRODUCT(($AZ33&gt;=INDEX('Methodology &amp; Sources'!$B$417:$J$429,0,4))*INDEX('Methodology &amp; Sources'!$B$417:$J$429,0,4+2)),SUMPRODUCT(($AZ33&gt;=INDEX('Methodology &amp; Sources'!$B$405:$J$412,0,1))*INDEX('Methodology &amp; Sources'!$B$405:$J$412,0,1+2)))))),IF($AN33="OR",IF(OR($AU33="Married",AND($AU33="Single",$AS33&gt;=3)),SUMPRODUCT((MAX(0,$AY33-MIN(($P33-'Methodology &amp; Sources'!$C$260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Sources'!$B$461:$J$464,0,4))*INDEX('Methodology &amp; Sources'!$B$461:$J$464,0,4+2)),SUMPRODUCT((MAX(0,$AY33-MIN(($P33-'Methodology &amp; Sources'!$C$260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Sources'!$B$461:$J$464,0,1))*INDEX('Methodology &amp; Sources'!$B$461:$J$464,0,1+2)))*IF(($P33-'Methodology &amp; Sources'!$C$260*$D33)*Inputs!$C$8&gt;=IF(OR($AU33="Married",AND($AU33="Single",$AS33&gt;=3)),IF($AY33&lt;250000,8750,IF($AY33&lt;260000,7000,IF($AY33&lt;270000,5250,IF($AY33&lt;280000,3500,IF($AY33&lt;290000,1750,0))))),IF($AY33&lt;125000,8750,IF($AY33&lt;130000,7000,IF($AY33&lt;135000,5250,IF($AY33&lt;140000,3500,IF($AY33&lt;145000,1750,0)))))),1,1-IF(Inputs!$C$13,SUMPRODUCT(($AH33&gt;=INDEX('Methodology &amp; Sources'!$B$279:$J$286,0,IF(Inputs!$C$12="MFJ",1,IF(Inputs!$C$12="HoH",7,4))))*INDEX('Methodology &amp; Sources'!$B$279:$J$286,0,IF(Inputs!$C$12="MFJ",1,IF(Inputs!$C$12="HoH",7,4))+2)),SUMPRODUCT(($AH33&gt;=INDEX('Methodology &amp; Sources'!$B$269:$J$276,0,IF(Inputs!$C$12="MFJ",1,IF(Inputs!$C$12="HoH",7,4))))*INDEX('Methodology &amp; Sources'!$B$269:$J$276,0,IF(Inputs!$C$12="MFJ",1,IF(Inputs!$C$12="HoH",7,4))+2)))),IF($AN33="MI",IF($AY33&gt;5900*$AS33,0.0425,0),""))))</f>
      </c>
      <c r="CA33" s="24">
        <f>IF($B33="","",IF($AN33="AL",IF(OR($AU33="Married",$AU33="Head of household"),SUMPRODUCT(($AZ33&gt;=INDEX('Methodology &amp; Sources'!$B$332:$J$336,0,4))*INDEX('Methodology &amp; Sources'!$B$332:$J$336,0,4+2)),SUMPRODUCT(($AZ33&gt;=INDEX('Methodology &amp; Sources'!$B$332:$J$336,0,1))*INDEX('Methodology &amp; Sources'!$B$332:$J$336,0,1+2)))*(1-IF(Inputs!$C$13,SUMPRODUCT(($AH33&gt;=INDEX('Methodology &amp; Sources'!$B$279:$J$286,0,IF(Inputs!$C$12="MFJ",1,IF(Inputs!$C$12="HoH",7,4))))*INDEX('Methodology &amp; Sources'!$B$279:$J$286,0,IF(Inputs!$C$12="MFJ",1,IF(Inputs!$C$12="HoH",7,4))+2)),SUMPRODUCT(($AH33&gt;=INDEX('Methodology &amp; Sources'!$B$269:$J$276,0,IF(Inputs!$C$12="MFJ",1,IF(Inputs!$C$12="HoH",7,4))))*INDEX('Methodology &amp; Sources'!$B$269:$J$276,0,IF(Inputs!$C$12="MFJ",1,IF(Inputs!$C$12="HoH",7,4))+2)))),IF($AN33="KS",IF($AU33="Married",SUMPRODUCT(($AZ33&gt;=INDEX('Methodology &amp; Sources'!$B$353:$J$359,0,4))*INDEX('Methodology &amp; Sources'!$B$353:$J$359,0,4+2)),SUMPRODUCT(($AZ33&gt;=INDEX('Methodology &amp; Sources'!$B$353:$J$359,0,1))*INDEX('Methodology &amp; Sources'!$B$353:$J$359,0,1+2))),IF($AN33="MD",IF(OR($AU33="Married",$AU33="Head of household"),SUMPRODUCT(($AZ33&gt;=INDEX('Methodology &amp; Sources'!$B$364:$J$370,0,1))*INDEX('Methodology &amp; Sources'!$B$364:$J$370,0,1+2)),SUMPRODUCT(($AZ33&gt;=INDEX('Methodology &amp; Sources'!$B$353:$J$359,0,7))*INDEX('Methodology &amp; Sources'!$B$353:$J$359,0,7+2)))+Inputs!$C$74,IF($AN33="MT",IF($AU33="Head of household",SUMPRODUCT(($AZ33&gt;=INDEX('Methodology &amp; Sources'!$B$387:$J$389,0,1))*INDEX('Methodology &amp; Sources'!$B$387:$J$389,0,1+2)),IF($AU33="Married",SUMPRODUCT(($AZ33&gt;=INDEX('Methodology &amp; Sources'!$B$375:$J$382,0,7))*INDEX('Methodology &amp; Sources'!$B$375:$J$382,0,7+2)),SUMPRODUCT(($AZ33&gt;=INDEX('Methodology &amp; Sources'!$B$375:$J$382,0,4))*INDEX('Methodology &amp; Sources'!$B$375:$J$382,0,4+2)))),IF($AN33="ND",IF($AU33="Head of household",SUMPRODUCT(($AZ33&gt;=INDEX('Methodology &amp; Sources'!$B$394:$J$400,0,1))*INDEX('Methodology &amp; Sources'!$B$394:$J$400,0,1+2)),IF($AU33="Married",SUMPRODUCT(($AZ33&gt;=INDEX('Methodology &amp; Sources'!$B$387:$J$389,0,7))*INDEX('Methodology &amp; Sources'!$B$387:$J$389,0,7+2)),SUMPRODUCT(($AZ33&gt;=INDEX('Methodology &amp; Sources'!$B$387:$J$389,0,4))*INDEX('Methodology &amp; Sources'!$B$387:$J$389,0,4+2)))),IF($AN33="NY",IF($AU33="Married",IF($AZ33&gt;=2155350,IF($AZ33&gt;25000000,0.117,IF($AZ33&gt;5000000,0.111,0.1045)),SUMPRODUCT(($AZ33&gt;=INDEX('Methodology &amp; Sources'!$B$434:$J$448,0,1))*INDEX('Methodology &amp; Sources'!$B$434:$J$448,0,1+2))),IF($AZ33&gt;=1077550,IF($AZ33&gt;25000000,0.117,IF($AZ33&gt;5000000,0.111,0.1045)),SUMPRODUCT(($AZ33&gt;=INDEX('Methodology &amp; Sources'!$B$417:$J$429,0,7))*INDEX('Methodology &amp; Sources'!$B$417:$J$429,0,7+2)))),"")))))))</f>
      </c>
      <c r="CB33" s="24">
        <f>IF($B33="","",IF($AN33="CA",SUMPRODUCT(($AJ33&gt;=INDEX('Methodology &amp; Sources'!$B$289:$J$298,0,IF($AU33="Married",4,IF($AU33="Head of household",7,1))))*INDEX('Methodology &amp; Sources'!$B$289:$J$298,0,IF($AU33="Married",4,IF($AU33="Head of household",7,1))+2)),IF($AN33="HI",IF($AU33="Married",SUMPRODUCT(($AZ33&gt;=INDEX('Methodology &amp; Sources'!$B$341:$J$348,0,7))*INDEX('Methodology &amp; Sources'!$B$341:$J$348,0,7+2)),SUMPRODUCT(($AZ33&gt;=INDEX('Methodology &amp; Sources'!$B$341:$J$348,0,4))*INDEX('Methodology &amp; Sources'!$B$341:$J$348,0,4+2))),IF($AN33="MN",IF($AU33="Married",SUMPRODUCT(($AZ33&gt;=INDEX('Methodology &amp; Sources'!$B$364:$J$370,0,7))*INDEX('Methodology &amp; Sources'!$B$364:$J$370,0,7+2)),SUMPRODUCT(($AZ33&gt;=INDEX('Methodology &amp; Sources'!$B$364:$J$370,0,4))*INDEX('Methodology &amp; Sources'!$B$364:$J$370,0,4+2))),IF($AN33="MO",SUMPRODUCT(($AZ33&gt;=INDEX('Methodology &amp; Sources'!$B$375:$J$382,0,1))*INDEX('Methodology &amp; Sources'!$B$375:$J$382,0,1+2)),IF($AN33="NE",MAX(IF($AU33="Married",SUMPRODUCT(($AZ33&gt;=INDEX('Methodology &amp; Sources'!$B$394:$J$400,0,7))*INDEX('Methodology &amp; Sources'!$B$394:$J$400,0,7+2)),SUMPRODUCT(($AZ33&gt;=INDEX('Methodology &amp; Sources'!$B$394:$J$400,0,4))*INDEX('Methodology &amp; Sources'!$B$394:$J$400,0,4+2))),0.015),IF($AN33="OH",IF($B33&gt;=DATE(2026,8,1),SUMPRODUCT(($AZ33&gt;=INDEX('Methodology &amp; Sources'!$B$453:$J$456,0,1))*INDEX('Methodology &amp; Sources'!$B$453:$J$456,0,1+2)),SUMPRODUCT(($AZ33&gt;=INDEX('Methodology &amp; Sources'!$B$434:$J$448,0,7))*INDEX('Methodology &amp; Sources'!$B$434:$J$448,0,7+2))),IF($AN33="OK",IF($AU33="Married",SUMPRODUCT(($AZ33&gt;=INDEX('Methodology &amp; Sources'!$B$453:$J$456,0,7))*INDEX('Methodology &amp; Sources'!$B$453:$J$456,0,7+2)),SUMPRODUCT(($AZ33&gt;=INDEX('Methodology &amp; Sources'!$B$453:$J$456,0,4))*INDEX('Methodology &amp; Sources'!$B$453:$J$456,0,4+2))),IF($AN33="RI",SUMPRODUCT(($AZ33&gt;=INDEX('Methodology &amp; Sources'!$B$461:$J$464,0,7))*INDEX('Methodology &amp; Sources'!$B$461:$J$464,0,7+2)),IF($AN33="SC",SUMPRODUCT(($AZ33&gt;=INDEX('Methodology &amp; Sources'!$B$469:$J$473,0,1))*INDEX('Methodology &amp; Sources'!$B$469:$J$473,0,1+2)),IF($AN33="VT",IF($AU33="Married",SUMPRODUCT(($AZ33&gt;=INDEX('Methodology &amp; Sources'!$B$478:$J$482,0,1))*INDEX('Methodology &amp; Sources'!$B$478:$J$482,0,1+2)),SUMPRODUCT(($AZ33&gt;=INDEX('Methodology &amp; Sources'!$B$469:$J$473,0,7))*INDEX('Methodology &amp; Sources'!$B$469:$J$473,0,7+2))),IF($AN33="WV",IF($AU33="Married",SUMPRODUCT(($AZ33&gt;=INDEX('Methodology &amp; Sources'!$B$487:$J$491,0,7))*INDEX('Methodology &amp; Sources'!$B$487:$J$491,0,7+2)),SUMPRODUCT(($AZ33&gt;=INDEX('Methodology &amp; Sources'!$B$478:$J$482,0,7))*INDEX('Methodology &amp; Sources'!$B$478:$J$482,0,7+2))),IF($AN33="IN",(0.0295+Inputs!$C$76),"")))))))))))))</f>
      </c>
      <c r="CC33" s="24">
        <f>IF($B33="","",IF($AN33="AR",SUMPRODUCT(($AZ33&gt;=INDEX('Methodology &amp; Sources'!$B$332:$J$336,0,7))*INDEX('Methodology &amp; Sources'!$B$332:$J$336,0,7+2)),IF($AN33="DE",SUMPRODUCT(($AZ33&gt;=INDEX('Methodology &amp; Sources'!$B$341:$J$348,0,1))*INDEX('Methodology &amp; Sources'!$B$341:$J$348,0,1+2)),IF($AN33="VA",SUMPRODUCT(($AZ33&gt;=INDEX('Methodology &amp; Sources'!$B$469:$J$473,0,4))*INDEX('Methodology &amp; Sources'!$B$469:$J$473,0,4+2)),IF($AN33="WI",SUMPRODUCT(($AZ33&gt;=INDEX('Methodology &amp; Sources'!$B$478:$J$482,0,4))*INDEX('Methodology &amp; Sources'!$B$478:$J$482,0,4+2)),IF($AN33="AZ",Inputs!$C$82,IF($AN33="CO",IF($AY33&gt;IF($AU33="Married",10000,5000),0.044,0),IF($AN33="IA",IF($AY33&gt;IF($AU33="Head of household",19500,IF($AU33="Married",26000,13000)),0.038,0),IF($AN33="ID",IF($AY33&gt;IF($AU33="Married",32000,16094),0.053,0),IF($AN33="IL",IF($AY33&gt;(2925*$AS33+1000*$AT33),0.0495,0),IF($AN33="KY",IF($AI33&gt;3360,0.035,0),IF($AN33="LA",0.0309,IF($AN33="MA",IF(MAX(0,$AY33-MIN(($BD32+$Q33+$R33+$S33),2000)-IF($AS33=0,0,IF($AS33=1,4400,1000*$AS33+3400)))&gt;=1107750,0.09,0.05),IF($AN33="MS",IF($AI33-IF($AU33="Head of household",3400,IF($AU33="Married",4600,2300))-Inputs!$C$85&gt;10000,0.04,0),IF($AN33="PA",0.0307,"")))))))))))))))</f>
      </c>
      <c r="CD33" s="21">
        <f>IF(YEAR(IF(Inputs!$C$7="Weekly",Inputs!$C$9+7*(($BE32+1)-1),IF(Inputs!$C$7="Biweekly",Inputs!$C$9+14*(($BE32+1)-1),IF(Inputs!$C$7="Semimonthly",DATE(YEAR(Inputs!$C$9),MONTH(Inputs!$C$9)+INT((($BE32+1)-1)/2),MIN(DAY(Inputs!$C$9),DAY(EOMONTH(DATE(YEAR(Inputs!$C$9),MONTH(Inputs!$C$9)+INT((($BE32+1)-1)/2),1),0))))+IF(MOD(($BE32+1)-1,2)=1,15,0),EDATE(Inputs!$C$9,($BE32+1)-1)))))&lt;&gt;2026,"",IF(Inputs!$C$7="Weekly",Inputs!$C$9+7*(($BE32+1)-1),IF(Inputs!$C$7="Biweekly",Inputs!$C$9+14*(($BE32+1)-1),IF(Inputs!$C$7="Semimonthly",DATE(YEAR(Inputs!$C$9),MONTH(Inputs!$C$9)+INT((($BE32+1)-1)/2),MIN(DAY(Inputs!$C$9),DAY(EOMONTH(DATE(YEAR(Inputs!$C$9),MONTH(Inputs!$C$9)+INT((($BE32+1)-1)/2),1),0))))+IF(MOD(($BE32+1)-1,2)=1,15,0),EDATE(Inputs!$C$9,($BE32+1)-1)))))</f>
      </c>
      <c r="CE33" s="21">
        <f>IF(SUMPRODUCT(MIN(IF((Inputs!$C$58:$C$67&gt;MAX($B$6:$B32))*(Inputs!$C$58:$C$67&gt;=DATE(2026,1,1))*(Inputs!$C$58:$C$67&lt;=DATE(2026,12,31)),Inputs!$C$58:$C$67,999999)))=999999,"",SUMPRODUCT(MIN(IF((Inputs!$C$58:$C$67&gt;MAX($B$6:$B32))*(Inputs!$C$58:$C$67&gt;=DATE(2026,1,1))*(Inputs!$C$58:$C$67&lt;=DATE(2026,12,31)),Inputs!$C$58:$C$67,999999))))</f>
      </c>
    </row>
    <row r="34">
      <c r="A34" t="n">
        <v>29</v>
      </c>
      <c r="B34" s="21">
        <f>IF(AND($CD34="",$CE34=""),"",IF($CE34="",$CD34,IF($CD34="",$CE34,MIN($CD34,$CE34))))</f>
      </c>
      <c r="C34" s="7">
        <f>IF($B34="","",IF($BF34=0,0,IF(Inputs!$C$4="Annual salary",ROUND($AK34/IF(AND(Inputs!$C$88="Actual paydays",MONTH(Inputs!$C$9)=1),MAX(1,MAX($BE$6:$BE$68)),Inputs!$C$8),2),$AK34)))</f>
      </c>
      <c r="D34" s="7">
        <f>IF($B34="","",SUMIF(Inputs!$C$58:$C$67,$B34,Inputs!$D$58:$D$67))</f>
      </c>
      <c r="E34" s="7">
        <f>IF($B34="","",ROUND(MAX(0,MIN(IF($AL34="Percent",$AM34*($C34+$D34),$AM34),MAX(0,Inputs!$C$91-$AC33))),2))</f>
      </c>
      <c r="F34" s="7">
        <f>IF($B34="","",ROUND(MAX(0,MIN(IF(Inputs!$C$32="Percent",Inputs!$D$32*($C34+$D34),Inputs!$D$32),MAX(0,Inputs!$C$91-$AC33-$E34))),2))</f>
      </c>
      <c r="G34" s="7">
        <f>IF($B34="","",IF($BF34=0,0,ROUND(MAX(0,MIN($BL34,Inputs!$C$92-Inputs!$C$54-$BI33)),2)))</f>
      </c>
      <c r="H34" s="7">
        <f>IF($B34="","",IF(OR($BF34=0,$BQ34=1),0,ROUND(MAX(0,MIN(IF($BS34=1,ROUND(MAX(0,MIN($BJ34,'Methodology &amp; Sources'!$C$263)-$BG33)/MAX(1,MAX($BE$6:$BE$68)-($BE33)),2),ROUND(MIN($BJ34,'Methodology &amp; Sources'!$C$263)/Inputs!$C$8,2)),MIN($BJ34,'Methodology &amp; Sources'!$C$263)-$BG33)),2)))</f>
      </c>
      <c r="I34" s="7">
        <f>IF($B34="","",IF(OR($BF34=0,$BR34=1),0,ROUND(MAX(0,MIN(IF($BT34=1,ROUND(MAX(0,MIN($BK34,IF(Inputs!$C$12="MFJ",'Methodology &amp; Sources'!$C$264,'Methodology &amp; Sources'!$C$265))-$BH33)/MAX(1,MAX($BE$6:$BE$68)-($BE33)),2),ROUND(MIN($BK34,IF(Inputs!$C$12="MFJ",'Methodology &amp; Sources'!$C$264,'Methodology &amp; Sources'!$C$265))/Inputs!$C$8,2)),MIN($BK34,IF(Inputs!$C$12="MFJ",'Methodology &amp; Sources'!$C$264,'Methodology &amp; Sources'!$C$265))-$BH33)),2)))</f>
      </c>
      <c r="J34" s="7">
        <f>IF($B34="","",IF($BF34=0,0,$BM34))</f>
      </c>
      <c r="K34" s="7">
        <f>IF($B34="","",IF($BF34=0,0,$BN34+$BO34))</f>
      </c>
      <c r="L34" s="7">
        <f>IF($B34="","",IF($BF34=0,0,Inputs!$D$46))</f>
      </c>
      <c r="M34" s="7">
        <f>IF($B34="","",$C34+$D34+$L34-$E34-$G34-$H34-$I34-$J34-$K34)</f>
      </c>
      <c r="N34" s="7">
        <f>IF($B34="","",$C34+$D34+$L34-$G34-$H34-$I34-$J34-$K34)</f>
      </c>
      <c r="O34" s="7">
        <f>IF($B34="","",$C34+$D34+$L34-$E34-$H34-$I34-$J34-$K34-IF(OR($AN34="CA",$AN34="NJ"),0,$G34))</f>
      </c>
      <c r="P34" s="7">
        <f>IF($B34="","",IF(Inputs!$C$18,0,ROUND(MAX(0,IF(Inputs!$C$13,SUMPRODUCT(($AH34&gt;INDEX('Methodology &amp; Sources'!$B$279:$J$286,0,IF(Inputs!$C$12="MFJ",1,IF(Inputs!$C$12="HoH",7,4))))*($AH34-INDEX('Methodology &amp; Sources'!$B$279:$J$286,0,IF(Inputs!$C$12="MFJ",1,IF(Inputs!$C$12="HoH",7,4))))*INDEX('Methodology &amp; Sources'!$B$279:$J$286,0,IF(Inputs!$C$12="MFJ",1,IF(Inputs!$C$12="HoH",7,4))+2)),SUMPRODUCT(($AH34&gt;INDEX('Methodology &amp; Sources'!$B$269:$J$276,0,IF(Inputs!$C$12="MFJ",1,IF(Inputs!$C$12="HoH",7,4))))*($AH34-INDEX('Methodology &amp; Sources'!$B$269:$J$276,0,IF(Inputs!$C$12="MFJ",1,IF(Inputs!$C$12="HoH",7,4))))*INDEX('Methodology &amp; Sources'!$B$269:$J$276,0,IF(Inputs!$C$12="MFJ",1,IF(Inputs!$C$12="HoH",7,4))+2)))/Inputs!$C$8-$AO34/Inputs!$C$8)+$AR34+IF(Inputs!$C$89="Aggregate",MAX(0,IF(Inputs!$C$13,SUMPRODUCT((($AH34+$D34)&gt;INDEX('Methodology &amp; Sources'!$B$279:$J$286,0,IF(Inputs!$C$12="MFJ",1,IF(Inputs!$C$12="HoH",7,4))))*(($AH34+$D34)-INDEX('Methodology &amp; Sources'!$B$279:$J$286,0,IF(Inputs!$C$12="MFJ",1,IF(Inputs!$C$12="HoH",7,4))))*INDEX('Methodology &amp; Sources'!$B$279:$J$286,0,IF(Inputs!$C$12="MFJ",1,IF(Inputs!$C$12="HoH",7,4))+2)),SUMPRODUCT((($AH34+$D34)&gt;INDEX('Methodology &amp; Sources'!$B$269:$J$276,0,IF(Inputs!$C$12="MFJ",1,IF(Inputs!$C$12="HoH",7,4))))*(($AH34+$D34)-INDEX('Methodology &amp; Sources'!$B$269:$J$276,0,IF(Inputs!$C$12="MFJ",1,IF(Inputs!$C$12="HoH",7,4))))*INDEX('Methodology &amp; Sources'!$B$269:$J$276,0,IF(Inputs!$C$12="MFJ",1,IF(Inputs!$C$12="HoH",7,4))+2)))-IF(Inputs!$C$13,SUMPRODUCT(($AH34&gt;INDEX('Methodology &amp; Sources'!$B$279:$J$286,0,IF(Inputs!$C$12="MFJ",1,IF(Inputs!$C$12="HoH",7,4))))*($AH34-INDEX('Methodology &amp; Sources'!$B$279:$J$286,0,IF(Inputs!$C$12="MFJ",1,IF(Inputs!$C$12="HoH",7,4))))*INDEX('Methodology &amp; Sources'!$B$279:$J$286,0,IF(Inputs!$C$12="MFJ",1,IF(Inputs!$C$12="HoH",7,4))+2)),SUMPRODUCT(($AH34&gt;INDEX('Methodology &amp; Sources'!$B$269:$J$276,0,IF(Inputs!$C$12="MFJ",1,IF(Inputs!$C$12="HoH",7,4))))*($AH34-INDEX('Methodology &amp; Sources'!$B$269:$J$276,0,IF(Inputs!$C$12="MFJ",1,IF(Inputs!$C$12="HoH",7,4))))*INDEX('Methodology &amp; Sources'!$B$269:$J$276,0,IF(Inputs!$C$12="MFJ",1,IF(Inputs!$C$12="HoH",7,4))+2)))),'Methodology &amp; Sources'!$C$260*$D34),2)))</f>
      </c>
      <c r="Q34" s="7">
        <f>IF($B34="","",ROUND('Methodology &amp; Sources'!$C$254*MIN($N34,MAX(0,'Methodology &amp; Sources'!$C$253-($AX34+$AB33-$AW34))),2))</f>
      </c>
      <c r="R34" s="7">
        <f>IF($B34="","",ROUND('Methodology &amp; Sources'!$C$255*$N34,2))</f>
      </c>
      <c r="S34" s="7">
        <f>IF($B34="","",ROUND('Methodology &amp; Sources'!$C$256*MAX(0,MIN($N34,$AG33+$N34-'Methodology &amp; Sources'!$C$257)),2))</f>
      </c>
      <c r="T34" s="7">
        <f>IF($B34="","",IF(Inputs!$C$26,0,IF($AN34="CA",ROUND(IF($AI34&lt;=IF(($AS34+$AT34)&gt;=2,VLOOKUP($AN34,'StateTables 2026'!$A$6:$AB$56,10,FALSE),VLOOKUP($AN34,'StateTables 2026'!$A$6:$AB$56,9,FALSE)),0,MAX(0,SUMPRODUCT(($AJ34&gt;INDEX('Methodology &amp; Sources'!$B$289:$J$298,0,IF($AU34="Married",4,IF($AU34="Head of household",7,1))))*($AJ34-INDEX('Methodology &amp; Sources'!$B$289:$J$298,0,IF($AU34="Married",4,IF($AU34="Head of household",7,1))))*INDEX('Methodology &amp; Sources'!$B$289:$J$298,0,IF($AU34="Married",4,IF($AU34="Head of household",7,1))+2))-VLOOKUP($AN34,'StateTables 2026'!$A$6:$AB$56,11,FALSE)*$AS34)/Inputs!$C$8)+Inputs!$C$25+VLOOKUP($AN34,'StateTables 2026'!$A$6:$AB$56,13,FALSE)*$D34,2),IF(VLOOKUP($AN34,'StateTables 2026'!$A$6:$AB$56,4,FALSE)="None",0,IF(ISNUMBER(SEARCH("MANUAL",VLOOKUP($AN34,'StateTables 2026'!$A$6:$AB$56,5,FALSE))),Inputs!$C$28,ROUND(MAX(0,$BA34+$BB34)/Inputs!$C$8+Inputs!$C$25+$BC34,2))))))</f>
      </c>
      <c r="U34" s="7">
        <f>IF($B34="","",IF(VLOOKUP($AN34,'StateTables 2026'!$A$6:$AB$56,24,FALSE)="flatq",IF(OR(MONTH($B34)=1,MONTH($B34)=4,MONTH($B34)=7,MONTH($B34)=10),VLOOKUP($AN34,'StateTables 2026'!$A$6:$AB$56,25,FALSE),0),IF(VLOOKUP($AN34,'StateTables 2026'!$A$6:$AB$56,24,FALSE)="dbl",MIN(ROUND(0.005*$N34,2),ROUND(0.6*52/Inputs!$C$8,2)),IF(OR(VLOOKUP($AN34,'StateTables 2026'!$A$6:$AB$56,15,FALSE)="",VLOOKUP($AN34,'StateTables 2026'!$A$6:$AB$56,15,FALSE)=0),0,ROUND(VLOOKUP($AN34,'StateTables 2026'!$A$6:$AB$56,15,FALSE)*IF(OR(VLOOKUP($AN34,'StateTables 2026'!$A$6:$AB$56,16,FALSE)="",VLOOKUP($AN34,'StateTables 2026'!$A$6:$AB$56,16,FALSE)=0),$N34,MIN($N34,MAX(0,VLOOKUP($AN34,'StateTables 2026'!$A$6:$AB$56,16,FALSE)-($AX34+$AB33-$AW34)))),2))))+IF(VLOOKUP($AN34,'StateTables 2026'!$A$6:$AB$56,27,FALSE)="flatq",IF(OR(MONTH($B34)=1,MONTH($B34)=4,MONTH($B34)=7,MONTH($B34)=10),VLOOKUP($AN34,'StateTables 2026'!$A$6:$AB$56,28,FALSE),0),IF(VLOOKUP($AN34,'StateTables 2026'!$A$6:$AB$56,27,FALSE)="dbl",MIN(ROUND(0.005*$N34,2),ROUND(0.6*52/Inputs!$C$8,2)),IF(OR(VLOOKUP($AN34,'StateTables 2026'!$A$6:$AB$56,18,FALSE)="",VLOOKUP($AN34,'StateTables 2026'!$A$6:$AB$56,18,FALSE)=0),0,ROUND(VLOOKUP($AN34,'StateTables 2026'!$A$6:$AB$56,18,FALSE)*IF(OR(VLOOKUP($AN34,'StateTables 2026'!$A$6:$AB$56,19,FALSE)="",VLOOKUP($AN34,'StateTables 2026'!$A$6:$AB$56,19,FALSE)=0),$N34,MIN($N34,MAX(0,VLOOKUP($AN34,'StateTables 2026'!$A$6:$AB$56,19,FALSE)-($AX34+$AB33-$AW34)))),2)))))</f>
      </c>
      <c r="V34" s="7">
        <f>IF($B34="","",IF($AN34="NY",IF(Inputs!$C$78,ROUND(SUMPRODUCT((MAX(0,($O34-$D34)*Inputs!$C$8-(IF($AU34="Married",5500,5000)+1000*$AS34))&gt;INDEX('Methodology &amp; Sources'!$B$434:$J$448,0,4))*(MAX(0,($O34-$D34)*Inputs!$C$8-(IF($AU34="Married",5500,5000)+1000*$AS34))-INDEX('Methodology &amp; Sources'!$B$434:$J$448,0,4))*INDEX('Methodology &amp; Sources'!$B$434:$J$448,0,4+2))/Inputs!$C$8+0.0425*$D34,2),0)+IF(Inputs!$C$79="Resident",ROUND(0.1675*$T34,2),IF(Inputs!$C$79="Nonresident",ROUND(0.005*MAX(0,($O34-$D34)-(IF($AU34="Married",7950,7400)+1000*$AS34)/Inputs!$C$8),2),0)),IF($AN34="PA",IF(Inputs!$C$80="None",Inputs!$C$27+ROUND(Inputs!$C$81*($C34+$D34),2),ROUND(IF(Inputs!$C$80="Resident",IF($B34&lt;DATE(2026,7,1),0.0374,0.03735),IF($B34&lt;DATE(2026,7,1),0.0343,0.03425))*($C34+$D34),2)),IF($BF34=0,ROUND(Inputs!$C$81*($C34+$D34),2),Inputs!$C$27+ROUND(Inputs!$C$81*($C34+$D34),2)))))</f>
      </c>
      <c r="W34" s="7">
        <f>IF($B34="","",IF($BF34=0,0,$BP34))</f>
      </c>
      <c r="X34" s="7">
        <f>IF($B34="","",SUM($E34:$K34)+$P34+$Q34+$R34+$S34+$T34+$U34+$V34+$W34)</f>
      </c>
      <c r="Y34" s="22">
        <f>IF($B34="","",$C34+$D34-$X34)</f>
      </c>
      <c r="Z34" s="7">
        <f>IF($B34="","",$Z33+$C34+$D34)</f>
      </c>
      <c r="AA34" s="7">
        <f>IF($B34="","",$AA33+$Y34)</f>
      </c>
      <c r="AB34" s="7">
        <f>IF($B34="","",$AB33+MIN($N34,MAX(0,'Methodology &amp; Sources'!$C$253-($AX34+$AB33-$AW34))))</f>
      </c>
      <c r="AC34" s="7">
        <f>IF($B34="","",$AC33+$E34+$F34)</f>
      </c>
      <c r="AD34" s="3">
        <f>IF($B34="","",IF(AND($AB33&lt;'Methodology &amp; Sources'!$C$253,$AB34&gt;='Methodology &amp; Sources'!$C$253),"★ Social Security maxed on this check — from the next check your net rises by about $"&amp;TEXT(ROUND('Methodology &amp; Sources'!$C$254*$N34,2),"#,##0.00")&amp;". ","")&amp;IF(AND($AC33&lt;Inputs!$C$91,$AC34&gt;=Inputs!$C$91),"★ 401(k) reaches the $"&amp;TEXT(Inputs!$C$91,"#,##0")&amp;" cap on this check — deferrals stop and net pay rises. ","")&amp;IF(AND($AG33&lt;'Methodology &amp; Sources'!$C$257,$AG34&gt;='Methodology &amp; Sources'!$C$257),"★ Wages pass $200,000 — the 0.9% Additional Medicare Tax starts here. ","")&amp;IF(AND($BJ34&gt;0,$H34&gt;0,$BG33&lt;MIN($BJ34,'Methodology &amp; Sources'!$C$263),$BG33+$H34&gt;=MIN($BJ34,'Methodology &amp; Sources'!$C$263)),"★ Health FSA election is now fully deferred for the year. ",""))</f>
      </c>
      <c r="AE34" s="41" t="n"/>
      <c r="AF34" s="7">
        <f>IF(OR($B34="",$AE34=""),"",$AE34-$Y34)</f>
      </c>
      <c r="AG34" s="7">
        <f>IF($B34="","",$AG33+$N34)</f>
      </c>
      <c r="AH34" s="7">
        <f>IF($B34="","",MAX(0,($M34-$D34)*Inputs!$C$8+$AP34-$AQ34-IF(Inputs!$C$13,0,IF(Inputs!$C$12="MFJ",'Methodology &amp; Sources'!$C$258,'Methodology &amp; Sources'!$C$259))))</f>
      </c>
      <c r="AI34" s="7">
        <f>IF($B34="","",$O34*Inputs!$C$8)</f>
      </c>
      <c r="AJ34" s="7">
        <f>IF($B34="","",MAX(0,$AI34-VLOOKUP($AN34,'StateTables 2026'!$A$6:$AB$56,12,FALSE)*$AT34-IF(($AS34+$AT34)&gt;=2,VLOOKUP($AN34,'StateTables 2026'!$A$6:$AB$56,8,FALSE),VLOOKUP($AN34,'StateTables 2026'!$A$6:$AB$56,7,FALSE))))</f>
      </c>
      <c r="AK34" s="7">
        <f>IF($B34="","",IFERROR(LOOKUP(2,1/((Events!$C$6:$C$17="Salary change")*(Events!$B$6:$B$17&lt;=$B34)*(Events!$B$6:$B$17&lt;&gt;"")),Events!$D$6:$D$17),IF(Inputs!$C$4="Annual salary",Inputs!$C$5,Inputs!$C$6)))</f>
      </c>
      <c r="AL34">
        <f>IF($B34="","",IFERROR(LOOKUP(2,1/((Events!$C$6:$C$17="401(k) change")*(Events!$B$6:$B$17&lt;=$B34)*(Events!$B$6:$B$17&lt;&gt;"")),Events!$D$6:$D$17),Inputs!$C$30))</f>
      </c>
      <c r="AM34" s="7">
        <f>IF($B34="","",IFERROR(LOOKUP(2,1/((Events!$C$6:$C$17="401(k) change")*(Events!$B$6:$B$17&lt;=$B34)*(Events!$B$6:$B$17&lt;&gt;"")),Events!$E$6:$E$17),Inputs!$D$30))</f>
      </c>
      <c r="AN34">
        <f>IF($B34="","",IFERROR(LOOKUP(2,1/((Events!$C$6:$C$17="State move")*(Events!$B$6:$B$17&lt;=$B34)*(Events!$B$6:$B$17&lt;&gt;"")),Events!$D$6:$D$17),Inputs!$C$21))</f>
      </c>
      <c r="AO34" s="7">
        <f>IF($B34="","",IFERROR(LOOKUP(2,1/((Events!$C$6:$C$17="W-4 change")*(Events!$B$6:$B$17&lt;=$B34)*(Events!$B$6:$B$17&lt;&gt;"")),Events!$D$6:$D$17),Inputs!$C$14))</f>
      </c>
      <c r="AP34" s="7">
        <f>IF($B34="","",IFERROR(LOOKUP(2,1/((Events!$C$6:$C$17="W-4 change")*(Events!$B$6:$B$17&lt;=$B34)*(Events!$B$6:$B$17&lt;&gt;"")),Events!$E$6:$E$17),Inputs!$C$15))</f>
      </c>
      <c r="AQ34" s="7">
        <f>IF($B34="","",IFERROR(LOOKUP(2,1/((Events!$C$6:$C$17="W-4 change")*(Events!$B$6:$B$17&lt;=$B34)*(Events!$B$6:$B$17&lt;&gt;"")),Events!$F$6:$F$17),Inputs!$C$16))</f>
      </c>
      <c r="AR34" s="7">
        <f>IF($B34="","",IFERROR(LOOKUP(2,1/((Events!$C$6:$C$17="W-4 change")*(Events!$B$6:$B$17&lt;=$B34)*(Events!$B$6:$B$17&lt;&gt;"")),Events!$G$6:$G$17),Inputs!$C$17))</f>
      </c>
      <c r="AS34" s="6">
        <f>IF($B34="","",IFERROR(LOOKUP(2,1/(((Events!$C$6:$C$17="State move")+(Events!$C$6:$C$17="State cert change"))*(Events!$B$6:$B$17&lt;=$B34)*(Events!$B$6:$B$17&lt;&gt;"")),Events!$F$6:$F$17),Inputs!$C$23))</f>
      </c>
      <c r="AT34" s="6">
        <f>IF($B34="","",IFERROR(LOOKUP(2,1/(((Events!$C$6:$C$17="State move")+(Events!$C$6:$C$17="State cert change"))*(Events!$B$6:$B$17&lt;=$B34)*(Events!$B$6:$B$17&lt;&gt;"")),Events!$G$6:$G$17),Inputs!$C$24))</f>
      </c>
      <c r="AU34">
        <f>IF($B34="","",IFERROR(LOOKUP(2,1/((Events!$C$6:$C$17="State move")*(Events!$B$6:$B$17&lt;=$B34)*(Events!$B$6:$B$17&lt;&gt;"")),Events!$E$6:$E$17),Inputs!$C$22))</f>
      </c>
      <c r="AV34" s="6">
        <f>IF($B34="","",1+COUNTIFS(Events!$C$6:$C$17,"Employer change",Events!$B$6:$B$17,"&lt;="&amp;$B34,Events!$B$6:$B$17,"&lt;&gt;"))</f>
      </c>
      <c r="AW34" s="7">
        <f>IF($B34="","",IF($AV34=1,Inputs!$C$49,IF(IFERROR(MATCH(IFERROR(LOOKUP(2,1/((Events!$C$6:$C$17="Employer change")*(Events!$B$6:$B$17&lt;=$B34)*(Events!$B$6:$B$17&lt;&gt;"")),Events!$B$6:$B$17),""),$B$6:$B$68,1),1)&lt;=1,Inputs!$C$49,INDEX($AB$6:$AB$68,MATCH(IFERROR(LOOKUP(2,1/((Events!$C$6:$C$17="Employer change")*(Events!$B$6:$B$17&lt;=$B34)*(Events!$B$6:$B$17&lt;&gt;"")),Events!$B$6:$B$17),""),$B$6:$B$68,1)-1))))</f>
      </c>
      <c r="AX34" s="7">
        <f>IF($B34="","",IF($AV34=1,Inputs!$C$49,IFERROR(LOOKUP(2,1/((Events!$C$6:$C$17="Employer change")*(Events!$B$6:$B$17&lt;=$B34)*(Events!$B$6:$B$17&lt;&gt;"")),Events!$D$6:$D$17),0)))</f>
      </c>
      <c r="AY34" s="7">
        <f>IF($B34="","",($O34-$D34)*Inputs!$C$8)</f>
      </c>
      <c r="AZ34" s="7">
        <f>IF($B34="","",IF($AN34="AL",MAX(0,$AY34-IF($AU34="Married",IF($AY34&lt;=25999,8500,MAX(5000,8500-175*CEILING(($AY34-25999)/500,1))),IF($AU34="Head of household",IF($AY34&lt;=25999,5200,MAX(2500,5200-135*CEILING(($AY34-25999)/500,1))),IF($AY34&lt;=25999,3000,MAX(2500,3000-25*CEILING(($AY34-25999)/500,1)))))-($P34-'Methodology &amp; Sources'!$C$260*$D34)*Inputs!$C$8-IF(OR($AU34="Married",$AU34="Head of household"),3000,1500)-$AT34*IF($AY34&lt;=50000,1000,IF($AY34&lt;=100000,500,300))),IF($AN34="AR",IF(MAX(0,$AY34-2470)&lt;97701,INT(MAX(0,$AY34-2470)/100)*100+50,MAX(0,$AY34-2470)),IF($AN34="DE",MAX(0,$AI34-3250),IF($AN34="HI",MAX(0,$AI34-1144*$AS34-4350),IF($AN34="KS",MAX(0,$AI34-(9160*IF($AU34="Married",2,1)+2320*$AT34+IF($AU34="Head of household",2320,0))),IF($AN34="MD",MAX(0,$AI34-3400-3200*$AS34),IF($AN34="MN",MAX(0,$AY34-5300*$AS34),IF($AN34="MO",MAX(0,$AI34-IF($AU34="Head of household",24150,IF($AU34="Married",IF(Inputs!$C$83,16100,32200),16100))),IF($AN34="MT",$AY34,IF($AN34="ND",($C34+$L34)*Inputs!$C$8,IF($AN34="NE",MAX(0,$AY34-2440*$AS34),IF($AN34="NJ",MAX(0,$AY34-1000*$AS34),IF($AN34="NY",MAX(0,$AY34-(IF($AU34="Married",7950,7400)+1000*$AS34)),IF($AN34="OH",MAX(0,$AY34-650*$AS34),IF($AN34="OK",MAX(0,$AY34-1000*$AS34),IF($AN34="RI",MAX(0,$AI34-1000*$AS34),IF($AN34="SC",MAX(0,$AI34-5000*$AS34-IF($AS34=0,0,MIN(0.1*$AI34,7500))),IF($AN34="VA",MAX(0,$AI34-IF($AU34="Married",17500,8750)-930*$AS34-800*$AT34),IF($AN34="VT",MAX(0,$AI34-5400*$AS34),IF($AN34="WI",MAX(0,$AI34-MAX(0,IF($AU34="Married",9461-0.2*MAX(0,$AI34-25727),6702-0.12*MAX(0,$AI34-17780)))-400*$AS34),IF($AN34="WV",MAX(0,$AI34-2000*$AS34),$AI34))))))))))))))))))))))</f>
      </c>
      <c r="BA34" s="7">
        <f>IF($B34="","",IF($BW34&lt;&gt;"",$BW34,IF($BX34&lt;&gt;"",$BX34,IF($BY34&lt;&gt;"",$BY34,0))))</f>
      </c>
      <c r="BB34" s="7">
        <f>IF($B34="","",IF($AN34="AR",-29*$AS34,IF($AN34="DE",-110*$AS34,IF($AN34="MD",$AZ34*Inputs!$C$74,IF($AN34="AZ",Inputs!$C$82*($M34-$D34)*Inputs!$C$8,IF($AN34="CO",0.044*MAX(0,$AY34-IF($AU34="Married",10000,5000)),IF($AN34="IA",MAX(0,0.038*MAX(0,$AY34-IF($AU34="Head of household",19500,IF($AU34="Married",26000,13000)))-40*$AS34),IF($AN34="ID",0.053*MAX(0,$AY34-IF($AU34="Married",32000,16094)),IF($AN34="IL",0.0495*MAX(0,$AY34-(2925*$AS34+1000*$AT34)),IF($AN34="IN",(0.0295+Inputs!$C$76)*MAX(0,$AY34-(1000*$AS34+1500*$AT34+3000*Inputs!$C$86)),IF($AN34="KY",0.035*MAX(0,$AI34-3360),IF($AN34="LA",IF(Inputs!$C$84="0",0.0309*$AI34,0.0309*MAX(0,$AI34-IF(Inputs!$C$84="2",25750,12875))),IF($AN34="MA",0.05*MIN(MAX(0,$AY34-MIN(($BD33+$Q34+$R34+$S34),2000)-IF($AS34=0,0,IF($AS34=1,4400,1000*$AS34+3400))),1107750)+0.09*MAX(0,MAX(0,$AY34-MIN(($BD33+$Q34+$R34+$S34),2000)-IF($AS34=0,0,IF($AS34=1,4400,1000*$AS34+3400)))-1107750)-IF($AU34="Head of household",120,0)-110*Inputs!$C$75,IF($AN34="MI",0.0425*MAX(0,$AY34-5900*$AS34),IF($AN34="MS",0.04*MAX(0,$AI34-IF($AU34="Head of household",3400,IF($AU34="Married",4600,2300))-Inputs!$C$85-10000),IF($AN34="OR",IF(OR($AU34="Married",AND($AU34="Single",$AS34&gt;=3)),SUMPRODUCT((MAX(0,$AY34-MIN(($P34-'Methodology &amp; Sources'!$C$260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Sources'!$B$461:$J$464,0,4))*(MAX(0,$AY34-MIN(($P34-'Methodology &amp; Sources'!$C$260*$D34)*Inputs!$C$8,IF(OR($AU34="Married",AND($AU34="Single",$AS34&gt;=3)),IF($AY34&lt;250000,8750,IF($AY34&lt;260000,7000,IF($AY34&lt;270000,5250,IF($AY34&lt;280000,3500,IF($AY34&lt;290000,1750,0))))),IF($AY34&lt;125000,8750,IF($AY34&lt;130000,7000,IF($AY34&lt;135000,5250,IF($AY34&lt;140000,3500,IF($AY34&lt;145000,1750,0)))))))-IF(OR($AU34="Married",AND($AU34="Single",$AS34&gt;=3)),5820,2910))-INDEX('Methodology &amp; Sources'!$B$461:$J$464,0,4))*INDEX('Methodology &amp; Sources'!$B$461:$J$464,0,4+2)),SUMPRODUCT((MAX(0,$AY34-MIN(($P34-'Methodology &amp; Sources'!$C$260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Sources'!$B$461:$J$464,0,1))*(MAX(0,$AY34-MIN(($P34-'Methodology &amp; Sources'!$C$260*$D34)*Inputs!$C$8,IF(OR($AU34="Married",AND($AU34="Single",$AS34&gt;=3)),IF($AY34&lt;250000,8750,IF($AY34&lt;260000,7000,IF($AY34&lt;270000,5250,IF($AY34&lt;280000,3500,IF($AY34&lt;290000,1750,0))))),IF($AY34&lt;125000,8750,IF($AY34&lt;130000,7000,IF($AY34&lt;135000,5250,IF($AY34&lt;140000,3500,IF($AY34&lt;145000,1750,0)))))))-IF(OR($AU34="Married",AND($AU34="Single",$AS34&gt;=3)),5820,2910))-INDEX('Methodology &amp; Sources'!$B$461:$J$464,0,1))*INDEX('Methodology &amp; Sources'!$B$461:$J$464,0,1+2)))+263-263*IF(IF($AU34="Married",$AY34&gt;200000,$AY34&gt;100000),0,$AS34),IF($AN34="PA",0.0307*(($O34+$E34+$G34)*Inputs!$C$8),IF($AN34="NY",IF($AU34="Married",IF($AZ34&gt;=2155350,0,IF($AZ34&gt;=1077550,0.48,IF($AZ34&gt;=373200,1.21,IF($AZ34&gt;=323200,0.21,IF($AZ34&gt;=211550,-0.19,IF($AZ34&gt;=157650,-2.8,IF($AZ34&gt;=107650,-0.8,IF($AZ34&gt;=96800,0.05,IF($AZ34&gt;=80650,-0.1,IF($AZ34&gt;=13900,0.4,IF($AZ34&gt;=11700,-0.3,IF($AZ34&gt;=8500,0.5,0)))))))))))),IF($AZ34&gt;=1077550,0,IF($AZ34&gt;=265400,4.29,IF($AZ34&gt;=215400,2.29,IF($AZ34&gt;=157650,2.29,IF($AZ34&gt;=107650,0.29,IF($AZ34&gt;=96800,0.05,IF($AZ34&gt;=80650,-0.1,IF($AZ34&gt;=13900,0.4,IF($AZ34&gt;=11700,-0.3,IF($AZ34&gt;=8500,0.5,0))))))))))),0))))))))))))))))))</f>
      </c>
      <c r="BC34" s="7">
        <f>IF($B34="","",IF($AN34="AL",0.05*$D34,IF($AN34="AR",0.039*$D34,IF($AN34="ID",0.053*$D34,IF($AN34="IN",(0.0295+Inputs!$C$76)*$D34,IF($AN34="KS",0.05*$D34,IF($AN34="MA",0.09*MIN($D34,MAX(0,MAX(0,$AY34-MIN(($BD33+$Q34+$R34+$S34),2000)-IF($AS34=0,0,IF($AS34=1,4400,1000*$AS34+3400)))+$D34-1107750))+0.05*($D34-MIN($D34,MAX(0,MAX(0,$AY34-MIN(($BD33+$Q34+$R34+$S34),2000)-IF($AS34=0,0,IF($AS34=1,4400,1000*$AS34+3400)))+$D34-1107750))),IF($AN34="MD",(0.065+Inputs!$C$74)*$D34,IF($AN34="MI",0.0425*$D34,IF($AN34="MN",0.0625*$D34,IF($AN34="MO",0.047*$D34,IF($AN34="MT",0.05*$D34,IF($AN34="ND",0.015*$D34,IF($AN34="NE",0.035*$D34,IF($AN34="NJ",IF(Inputs!$C$77="B",SUMPRODUCT(($D34*Inputs!$C$8&gt;INDEX('Methodology &amp; Sources'!$B$405:$J$412,0,4))*($D34*Inputs!$C$8-INDEX('Methodology &amp; Sources'!$B$405:$J$412,0,4))*INDEX('Methodology &amp; Sources'!$B$405:$J$412,0,4+2)),IF(Inputs!$C$77="C",SUMPRODUCT(($D34*Inputs!$C$8&gt;INDEX('Methodology &amp; Sources'!$B$405:$J$412,0,7))*($D34*Inputs!$C$8-INDEX('Methodology &amp; Sources'!$B$405:$J$412,0,7))*INDEX('Methodology &amp; Sources'!$B$405:$J$412,0,7+2)),IF(Inputs!$C$77="D",SUMPRODUCT(($D34*Inputs!$C$8&gt;INDEX('Methodology &amp; Sources'!$B$417:$J$429,0,1))*($D34*Inputs!$C$8-INDEX('Methodology &amp; Sources'!$B$417:$J$429,0,1))*INDEX('Methodology &amp; Sources'!$B$417:$J$429,0,1+2)),IF(Inputs!$C$77="E",SUMPRODUCT(($D34*Inputs!$C$8&gt;INDEX('Methodology &amp; Sources'!$B$417:$J$429,0,4))*($D34*Inputs!$C$8-INDEX('Methodology &amp; Sources'!$B$417:$J$429,0,4))*INDEX('Methodology &amp; Sources'!$B$417:$J$429,0,4+2)),SUMPRODUCT(($D34*Inputs!$C$8&gt;INDEX('Methodology &amp; Sources'!$B$405:$J$412,0,1))*($D34*Inputs!$C$8-INDEX('Methodology &amp; Sources'!$B$405:$J$412,0,1))*INDEX('Methodology &amp; Sources'!$B$405:$J$412,0,1+2))))))/Inputs!$C$8,IF($AN34="NY",0.117*$D34,IF($AN34="OH",0.0275*$D34,IF($AN34="OK",0.045*$D34,IF($AN34="OR",0.08*$D34,IF($AN34="WI",IF($AY34&lt;12760,0.0354,IF($AY34&lt;25520,0.0465,IF($AY34&lt;280950,0.053,0.0765)))*$D34,0))))))))))))))))))))</f>
      </c>
      <c r="BD34" s="7">
        <f>IF($B34="","",$BD33+$Q34+$R34+$S34)</f>
      </c>
      <c r="BE34" s="6">
        <f>IF($B34="",$BE33,$BE33+$BF34)</f>
      </c>
      <c r="BF34" s="6">
        <f>IF($B34="","",IF(AND(IF(YEAR(IF(Inputs!$C$7="Weekly",Inputs!$C$9+7*(($BE33+1)-1),IF(Inputs!$C$7="Biweekly",Inputs!$C$9+14*(($BE33+1)-1),IF(Inputs!$C$7="Semimonthly",DATE(YEAR(Inputs!$C$9),MONTH(Inputs!$C$9)+INT((($BE33+1)-1)/2),MIN(DAY(Inputs!$C$9),DAY(EOMONTH(DATE(YEAR(Inputs!$C$9),MONTH(Inputs!$C$9)+INT((($BE33+1)-1)/2),1),0))))+IF(MOD(($BE33+1)-1,2)=1,15,0),EDATE(Inputs!$C$9,($BE33+1)-1)))))&lt;&gt;2026,"",IF(Inputs!$C$7="Weekly",Inputs!$C$9+7*(($BE33+1)-1),IF(Inputs!$C$7="Biweekly",Inputs!$C$9+14*(($BE33+1)-1),IF(Inputs!$C$7="Semimonthly",DATE(YEAR(Inputs!$C$9),MONTH(Inputs!$C$9)+INT((($BE33+1)-1)/2),MIN(DAY(Inputs!$C$9),DAY(EOMONTH(DATE(YEAR(Inputs!$C$9),MONTH(Inputs!$C$9)+INT((($BE33+1)-1)/2),1),0))))+IF(MOD(($BE33+1)-1,2)=1,15,0),EDATE(Inputs!$C$9,($BE33+1)-1)))))&lt;&gt;"",$B34=IF(YEAR(IF(Inputs!$C$7="Weekly",Inputs!$C$9+7*(($BE33+1)-1),IF(Inputs!$C$7="Biweekly",Inputs!$C$9+14*(($BE33+1)-1),IF(Inputs!$C$7="Semimonthly",DATE(YEAR(Inputs!$C$9),MONTH(Inputs!$C$9)+INT((($BE33+1)-1)/2),MIN(DAY(Inputs!$C$9),DAY(EOMONTH(DATE(YEAR(Inputs!$C$9),MONTH(Inputs!$C$9)+INT((($BE33+1)-1)/2),1),0))))+IF(MOD(($BE33+1)-1,2)=1,15,0),EDATE(Inputs!$C$9,($BE33+1)-1)))))&lt;&gt;2026,"",IF(Inputs!$C$7="Weekly",Inputs!$C$9+7*(($BE33+1)-1),IF(Inputs!$C$7="Biweekly",Inputs!$C$9+14*(($BE33+1)-1),IF(Inputs!$C$7="Semimonthly",DATE(YEAR(Inputs!$C$9),MONTH(Inputs!$C$9)+INT((($BE33+1)-1)/2),MIN(DAY(Inputs!$C$9),DAY(EOMONTH(DATE(YEAR(Inputs!$C$9),MONTH(Inputs!$C$9)+INT((($BE33+1)-1)/2),1),0))))+IF(MOD(($BE33+1)-1,2)=1,15,0),EDATE(Inputs!$C$9,($BE33+1)-1)))))),1,0))</f>
      </c>
      <c r="BG34" s="7">
        <f>IF($B34="","",$BG33+$H34)</f>
      </c>
      <c r="BH34" s="7">
        <f>IF($B34="","",$BH33+$I34)</f>
      </c>
      <c r="BI34" s="7">
        <f>IF($B34="","",$BI33+$G34)</f>
      </c>
      <c r="BJ34" s="7">
        <f>IF($B34="","",IFERROR(LOOKUP(2,1/((((Events!$C$6:$C$17="Deduction start"))*(Events!$D$6:$D$17="Health FSA"))*(Events!$B$6:$B$17&lt;=$B34)*(Events!$B$6:$B$17&lt;&gt;"")),Events!$E$6:$E$17),Inputs!$D$38))</f>
      </c>
      <c r="BK34" s="7">
        <f>IF($B34="","",IFERROR(LOOKUP(2,1/((((Events!$C$6:$C$17="Deduction start"))*(Events!$D$6:$D$17="Dependent-care FSA"))*(Events!$B$6:$B$17&lt;=$B34)*(Events!$B$6:$B$17&lt;&gt;"")),Events!$E$6:$E$17),Inputs!$D$39))</f>
      </c>
      <c r="BL34" s="7">
        <f>IF($B34="","",IFERROR(LOOKUP(2,1/((((Events!$C$6:$C$17="Deduction start")+(Events!$C$6:$C$17="Deduction stop"))*(Events!$D$6:$D$17="HSA"))*(Events!$B$6:$B$17&lt;=$B34)*(Events!$B$6:$B$17&lt;&gt;"")),Events!$I$6:$I$17),Inputs!$D$35))</f>
      </c>
      <c r="BM34" s="7">
        <f>IF($B34="","",IFERROR(LOOKUP(2,1/((((Events!$C$6:$C$17="Deduction start")+(Events!$C$6:$C$17="Deduction stop"))*(Events!$D$6:$D$17="Premiums"))*(Events!$B$6:$B$17&lt;=$B34)*(Events!$B$6:$B$17&lt;&gt;"")),Events!$I$6:$I$17),Inputs!$D$40+Inputs!$D$41+Inputs!$D$42))</f>
      </c>
      <c r="BN34" s="7">
        <f>IF($B34="","",IFERROR(LOOKUP(2,1/((((Events!$C$6:$C$17="Deduction start")+(Events!$C$6:$C$17="Deduction stop"))*(Events!$D$6:$D$17="Commuter"))*(Events!$B$6:$B$17&lt;=$B34)*(Events!$B$6:$B$17&lt;&gt;"")),Events!$I$6:$I$17),Inputs!$D$43))</f>
      </c>
      <c r="BO34" s="7">
        <f>IF($B34="","",IFERROR(LOOKUP(2,1/((((Events!$C$6:$C$17="Deduction start")+(Events!$C$6:$C$17="Deduction stop"))*(Events!$D$6:$D$17="Other pre-tax"))*(Events!$B$6:$B$17&lt;=$B34)*(Events!$B$6:$B$17&lt;&gt;"")),Events!$I$6:$I$17),Inputs!$D$44))</f>
      </c>
      <c r="BP34" s="7">
        <f>IF($B34="","",IFERROR(LOOKUP(2,1/((((Events!$C$6:$C$17="Deduction start")+(Events!$C$6:$C$17="Deduction stop"))*(Events!$D$6:$D$17="Other post-tax"))*(Events!$B$6:$B$17&lt;=$B34)*(Events!$B$6:$B$17&lt;&gt;"")),Events!$I$6:$I$17),Inputs!$D$45))</f>
      </c>
      <c r="BQ34" s="6">
        <f>IF($B34="","",IFERROR(LOOKUP(2,1/((((Events!$C$6:$C$17="Deduction start")+(Events!$C$6:$C$17="Deduction stop"))*(Events!$D$6:$D$17="Health FSA"))*(Events!$B$6:$B$17&lt;=$B34)*(Events!$B$6:$B$17&lt;&gt;"")),Events!$J$6:$J$17),0))</f>
      </c>
      <c r="BR34" s="6">
        <f>IF($B34="","",IFERROR(LOOKUP(2,1/((((Events!$C$6:$C$17="Deduction start")+(Events!$C$6:$C$17="Deduction stop"))*(Events!$D$6:$D$17="Dependent-care FSA"))*(Events!$B$6:$B$17&lt;=$B34)*(Events!$B$6:$B$17&lt;&gt;"")),Events!$J$6:$J$17),0))</f>
      </c>
      <c r="BS34" s="6">
        <f>IF($B34="","",IF(SUMPRODUCT((Events!$C$6:$C$17="Deduction start")*(Events!$B$6:$B$17&lt;=$B34)*(Events!$B$6:$B$17&lt;&gt;"")*(Events!$D$6:$D$17="Health FSA"))&gt;0,1,0))</f>
      </c>
      <c r="BT34" s="6">
        <f>IF($B34="","",IF(SUMPRODUCT((Events!$C$6:$C$17="Deduction start")*(Events!$B$6:$B$17&lt;=$B34)*(Events!$B$6:$B$17&lt;&gt;"")*(Events!$D$6:$D$17="Dependent-care FSA"))&gt;0,1,0))</f>
      </c>
      <c r="BU34" s="24">
        <f>IF($B34="","",IF(Inputs!$C$13,SUMPRODUCT(($AH34&gt;=INDEX('Methodology &amp; Sources'!$B$279:$J$286,0,IF(Inputs!$C$12="MFJ",1,IF(Inputs!$C$12="HoH",7,4))))*INDEX('Methodology &amp; Sources'!$B$279:$J$286,0,IF(Inputs!$C$12="MFJ",1,IF(Inputs!$C$12="HoH",7,4))+2)),SUMPRODUCT(($AH34&gt;=INDEX('Methodology &amp; Sources'!$B$269:$J$276,0,IF(Inputs!$C$12="MFJ",1,IF(Inputs!$C$12="HoH",7,4))))*INDEX('Methodology &amp; Sources'!$B$269:$J$276,0,IF(Inputs!$C$12="MFJ",1,IF(Inputs!$C$12="HoH",7,4))+2))))</f>
      </c>
      <c r="BV34" s="24">
        <f>IF($B34="","",IF($BZ34&lt;&gt;"",$BZ34,IF($CA34&lt;&gt;"",$CA34,IF($CB34&lt;&gt;"",$CB34,IF($CC34&lt;&gt;"",$CC34,0)))))</f>
      </c>
      <c r="BW34" s="7">
        <f>IF($B34="","",IF($AN34="MD",IF(OR($AU34="Married",$AU34="Head of household"),SUMPRODUCT(($AZ34&gt;INDEX('Methodology &amp; Sources'!$B$364:$J$370,0,1))*($AZ34-INDEX('Methodology &amp; Sources'!$B$364:$J$370,0,1))*INDEX('Methodology &amp; Sources'!$B$364:$J$370,0,1+2)),SUMPRODUCT(($AZ34&gt;INDEX('Methodology &amp; Sources'!$B$353:$J$359,0,7))*($AZ34-INDEX('Methodology &amp; Sources'!$B$353:$J$359,0,7))*INDEX('Methodology &amp; Sources'!$B$353:$J$359,0,7+2))),IF($AN34="MO",SUMPRODUCT(($AZ34&gt;INDEX('Methodology &amp; Sources'!$B$375:$J$382,0,1))*($AZ34-INDEX('Methodology &amp; Sources'!$B$375:$J$382,0,1))*INDEX('Methodology &amp; Sources'!$B$375:$J$382,0,1+2)),IF($AN34="MT",IF($AU34="Head of household",SUMPRODUCT(($AZ34&gt;INDEX('Methodology &amp; Sources'!$B$387:$J$389,0,1))*($AZ34-INDEX('Methodology &amp; Sources'!$B$387:$J$389,0,1))*INDEX('Methodology &amp; Sources'!$B$387:$J$389,0,1+2)),IF($AU34="Married",SUMPRODUCT(($AZ34&gt;INDEX('Methodology &amp; Sources'!$B$375:$J$382,0,7))*($AZ34-INDEX('Methodology &amp; Sources'!$B$375:$J$382,0,7))*INDEX('Methodology &amp; Sources'!$B$375:$J$382,0,7+2)),SUMPRODUCT(($AZ34&gt;INDEX('Methodology &amp; Sources'!$B$375:$J$382,0,4))*($AZ34-INDEX('Methodology &amp; Sources'!$B$375:$J$382,0,4))*INDEX('Methodology &amp; Sources'!$B$375:$J$382,0,4+2)))),IF($AN34="ND",IF($AU34="Head of household",SUMPRODUCT(($AZ34&gt;INDEX('Methodology &amp; Sources'!$B$394:$J$400,0,1))*($AZ34-INDEX('Methodology &amp; Sources'!$B$394:$J$400,0,1))*INDEX('Methodology &amp; Sources'!$B$394:$J$400,0,1+2)),IF($AU34="Married",SUMPRODUCT(($AZ34&gt;INDEX('Methodology &amp; Sources'!$B$387:$J$389,0,7))*($AZ34-INDEX('Methodology &amp; Sources'!$B$387:$J$389,0,7))*INDEX('Methodology &amp; Sources'!$B$387:$J$389,0,7+2)),SUMPRODUCT(($AZ34&gt;INDEX('Methodology &amp; Sources'!$B$387:$J$389,0,4))*($AZ34-INDEX('Methodology &amp; Sources'!$B$387:$J$389,0,4))*INDEX('Methodology &amp; Sources'!$B$387:$J$389,0,4+2)))),IF($AN34="NJ",IF(Inputs!$C$77="B",SUMPRODUCT(($AZ34&gt;INDEX('Methodology &amp; Sources'!$B$405:$J$412,0,4))*($AZ34-INDEX('Methodology &amp; Sources'!$B$405:$J$412,0,4))*INDEX('Methodology &amp; Sources'!$B$405:$J$412,0,4+2)),IF(Inputs!$C$77="C",SUMPRODUCT(($AZ34&gt;INDEX('Methodology &amp; Sources'!$B$405:$J$412,0,7))*($AZ34-INDEX('Methodology &amp; Sources'!$B$405:$J$412,0,7))*INDEX('Methodology &amp; Sources'!$B$405:$J$412,0,7+2)),IF(Inputs!$C$77="D",SUMPRODUCT(($AZ34&gt;INDEX('Methodology &amp; Sources'!$B$417:$J$429,0,1))*($AZ34-INDEX('Methodology &amp; Sources'!$B$417:$J$429,0,1))*INDEX('Methodology &amp; Sources'!$B$417:$J$429,0,1+2)),IF(Inputs!$C$77="E",SUMPRODUCT(($AZ34&gt;INDEX('Methodology &amp; Sources'!$B$417:$J$429,0,4))*($AZ34-INDEX('Methodology &amp; Sources'!$B$417:$J$429,0,4))*INDEX('Methodology &amp; Sources'!$B$417:$J$429,0,4+2)),SUMPRODUCT(($AZ34&gt;INDEX('Methodology &amp; Sources'!$B$405:$J$412,0,1))*($AZ34-INDEX('Methodology &amp; Sources'!$B$405:$J$412,0,1))*INDEX('Methodology &amp; Sources'!$B$405:$J$412,0,1+2)))))),IF($AN34="NY",IF($AU34="Married",IF($AZ34&gt;=2155350,$AZ34*IF($AZ34&gt;25000000,0.117,IF($AZ34&gt;5000000,0.111,0.1045)),SUMPRODUCT(($AZ34&gt;INDEX('Methodology &amp; Sources'!$B$434:$J$448,0,1))*($AZ34-INDEX('Methodology &amp; Sources'!$B$434:$J$448,0,1))*INDEX('Methodology &amp; Sources'!$B$434:$J$448,0,1+2))),IF($AZ34&gt;=1077550,$AZ34*IF($AZ34&gt;25000000,0.117,IF($AZ34&gt;5000000,0.111,0.1045)),SUMPRODUCT(($AZ34&gt;INDEX('Methodology &amp; Sources'!$B$417:$J$429,0,7))*($AZ34-INDEX('Methodology &amp; Sources'!$B$417:$J$429,0,7))*INDEX('Methodology &amp; Sources'!$B$417:$J$429,0,7+2)))),"")))))))</f>
      </c>
      <c r="BX34" s="7">
        <f>IF($B34="","",IF($AN34="AL",IF(OR($AU34="Married",$AU34="Head of household"),SUMPRODUCT(($AZ34&gt;INDEX('Methodology &amp; Sources'!$B$332:$J$336,0,4))*($AZ34-INDEX('Methodology &amp; Sources'!$B$332:$J$336,0,4))*INDEX('Methodology &amp; Sources'!$B$332:$J$336,0,4+2)),SUMPRODUCT(($AZ34&gt;INDEX('Methodology &amp; Sources'!$B$332:$J$336,0,1))*($AZ34-INDEX('Methodology &amp; Sources'!$B$332:$J$336,0,1))*INDEX('Methodology &amp; Sources'!$B$332:$J$336,0,1+2))),IF($AN34="KS",IF($AU34="Married",SUMPRODUCT(($AZ34&gt;INDEX('Methodology &amp; Sources'!$B$353:$J$359,0,4))*($AZ34-INDEX('Methodology &amp; Sources'!$B$353:$J$359,0,4))*INDEX('Methodology &amp; Sources'!$B$353:$J$359,0,4+2)),SUMPRODUCT(($AZ34&gt;INDEX('Methodology &amp; Sources'!$B$353:$J$359,0,1))*($AZ34-INDEX('Methodology &amp; Sources'!$B$353:$J$359,0,1))*INDEX('Methodology &amp; Sources'!$B$353:$J$359,0,1+2))),IF($AN34="MN",IF($AU34="Married",SUMPRODUCT(($AZ34&gt;INDEX('Methodology &amp; Sources'!$B$364:$J$370,0,7))*($AZ34-INDEX('Methodology &amp; Sources'!$B$364:$J$370,0,7))*INDEX('Methodology &amp; Sources'!$B$364:$J$370,0,7+2)),SUMPRODUCT(($AZ34&gt;INDEX('Methodology &amp; Sources'!$B$364:$J$370,0,4))*($AZ34-INDEX('Methodology &amp; Sources'!$B$364:$J$370,0,4))*INDEX('Methodology &amp; Sources'!$B$364:$J$370,0,4+2))),IF($AN34="NE",MAX(IF($AU34="Married",SUMPRODUCT(($AZ34&gt;INDEX('Methodology &amp; Sources'!$B$394:$J$400,0,7))*($AZ34-INDEX('Methodology &amp; Sources'!$B$394:$J$400,0,7))*INDEX('Methodology &amp; Sources'!$B$394:$J$400,0,7+2)),SUMPRODUCT(($AZ34&gt;INDEX('Methodology &amp; Sources'!$B$394:$J$400,0,4))*($AZ34-INDEX('Methodology &amp; Sources'!$B$394:$J$400,0,4))*INDEX('Methodology &amp; Sources'!$B$394:$J$400,0,4+2))),0.015*$AZ34),IF($AN34="OH",IF($B34&gt;=DATE(2026,8,1),SUMPRODUCT(($AZ34&gt;INDEX('Methodology &amp; Sources'!$B$453:$J$456,0,1))*($AZ34-INDEX('Methodology &amp; Sources'!$B$453:$J$456,0,1))*INDEX('Methodology &amp; Sources'!$B$453:$J$456,0,1+2)),SUMPRODUCT(($AZ34&gt;INDEX('Methodology &amp; Sources'!$B$434:$J$448,0,7))*($AZ34-INDEX('Methodology &amp; Sources'!$B$434:$J$448,0,7))*INDEX('Methodology &amp; Sources'!$B$434:$J$448,0,7+2))),IF($AN34="OK",IF($AU34="Married",SUMPRODUCT(($AZ34&gt;INDEX('Methodology &amp; Sources'!$B$453:$J$456,0,7))*($AZ34-INDEX('Methodology &amp; Sources'!$B$453:$J$456,0,7))*INDEX('Methodology &amp; Sources'!$B$453:$J$456,0,7+2)),SUMPRODUCT(($AZ34&gt;INDEX('Methodology &amp; Sources'!$B$453:$J$456,0,4))*($AZ34-INDEX('Methodology &amp; Sources'!$B$453:$J$456,0,4))*INDEX('Methodology &amp; Sources'!$B$453:$J$456,0,4+2))),IF($AN34="RI",SUMPRODUCT(($AZ34&gt;INDEX('Methodology &amp; Sources'!$B$461:$J$464,0,7))*($AZ34-INDEX('Methodology &amp; Sources'!$B$461:$J$464,0,7))*INDEX('Methodology &amp; Sources'!$B$461:$J$464,0,7+2)),IF($AN34="VT",IF($AU34="Married",SUMPRODUCT(($AZ34&gt;INDEX('Methodology &amp; Sources'!$B$478:$J$482,0,1))*($AZ34-INDEX('Methodology &amp; Sources'!$B$478:$J$482,0,1))*INDEX('Methodology &amp; Sources'!$B$478:$J$482,0,1+2)),SUMPRODUCT(($AZ34&gt;INDEX('Methodology &amp; Sources'!$B$469:$J$473,0,7))*($AZ34-INDEX('Methodology &amp; Sources'!$B$469:$J$473,0,7))*INDEX('Methodology &amp; Sources'!$B$469:$J$473,0,7+2))),IF($AN34="WV",IF($AU34="Married",SUMPRODUCT(($AZ34&gt;INDEX('Methodology &amp; Sources'!$B$487:$J$491,0,7))*($AZ34-INDEX('Methodology &amp; Sources'!$B$487:$J$491,0,7))*INDEX('Methodology &amp; Sources'!$B$487:$J$491,0,7+2)),SUMPRODUCT(($AZ34&gt;INDEX('Methodology &amp; Sources'!$B$478:$J$482,0,7))*($AZ34-INDEX('Methodology &amp; Sources'!$B$478:$J$482,0,7))*INDEX('Methodology &amp; Sources'!$B$478:$J$482,0,7+2))),""))))))))))</f>
      </c>
      <c r="BY34" s="7">
        <f>IF($B34="","",IF($AN34="AR",SUMPRODUCT(($AZ34&gt;INDEX('Methodology &amp; Sources'!$B$332:$J$336,0,7))*($AZ34-INDEX('Methodology &amp; Sources'!$B$332:$J$336,0,7))*INDEX('Methodology &amp; Sources'!$B$332:$J$336,0,7+2)),IF($AN34="DE",SUMPRODUCT(($AZ34&gt;INDEX('Methodology &amp; Sources'!$B$341:$J$348,0,1))*($AZ34-INDEX('Methodology &amp; Sources'!$B$341:$J$348,0,1))*INDEX('Methodology &amp; Sources'!$B$341:$J$348,0,1+2)),IF($AN34="HI",IF($AU34="Married",SUMPRODUCT(($AZ34&gt;INDEX('Methodology &amp; Sources'!$B$341:$J$348,0,7))*($AZ34-INDEX('Methodology &amp; Sources'!$B$341:$J$348,0,7))*INDEX('Methodology &amp; Sources'!$B$341:$J$348,0,7+2)),SUMPRODUCT(($AZ34&gt;INDEX('Methodology &amp; Sources'!$B$341:$J$348,0,4))*($AZ34-INDEX('Methodology &amp; Sources'!$B$341:$J$348,0,4))*INDEX('Methodology &amp; Sources'!$B$341:$J$348,0,4+2))),IF($AN34="SC",SUMPRODUCT(($AZ34&gt;INDEX('Methodology &amp; Sources'!$B$469:$J$473,0,1))*($AZ34-INDEX('Methodology &amp; Sources'!$B$469:$J$473,0,1))*INDEX('Methodology &amp; Sources'!$B$469:$J$473,0,1+2)),IF($AN34="VA",SUMPRODUCT(($AZ34&gt;INDEX('Methodology &amp; Sources'!$B$469:$J$473,0,4))*($AZ34-INDEX('Methodology &amp; Sources'!$B$469:$J$473,0,4))*INDEX('Methodology &amp; Sources'!$B$469:$J$473,0,4+2)),IF($AN34="WI",SUMPRODUCT(($AZ34&gt;INDEX('Methodology &amp; Sources'!$B$478:$J$482,0,4))*($AZ34-INDEX('Methodology &amp; Sources'!$B$478:$J$482,0,4))*INDEX('Methodology &amp; Sources'!$B$478:$J$482,0,4+2)),"")))))))</f>
      </c>
      <c r="BZ34" s="24">
        <f>IF($B34="","",IF($AN34="NJ",IF(Inputs!$C$77="B",SUMPRODUCT(($AZ34&gt;=INDEX('Methodology &amp; Sources'!$B$405:$J$412,0,4))*INDEX('Methodology &amp; Sources'!$B$405:$J$412,0,4+2)),IF(Inputs!$C$77="C",SUMPRODUCT(($AZ34&gt;=INDEX('Methodology &amp; Sources'!$B$405:$J$412,0,7))*INDEX('Methodology &amp; Sources'!$B$405:$J$412,0,7+2)),IF(Inputs!$C$77="D",SUMPRODUCT(($AZ34&gt;=INDEX('Methodology &amp; Sources'!$B$417:$J$429,0,1))*INDEX('Methodology &amp; Sources'!$B$417:$J$429,0,1+2)),IF(Inputs!$C$77="E",SUMPRODUCT(($AZ34&gt;=INDEX('Methodology &amp; Sources'!$B$417:$J$429,0,4))*INDEX('Methodology &amp; Sources'!$B$417:$J$429,0,4+2)),SUMPRODUCT(($AZ34&gt;=INDEX('Methodology &amp; Sources'!$B$405:$J$412,0,1))*INDEX('Methodology &amp; Sources'!$B$405:$J$412,0,1+2)))))),IF($AN34="OR",IF(OR($AU34="Married",AND($AU34="Single",$AS34&gt;=3)),SUMPRODUCT((MAX(0,$AY34-MIN(($P34-'Methodology &amp; Sources'!$C$260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Sources'!$B$461:$J$464,0,4))*INDEX('Methodology &amp; Sources'!$B$461:$J$464,0,4+2)),SUMPRODUCT((MAX(0,$AY34-MIN(($P34-'Methodology &amp; Sources'!$C$260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Sources'!$B$461:$J$464,0,1))*INDEX('Methodology &amp; Sources'!$B$461:$J$464,0,1+2)))*IF(($P34-'Methodology &amp; Sources'!$C$260*$D34)*Inputs!$C$8&gt;=IF(OR($AU34="Married",AND($AU34="Single",$AS34&gt;=3)),IF($AY34&lt;250000,8750,IF($AY34&lt;260000,7000,IF($AY34&lt;270000,5250,IF($AY34&lt;280000,3500,IF($AY34&lt;290000,1750,0))))),IF($AY34&lt;125000,8750,IF($AY34&lt;130000,7000,IF($AY34&lt;135000,5250,IF($AY34&lt;140000,3500,IF($AY34&lt;145000,1750,0)))))),1,1-IF(Inputs!$C$13,SUMPRODUCT(($AH34&gt;=INDEX('Methodology &amp; Sources'!$B$279:$J$286,0,IF(Inputs!$C$12="MFJ",1,IF(Inputs!$C$12="HoH",7,4))))*INDEX('Methodology &amp; Sources'!$B$279:$J$286,0,IF(Inputs!$C$12="MFJ",1,IF(Inputs!$C$12="HoH",7,4))+2)),SUMPRODUCT(($AH34&gt;=INDEX('Methodology &amp; Sources'!$B$269:$J$276,0,IF(Inputs!$C$12="MFJ",1,IF(Inputs!$C$12="HoH",7,4))))*INDEX('Methodology &amp; Sources'!$B$269:$J$276,0,IF(Inputs!$C$12="MFJ",1,IF(Inputs!$C$12="HoH",7,4))+2)))),IF($AN34="MI",IF($AY34&gt;5900*$AS34,0.0425,0),""))))</f>
      </c>
      <c r="CA34" s="24">
        <f>IF($B34="","",IF($AN34="AL",IF(OR($AU34="Married",$AU34="Head of household"),SUMPRODUCT(($AZ34&gt;=INDEX('Methodology &amp; Sources'!$B$332:$J$336,0,4))*INDEX('Methodology &amp; Sources'!$B$332:$J$336,0,4+2)),SUMPRODUCT(($AZ34&gt;=INDEX('Methodology &amp; Sources'!$B$332:$J$336,0,1))*INDEX('Methodology &amp; Sources'!$B$332:$J$336,0,1+2)))*(1-IF(Inputs!$C$13,SUMPRODUCT(($AH34&gt;=INDEX('Methodology &amp; Sources'!$B$279:$J$286,0,IF(Inputs!$C$12="MFJ",1,IF(Inputs!$C$12="HoH",7,4))))*INDEX('Methodology &amp; Sources'!$B$279:$J$286,0,IF(Inputs!$C$12="MFJ",1,IF(Inputs!$C$12="HoH",7,4))+2)),SUMPRODUCT(($AH34&gt;=INDEX('Methodology &amp; Sources'!$B$269:$J$276,0,IF(Inputs!$C$12="MFJ",1,IF(Inputs!$C$12="HoH",7,4))))*INDEX('Methodology &amp; Sources'!$B$269:$J$276,0,IF(Inputs!$C$12="MFJ",1,IF(Inputs!$C$12="HoH",7,4))+2)))),IF($AN34="KS",IF($AU34="Married",SUMPRODUCT(($AZ34&gt;=INDEX('Methodology &amp; Sources'!$B$353:$J$359,0,4))*INDEX('Methodology &amp; Sources'!$B$353:$J$359,0,4+2)),SUMPRODUCT(($AZ34&gt;=INDEX('Methodology &amp; Sources'!$B$353:$J$359,0,1))*INDEX('Methodology &amp; Sources'!$B$353:$J$359,0,1+2))),IF($AN34="MD",IF(OR($AU34="Married",$AU34="Head of household"),SUMPRODUCT(($AZ34&gt;=INDEX('Methodology &amp; Sources'!$B$364:$J$370,0,1))*INDEX('Methodology &amp; Sources'!$B$364:$J$370,0,1+2)),SUMPRODUCT(($AZ34&gt;=INDEX('Methodology &amp; Sources'!$B$353:$J$359,0,7))*INDEX('Methodology &amp; Sources'!$B$353:$J$359,0,7+2)))+Inputs!$C$74,IF($AN34="MT",IF($AU34="Head of household",SUMPRODUCT(($AZ34&gt;=INDEX('Methodology &amp; Sources'!$B$387:$J$389,0,1))*INDEX('Methodology &amp; Sources'!$B$387:$J$389,0,1+2)),IF($AU34="Married",SUMPRODUCT(($AZ34&gt;=INDEX('Methodology &amp; Sources'!$B$375:$J$382,0,7))*INDEX('Methodology &amp; Sources'!$B$375:$J$382,0,7+2)),SUMPRODUCT(($AZ34&gt;=INDEX('Methodology &amp; Sources'!$B$375:$J$382,0,4))*INDEX('Methodology &amp; Sources'!$B$375:$J$382,0,4+2)))),IF($AN34="ND",IF($AU34="Head of household",SUMPRODUCT(($AZ34&gt;=INDEX('Methodology &amp; Sources'!$B$394:$J$400,0,1))*INDEX('Methodology &amp; Sources'!$B$394:$J$400,0,1+2)),IF($AU34="Married",SUMPRODUCT(($AZ34&gt;=INDEX('Methodology &amp; Sources'!$B$387:$J$389,0,7))*INDEX('Methodology &amp; Sources'!$B$387:$J$389,0,7+2)),SUMPRODUCT(($AZ34&gt;=INDEX('Methodology &amp; Sources'!$B$387:$J$389,0,4))*INDEX('Methodology &amp; Sources'!$B$387:$J$389,0,4+2)))),IF($AN34="NY",IF($AU34="Married",IF($AZ34&gt;=2155350,IF($AZ34&gt;25000000,0.117,IF($AZ34&gt;5000000,0.111,0.1045)),SUMPRODUCT(($AZ34&gt;=INDEX('Methodology &amp; Sources'!$B$434:$J$448,0,1))*INDEX('Methodology &amp; Sources'!$B$434:$J$448,0,1+2))),IF($AZ34&gt;=1077550,IF($AZ34&gt;25000000,0.117,IF($AZ34&gt;5000000,0.111,0.1045)),SUMPRODUCT(($AZ34&gt;=INDEX('Methodology &amp; Sources'!$B$417:$J$429,0,7))*INDEX('Methodology &amp; Sources'!$B$417:$J$429,0,7+2)))),"")))))))</f>
      </c>
      <c r="CB34" s="24">
        <f>IF($B34="","",IF($AN34="CA",SUMPRODUCT(($AJ34&gt;=INDEX('Methodology &amp; Sources'!$B$289:$J$298,0,IF($AU34="Married",4,IF($AU34="Head of household",7,1))))*INDEX('Methodology &amp; Sources'!$B$289:$J$298,0,IF($AU34="Married",4,IF($AU34="Head of household",7,1))+2)),IF($AN34="HI",IF($AU34="Married",SUMPRODUCT(($AZ34&gt;=INDEX('Methodology &amp; Sources'!$B$341:$J$348,0,7))*INDEX('Methodology &amp; Sources'!$B$341:$J$348,0,7+2)),SUMPRODUCT(($AZ34&gt;=INDEX('Methodology &amp; Sources'!$B$341:$J$348,0,4))*INDEX('Methodology &amp; Sources'!$B$341:$J$348,0,4+2))),IF($AN34="MN",IF($AU34="Married",SUMPRODUCT(($AZ34&gt;=INDEX('Methodology &amp; Sources'!$B$364:$J$370,0,7))*INDEX('Methodology &amp; Sources'!$B$364:$J$370,0,7+2)),SUMPRODUCT(($AZ34&gt;=INDEX('Methodology &amp; Sources'!$B$364:$J$370,0,4))*INDEX('Methodology &amp; Sources'!$B$364:$J$370,0,4+2))),IF($AN34="MO",SUMPRODUCT(($AZ34&gt;=INDEX('Methodology &amp; Sources'!$B$375:$J$382,0,1))*INDEX('Methodology &amp; Sources'!$B$375:$J$382,0,1+2)),IF($AN34="NE",MAX(IF($AU34="Married",SUMPRODUCT(($AZ34&gt;=INDEX('Methodology &amp; Sources'!$B$394:$J$400,0,7))*INDEX('Methodology &amp; Sources'!$B$394:$J$400,0,7+2)),SUMPRODUCT(($AZ34&gt;=INDEX('Methodology &amp; Sources'!$B$394:$J$400,0,4))*INDEX('Methodology &amp; Sources'!$B$394:$J$400,0,4+2))),0.015),IF($AN34="OH",IF($B34&gt;=DATE(2026,8,1),SUMPRODUCT(($AZ34&gt;=INDEX('Methodology &amp; Sources'!$B$453:$J$456,0,1))*INDEX('Methodology &amp; Sources'!$B$453:$J$456,0,1+2)),SUMPRODUCT(($AZ34&gt;=INDEX('Methodology &amp; Sources'!$B$434:$J$448,0,7))*INDEX('Methodology &amp; Sources'!$B$434:$J$448,0,7+2))),IF($AN34="OK",IF($AU34="Married",SUMPRODUCT(($AZ34&gt;=INDEX('Methodology &amp; Sources'!$B$453:$J$456,0,7))*INDEX('Methodology &amp; Sources'!$B$453:$J$456,0,7+2)),SUMPRODUCT(($AZ34&gt;=INDEX('Methodology &amp; Sources'!$B$453:$J$456,0,4))*INDEX('Methodology &amp; Sources'!$B$453:$J$456,0,4+2))),IF($AN34="RI",SUMPRODUCT(($AZ34&gt;=INDEX('Methodology &amp; Sources'!$B$461:$J$464,0,7))*INDEX('Methodology &amp; Sources'!$B$461:$J$464,0,7+2)),IF($AN34="SC",SUMPRODUCT(($AZ34&gt;=INDEX('Methodology &amp; Sources'!$B$469:$J$473,0,1))*INDEX('Methodology &amp; Sources'!$B$469:$J$473,0,1+2)),IF($AN34="VT",IF($AU34="Married",SUMPRODUCT(($AZ34&gt;=INDEX('Methodology &amp; Sources'!$B$478:$J$482,0,1))*INDEX('Methodology &amp; Sources'!$B$478:$J$482,0,1+2)),SUMPRODUCT(($AZ34&gt;=INDEX('Methodology &amp; Sources'!$B$469:$J$473,0,7))*INDEX('Methodology &amp; Sources'!$B$469:$J$473,0,7+2))),IF($AN34="WV",IF($AU34="Married",SUMPRODUCT(($AZ34&gt;=INDEX('Methodology &amp; Sources'!$B$487:$J$491,0,7))*INDEX('Methodology &amp; Sources'!$B$487:$J$491,0,7+2)),SUMPRODUCT(($AZ34&gt;=INDEX('Methodology &amp; Sources'!$B$478:$J$482,0,7))*INDEX('Methodology &amp; Sources'!$B$478:$J$482,0,7+2))),IF($AN34="IN",(0.0295+Inputs!$C$76),"")))))))))))))</f>
      </c>
      <c r="CC34" s="24">
        <f>IF($B34="","",IF($AN34="AR",SUMPRODUCT(($AZ34&gt;=INDEX('Methodology &amp; Sources'!$B$332:$J$336,0,7))*INDEX('Methodology &amp; Sources'!$B$332:$J$336,0,7+2)),IF($AN34="DE",SUMPRODUCT(($AZ34&gt;=INDEX('Methodology &amp; Sources'!$B$341:$J$348,0,1))*INDEX('Methodology &amp; Sources'!$B$341:$J$348,0,1+2)),IF($AN34="VA",SUMPRODUCT(($AZ34&gt;=INDEX('Methodology &amp; Sources'!$B$469:$J$473,0,4))*INDEX('Methodology &amp; Sources'!$B$469:$J$473,0,4+2)),IF($AN34="WI",SUMPRODUCT(($AZ34&gt;=INDEX('Methodology &amp; Sources'!$B$478:$J$482,0,4))*INDEX('Methodology &amp; Sources'!$B$478:$J$482,0,4+2)),IF($AN34="AZ",Inputs!$C$82,IF($AN34="CO",IF($AY34&gt;IF($AU34="Married",10000,5000),0.044,0),IF($AN34="IA",IF($AY34&gt;IF($AU34="Head of household",19500,IF($AU34="Married",26000,13000)),0.038,0),IF($AN34="ID",IF($AY34&gt;IF($AU34="Married",32000,16094),0.053,0),IF($AN34="IL",IF($AY34&gt;(2925*$AS34+1000*$AT34),0.0495,0),IF($AN34="KY",IF($AI34&gt;3360,0.035,0),IF($AN34="LA",0.0309,IF($AN34="MA",IF(MAX(0,$AY34-MIN(($BD33+$Q34+$R34+$S34),2000)-IF($AS34=0,0,IF($AS34=1,4400,1000*$AS34+3400)))&gt;=1107750,0.09,0.05),IF($AN34="MS",IF($AI34-IF($AU34="Head of household",3400,IF($AU34="Married",4600,2300))-Inputs!$C$85&gt;10000,0.04,0),IF($AN34="PA",0.0307,"")))))))))))))))</f>
      </c>
      <c r="CD34" s="21">
        <f>IF(YEAR(IF(Inputs!$C$7="Weekly",Inputs!$C$9+7*(($BE33+1)-1),IF(Inputs!$C$7="Biweekly",Inputs!$C$9+14*(($BE33+1)-1),IF(Inputs!$C$7="Semimonthly",DATE(YEAR(Inputs!$C$9),MONTH(Inputs!$C$9)+INT((($BE33+1)-1)/2),MIN(DAY(Inputs!$C$9),DAY(EOMONTH(DATE(YEAR(Inputs!$C$9),MONTH(Inputs!$C$9)+INT((($BE33+1)-1)/2),1),0))))+IF(MOD(($BE33+1)-1,2)=1,15,0),EDATE(Inputs!$C$9,($BE33+1)-1)))))&lt;&gt;2026,"",IF(Inputs!$C$7="Weekly",Inputs!$C$9+7*(($BE33+1)-1),IF(Inputs!$C$7="Biweekly",Inputs!$C$9+14*(($BE33+1)-1),IF(Inputs!$C$7="Semimonthly",DATE(YEAR(Inputs!$C$9),MONTH(Inputs!$C$9)+INT((($BE33+1)-1)/2),MIN(DAY(Inputs!$C$9),DAY(EOMONTH(DATE(YEAR(Inputs!$C$9),MONTH(Inputs!$C$9)+INT((($BE33+1)-1)/2),1),0))))+IF(MOD(($BE33+1)-1,2)=1,15,0),EDATE(Inputs!$C$9,($BE33+1)-1)))))</f>
      </c>
      <c r="CE34" s="21">
        <f>IF(SUMPRODUCT(MIN(IF((Inputs!$C$58:$C$67&gt;MAX($B$6:$B33))*(Inputs!$C$58:$C$67&gt;=DATE(2026,1,1))*(Inputs!$C$58:$C$67&lt;=DATE(2026,12,31)),Inputs!$C$58:$C$67,999999)))=999999,"",SUMPRODUCT(MIN(IF((Inputs!$C$58:$C$67&gt;MAX($B$6:$B33))*(Inputs!$C$58:$C$67&gt;=DATE(2026,1,1))*(Inputs!$C$58:$C$67&lt;=DATE(2026,12,31)),Inputs!$C$58:$C$67,999999))))</f>
      </c>
    </row>
    <row r="35">
      <c r="A35" t="n">
        <v>30</v>
      </c>
      <c r="B35" s="21">
        <f>IF(AND($CD35="",$CE35=""),"",IF($CE35="",$CD35,IF($CD35="",$CE35,MIN($CD35,$CE35))))</f>
      </c>
      <c r="C35" s="7">
        <f>IF($B35="","",IF($BF35=0,0,IF(Inputs!$C$4="Annual salary",ROUND($AK35/IF(AND(Inputs!$C$88="Actual paydays",MONTH(Inputs!$C$9)=1),MAX(1,MAX($BE$6:$BE$68)),Inputs!$C$8),2),$AK35)))</f>
      </c>
      <c r="D35" s="7">
        <f>IF($B35="","",SUMIF(Inputs!$C$58:$C$67,$B35,Inputs!$D$58:$D$67))</f>
      </c>
      <c r="E35" s="7">
        <f>IF($B35="","",ROUND(MAX(0,MIN(IF($AL35="Percent",$AM35*($C35+$D35),$AM35),MAX(0,Inputs!$C$91-$AC34))),2))</f>
      </c>
      <c r="F35" s="7">
        <f>IF($B35="","",ROUND(MAX(0,MIN(IF(Inputs!$C$32="Percent",Inputs!$D$32*($C35+$D35),Inputs!$D$32),MAX(0,Inputs!$C$91-$AC34-$E35))),2))</f>
      </c>
      <c r="G35" s="7">
        <f>IF($B35="","",IF($BF35=0,0,ROUND(MAX(0,MIN($BL35,Inputs!$C$92-Inputs!$C$54-$BI34)),2)))</f>
      </c>
      <c r="H35" s="7">
        <f>IF($B35="","",IF(OR($BF35=0,$BQ35=1),0,ROUND(MAX(0,MIN(IF($BS35=1,ROUND(MAX(0,MIN($BJ35,'Methodology &amp; Sources'!$C$263)-$BG34)/MAX(1,MAX($BE$6:$BE$68)-($BE34)),2),ROUND(MIN($BJ35,'Methodology &amp; Sources'!$C$263)/Inputs!$C$8,2)),MIN($BJ35,'Methodology &amp; Sources'!$C$263)-$BG34)),2)))</f>
      </c>
      <c r="I35" s="7">
        <f>IF($B35="","",IF(OR($BF35=0,$BR35=1),0,ROUND(MAX(0,MIN(IF($BT35=1,ROUND(MAX(0,MIN($BK35,IF(Inputs!$C$12="MFJ",'Methodology &amp; Sources'!$C$264,'Methodology &amp; Sources'!$C$265))-$BH34)/MAX(1,MAX($BE$6:$BE$68)-($BE34)),2),ROUND(MIN($BK35,IF(Inputs!$C$12="MFJ",'Methodology &amp; Sources'!$C$264,'Methodology &amp; Sources'!$C$265))/Inputs!$C$8,2)),MIN($BK35,IF(Inputs!$C$12="MFJ",'Methodology &amp; Sources'!$C$264,'Methodology &amp; Sources'!$C$265))-$BH34)),2)))</f>
      </c>
      <c r="J35" s="7">
        <f>IF($B35="","",IF($BF35=0,0,$BM35))</f>
      </c>
      <c r="K35" s="7">
        <f>IF($B35="","",IF($BF35=0,0,$BN35+$BO35))</f>
      </c>
      <c r="L35" s="7">
        <f>IF($B35="","",IF($BF35=0,0,Inputs!$D$46))</f>
      </c>
      <c r="M35" s="7">
        <f>IF($B35="","",$C35+$D35+$L35-$E35-$G35-$H35-$I35-$J35-$K35)</f>
      </c>
      <c r="N35" s="7">
        <f>IF($B35="","",$C35+$D35+$L35-$G35-$H35-$I35-$J35-$K35)</f>
      </c>
      <c r="O35" s="7">
        <f>IF($B35="","",$C35+$D35+$L35-$E35-$H35-$I35-$J35-$K35-IF(OR($AN35="CA",$AN35="NJ"),0,$G35))</f>
      </c>
      <c r="P35" s="7">
        <f>IF($B35="","",IF(Inputs!$C$18,0,ROUND(MAX(0,IF(Inputs!$C$13,SUMPRODUCT(($AH35&gt;INDEX('Methodology &amp; Sources'!$B$279:$J$286,0,IF(Inputs!$C$12="MFJ",1,IF(Inputs!$C$12="HoH",7,4))))*($AH35-INDEX('Methodology &amp; Sources'!$B$279:$J$286,0,IF(Inputs!$C$12="MFJ",1,IF(Inputs!$C$12="HoH",7,4))))*INDEX('Methodology &amp; Sources'!$B$279:$J$286,0,IF(Inputs!$C$12="MFJ",1,IF(Inputs!$C$12="HoH",7,4))+2)),SUMPRODUCT(($AH35&gt;INDEX('Methodology &amp; Sources'!$B$269:$J$276,0,IF(Inputs!$C$12="MFJ",1,IF(Inputs!$C$12="HoH",7,4))))*($AH35-INDEX('Methodology &amp; Sources'!$B$269:$J$276,0,IF(Inputs!$C$12="MFJ",1,IF(Inputs!$C$12="HoH",7,4))))*INDEX('Methodology &amp; Sources'!$B$269:$J$276,0,IF(Inputs!$C$12="MFJ",1,IF(Inputs!$C$12="HoH",7,4))+2)))/Inputs!$C$8-$AO35/Inputs!$C$8)+$AR35+IF(Inputs!$C$89="Aggregate",MAX(0,IF(Inputs!$C$13,SUMPRODUCT((($AH35+$D35)&gt;INDEX('Methodology &amp; Sources'!$B$279:$J$286,0,IF(Inputs!$C$12="MFJ",1,IF(Inputs!$C$12="HoH",7,4))))*(($AH35+$D35)-INDEX('Methodology &amp; Sources'!$B$279:$J$286,0,IF(Inputs!$C$12="MFJ",1,IF(Inputs!$C$12="HoH",7,4))))*INDEX('Methodology &amp; Sources'!$B$279:$J$286,0,IF(Inputs!$C$12="MFJ",1,IF(Inputs!$C$12="HoH",7,4))+2)),SUMPRODUCT((($AH35+$D35)&gt;INDEX('Methodology &amp; Sources'!$B$269:$J$276,0,IF(Inputs!$C$12="MFJ",1,IF(Inputs!$C$12="HoH",7,4))))*(($AH35+$D35)-INDEX('Methodology &amp; Sources'!$B$269:$J$276,0,IF(Inputs!$C$12="MFJ",1,IF(Inputs!$C$12="HoH",7,4))))*INDEX('Methodology &amp; Sources'!$B$269:$J$276,0,IF(Inputs!$C$12="MFJ",1,IF(Inputs!$C$12="HoH",7,4))+2)))-IF(Inputs!$C$13,SUMPRODUCT(($AH35&gt;INDEX('Methodology &amp; Sources'!$B$279:$J$286,0,IF(Inputs!$C$12="MFJ",1,IF(Inputs!$C$12="HoH",7,4))))*($AH35-INDEX('Methodology &amp; Sources'!$B$279:$J$286,0,IF(Inputs!$C$12="MFJ",1,IF(Inputs!$C$12="HoH",7,4))))*INDEX('Methodology &amp; Sources'!$B$279:$J$286,0,IF(Inputs!$C$12="MFJ",1,IF(Inputs!$C$12="HoH",7,4))+2)),SUMPRODUCT(($AH35&gt;INDEX('Methodology &amp; Sources'!$B$269:$J$276,0,IF(Inputs!$C$12="MFJ",1,IF(Inputs!$C$12="HoH",7,4))))*($AH35-INDEX('Methodology &amp; Sources'!$B$269:$J$276,0,IF(Inputs!$C$12="MFJ",1,IF(Inputs!$C$12="HoH",7,4))))*INDEX('Methodology &amp; Sources'!$B$269:$J$276,0,IF(Inputs!$C$12="MFJ",1,IF(Inputs!$C$12="HoH",7,4))+2)))),'Methodology &amp; Sources'!$C$260*$D35),2)))</f>
      </c>
      <c r="Q35" s="7">
        <f>IF($B35="","",ROUND('Methodology &amp; Sources'!$C$254*MIN($N35,MAX(0,'Methodology &amp; Sources'!$C$253-($AX35+$AB34-$AW35))),2))</f>
      </c>
      <c r="R35" s="7">
        <f>IF($B35="","",ROUND('Methodology &amp; Sources'!$C$255*$N35,2))</f>
      </c>
      <c r="S35" s="7">
        <f>IF($B35="","",ROUND('Methodology &amp; Sources'!$C$256*MAX(0,MIN($N35,$AG34+$N35-'Methodology &amp; Sources'!$C$257)),2))</f>
      </c>
      <c r="T35" s="7">
        <f>IF($B35="","",IF(Inputs!$C$26,0,IF($AN35="CA",ROUND(IF($AI35&lt;=IF(($AS35+$AT35)&gt;=2,VLOOKUP($AN35,'StateTables 2026'!$A$6:$AB$56,10,FALSE),VLOOKUP($AN35,'StateTables 2026'!$A$6:$AB$56,9,FALSE)),0,MAX(0,SUMPRODUCT(($AJ35&gt;INDEX('Methodology &amp; Sources'!$B$289:$J$298,0,IF($AU35="Married",4,IF($AU35="Head of household",7,1))))*($AJ35-INDEX('Methodology &amp; Sources'!$B$289:$J$298,0,IF($AU35="Married",4,IF($AU35="Head of household",7,1))))*INDEX('Methodology &amp; Sources'!$B$289:$J$298,0,IF($AU35="Married",4,IF($AU35="Head of household",7,1))+2))-VLOOKUP($AN35,'StateTables 2026'!$A$6:$AB$56,11,FALSE)*$AS35)/Inputs!$C$8)+Inputs!$C$25+VLOOKUP($AN35,'StateTables 2026'!$A$6:$AB$56,13,FALSE)*$D35,2),IF(VLOOKUP($AN35,'StateTables 2026'!$A$6:$AB$56,4,FALSE)="None",0,IF(ISNUMBER(SEARCH("MANUAL",VLOOKUP($AN35,'StateTables 2026'!$A$6:$AB$56,5,FALSE))),Inputs!$C$28,ROUND(MAX(0,$BA35+$BB35)/Inputs!$C$8+Inputs!$C$25+$BC35,2))))))</f>
      </c>
      <c r="U35" s="7">
        <f>IF($B35="","",IF(VLOOKUP($AN35,'StateTables 2026'!$A$6:$AB$56,24,FALSE)="flatq",IF(OR(MONTH($B35)=1,MONTH($B35)=4,MONTH($B35)=7,MONTH($B35)=10),VLOOKUP($AN35,'StateTables 2026'!$A$6:$AB$56,25,FALSE),0),IF(VLOOKUP($AN35,'StateTables 2026'!$A$6:$AB$56,24,FALSE)="dbl",MIN(ROUND(0.005*$N35,2),ROUND(0.6*52/Inputs!$C$8,2)),IF(OR(VLOOKUP($AN35,'StateTables 2026'!$A$6:$AB$56,15,FALSE)="",VLOOKUP($AN35,'StateTables 2026'!$A$6:$AB$56,15,FALSE)=0),0,ROUND(VLOOKUP($AN35,'StateTables 2026'!$A$6:$AB$56,15,FALSE)*IF(OR(VLOOKUP($AN35,'StateTables 2026'!$A$6:$AB$56,16,FALSE)="",VLOOKUP($AN35,'StateTables 2026'!$A$6:$AB$56,16,FALSE)=0),$N35,MIN($N35,MAX(0,VLOOKUP($AN35,'StateTables 2026'!$A$6:$AB$56,16,FALSE)-($AX35+$AB34-$AW35)))),2))))+IF(VLOOKUP($AN35,'StateTables 2026'!$A$6:$AB$56,27,FALSE)="flatq",IF(OR(MONTH($B35)=1,MONTH($B35)=4,MONTH($B35)=7,MONTH($B35)=10),VLOOKUP($AN35,'StateTables 2026'!$A$6:$AB$56,28,FALSE),0),IF(VLOOKUP($AN35,'StateTables 2026'!$A$6:$AB$56,27,FALSE)="dbl",MIN(ROUND(0.005*$N35,2),ROUND(0.6*52/Inputs!$C$8,2)),IF(OR(VLOOKUP($AN35,'StateTables 2026'!$A$6:$AB$56,18,FALSE)="",VLOOKUP($AN35,'StateTables 2026'!$A$6:$AB$56,18,FALSE)=0),0,ROUND(VLOOKUP($AN35,'StateTables 2026'!$A$6:$AB$56,18,FALSE)*IF(OR(VLOOKUP($AN35,'StateTables 2026'!$A$6:$AB$56,19,FALSE)="",VLOOKUP($AN35,'StateTables 2026'!$A$6:$AB$56,19,FALSE)=0),$N35,MIN($N35,MAX(0,VLOOKUP($AN35,'StateTables 2026'!$A$6:$AB$56,19,FALSE)-($AX35+$AB34-$AW35)))),2)))))</f>
      </c>
      <c r="V35" s="7">
        <f>IF($B35="","",IF($AN35="NY",IF(Inputs!$C$78,ROUND(SUMPRODUCT((MAX(0,($O35-$D35)*Inputs!$C$8-(IF($AU35="Married",5500,5000)+1000*$AS35))&gt;INDEX('Methodology &amp; Sources'!$B$434:$J$448,0,4))*(MAX(0,($O35-$D35)*Inputs!$C$8-(IF($AU35="Married",5500,5000)+1000*$AS35))-INDEX('Methodology &amp; Sources'!$B$434:$J$448,0,4))*INDEX('Methodology &amp; Sources'!$B$434:$J$448,0,4+2))/Inputs!$C$8+0.0425*$D35,2),0)+IF(Inputs!$C$79="Resident",ROUND(0.1675*$T35,2),IF(Inputs!$C$79="Nonresident",ROUND(0.005*MAX(0,($O35-$D35)-(IF($AU35="Married",7950,7400)+1000*$AS35)/Inputs!$C$8),2),0)),IF($AN35="PA",IF(Inputs!$C$80="None",Inputs!$C$27+ROUND(Inputs!$C$81*($C35+$D35),2),ROUND(IF(Inputs!$C$80="Resident",IF($B35&lt;DATE(2026,7,1),0.0374,0.03735),IF($B35&lt;DATE(2026,7,1),0.0343,0.03425))*($C35+$D35),2)),IF($BF35=0,ROUND(Inputs!$C$81*($C35+$D35),2),Inputs!$C$27+ROUND(Inputs!$C$81*($C35+$D35),2)))))</f>
      </c>
      <c r="W35" s="7">
        <f>IF($B35="","",IF($BF35=0,0,$BP35))</f>
      </c>
      <c r="X35" s="7">
        <f>IF($B35="","",SUM($E35:$K35)+$P35+$Q35+$R35+$S35+$T35+$U35+$V35+$W35)</f>
      </c>
      <c r="Y35" s="22">
        <f>IF($B35="","",$C35+$D35-$X35)</f>
      </c>
      <c r="Z35" s="7">
        <f>IF($B35="","",$Z34+$C35+$D35)</f>
      </c>
      <c r="AA35" s="7">
        <f>IF($B35="","",$AA34+$Y35)</f>
      </c>
      <c r="AB35" s="7">
        <f>IF($B35="","",$AB34+MIN($N35,MAX(0,'Methodology &amp; Sources'!$C$253-($AX35+$AB34-$AW35))))</f>
      </c>
      <c r="AC35" s="7">
        <f>IF($B35="","",$AC34+$E35+$F35)</f>
      </c>
      <c r="AD35" s="3">
        <f>IF($B35="","",IF(AND($AB34&lt;'Methodology &amp; Sources'!$C$253,$AB35&gt;='Methodology &amp; Sources'!$C$253),"★ Social Security maxed on this check — from the next check your net rises by about $"&amp;TEXT(ROUND('Methodology &amp; Sources'!$C$254*$N35,2),"#,##0.00")&amp;". ","")&amp;IF(AND($AC34&lt;Inputs!$C$91,$AC35&gt;=Inputs!$C$91),"★ 401(k) reaches the $"&amp;TEXT(Inputs!$C$91,"#,##0")&amp;" cap on this check — deferrals stop and net pay rises. ","")&amp;IF(AND($AG34&lt;'Methodology &amp; Sources'!$C$257,$AG35&gt;='Methodology &amp; Sources'!$C$257),"★ Wages pass $200,000 — the 0.9% Additional Medicare Tax starts here. ","")&amp;IF(AND($BJ35&gt;0,$H35&gt;0,$BG34&lt;MIN($BJ35,'Methodology &amp; Sources'!$C$263),$BG34+$H35&gt;=MIN($BJ35,'Methodology &amp; Sources'!$C$263)),"★ Health FSA election is now fully deferred for the year. ",""))</f>
      </c>
      <c r="AE35" s="41" t="n"/>
      <c r="AF35" s="7">
        <f>IF(OR($B35="",$AE35=""),"",$AE35-$Y35)</f>
      </c>
      <c r="AG35" s="7">
        <f>IF($B35="","",$AG34+$N35)</f>
      </c>
      <c r="AH35" s="7">
        <f>IF($B35="","",MAX(0,($M35-$D35)*Inputs!$C$8+$AP35-$AQ35-IF(Inputs!$C$13,0,IF(Inputs!$C$12="MFJ",'Methodology &amp; Sources'!$C$258,'Methodology &amp; Sources'!$C$259))))</f>
      </c>
      <c r="AI35" s="7">
        <f>IF($B35="","",$O35*Inputs!$C$8)</f>
      </c>
      <c r="AJ35" s="7">
        <f>IF($B35="","",MAX(0,$AI35-VLOOKUP($AN35,'StateTables 2026'!$A$6:$AB$56,12,FALSE)*$AT35-IF(($AS35+$AT35)&gt;=2,VLOOKUP($AN35,'StateTables 2026'!$A$6:$AB$56,8,FALSE),VLOOKUP($AN35,'StateTables 2026'!$A$6:$AB$56,7,FALSE))))</f>
      </c>
      <c r="AK35" s="7">
        <f>IF($B35="","",IFERROR(LOOKUP(2,1/((Events!$C$6:$C$17="Salary change")*(Events!$B$6:$B$17&lt;=$B35)*(Events!$B$6:$B$17&lt;&gt;"")),Events!$D$6:$D$17),IF(Inputs!$C$4="Annual salary",Inputs!$C$5,Inputs!$C$6)))</f>
      </c>
      <c r="AL35">
        <f>IF($B35="","",IFERROR(LOOKUP(2,1/((Events!$C$6:$C$17="401(k) change")*(Events!$B$6:$B$17&lt;=$B35)*(Events!$B$6:$B$17&lt;&gt;"")),Events!$D$6:$D$17),Inputs!$C$30))</f>
      </c>
      <c r="AM35" s="7">
        <f>IF($B35="","",IFERROR(LOOKUP(2,1/((Events!$C$6:$C$17="401(k) change")*(Events!$B$6:$B$17&lt;=$B35)*(Events!$B$6:$B$17&lt;&gt;"")),Events!$E$6:$E$17),Inputs!$D$30))</f>
      </c>
      <c r="AN35">
        <f>IF($B35="","",IFERROR(LOOKUP(2,1/((Events!$C$6:$C$17="State move")*(Events!$B$6:$B$17&lt;=$B35)*(Events!$B$6:$B$17&lt;&gt;"")),Events!$D$6:$D$17),Inputs!$C$21))</f>
      </c>
      <c r="AO35" s="7">
        <f>IF($B35="","",IFERROR(LOOKUP(2,1/((Events!$C$6:$C$17="W-4 change")*(Events!$B$6:$B$17&lt;=$B35)*(Events!$B$6:$B$17&lt;&gt;"")),Events!$D$6:$D$17),Inputs!$C$14))</f>
      </c>
      <c r="AP35" s="7">
        <f>IF($B35="","",IFERROR(LOOKUP(2,1/((Events!$C$6:$C$17="W-4 change")*(Events!$B$6:$B$17&lt;=$B35)*(Events!$B$6:$B$17&lt;&gt;"")),Events!$E$6:$E$17),Inputs!$C$15))</f>
      </c>
      <c r="AQ35" s="7">
        <f>IF($B35="","",IFERROR(LOOKUP(2,1/((Events!$C$6:$C$17="W-4 change")*(Events!$B$6:$B$17&lt;=$B35)*(Events!$B$6:$B$17&lt;&gt;"")),Events!$F$6:$F$17),Inputs!$C$16))</f>
      </c>
      <c r="AR35" s="7">
        <f>IF($B35="","",IFERROR(LOOKUP(2,1/((Events!$C$6:$C$17="W-4 change")*(Events!$B$6:$B$17&lt;=$B35)*(Events!$B$6:$B$17&lt;&gt;"")),Events!$G$6:$G$17),Inputs!$C$17))</f>
      </c>
      <c r="AS35" s="6">
        <f>IF($B35="","",IFERROR(LOOKUP(2,1/(((Events!$C$6:$C$17="State move")+(Events!$C$6:$C$17="State cert change"))*(Events!$B$6:$B$17&lt;=$B35)*(Events!$B$6:$B$17&lt;&gt;"")),Events!$F$6:$F$17),Inputs!$C$23))</f>
      </c>
      <c r="AT35" s="6">
        <f>IF($B35="","",IFERROR(LOOKUP(2,1/(((Events!$C$6:$C$17="State move")+(Events!$C$6:$C$17="State cert change"))*(Events!$B$6:$B$17&lt;=$B35)*(Events!$B$6:$B$17&lt;&gt;"")),Events!$G$6:$G$17),Inputs!$C$24))</f>
      </c>
      <c r="AU35">
        <f>IF($B35="","",IFERROR(LOOKUP(2,1/((Events!$C$6:$C$17="State move")*(Events!$B$6:$B$17&lt;=$B35)*(Events!$B$6:$B$17&lt;&gt;"")),Events!$E$6:$E$17),Inputs!$C$22))</f>
      </c>
      <c r="AV35" s="6">
        <f>IF($B35="","",1+COUNTIFS(Events!$C$6:$C$17,"Employer change",Events!$B$6:$B$17,"&lt;="&amp;$B35,Events!$B$6:$B$17,"&lt;&gt;"))</f>
      </c>
      <c r="AW35" s="7">
        <f>IF($B35="","",IF($AV35=1,Inputs!$C$49,IF(IFERROR(MATCH(IFERROR(LOOKUP(2,1/((Events!$C$6:$C$17="Employer change")*(Events!$B$6:$B$17&lt;=$B35)*(Events!$B$6:$B$17&lt;&gt;"")),Events!$B$6:$B$17),""),$B$6:$B$68,1),1)&lt;=1,Inputs!$C$49,INDEX($AB$6:$AB$68,MATCH(IFERROR(LOOKUP(2,1/((Events!$C$6:$C$17="Employer change")*(Events!$B$6:$B$17&lt;=$B35)*(Events!$B$6:$B$17&lt;&gt;"")),Events!$B$6:$B$17),""),$B$6:$B$68,1)-1))))</f>
      </c>
      <c r="AX35" s="7">
        <f>IF($B35="","",IF($AV35=1,Inputs!$C$49,IFERROR(LOOKUP(2,1/((Events!$C$6:$C$17="Employer change")*(Events!$B$6:$B$17&lt;=$B35)*(Events!$B$6:$B$17&lt;&gt;"")),Events!$D$6:$D$17),0)))</f>
      </c>
      <c r="AY35" s="7">
        <f>IF($B35="","",($O35-$D35)*Inputs!$C$8)</f>
      </c>
      <c r="AZ35" s="7">
        <f>IF($B35="","",IF($AN35="AL",MAX(0,$AY35-IF($AU35="Married",IF($AY35&lt;=25999,8500,MAX(5000,8500-175*CEILING(($AY35-25999)/500,1))),IF($AU35="Head of household",IF($AY35&lt;=25999,5200,MAX(2500,5200-135*CEILING(($AY35-25999)/500,1))),IF($AY35&lt;=25999,3000,MAX(2500,3000-25*CEILING(($AY35-25999)/500,1)))))-($P35-'Methodology &amp; Sources'!$C$260*$D35)*Inputs!$C$8-IF(OR($AU35="Married",$AU35="Head of household"),3000,1500)-$AT35*IF($AY35&lt;=50000,1000,IF($AY35&lt;=100000,500,300))),IF($AN35="AR",IF(MAX(0,$AY35-2470)&lt;97701,INT(MAX(0,$AY35-2470)/100)*100+50,MAX(0,$AY35-2470)),IF($AN35="DE",MAX(0,$AI35-3250),IF($AN35="HI",MAX(0,$AI35-1144*$AS35-4350),IF($AN35="KS",MAX(0,$AI35-(9160*IF($AU35="Married",2,1)+2320*$AT35+IF($AU35="Head of household",2320,0))),IF($AN35="MD",MAX(0,$AI35-3400-3200*$AS35),IF($AN35="MN",MAX(0,$AY35-5300*$AS35),IF($AN35="MO",MAX(0,$AI35-IF($AU35="Head of household",24150,IF($AU35="Married",IF(Inputs!$C$83,16100,32200),16100))),IF($AN35="MT",$AY35,IF($AN35="ND",($C35+$L35)*Inputs!$C$8,IF($AN35="NE",MAX(0,$AY35-2440*$AS35),IF($AN35="NJ",MAX(0,$AY35-1000*$AS35),IF($AN35="NY",MAX(0,$AY35-(IF($AU35="Married",7950,7400)+1000*$AS35)),IF($AN35="OH",MAX(0,$AY35-650*$AS35),IF($AN35="OK",MAX(0,$AY35-1000*$AS35),IF($AN35="RI",MAX(0,$AI35-1000*$AS35),IF($AN35="SC",MAX(0,$AI35-5000*$AS35-IF($AS35=0,0,MIN(0.1*$AI35,7500))),IF($AN35="VA",MAX(0,$AI35-IF($AU35="Married",17500,8750)-930*$AS35-800*$AT35),IF($AN35="VT",MAX(0,$AI35-5400*$AS35),IF($AN35="WI",MAX(0,$AI35-MAX(0,IF($AU35="Married",9461-0.2*MAX(0,$AI35-25727),6702-0.12*MAX(0,$AI35-17780)))-400*$AS35),IF($AN35="WV",MAX(0,$AI35-2000*$AS35),$AI35))))))))))))))))))))))</f>
      </c>
      <c r="BA35" s="7">
        <f>IF($B35="","",IF($BW35&lt;&gt;"",$BW35,IF($BX35&lt;&gt;"",$BX35,IF($BY35&lt;&gt;"",$BY35,0))))</f>
      </c>
      <c r="BB35" s="7">
        <f>IF($B35="","",IF($AN35="AR",-29*$AS35,IF($AN35="DE",-110*$AS35,IF($AN35="MD",$AZ35*Inputs!$C$74,IF($AN35="AZ",Inputs!$C$82*($M35-$D35)*Inputs!$C$8,IF($AN35="CO",0.044*MAX(0,$AY35-IF($AU35="Married",10000,5000)),IF($AN35="IA",MAX(0,0.038*MAX(0,$AY35-IF($AU35="Head of household",19500,IF($AU35="Married",26000,13000)))-40*$AS35),IF($AN35="ID",0.053*MAX(0,$AY35-IF($AU35="Married",32000,16094)),IF($AN35="IL",0.0495*MAX(0,$AY35-(2925*$AS35+1000*$AT35)),IF($AN35="IN",(0.0295+Inputs!$C$76)*MAX(0,$AY35-(1000*$AS35+1500*$AT35+3000*Inputs!$C$86)),IF($AN35="KY",0.035*MAX(0,$AI35-3360),IF($AN35="LA",IF(Inputs!$C$84="0",0.0309*$AI35,0.0309*MAX(0,$AI35-IF(Inputs!$C$84="2",25750,12875))),IF($AN35="MA",0.05*MIN(MAX(0,$AY35-MIN(($BD34+$Q35+$R35+$S35),2000)-IF($AS35=0,0,IF($AS35=1,4400,1000*$AS35+3400))),1107750)+0.09*MAX(0,MAX(0,$AY35-MIN(($BD34+$Q35+$R35+$S35),2000)-IF($AS35=0,0,IF($AS35=1,4400,1000*$AS35+3400)))-1107750)-IF($AU35="Head of household",120,0)-110*Inputs!$C$75,IF($AN35="MI",0.0425*MAX(0,$AY35-5900*$AS35),IF($AN35="MS",0.04*MAX(0,$AI35-IF($AU35="Head of household",3400,IF($AU35="Married",4600,2300))-Inputs!$C$85-10000),IF($AN35="OR",IF(OR($AU35="Married",AND($AU35="Single",$AS35&gt;=3)),SUMPRODUCT((MAX(0,$AY35-MIN(($P35-'Methodology &amp; Sources'!$C$260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Sources'!$B$461:$J$464,0,4))*(MAX(0,$AY35-MIN(($P35-'Methodology &amp; Sources'!$C$260*$D35)*Inputs!$C$8,IF(OR($AU35="Married",AND($AU35="Single",$AS35&gt;=3)),IF($AY35&lt;250000,8750,IF($AY35&lt;260000,7000,IF($AY35&lt;270000,5250,IF($AY35&lt;280000,3500,IF($AY35&lt;290000,1750,0))))),IF($AY35&lt;125000,8750,IF($AY35&lt;130000,7000,IF($AY35&lt;135000,5250,IF($AY35&lt;140000,3500,IF($AY35&lt;145000,1750,0)))))))-IF(OR($AU35="Married",AND($AU35="Single",$AS35&gt;=3)),5820,2910))-INDEX('Methodology &amp; Sources'!$B$461:$J$464,0,4))*INDEX('Methodology &amp; Sources'!$B$461:$J$464,0,4+2)),SUMPRODUCT((MAX(0,$AY35-MIN(($P35-'Methodology &amp; Sources'!$C$260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Sources'!$B$461:$J$464,0,1))*(MAX(0,$AY35-MIN(($P35-'Methodology &amp; Sources'!$C$260*$D35)*Inputs!$C$8,IF(OR($AU35="Married",AND($AU35="Single",$AS35&gt;=3)),IF($AY35&lt;250000,8750,IF($AY35&lt;260000,7000,IF($AY35&lt;270000,5250,IF($AY35&lt;280000,3500,IF($AY35&lt;290000,1750,0))))),IF($AY35&lt;125000,8750,IF($AY35&lt;130000,7000,IF($AY35&lt;135000,5250,IF($AY35&lt;140000,3500,IF($AY35&lt;145000,1750,0)))))))-IF(OR($AU35="Married",AND($AU35="Single",$AS35&gt;=3)),5820,2910))-INDEX('Methodology &amp; Sources'!$B$461:$J$464,0,1))*INDEX('Methodology &amp; Sources'!$B$461:$J$464,0,1+2)))+263-263*IF(IF($AU35="Married",$AY35&gt;200000,$AY35&gt;100000),0,$AS35),IF($AN35="PA",0.0307*(($O35+$E35+$G35)*Inputs!$C$8),IF($AN35="NY",IF($AU35="Married",IF($AZ35&gt;=2155350,0,IF($AZ35&gt;=1077550,0.48,IF($AZ35&gt;=373200,1.21,IF($AZ35&gt;=323200,0.21,IF($AZ35&gt;=211550,-0.19,IF($AZ35&gt;=157650,-2.8,IF($AZ35&gt;=107650,-0.8,IF($AZ35&gt;=96800,0.05,IF($AZ35&gt;=80650,-0.1,IF($AZ35&gt;=13900,0.4,IF($AZ35&gt;=11700,-0.3,IF($AZ35&gt;=8500,0.5,0)))))))))))),IF($AZ35&gt;=1077550,0,IF($AZ35&gt;=265400,4.29,IF($AZ35&gt;=215400,2.29,IF($AZ35&gt;=157650,2.29,IF($AZ35&gt;=107650,0.29,IF($AZ35&gt;=96800,0.05,IF($AZ35&gt;=80650,-0.1,IF($AZ35&gt;=13900,0.4,IF($AZ35&gt;=11700,-0.3,IF($AZ35&gt;=8500,0.5,0))))))))))),0))))))))))))))))))</f>
      </c>
      <c r="BC35" s="7">
        <f>IF($B35="","",IF($AN35="AL",0.05*$D35,IF($AN35="AR",0.039*$D35,IF($AN35="ID",0.053*$D35,IF($AN35="IN",(0.0295+Inputs!$C$76)*$D35,IF($AN35="KS",0.05*$D35,IF($AN35="MA",0.09*MIN($D35,MAX(0,MAX(0,$AY35-MIN(($BD34+$Q35+$R35+$S35),2000)-IF($AS35=0,0,IF($AS35=1,4400,1000*$AS35+3400)))+$D35-1107750))+0.05*($D35-MIN($D35,MAX(0,MAX(0,$AY35-MIN(($BD34+$Q35+$R35+$S35),2000)-IF($AS35=0,0,IF($AS35=1,4400,1000*$AS35+3400)))+$D35-1107750))),IF($AN35="MD",(0.065+Inputs!$C$74)*$D35,IF($AN35="MI",0.0425*$D35,IF($AN35="MN",0.0625*$D35,IF($AN35="MO",0.047*$D35,IF($AN35="MT",0.05*$D35,IF($AN35="ND",0.015*$D35,IF($AN35="NE",0.035*$D35,IF($AN35="NJ",IF(Inputs!$C$77="B",SUMPRODUCT(($D35*Inputs!$C$8&gt;INDEX('Methodology &amp; Sources'!$B$405:$J$412,0,4))*($D35*Inputs!$C$8-INDEX('Methodology &amp; Sources'!$B$405:$J$412,0,4))*INDEX('Methodology &amp; Sources'!$B$405:$J$412,0,4+2)),IF(Inputs!$C$77="C",SUMPRODUCT(($D35*Inputs!$C$8&gt;INDEX('Methodology &amp; Sources'!$B$405:$J$412,0,7))*($D35*Inputs!$C$8-INDEX('Methodology &amp; Sources'!$B$405:$J$412,0,7))*INDEX('Methodology &amp; Sources'!$B$405:$J$412,0,7+2)),IF(Inputs!$C$77="D",SUMPRODUCT(($D35*Inputs!$C$8&gt;INDEX('Methodology &amp; Sources'!$B$417:$J$429,0,1))*($D35*Inputs!$C$8-INDEX('Methodology &amp; Sources'!$B$417:$J$429,0,1))*INDEX('Methodology &amp; Sources'!$B$417:$J$429,0,1+2)),IF(Inputs!$C$77="E",SUMPRODUCT(($D35*Inputs!$C$8&gt;INDEX('Methodology &amp; Sources'!$B$417:$J$429,0,4))*($D35*Inputs!$C$8-INDEX('Methodology &amp; Sources'!$B$417:$J$429,0,4))*INDEX('Methodology &amp; Sources'!$B$417:$J$429,0,4+2)),SUMPRODUCT(($D35*Inputs!$C$8&gt;INDEX('Methodology &amp; Sources'!$B$405:$J$412,0,1))*($D35*Inputs!$C$8-INDEX('Methodology &amp; Sources'!$B$405:$J$412,0,1))*INDEX('Methodology &amp; Sources'!$B$405:$J$412,0,1+2))))))/Inputs!$C$8,IF($AN35="NY",0.117*$D35,IF($AN35="OH",0.0275*$D35,IF($AN35="OK",0.045*$D35,IF($AN35="OR",0.08*$D35,IF($AN35="WI",IF($AY35&lt;12760,0.0354,IF($AY35&lt;25520,0.0465,IF($AY35&lt;280950,0.053,0.0765)))*$D35,0))))))))))))))))))))</f>
      </c>
      <c r="BD35" s="7">
        <f>IF($B35="","",$BD34+$Q35+$R35+$S35)</f>
      </c>
      <c r="BE35" s="6">
        <f>IF($B35="",$BE34,$BE34+$BF35)</f>
      </c>
      <c r="BF35" s="6">
        <f>IF($B35="","",IF(AND(IF(YEAR(IF(Inputs!$C$7="Weekly",Inputs!$C$9+7*(($BE34+1)-1),IF(Inputs!$C$7="Biweekly",Inputs!$C$9+14*(($BE34+1)-1),IF(Inputs!$C$7="Semimonthly",DATE(YEAR(Inputs!$C$9),MONTH(Inputs!$C$9)+INT((($BE34+1)-1)/2),MIN(DAY(Inputs!$C$9),DAY(EOMONTH(DATE(YEAR(Inputs!$C$9),MONTH(Inputs!$C$9)+INT((($BE34+1)-1)/2),1),0))))+IF(MOD(($BE34+1)-1,2)=1,15,0),EDATE(Inputs!$C$9,($BE34+1)-1)))))&lt;&gt;2026,"",IF(Inputs!$C$7="Weekly",Inputs!$C$9+7*(($BE34+1)-1),IF(Inputs!$C$7="Biweekly",Inputs!$C$9+14*(($BE34+1)-1),IF(Inputs!$C$7="Semimonthly",DATE(YEAR(Inputs!$C$9),MONTH(Inputs!$C$9)+INT((($BE34+1)-1)/2),MIN(DAY(Inputs!$C$9),DAY(EOMONTH(DATE(YEAR(Inputs!$C$9),MONTH(Inputs!$C$9)+INT((($BE34+1)-1)/2),1),0))))+IF(MOD(($BE34+1)-1,2)=1,15,0),EDATE(Inputs!$C$9,($BE34+1)-1)))))&lt;&gt;"",$B35=IF(YEAR(IF(Inputs!$C$7="Weekly",Inputs!$C$9+7*(($BE34+1)-1),IF(Inputs!$C$7="Biweekly",Inputs!$C$9+14*(($BE34+1)-1),IF(Inputs!$C$7="Semimonthly",DATE(YEAR(Inputs!$C$9),MONTH(Inputs!$C$9)+INT((($BE34+1)-1)/2),MIN(DAY(Inputs!$C$9),DAY(EOMONTH(DATE(YEAR(Inputs!$C$9),MONTH(Inputs!$C$9)+INT((($BE34+1)-1)/2),1),0))))+IF(MOD(($BE34+1)-1,2)=1,15,0),EDATE(Inputs!$C$9,($BE34+1)-1)))))&lt;&gt;2026,"",IF(Inputs!$C$7="Weekly",Inputs!$C$9+7*(($BE34+1)-1),IF(Inputs!$C$7="Biweekly",Inputs!$C$9+14*(($BE34+1)-1),IF(Inputs!$C$7="Semimonthly",DATE(YEAR(Inputs!$C$9),MONTH(Inputs!$C$9)+INT((($BE34+1)-1)/2),MIN(DAY(Inputs!$C$9),DAY(EOMONTH(DATE(YEAR(Inputs!$C$9),MONTH(Inputs!$C$9)+INT((($BE34+1)-1)/2),1),0))))+IF(MOD(($BE34+1)-1,2)=1,15,0),EDATE(Inputs!$C$9,($BE34+1)-1)))))),1,0))</f>
      </c>
      <c r="BG35" s="7">
        <f>IF($B35="","",$BG34+$H35)</f>
      </c>
      <c r="BH35" s="7">
        <f>IF($B35="","",$BH34+$I35)</f>
      </c>
      <c r="BI35" s="7">
        <f>IF($B35="","",$BI34+$G35)</f>
      </c>
      <c r="BJ35" s="7">
        <f>IF($B35="","",IFERROR(LOOKUP(2,1/((((Events!$C$6:$C$17="Deduction start"))*(Events!$D$6:$D$17="Health FSA"))*(Events!$B$6:$B$17&lt;=$B35)*(Events!$B$6:$B$17&lt;&gt;"")),Events!$E$6:$E$17),Inputs!$D$38))</f>
      </c>
      <c r="BK35" s="7">
        <f>IF($B35="","",IFERROR(LOOKUP(2,1/((((Events!$C$6:$C$17="Deduction start"))*(Events!$D$6:$D$17="Dependent-care FSA"))*(Events!$B$6:$B$17&lt;=$B35)*(Events!$B$6:$B$17&lt;&gt;"")),Events!$E$6:$E$17),Inputs!$D$39))</f>
      </c>
      <c r="BL35" s="7">
        <f>IF($B35="","",IFERROR(LOOKUP(2,1/((((Events!$C$6:$C$17="Deduction start")+(Events!$C$6:$C$17="Deduction stop"))*(Events!$D$6:$D$17="HSA"))*(Events!$B$6:$B$17&lt;=$B35)*(Events!$B$6:$B$17&lt;&gt;"")),Events!$I$6:$I$17),Inputs!$D$35))</f>
      </c>
      <c r="BM35" s="7">
        <f>IF($B35="","",IFERROR(LOOKUP(2,1/((((Events!$C$6:$C$17="Deduction start")+(Events!$C$6:$C$17="Deduction stop"))*(Events!$D$6:$D$17="Premiums"))*(Events!$B$6:$B$17&lt;=$B35)*(Events!$B$6:$B$17&lt;&gt;"")),Events!$I$6:$I$17),Inputs!$D$40+Inputs!$D$41+Inputs!$D$42))</f>
      </c>
      <c r="BN35" s="7">
        <f>IF($B35="","",IFERROR(LOOKUP(2,1/((((Events!$C$6:$C$17="Deduction start")+(Events!$C$6:$C$17="Deduction stop"))*(Events!$D$6:$D$17="Commuter"))*(Events!$B$6:$B$17&lt;=$B35)*(Events!$B$6:$B$17&lt;&gt;"")),Events!$I$6:$I$17),Inputs!$D$43))</f>
      </c>
      <c r="BO35" s="7">
        <f>IF($B35="","",IFERROR(LOOKUP(2,1/((((Events!$C$6:$C$17="Deduction start")+(Events!$C$6:$C$17="Deduction stop"))*(Events!$D$6:$D$17="Other pre-tax"))*(Events!$B$6:$B$17&lt;=$B35)*(Events!$B$6:$B$17&lt;&gt;"")),Events!$I$6:$I$17),Inputs!$D$44))</f>
      </c>
      <c r="BP35" s="7">
        <f>IF($B35="","",IFERROR(LOOKUP(2,1/((((Events!$C$6:$C$17="Deduction start")+(Events!$C$6:$C$17="Deduction stop"))*(Events!$D$6:$D$17="Other post-tax"))*(Events!$B$6:$B$17&lt;=$B35)*(Events!$B$6:$B$17&lt;&gt;"")),Events!$I$6:$I$17),Inputs!$D$45))</f>
      </c>
      <c r="BQ35" s="6">
        <f>IF($B35="","",IFERROR(LOOKUP(2,1/((((Events!$C$6:$C$17="Deduction start")+(Events!$C$6:$C$17="Deduction stop"))*(Events!$D$6:$D$17="Health FSA"))*(Events!$B$6:$B$17&lt;=$B35)*(Events!$B$6:$B$17&lt;&gt;"")),Events!$J$6:$J$17),0))</f>
      </c>
      <c r="BR35" s="6">
        <f>IF($B35="","",IFERROR(LOOKUP(2,1/((((Events!$C$6:$C$17="Deduction start")+(Events!$C$6:$C$17="Deduction stop"))*(Events!$D$6:$D$17="Dependent-care FSA"))*(Events!$B$6:$B$17&lt;=$B35)*(Events!$B$6:$B$17&lt;&gt;"")),Events!$J$6:$J$17),0))</f>
      </c>
      <c r="BS35" s="6">
        <f>IF($B35="","",IF(SUMPRODUCT((Events!$C$6:$C$17="Deduction start")*(Events!$B$6:$B$17&lt;=$B35)*(Events!$B$6:$B$17&lt;&gt;"")*(Events!$D$6:$D$17="Health FSA"))&gt;0,1,0))</f>
      </c>
      <c r="BT35" s="6">
        <f>IF($B35="","",IF(SUMPRODUCT((Events!$C$6:$C$17="Deduction start")*(Events!$B$6:$B$17&lt;=$B35)*(Events!$B$6:$B$17&lt;&gt;"")*(Events!$D$6:$D$17="Dependent-care FSA"))&gt;0,1,0))</f>
      </c>
      <c r="BU35" s="24">
        <f>IF($B35="","",IF(Inputs!$C$13,SUMPRODUCT(($AH35&gt;=INDEX('Methodology &amp; Sources'!$B$279:$J$286,0,IF(Inputs!$C$12="MFJ",1,IF(Inputs!$C$12="HoH",7,4))))*INDEX('Methodology &amp; Sources'!$B$279:$J$286,0,IF(Inputs!$C$12="MFJ",1,IF(Inputs!$C$12="HoH",7,4))+2)),SUMPRODUCT(($AH35&gt;=INDEX('Methodology &amp; Sources'!$B$269:$J$276,0,IF(Inputs!$C$12="MFJ",1,IF(Inputs!$C$12="HoH",7,4))))*INDEX('Methodology &amp; Sources'!$B$269:$J$276,0,IF(Inputs!$C$12="MFJ",1,IF(Inputs!$C$12="HoH",7,4))+2))))</f>
      </c>
      <c r="BV35" s="24">
        <f>IF($B35="","",IF($BZ35&lt;&gt;"",$BZ35,IF($CA35&lt;&gt;"",$CA35,IF($CB35&lt;&gt;"",$CB35,IF($CC35&lt;&gt;"",$CC35,0)))))</f>
      </c>
      <c r="BW35" s="7">
        <f>IF($B35="","",IF($AN35="MD",IF(OR($AU35="Married",$AU35="Head of household"),SUMPRODUCT(($AZ35&gt;INDEX('Methodology &amp; Sources'!$B$364:$J$370,0,1))*($AZ35-INDEX('Methodology &amp; Sources'!$B$364:$J$370,0,1))*INDEX('Methodology &amp; Sources'!$B$364:$J$370,0,1+2)),SUMPRODUCT(($AZ35&gt;INDEX('Methodology &amp; Sources'!$B$353:$J$359,0,7))*($AZ35-INDEX('Methodology &amp; Sources'!$B$353:$J$359,0,7))*INDEX('Methodology &amp; Sources'!$B$353:$J$359,0,7+2))),IF($AN35="MO",SUMPRODUCT(($AZ35&gt;INDEX('Methodology &amp; Sources'!$B$375:$J$382,0,1))*($AZ35-INDEX('Methodology &amp; Sources'!$B$375:$J$382,0,1))*INDEX('Methodology &amp; Sources'!$B$375:$J$382,0,1+2)),IF($AN35="MT",IF($AU35="Head of household",SUMPRODUCT(($AZ35&gt;INDEX('Methodology &amp; Sources'!$B$387:$J$389,0,1))*($AZ35-INDEX('Methodology &amp; Sources'!$B$387:$J$389,0,1))*INDEX('Methodology &amp; Sources'!$B$387:$J$389,0,1+2)),IF($AU35="Married",SUMPRODUCT(($AZ35&gt;INDEX('Methodology &amp; Sources'!$B$375:$J$382,0,7))*($AZ35-INDEX('Methodology &amp; Sources'!$B$375:$J$382,0,7))*INDEX('Methodology &amp; Sources'!$B$375:$J$382,0,7+2)),SUMPRODUCT(($AZ35&gt;INDEX('Methodology &amp; Sources'!$B$375:$J$382,0,4))*($AZ35-INDEX('Methodology &amp; Sources'!$B$375:$J$382,0,4))*INDEX('Methodology &amp; Sources'!$B$375:$J$382,0,4+2)))),IF($AN35="ND",IF($AU35="Head of household",SUMPRODUCT(($AZ35&gt;INDEX('Methodology &amp; Sources'!$B$394:$J$400,0,1))*($AZ35-INDEX('Methodology &amp; Sources'!$B$394:$J$400,0,1))*INDEX('Methodology &amp; Sources'!$B$394:$J$400,0,1+2)),IF($AU35="Married",SUMPRODUCT(($AZ35&gt;INDEX('Methodology &amp; Sources'!$B$387:$J$389,0,7))*($AZ35-INDEX('Methodology &amp; Sources'!$B$387:$J$389,0,7))*INDEX('Methodology &amp; Sources'!$B$387:$J$389,0,7+2)),SUMPRODUCT(($AZ35&gt;INDEX('Methodology &amp; Sources'!$B$387:$J$389,0,4))*($AZ35-INDEX('Methodology &amp; Sources'!$B$387:$J$389,0,4))*INDEX('Methodology &amp; Sources'!$B$387:$J$389,0,4+2)))),IF($AN35="NJ",IF(Inputs!$C$77="B",SUMPRODUCT(($AZ35&gt;INDEX('Methodology &amp; Sources'!$B$405:$J$412,0,4))*($AZ35-INDEX('Methodology &amp; Sources'!$B$405:$J$412,0,4))*INDEX('Methodology &amp; Sources'!$B$405:$J$412,0,4+2)),IF(Inputs!$C$77="C",SUMPRODUCT(($AZ35&gt;INDEX('Methodology &amp; Sources'!$B$405:$J$412,0,7))*($AZ35-INDEX('Methodology &amp; Sources'!$B$405:$J$412,0,7))*INDEX('Methodology &amp; Sources'!$B$405:$J$412,0,7+2)),IF(Inputs!$C$77="D",SUMPRODUCT(($AZ35&gt;INDEX('Methodology &amp; Sources'!$B$417:$J$429,0,1))*($AZ35-INDEX('Methodology &amp; Sources'!$B$417:$J$429,0,1))*INDEX('Methodology &amp; Sources'!$B$417:$J$429,0,1+2)),IF(Inputs!$C$77="E",SUMPRODUCT(($AZ35&gt;INDEX('Methodology &amp; Sources'!$B$417:$J$429,0,4))*($AZ35-INDEX('Methodology &amp; Sources'!$B$417:$J$429,0,4))*INDEX('Methodology &amp; Sources'!$B$417:$J$429,0,4+2)),SUMPRODUCT(($AZ35&gt;INDEX('Methodology &amp; Sources'!$B$405:$J$412,0,1))*($AZ35-INDEX('Methodology &amp; Sources'!$B$405:$J$412,0,1))*INDEX('Methodology &amp; Sources'!$B$405:$J$412,0,1+2)))))),IF($AN35="NY",IF($AU35="Married",IF($AZ35&gt;=2155350,$AZ35*IF($AZ35&gt;25000000,0.117,IF($AZ35&gt;5000000,0.111,0.1045)),SUMPRODUCT(($AZ35&gt;INDEX('Methodology &amp; Sources'!$B$434:$J$448,0,1))*($AZ35-INDEX('Methodology &amp; Sources'!$B$434:$J$448,0,1))*INDEX('Methodology &amp; Sources'!$B$434:$J$448,0,1+2))),IF($AZ35&gt;=1077550,$AZ35*IF($AZ35&gt;25000000,0.117,IF($AZ35&gt;5000000,0.111,0.1045)),SUMPRODUCT(($AZ35&gt;INDEX('Methodology &amp; Sources'!$B$417:$J$429,0,7))*($AZ35-INDEX('Methodology &amp; Sources'!$B$417:$J$429,0,7))*INDEX('Methodology &amp; Sources'!$B$417:$J$429,0,7+2)))),"")))))))</f>
      </c>
      <c r="BX35" s="7">
        <f>IF($B35="","",IF($AN35="AL",IF(OR($AU35="Married",$AU35="Head of household"),SUMPRODUCT(($AZ35&gt;INDEX('Methodology &amp; Sources'!$B$332:$J$336,0,4))*($AZ35-INDEX('Methodology &amp; Sources'!$B$332:$J$336,0,4))*INDEX('Methodology &amp; Sources'!$B$332:$J$336,0,4+2)),SUMPRODUCT(($AZ35&gt;INDEX('Methodology &amp; Sources'!$B$332:$J$336,0,1))*($AZ35-INDEX('Methodology &amp; Sources'!$B$332:$J$336,0,1))*INDEX('Methodology &amp; Sources'!$B$332:$J$336,0,1+2))),IF($AN35="KS",IF($AU35="Married",SUMPRODUCT(($AZ35&gt;INDEX('Methodology &amp; Sources'!$B$353:$J$359,0,4))*($AZ35-INDEX('Methodology &amp; Sources'!$B$353:$J$359,0,4))*INDEX('Methodology &amp; Sources'!$B$353:$J$359,0,4+2)),SUMPRODUCT(($AZ35&gt;INDEX('Methodology &amp; Sources'!$B$353:$J$359,0,1))*($AZ35-INDEX('Methodology &amp; Sources'!$B$353:$J$359,0,1))*INDEX('Methodology &amp; Sources'!$B$353:$J$359,0,1+2))),IF($AN35="MN",IF($AU35="Married",SUMPRODUCT(($AZ35&gt;INDEX('Methodology &amp; Sources'!$B$364:$J$370,0,7))*($AZ35-INDEX('Methodology &amp; Sources'!$B$364:$J$370,0,7))*INDEX('Methodology &amp; Sources'!$B$364:$J$370,0,7+2)),SUMPRODUCT(($AZ35&gt;INDEX('Methodology &amp; Sources'!$B$364:$J$370,0,4))*($AZ35-INDEX('Methodology &amp; Sources'!$B$364:$J$370,0,4))*INDEX('Methodology &amp; Sources'!$B$364:$J$370,0,4+2))),IF($AN35="NE",MAX(IF($AU35="Married",SUMPRODUCT(($AZ35&gt;INDEX('Methodology &amp; Sources'!$B$394:$J$400,0,7))*($AZ35-INDEX('Methodology &amp; Sources'!$B$394:$J$400,0,7))*INDEX('Methodology &amp; Sources'!$B$394:$J$400,0,7+2)),SUMPRODUCT(($AZ35&gt;INDEX('Methodology &amp; Sources'!$B$394:$J$400,0,4))*($AZ35-INDEX('Methodology &amp; Sources'!$B$394:$J$400,0,4))*INDEX('Methodology &amp; Sources'!$B$394:$J$400,0,4+2))),0.015*$AZ35),IF($AN35="OH",IF($B35&gt;=DATE(2026,8,1),SUMPRODUCT(($AZ35&gt;INDEX('Methodology &amp; Sources'!$B$453:$J$456,0,1))*($AZ35-INDEX('Methodology &amp; Sources'!$B$453:$J$456,0,1))*INDEX('Methodology &amp; Sources'!$B$453:$J$456,0,1+2)),SUMPRODUCT(($AZ35&gt;INDEX('Methodology &amp; Sources'!$B$434:$J$448,0,7))*($AZ35-INDEX('Methodology &amp; Sources'!$B$434:$J$448,0,7))*INDEX('Methodology &amp; Sources'!$B$434:$J$448,0,7+2))),IF($AN35="OK",IF($AU35="Married",SUMPRODUCT(($AZ35&gt;INDEX('Methodology &amp; Sources'!$B$453:$J$456,0,7))*($AZ35-INDEX('Methodology &amp; Sources'!$B$453:$J$456,0,7))*INDEX('Methodology &amp; Sources'!$B$453:$J$456,0,7+2)),SUMPRODUCT(($AZ35&gt;INDEX('Methodology &amp; Sources'!$B$453:$J$456,0,4))*($AZ35-INDEX('Methodology &amp; Sources'!$B$453:$J$456,0,4))*INDEX('Methodology &amp; Sources'!$B$453:$J$456,0,4+2))),IF($AN35="RI",SUMPRODUCT(($AZ35&gt;INDEX('Methodology &amp; Sources'!$B$461:$J$464,0,7))*($AZ35-INDEX('Methodology &amp; Sources'!$B$461:$J$464,0,7))*INDEX('Methodology &amp; Sources'!$B$461:$J$464,0,7+2)),IF($AN35="VT",IF($AU35="Married",SUMPRODUCT(($AZ35&gt;INDEX('Methodology &amp; Sources'!$B$478:$J$482,0,1))*($AZ35-INDEX('Methodology &amp; Sources'!$B$478:$J$482,0,1))*INDEX('Methodology &amp; Sources'!$B$478:$J$482,0,1+2)),SUMPRODUCT(($AZ35&gt;INDEX('Methodology &amp; Sources'!$B$469:$J$473,0,7))*($AZ35-INDEX('Methodology &amp; Sources'!$B$469:$J$473,0,7))*INDEX('Methodology &amp; Sources'!$B$469:$J$473,0,7+2))),IF($AN35="WV",IF($AU35="Married",SUMPRODUCT(($AZ35&gt;INDEX('Methodology &amp; Sources'!$B$487:$J$491,0,7))*($AZ35-INDEX('Methodology &amp; Sources'!$B$487:$J$491,0,7))*INDEX('Methodology &amp; Sources'!$B$487:$J$491,0,7+2)),SUMPRODUCT(($AZ35&gt;INDEX('Methodology &amp; Sources'!$B$478:$J$482,0,7))*($AZ35-INDEX('Methodology &amp; Sources'!$B$478:$J$482,0,7))*INDEX('Methodology &amp; Sources'!$B$478:$J$482,0,7+2))),""))))))))))</f>
      </c>
      <c r="BY35" s="7">
        <f>IF($B35="","",IF($AN35="AR",SUMPRODUCT(($AZ35&gt;INDEX('Methodology &amp; Sources'!$B$332:$J$336,0,7))*($AZ35-INDEX('Methodology &amp; Sources'!$B$332:$J$336,0,7))*INDEX('Methodology &amp; Sources'!$B$332:$J$336,0,7+2)),IF($AN35="DE",SUMPRODUCT(($AZ35&gt;INDEX('Methodology &amp; Sources'!$B$341:$J$348,0,1))*($AZ35-INDEX('Methodology &amp; Sources'!$B$341:$J$348,0,1))*INDEX('Methodology &amp; Sources'!$B$341:$J$348,0,1+2)),IF($AN35="HI",IF($AU35="Married",SUMPRODUCT(($AZ35&gt;INDEX('Methodology &amp; Sources'!$B$341:$J$348,0,7))*($AZ35-INDEX('Methodology &amp; Sources'!$B$341:$J$348,0,7))*INDEX('Methodology &amp; Sources'!$B$341:$J$348,0,7+2)),SUMPRODUCT(($AZ35&gt;INDEX('Methodology &amp; Sources'!$B$341:$J$348,0,4))*($AZ35-INDEX('Methodology &amp; Sources'!$B$341:$J$348,0,4))*INDEX('Methodology &amp; Sources'!$B$341:$J$348,0,4+2))),IF($AN35="SC",SUMPRODUCT(($AZ35&gt;INDEX('Methodology &amp; Sources'!$B$469:$J$473,0,1))*($AZ35-INDEX('Methodology &amp; Sources'!$B$469:$J$473,0,1))*INDEX('Methodology &amp; Sources'!$B$469:$J$473,0,1+2)),IF($AN35="VA",SUMPRODUCT(($AZ35&gt;INDEX('Methodology &amp; Sources'!$B$469:$J$473,0,4))*($AZ35-INDEX('Methodology &amp; Sources'!$B$469:$J$473,0,4))*INDEX('Methodology &amp; Sources'!$B$469:$J$473,0,4+2)),IF($AN35="WI",SUMPRODUCT(($AZ35&gt;INDEX('Methodology &amp; Sources'!$B$478:$J$482,0,4))*($AZ35-INDEX('Methodology &amp; Sources'!$B$478:$J$482,0,4))*INDEX('Methodology &amp; Sources'!$B$478:$J$482,0,4+2)),"")))))))</f>
      </c>
      <c r="BZ35" s="24">
        <f>IF($B35="","",IF($AN35="NJ",IF(Inputs!$C$77="B",SUMPRODUCT(($AZ35&gt;=INDEX('Methodology &amp; Sources'!$B$405:$J$412,0,4))*INDEX('Methodology &amp; Sources'!$B$405:$J$412,0,4+2)),IF(Inputs!$C$77="C",SUMPRODUCT(($AZ35&gt;=INDEX('Methodology &amp; Sources'!$B$405:$J$412,0,7))*INDEX('Methodology &amp; Sources'!$B$405:$J$412,0,7+2)),IF(Inputs!$C$77="D",SUMPRODUCT(($AZ35&gt;=INDEX('Methodology &amp; Sources'!$B$417:$J$429,0,1))*INDEX('Methodology &amp; Sources'!$B$417:$J$429,0,1+2)),IF(Inputs!$C$77="E",SUMPRODUCT(($AZ35&gt;=INDEX('Methodology &amp; Sources'!$B$417:$J$429,0,4))*INDEX('Methodology &amp; Sources'!$B$417:$J$429,0,4+2)),SUMPRODUCT(($AZ35&gt;=INDEX('Methodology &amp; Sources'!$B$405:$J$412,0,1))*INDEX('Methodology &amp; Sources'!$B$405:$J$412,0,1+2)))))),IF($AN35="OR",IF(OR($AU35="Married",AND($AU35="Single",$AS35&gt;=3)),SUMPRODUCT((MAX(0,$AY35-MIN(($P35-'Methodology &amp; Sources'!$C$260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Sources'!$B$461:$J$464,0,4))*INDEX('Methodology &amp; Sources'!$B$461:$J$464,0,4+2)),SUMPRODUCT((MAX(0,$AY35-MIN(($P35-'Methodology &amp; Sources'!$C$260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Sources'!$B$461:$J$464,0,1))*INDEX('Methodology &amp; Sources'!$B$461:$J$464,0,1+2)))*IF(($P35-'Methodology &amp; Sources'!$C$260*$D35)*Inputs!$C$8&gt;=IF(OR($AU35="Married",AND($AU35="Single",$AS35&gt;=3)),IF($AY35&lt;250000,8750,IF($AY35&lt;260000,7000,IF($AY35&lt;270000,5250,IF($AY35&lt;280000,3500,IF($AY35&lt;290000,1750,0))))),IF($AY35&lt;125000,8750,IF($AY35&lt;130000,7000,IF($AY35&lt;135000,5250,IF($AY35&lt;140000,3500,IF($AY35&lt;145000,1750,0)))))),1,1-IF(Inputs!$C$13,SUMPRODUCT(($AH35&gt;=INDEX('Methodology &amp; Sources'!$B$279:$J$286,0,IF(Inputs!$C$12="MFJ",1,IF(Inputs!$C$12="HoH",7,4))))*INDEX('Methodology &amp; Sources'!$B$279:$J$286,0,IF(Inputs!$C$12="MFJ",1,IF(Inputs!$C$12="HoH",7,4))+2)),SUMPRODUCT(($AH35&gt;=INDEX('Methodology &amp; Sources'!$B$269:$J$276,0,IF(Inputs!$C$12="MFJ",1,IF(Inputs!$C$12="HoH",7,4))))*INDEX('Methodology &amp; Sources'!$B$269:$J$276,0,IF(Inputs!$C$12="MFJ",1,IF(Inputs!$C$12="HoH",7,4))+2)))),IF($AN35="MI",IF($AY35&gt;5900*$AS35,0.0425,0),""))))</f>
      </c>
      <c r="CA35" s="24">
        <f>IF($B35="","",IF($AN35="AL",IF(OR($AU35="Married",$AU35="Head of household"),SUMPRODUCT(($AZ35&gt;=INDEX('Methodology &amp; Sources'!$B$332:$J$336,0,4))*INDEX('Methodology &amp; Sources'!$B$332:$J$336,0,4+2)),SUMPRODUCT(($AZ35&gt;=INDEX('Methodology &amp; Sources'!$B$332:$J$336,0,1))*INDEX('Methodology &amp; Sources'!$B$332:$J$336,0,1+2)))*(1-IF(Inputs!$C$13,SUMPRODUCT(($AH35&gt;=INDEX('Methodology &amp; Sources'!$B$279:$J$286,0,IF(Inputs!$C$12="MFJ",1,IF(Inputs!$C$12="HoH",7,4))))*INDEX('Methodology &amp; Sources'!$B$279:$J$286,0,IF(Inputs!$C$12="MFJ",1,IF(Inputs!$C$12="HoH",7,4))+2)),SUMPRODUCT(($AH35&gt;=INDEX('Methodology &amp; Sources'!$B$269:$J$276,0,IF(Inputs!$C$12="MFJ",1,IF(Inputs!$C$12="HoH",7,4))))*INDEX('Methodology &amp; Sources'!$B$269:$J$276,0,IF(Inputs!$C$12="MFJ",1,IF(Inputs!$C$12="HoH",7,4))+2)))),IF($AN35="KS",IF($AU35="Married",SUMPRODUCT(($AZ35&gt;=INDEX('Methodology &amp; Sources'!$B$353:$J$359,0,4))*INDEX('Methodology &amp; Sources'!$B$353:$J$359,0,4+2)),SUMPRODUCT(($AZ35&gt;=INDEX('Methodology &amp; Sources'!$B$353:$J$359,0,1))*INDEX('Methodology &amp; Sources'!$B$353:$J$359,0,1+2))),IF($AN35="MD",IF(OR($AU35="Married",$AU35="Head of household"),SUMPRODUCT(($AZ35&gt;=INDEX('Methodology &amp; Sources'!$B$364:$J$370,0,1))*INDEX('Methodology &amp; Sources'!$B$364:$J$370,0,1+2)),SUMPRODUCT(($AZ35&gt;=INDEX('Methodology &amp; Sources'!$B$353:$J$359,0,7))*INDEX('Methodology &amp; Sources'!$B$353:$J$359,0,7+2)))+Inputs!$C$74,IF($AN35="MT",IF($AU35="Head of household",SUMPRODUCT(($AZ35&gt;=INDEX('Methodology &amp; Sources'!$B$387:$J$389,0,1))*INDEX('Methodology &amp; Sources'!$B$387:$J$389,0,1+2)),IF($AU35="Married",SUMPRODUCT(($AZ35&gt;=INDEX('Methodology &amp; Sources'!$B$375:$J$382,0,7))*INDEX('Methodology &amp; Sources'!$B$375:$J$382,0,7+2)),SUMPRODUCT(($AZ35&gt;=INDEX('Methodology &amp; Sources'!$B$375:$J$382,0,4))*INDEX('Methodology &amp; Sources'!$B$375:$J$382,0,4+2)))),IF($AN35="ND",IF($AU35="Head of household",SUMPRODUCT(($AZ35&gt;=INDEX('Methodology &amp; Sources'!$B$394:$J$400,0,1))*INDEX('Methodology &amp; Sources'!$B$394:$J$400,0,1+2)),IF($AU35="Married",SUMPRODUCT(($AZ35&gt;=INDEX('Methodology &amp; Sources'!$B$387:$J$389,0,7))*INDEX('Methodology &amp; Sources'!$B$387:$J$389,0,7+2)),SUMPRODUCT(($AZ35&gt;=INDEX('Methodology &amp; Sources'!$B$387:$J$389,0,4))*INDEX('Methodology &amp; Sources'!$B$387:$J$389,0,4+2)))),IF($AN35="NY",IF($AU35="Married",IF($AZ35&gt;=2155350,IF($AZ35&gt;25000000,0.117,IF($AZ35&gt;5000000,0.111,0.1045)),SUMPRODUCT(($AZ35&gt;=INDEX('Methodology &amp; Sources'!$B$434:$J$448,0,1))*INDEX('Methodology &amp; Sources'!$B$434:$J$448,0,1+2))),IF($AZ35&gt;=1077550,IF($AZ35&gt;25000000,0.117,IF($AZ35&gt;5000000,0.111,0.1045)),SUMPRODUCT(($AZ35&gt;=INDEX('Methodology &amp; Sources'!$B$417:$J$429,0,7))*INDEX('Methodology &amp; Sources'!$B$417:$J$429,0,7+2)))),"")))))))</f>
      </c>
      <c r="CB35" s="24">
        <f>IF($B35="","",IF($AN35="CA",SUMPRODUCT(($AJ35&gt;=INDEX('Methodology &amp; Sources'!$B$289:$J$298,0,IF($AU35="Married",4,IF($AU35="Head of household",7,1))))*INDEX('Methodology &amp; Sources'!$B$289:$J$298,0,IF($AU35="Married",4,IF($AU35="Head of household",7,1))+2)),IF($AN35="HI",IF($AU35="Married",SUMPRODUCT(($AZ35&gt;=INDEX('Methodology &amp; Sources'!$B$341:$J$348,0,7))*INDEX('Methodology &amp; Sources'!$B$341:$J$348,0,7+2)),SUMPRODUCT(($AZ35&gt;=INDEX('Methodology &amp; Sources'!$B$341:$J$348,0,4))*INDEX('Methodology &amp; Sources'!$B$341:$J$348,0,4+2))),IF($AN35="MN",IF($AU35="Married",SUMPRODUCT(($AZ35&gt;=INDEX('Methodology &amp; Sources'!$B$364:$J$370,0,7))*INDEX('Methodology &amp; Sources'!$B$364:$J$370,0,7+2)),SUMPRODUCT(($AZ35&gt;=INDEX('Methodology &amp; Sources'!$B$364:$J$370,0,4))*INDEX('Methodology &amp; Sources'!$B$364:$J$370,0,4+2))),IF($AN35="MO",SUMPRODUCT(($AZ35&gt;=INDEX('Methodology &amp; Sources'!$B$375:$J$382,0,1))*INDEX('Methodology &amp; Sources'!$B$375:$J$382,0,1+2)),IF($AN35="NE",MAX(IF($AU35="Married",SUMPRODUCT(($AZ35&gt;=INDEX('Methodology &amp; Sources'!$B$394:$J$400,0,7))*INDEX('Methodology &amp; Sources'!$B$394:$J$400,0,7+2)),SUMPRODUCT(($AZ35&gt;=INDEX('Methodology &amp; Sources'!$B$394:$J$400,0,4))*INDEX('Methodology &amp; Sources'!$B$394:$J$400,0,4+2))),0.015),IF($AN35="OH",IF($B35&gt;=DATE(2026,8,1),SUMPRODUCT(($AZ35&gt;=INDEX('Methodology &amp; Sources'!$B$453:$J$456,0,1))*INDEX('Methodology &amp; Sources'!$B$453:$J$456,0,1+2)),SUMPRODUCT(($AZ35&gt;=INDEX('Methodology &amp; Sources'!$B$434:$J$448,0,7))*INDEX('Methodology &amp; Sources'!$B$434:$J$448,0,7+2))),IF($AN35="OK",IF($AU35="Married",SUMPRODUCT(($AZ35&gt;=INDEX('Methodology &amp; Sources'!$B$453:$J$456,0,7))*INDEX('Methodology &amp; Sources'!$B$453:$J$456,0,7+2)),SUMPRODUCT(($AZ35&gt;=INDEX('Methodology &amp; Sources'!$B$453:$J$456,0,4))*INDEX('Methodology &amp; Sources'!$B$453:$J$456,0,4+2))),IF($AN35="RI",SUMPRODUCT(($AZ35&gt;=INDEX('Methodology &amp; Sources'!$B$461:$J$464,0,7))*INDEX('Methodology &amp; Sources'!$B$461:$J$464,0,7+2)),IF($AN35="SC",SUMPRODUCT(($AZ35&gt;=INDEX('Methodology &amp; Sources'!$B$469:$J$473,0,1))*INDEX('Methodology &amp; Sources'!$B$469:$J$473,0,1+2)),IF($AN35="VT",IF($AU35="Married",SUMPRODUCT(($AZ35&gt;=INDEX('Methodology &amp; Sources'!$B$478:$J$482,0,1))*INDEX('Methodology &amp; Sources'!$B$478:$J$482,0,1+2)),SUMPRODUCT(($AZ35&gt;=INDEX('Methodology &amp; Sources'!$B$469:$J$473,0,7))*INDEX('Methodology &amp; Sources'!$B$469:$J$473,0,7+2))),IF($AN35="WV",IF($AU35="Married",SUMPRODUCT(($AZ35&gt;=INDEX('Methodology &amp; Sources'!$B$487:$J$491,0,7))*INDEX('Methodology &amp; Sources'!$B$487:$J$491,0,7+2)),SUMPRODUCT(($AZ35&gt;=INDEX('Methodology &amp; Sources'!$B$478:$J$482,0,7))*INDEX('Methodology &amp; Sources'!$B$478:$J$482,0,7+2))),IF($AN35="IN",(0.0295+Inputs!$C$76),"")))))))))))))</f>
      </c>
      <c r="CC35" s="24">
        <f>IF($B35="","",IF($AN35="AR",SUMPRODUCT(($AZ35&gt;=INDEX('Methodology &amp; Sources'!$B$332:$J$336,0,7))*INDEX('Methodology &amp; Sources'!$B$332:$J$336,0,7+2)),IF($AN35="DE",SUMPRODUCT(($AZ35&gt;=INDEX('Methodology &amp; Sources'!$B$341:$J$348,0,1))*INDEX('Methodology &amp; Sources'!$B$341:$J$348,0,1+2)),IF($AN35="VA",SUMPRODUCT(($AZ35&gt;=INDEX('Methodology &amp; Sources'!$B$469:$J$473,0,4))*INDEX('Methodology &amp; Sources'!$B$469:$J$473,0,4+2)),IF($AN35="WI",SUMPRODUCT(($AZ35&gt;=INDEX('Methodology &amp; Sources'!$B$478:$J$482,0,4))*INDEX('Methodology &amp; Sources'!$B$478:$J$482,0,4+2)),IF($AN35="AZ",Inputs!$C$82,IF($AN35="CO",IF($AY35&gt;IF($AU35="Married",10000,5000),0.044,0),IF($AN35="IA",IF($AY35&gt;IF($AU35="Head of household",19500,IF($AU35="Married",26000,13000)),0.038,0),IF($AN35="ID",IF($AY35&gt;IF($AU35="Married",32000,16094),0.053,0),IF($AN35="IL",IF($AY35&gt;(2925*$AS35+1000*$AT35),0.0495,0),IF($AN35="KY",IF($AI35&gt;3360,0.035,0),IF($AN35="LA",0.0309,IF($AN35="MA",IF(MAX(0,$AY35-MIN(($BD34+$Q35+$R35+$S35),2000)-IF($AS35=0,0,IF($AS35=1,4400,1000*$AS35+3400)))&gt;=1107750,0.09,0.05),IF($AN35="MS",IF($AI35-IF($AU35="Head of household",3400,IF($AU35="Married",4600,2300))-Inputs!$C$85&gt;10000,0.04,0),IF($AN35="PA",0.0307,"")))))))))))))))</f>
      </c>
      <c r="CD35" s="21">
        <f>IF(YEAR(IF(Inputs!$C$7="Weekly",Inputs!$C$9+7*(($BE34+1)-1),IF(Inputs!$C$7="Biweekly",Inputs!$C$9+14*(($BE34+1)-1),IF(Inputs!$C$7="Semimonthly",DATE(YEAR(Inputs!$C$9),MONTH(Inputs!$C$9)+INT((($BE34+1)-1)/2),MIN(DAY(Inputs!$C$9),DAY(EOMONTH(DATE(YEAR(Inputs!$C$9),MONTH(Inputs!$C$9)+INT((($BE34+1)-1)/2),1),0))))+IF(MOD(($BE34+1)-1,2)=1,15,0),EDATE(Inputs!$C$9,($BE34+1)-1)))))&lt;&gt;2026,"",IF(Inputs!$C$7="Weekly",Inputs!$C$9+7*(($BE34+1)-1),IF(Inputs!$C$7="Biweekly",Inputs!$C$9+14*(($BE34+1)-1),IF(Inputs!$C$7="Semimonthly",DATE(YEAR(Inputs!$C$9),MONTH(Inputs!$C$9)+INT((($BE34+1)-1)/2),MIN(DAY(Inputs!$C$9),DAY(EOMONTH(DATE(YEAR(Inputs!$C$9),MONTH(Inputs!$C$9)+INT((($BE34+1)-1)/2),1),0))))+IF(MOD(($BE34+1)-1,2)=1,15,0),EDATE(Inputs!$C$9,($BE34+1)-1)))))</f>
      </c>
      <c r="CE35" s="21">
        <f>IF(SUMPRODUCT(MIN(IF((Inputs!$C$58:$C$67&gt;MAX($B$6:$B34))*(Inputs!$C$58:$C$67&gt;=DATE(2026,1,1))*(Inputs!$C$58:$C$67&lt;=DATE(2026,12,31)),Inputs!$C$58:$C$67,999999)))=999999,"",SUMPRODUCT(MIN(IF((Inputs!$C$58:$C$67&gt;MAX($B$6:$B34))*(Inputs!$C$58:$C$67&gt;=DATE(2026,1,1))*(Inputs!$C$58:$C$67&lt;=DATE(2026,12,31)),Inputs!$C$58:$C$67,999999))))</f>
      </c>
    </row>
    <row r="36">
      <c r="A36" t="n">
        <v>31</v>
      </c>
      <c r="B36" s="21">
        <f>IF(AND($CD36="",$CE36=""),"",IF($CE36="",$CD36,IF($CD36="",$CE36,MIN($CD36,$CE36))))</f>
      </c>
      <c r="C36" s="7">
        <f>IF($B36="","",IF($BF36=0,0,IF(Inputs!$C$4="Annual salary",ROUND($AK36/IF(AND(Inputs!$C$88="Actual paydays",MONTH(Inputs!$C$9)=1),MAX(1,MAX($BE$6:$BE$68)),Inputs!$C$8),2),$AK36)))</f>
      </c>
      <c r="D36" s="7">
        <f>IF($B36="","",SUMIF(Inputs!$C$58:$C$67,$B36,Inputs!$D$58:$D$67))</f>
      </c>
      <c r="E36" s="7">
        <f>IF($B36="","",ROUND(MAX(0,MIN(IF($AL36="Percent",$AM36*($C36+$D36),$AM36),MAX(0,Inputs!$C$91-$AC35))),2))</f>
      </c>
      <c r="F36" s="7">
        <f>IF($B36="","",ROUND(MAX(0,MIN(IF(Inputs!$C$32="Percent",Inputs!$D$32*($C36+$D36),Inputs!$D$32),MAX(0,Inputs!$C$91-$AC35-$E36))),2))</f>
      </c>
      <c r="G36" s="7">
        <f>IF($B36="","",IF($BF36=0,0,ROUND(MAX(0,MIN($BL36,Inputs!$C$92-Inputs!$C$54-$BI35)),2)))</f>
      </c>
      <c r="H36" s="7">
        <f>IF($B36="","",IF(OR($BF36=0,$BQ36=1),0,ROUND(MAX(0,MIN(IF($BS36=1,ROUND(MAX(0,MIN($BJ36,'Methodology &amp; Sources'!$C$263)-$BG35)/MAX(1,MAX($BE$6:$BE$68)-($BE35)),2),ROUND(MIN($BJ36,'Methodology &amp; Sources'!$C$263)/Inputs!$C$8,2)),MIN($BJ36,'Methodology &amp; Sources'!$C$263)-$BG35)),2)))</f>
      </c>
      <c r="I36" s="7">
        <f>IF($B36="","",IF(OR($BF36=0,$BR36=1),0,ROUND(MAX(0,MIN(IF($BT36=1,ROUND(MAX(0,MIN($BK36,IF(Inputs!$C$12="MFJ",'Methodology &amp; Sources'!$C$264,'Methodology &amp; Sources'!$C$265))-$BH35)/MAX(1,MAX($BE$6:$BE$68)-($BE35)),2),ROUND(MIN($BK36,IF(Inputs!$C$12="MFJ",'Methodology &amp; Sources'!$C$264,'Methodology &amp; Sources'!$C$265))/Inputs!$C$8,2)),MIN($BK36,IF(Inputs!$C$12="MFJ",'Methodology &amp; Sources'!$C$264,'Methodology &amp; Sources'!$C$265))-$BH35)),2)))</f>
      </c>
      <c r="J36" s="7">
        <f>IF($B36="","",IF($BF36=0,0,$BM36))</f>
      </c>
      <c r="K36" s="7">
        <f>IF($B36="","",IF($BF36=0,0,$BN36+$BO36))</f>
      </c>
      <c r="L36" s="7">
        <f>IF($B36="","",IF($BF36=0,0,Inputs!$D$46))</f>
      </c>
      <c r="M36" s="7">
        <f>IF($B36="","",$C36+$D36+$L36-$E36-$G36-$H36-$I36-$J36-$K36)</f>
      </c>
      <c r="N36" s="7">
        <f>IF($B36="","",$C36+$D36+$L36-$G36-$H36-$I36-$J36-$K36)</f>
      </c>
      <c r="O36" s="7">
        <f>IF($B36="","",$C36+$D36+$L36-$E36-$H36-$I36-$J36-$K36-IF(OR($AN36="CA",$AN36="NJ"),0,$G36))</f>
      </c>
      <c r="P36" s="7">
        <f>IF($B36="","",IF(Inputs!$C$18,0,ROUND(MAX(0,IF(Inputs!$C$13,SUMPRODUCT(($AH36&gt;INDEX('Methodology &amp; Sources'!$B$279:$J$286,0,IF(Inputs!$C$12="MFJ",1,IF(Inputs!$C$12="HoH",7,4))))*($AH36-INDEX('Methodology &amp; Sources'!$B$279:$J$286,0,IF(Inputs!$C$12="MFJ",1,IF(Inputs!$C$12="HoH",7,4))))*INDEX('Methodology &amp; Sources'!$B$279:$J$286,0,IF(Inputs!$C$12="MFJ",1,IF(Inputs!$C$12="HoH",7,4))+2)),SUMPRODUCT(($AH36&gt;INDEX('Methodology &amp; Sources'!$B$269:$J$276,0,IF(Inputs!$C$12="MFJ",1,IF(Inputs!$C$12="HoH",7,4))))*($AH36-INDEX('Methodology &amp; Sources'!$B$269:$J$276,0,IF(Inputs!$C$12="MFJ",1,IF(Inputs!$C$12="HoH",7,4))))*INDEX('Methodology &amp; Sources'!$B$269:$J$276,0,IF(Inputs!$C$12="MFJ",1,IF(Inputs!$C$12="HoH",7,4))+2)))/Inputs!$C$8-$AO36/Inputs!$C$8)+$AR36+IF(Inputs!$C$89="Aggregate",MAX(0,IF(Inputs!$C$13,SUMPRODUCT((($AH36+$D36)&gt;INDEX('Methodology &amp; Sources'!$B$279:$J$286,0,IF(Inputs!$C$12="MFJ",1,IF(Inputs!$C$12="HoH",7,4))))*(($AH36+$D36)-INDEX('Methodology &amp; Sources'!$B$279:$J$286,0,IF(Inputs!$C$12="MFJ",1,IF(Inputs!$C$12="HoH",7,4))))*INDEX('Methodology &amp; Sources'!$B$279:$J$286,0,IF(Inputs!$C$12="MFJ",1,IF(Inputs!$C$12="HoH",7,4))+2)),SUMPRODUCT((($AH36+$D36)&gt;INDEX('Methodology &amp; Sources'!$B$269:$J$276,0,IF(Inputs!$C$12="MFJ",1,IF(Inputs!$C$12="HoH",7,4))))*(($AH36+$D36)-INDEX('Methodology &amp; Sources'!$B$269:$J$276,0,IF(Inputs!$C$12="MFJ",1,IF(Inputs!$C$12="HoH",7,4))))*INDEX('Methodology &amp; Sources'!$B$269:$J$276,0,IF(Inputs!$C$12="MFJ",1,IF(Inputs!$C$12="HoH",7,4))+2)))-IF(Inputs!$C$13,SUMPRODUCT(($AH36&gt;INDEX('Methodology &amp; Sources'!$B$279:$J$286,0,IF(Inputs!$C$12="MFJ",1,IF(Inputs!$C$12="HoH",7,4))))*($AH36-INDEX('Methodology &amp; Sources'!$B$279:$J$286,0,IF(Inputs!$C$12="MFJ",1,IF(Inputs!$C$12="HoH",7,4))))*INDEX('Methodology &amp; Sources'!$B$279:$J$286,0,IF(Inputs!$C$12="MFJ",1,IF(Inputs!$C$12="HoH",7,4))+2)),SUMPRODUCT(($AH36&gt;INDEX('Methodology &amp; Sources'!$B$269:$J$276,0,IF(Inputs!$C$12="MFJ",1,IF(Inputs!$C$12="HoH",7,4))))*($AH36-INDEX('Methodology &amp; Sources'!$B$269:$J$276,0,IF(Inputs!$C$12="MFJ",1,IF(Inputs!$C$12="HoH",7,4))))*INDEX('Methodology &amp; Sources'!$B$269:$J$276,0,IF(Inputs!$C$12="MFJ",1,IF(Inputs!$C$12="HoH",7,4))+2)))),'Methodology &amp; Sources'!$C$260*$D36),2)))</f>
      </c>
      <c r="Q36" s="7">
        <f>IF($B36="","",ROUND('Methodology &amp; Sources'!$C$254*MIN($N36,MAX(0,'Methodology &amp; Sources'!$C$253-($AX36+$AB35-$AW36))),2))</f>
      </c>
      <c r="R36" s="7">
        <f>IF($B36="","",ROUND('Methodology &amp; Sources'!$C$255*$N36,2))</f>
      </c>
      <c r="S36" s="7">
        <f>IF($B36="","",ROUND('Methodology &amp; Sources'!$C$256*MAX(0,MIN($N36,$AG35+$N36-'Methodology &amp; Sources'!$C$257)),2))</f>
      </c>
      <c r="T36" s="7">
        <f>IF($B36="","",IF(Inputs!$C$26,0,IF($AN36="CA",ROUND(IF($AI36&lt;=IF(($AS36+$AT36)&gt;=2,VLOOKUP($AN36,'StateTables 2026'!$A$6:$AB$56,10,FALSE),VLOOKUP($AN36,'StateTables 2026'!$A$6:$AB$56,9,FALSE)),0,MAX(0,SUMPRODUCT(($AJ36&gt;INDEX('Methodology &amp; Sources'!$B$289:$J$298,0,IF($AU36="Married",4,IF($AU36="Head of household",7,1))))*($AJ36-INDEX('Methodology &amp; Sources'!$B$289:$J$298,0,IF($AU36="Married",4,IF($AU36="Head of household",7,1))))*INDEX('Methodology &amp; Sources'!$B$289:$J$298,0,IF($AU36="Married",4,IF($AU36="Head of household",7,1))+2))-VLOOKUP($AN36,'StateTables 2026'!$A$6:$AB$56,11,FALSE)*$AS36)/Inputs!$C$8)+Inputs!$C$25+VLOOKUP($AN36,'StateTables 2026'!$A$6:$AB$56,13,FALSE)*$D36,2),IF(VLOOKUP($AN36,'StateTables 2026'!$A$6:$AB$56,4,FALSE)="None",0,IF(ISNUMBER(SEARCH("MANUAL",VLOOKUP($AN36,'StateTables 2026'!$A$6:$AB$56,5,FALSE))),Inputs!$C$28,ROUND(MAX(0,$BA36+$BB36)/Inputs!$C$8+Inputs!$C$25+$BC36,2))))))</f>
      </c>
      <c r="U36" s="7">
        <f>IF($B36="","",IF(VLOOKUP($AN36,'StateTables 2026'!$A$6:$AB$56,24,FALSE)="flatq",IF(OR(MONTH($B36)=1,MONTH($B36)=4,MONTH($B36)=7,MONTH($B36)=10),VLOOKUP($AN36,'StateTables 2026'!$A$6:$AB$56,25,FALSE),0),IF(VLOOKUP($AN36,'StateTables 2026'!$A$6:$AB$56,24,FALSE)="dbl",MIN(ROUND(0.005*$N36,2),ROUND(0.6*52/Inputs!$C$8,2)),IF(OR(VLOOKUP($AN36,'StateTables 2026'!$A$6:$AB$56,15,FALSE)="",VLOOKUP($AN36,'StateTables 2026'!$A$6:$AB$56,15,FALSE)=0),0,ROUND(VLOOKUP($AN36,'StateTables 2026'!$A$6:$AB$56,15,FALSE)*IF(OR(VLOOKUP($AN36,'StateTables 2026'!$A$6:$AB$56,16,FALSE)="",VLOOKUP($AN36,'StateTables 2026'!$A$6:$AB$56,16,FALSE)=0),$N36,MIN($N36,MAX(0,VLOOKUP($AN36,'StateTables 2026'!$A$6:$AB$56,16,FALSE)-($AX36+$AB35-$AW36)))),2))))+IF(VLOOKUP($AN36,'StateTables 2026'!$A$6:$AB$56,27,FALSE)="flatq",IF(OR(MONTH($B36)=1,MONTH($B36)=4,MONTH($B36)=7,MONTH($B36)=10),VLOOKUP($AN36,'StateTables 2026'!$A$6:$AB$56,28,FALSE),0),IF(VLOOKUP($AN36,'StateTables 2026'!$A$6:$AB$56,27,FALSE)="dbl",MIN(ROUND(0.005*$N36,2),ROUND(0.6*52/Inputs!$C$8,2)),IF(OR(VLOOKUP($AN36,'StateTables 2026'!$A$6:$AB$56,18,FALSE)="",VLOOKUP($AN36,'StateTables 2026'!$A$6:$AB$56,18,FALSE)=0),0,ROUND(VLOOKUP($AN36,'StateTables 2026'!$A$6:$AB$56,18,FALSE)*IF(OR(VLOOKUP($AN36,'StateTables 2026'!$A$6:$AB$56,19,FALSE)="",VLOOKUP($AN36,'StateTables 2026'!$A$6:$AB$56,19,FALSE)=0),$N36,MIN($N36,MAX(0,VLOOKUP($AN36,'StateTables 2026'!$A$6:$AB$56,19,FALSE)-($AX36+$AB35-$AW36)))),2)))))</f>
      </c>
      <c r="V36" s="7">
        <f>IF($B36="","",IF($AN36="NY",IF(Inputs!$C$78,ROUND(SUMPRODUCT((MAX(0,($O36-$D36)*Inputs!$C$8-(IF($AU36="Married",5500,5000)+1000*$AS36))&gt;INDEX('Methodology &amp; Sources'!$B$434:$J$448,0,4))*(MAX(0,($O36-$D36)*Inputs!$C$8-(IF($AU36="Married",5500,5000)+1000*$AS36))-INDEX('Methodology &amp; Sources'!$B$434:$J$448,0,4))*INDEX('Methodology &amp; Sources'!$B$434:$J$448,0,4+2))/Inputs!$C$8+0.0425*$D36,2),0)+IF(Inputs!$C$79="Resident",ROUND(0.1675*$T36,2),IF(Inputs!$C$79="Nonresident",ROUND(0.005*MAX(0,($O36-$D36)-(IF($AU36="Married",7950,7400)+1000*$AS36)/Inputs!$C$8),2),0)),IF($AN36="PA",IF(Inputs!$C$80="None",Inputs!$C$27+ROUND(Inputs!$C$81*($C36+$D36),2),ROUND(IF(Inputs!$C$80="Resident",IF($B36&lt;DATE(2026,7,1),0.0374,0.03735),IF($B36&lt;DATE(2026,7,1),0.0343,0.03425))*($C36+$D36),2)),IF($BF36=0,ROUND(Inputs!$C$81*($C36+$D36),2),Inputs!$C$27+ROUND(Inputs!$C$81*($C36+$D36),2)))))</f>
      </c>
      <c r="W36" s="7">
        <f>IF($B36="","",IF($BF36=0,0,$BP36))</f>
      </c>
      <c r="X36" s="7">
        <f>IF($B36="","",SUM($E36:$K36)+$P36+$Q36+$R36+$S36+$T36+$U36+$V36+$W36)</f>
      </c>
      <c r="Y36" s="22">
        <f>IF($B36="","",$C36+$D36-$X36)</f>
      </c>
      <c r="Z36" s="7">
        <f>IF($B36="","",$Z35+$C36+$D36)</f>
      </c>
      <c r="AA36" s="7">
        <f>IF($B36="","",$AA35+$Y36)</f>
      </c>
      <c r="AB36" s="7">
        <f>IF($B36="","",$AB35+MIN($N36,MAX(0,'Methodology &amp; Sources'!$C$253-($AX36+$AB35-$AW36))))</f>
      </c>
      <c r="AC36" s="7">
        <f>IF($B36="","",$AC35+$E36+$F36)</f>
      </c>
      <c r="AD36" s="3">
        <f>IF($B36="","",IF(AND($AB35&lt;'Methodology &amp; Sources'!$C$253,$AB36&gt;='Methodology &amp; Sources'!$C$253),"★ Social Security maxed on this check — from the next check your net rises by about $"&amp;TEXT(ROUND('Methodology &amp; Sources'!$C$254*$N36,2),"#,##0.00")&amp;". ","")&amp;IF(AND($AC35&lt;Inputs!$C$91,$AC36&gt;=Inputs!$C$91),"★ 401(k) reaches the $"&amp;TEXT(Inputs!$C$91,"#,##0")&amp;" cap on this check — deferrals stop and net pay rises. ","")&amp;IF(AND($AG35&lt;'Methodology &amp; Sources'!$C$257,$AG36&gt;='Methodology &amp; Sources'!$C$257),"★ Wages pass $200,000 — the 0.9% Additional Medicare Tax starts here. ","")&amp;IF(AND($BJ36&gt;0,$H36&gt;0,$BG35&lt;MIN($BJ36,'Methodology &amp; Sources'!$C$263),$BG35+$H36&gt;=MIN($BJ36,'Methodology &amp; Sources'!$C$263)),"★ Health FSA election is now fully deferred for the year. ",""))</f>
      </c>
      <c r="AE36" s="41" t="n"/>
      <c r="AF36" s="7">
        <f>IF(OR($B36="",$AE36=""),"",$AE36-$Y36)</f>
      </c>
      <c r="AG36" s="7">
        <f>IF($B36="","",$AG35+$N36)</f>
      </c>
      <c r="AH36" s="7">
        <f>IF($B36="","",MAX(0,($M36-$D36)*Inputs!$C$8+$AP36-$AQ36-IF(Inputs!$C$13,0,IF(Inputs!$C$12="MFJ",'Methodology &amp; Sources'!$C$258,'Methodology &amp; Sources'!$C$259))))</f>
      </c>
      <c r="AI36" s="7">
        <f>IF($B36="","",$O36*Inputs!$C$8)</f>
      </c>
      <c r="AJ36" s="7">
        <f>IF($B36="","",MAX(0,$AI36-VLOOKUP($AN36,'StateTables 2026'!$A$6:$AB$56,12,FALSE)*$AT36-IF(($AS36+$AT36)&gt;=2,VLOOKUP($AN36,'StateTables 2026'!$A$6:$AB$56,8,FALSE),VLOOKUP($AN36,'StateTables 2026'!$A$6:$AB$56,7,FALSE))))</f>
      </c>
      <c r="AK36" s="7">
        <f>IF($B36="","",IFERROR(LOOKUP(2,1/((Events!$C$6:$C$17="Salary change")*(Events!$B$6:$B$17&lt;=$B36)*(Events!$B$6:$B$17&lt;&gt;"")),Events!$D$6:$D$17),IF(Inputs!$C$4="Annual salary",Inputs!$C$5,Inputs!$C$6)))</f>
      </c>
      <c r="AL36">
        <f>IF($B36="","",IFERROR(LOOKUP(2,1/((Events!$C$6:$C$17="401(k) change")*(Events!$B$6:$B$17&lt;=$B36)*(Events!$B$6:$B$17&lt;&gt;"")),Events!$D$6:$D$17),Inputs!$C$30))</f>
      </c>
      <c r="AM36" s="7">
        <f>IF($B36="","",IFERROR(LOOKUP(2,1/((Events!$C$6:$C$17="401(k) change")*(Events!$B$6:$B$17&lt;=$B36)*(Events!$B$6:$B$17&lt;&gt;"")),Events!$E$6:$E$17),Inputs!$D$30))</f>
      </c>
      <c r="AN36">
        <f>IF($B36="","",IFERROR(LOOKUP(2,1/((Events!$C$6:$C$17="State move")*(Events!$B$6:$B$17&lt;=$B36)*(Events!$B$6:$B$17&lt;&gt;"")),Events!$D$6:$D$17),Inputs!$C$21))</f>
      </c>
      <c r="AO36" s="7">
        <f>IF($B36="","",IFERROR(LOOKUP(2,1/((Events!$C$6:$C$17="W-4 change")*(Events!$B$6:$B$17&lt;=$B36)*(Events!$B$6:$B$17&lt;&gt;"")),Events!$D$6:$D$17),Inputs!$C$14))</f>
      </c>
      <c r="AP36" s="7">
        <f>IF($B36="","",IFERROR(LOOKUP(2,1/((Events!$C$6:$C$17="W-4 change")*(Events!$B$6:$B$17&lt;=$B36)*(Events!$B$6:$B$17&lt;&gt;"")),Events!$E$6:$E$17),Inputs!$C$15))</f>
      </c>
      <c r="AQ36" s="7">
        <f>IF($B36="","",IFERROR(LOOKUP(2,1/((Events!$C$6:$C$17="W-4 change")*(Events!$B$6:$B$17&lt;=$B36)*(Events!$B$6:$B$17&lt;&gt;"")),Events!$F$6:$F$17),Inputs!$C$16))</f>
      </c>
      <c r="AR36" s="7">
        <f>IF($B36="","",IFERROR(LOOKUP(2,1/((Events!$C$6:$C$17="W-4 change")*(Events!$B$6:$B$17&lt;=$B36)*(Events!$B$6:$B$17&lt;&gt;"")),Events!$G$6:$G$17),Inputs!$C$17))</f>
      </c>
      <c r="AS36" s="6">
        <f>IF($B36="","",IFERROR(LOOKUP(2,1/(((Events!$C$6:$C$17="State move")+(Events!$C$6:$C$17="State cert change"))*(Events!$B$6:$B$17&lt;=$B36)*(Events!$B$6:$B$17&lt;&gt;"")),Events!$F$6:$F$17),Inputs!$C$23))</f>
      </c>
      <c r="AT36" s="6">
        <f>IF($B36="","",IFERROR(LOOKUP(2,1/(((Events!$C$6:$C$17="State move")+(Events!$C$6:$C$17="State cert change"))*(Events!$B$6:$B$17&lt;=$B36)*(Events!$B$6:$B$17&lt;&gt;"")),Events!$G$6:$G$17),Inputs!$C$24))</f>
      </c>
      <c r="AU36">
        <f>IF($B36="","",IFERROR(LOOKUP(2,1/((Events!$C$6:$C$17="State move")*(Events!$B$6:$B$17&lt;=$B36)*(Events!$B$6:$B$17&lt;&gt;"")),Events!$E$6:$E$17),Inputs!$C$22))</f>
      </c>
      <c r="AV36" s="6">
        <f>IF($B36="","",1+COUNTIFS(Events!$C$6:$C$17,"Employer change",Events!$B$6:$B$17,"&lt;="&amp;$B36,Events!$B$6:$B$17,"&lt;&gt;"))</f>
      </c>
      <c r="AW36" s="7">
        <f>IF($B36="","",IF($AV36=1,Inputs!$C$49,IF(IFERROR(MATCH(IFERROR(LOOKUP(2,1/((Events!$C$6:$C$17="Employer change")*(Events!$B$6:$B$17&lt;=$B36)*(Events!$B$6:$B$17&lt;&gt;"")),Events!$B$6:$B$17),""),$B$6:$B$68,1),1)&lt;=1,Inputs!$C$49,INDEX($AB$6:$AB$68,MATCH(IFERROR(LOOKUP(2,1/((Events!$C$6:$C$17="Employer change")*(Events!$B$6:$B$17&lt;=$B36)*(Events!$B$6:$B$17&lt;&gt;"")),Events!$B$6:$B$17),""),$B$6:$B$68,1)-1))))</f>
      </c>
      <c r="AX36" s="7">
        <f>IF($B36="","",IF($AV36=1,Inputs!$C$49,IFERROR(LOOKUP(2,1/((Events!$C$6:$C$17="Employer change")*(Events!$B$6:$B$17&lt;=$B36)*(Events!$B$6:$B$17&lt;&gt;"")),Events!$D$6:$D$17),0)))</f>
      </c>
      <c r="AY36" s="7">
        <f>IF($B36="","",($O36-$D36)*Inputs!$C$8)</f>
      </c>
      <c r="AZ36" s="7">
        <f>IF($B36="","",IF($AN36="AL",MAX(0,$AY36-IF($AU36="Married",IF($AY36&lt;=25999,8500,MAX(5000,8500-175*CEILING(($AY36-25999)/500,1))),IF($AU36="Head of household",IF($AY36&lt;=25999,5200,MAX(2500,5200-135*CEILING(($AY36-25999)/500,1))),IF($AY36&lt;=25999,3000,MAX(2500,3000-25*CEILING(($AY36-25999)/500,1)))))-($P36-'Methodology &amp; Sources'!$C$260*$D36)*Inputs!$C$8-IF(OR($AU36="Married",$AU36="Head of household"),3000,1500)-$AT36*IF($AY36&lt;=50000,1000,IF($AY36&lt;=100000,500,300))),IF($AN36="AR",IF(MAX(0,$AY36-2470)&lt;97701,INT(MAX(0,$AY36-2470)/100)*100+50,MAX(0,$AY36-2470)),IF($AN36="DE",MAX(0,$AI36-3250),IF($AN36="HI",MAX(0,$AI36-1144*$AS36-4350),IF($AN36="KS",MAX(0,$AI36-(9160*IF($AU36="Married",2,1)+2320*$AT36+IF($AU36="Head of household",2320,0))),IF($AN36="MD",MAX(0,$AI36-3400-3200*$AS36),IF($AN36="MN",MAX(0,$AY36-5300*$AS36),IF($AN36="MO",MAX(0,$AI36-IF($AU36="Head of household",24150,IF($AU36="Married",IF(Inputs!$C$83,16100,32200),16100))),IF($AN36="MT",$AY36,IF($AN36="ND",($C36+$L36)*Inputs!$C$8,IF($AN36="NE",MAX(0,$AY36-2440*$AS36),IF($AN36="NJ",MAX(0,$AY36-1000*$AS36),IF($AN36="NY",MAX(0,$AY36-(IF($AU36="Married",7950,7400)+1000*$AS36)),IF($AN36="OH",MAX(0,$AY36-650*$AS36),IF($AN36="OK",MAX(0,$AY36-1000*$AS36),IF($AN36="RI",MAX(0,$AI36-1000*$AS36),IF($AN36="SC",MAX(0,$AI36-5000*$AS36-IF($AS36=0,0,MIN(0.1*$AI36,7500))),IF($AN36="VA",MAX(0,$AI36-IF($AU36="Married",17500,8750)-930*$AS36-800*$AT36),IF($AN36="VT",MAX(0,$AI36-5400*$AS36),IF($AN36="WI",MAX(0,$AI36-MAX(0,IF($AU36="Married",9461-0.2*MAX(0,$AI36-25727),6702-0.12*MAX(0,$AI36-17780)))-400*$AS36),IF($AN36="WV",MAX(0,$AI36-2000*$AS36),$AI36))))))))))))))))))))))</f>
      </c>
      <c r="BA36" s="7">
        <f>IF($B36="","",IF($BW36&lt;&gt;"",$BW36,IF($BX36&lt;&gt;"",$BX36,IF($BY36&lt;&gt;"",$BY36,0))))</f>
      </c>
      <c r="BB36" s="7">
        <f>IF($B36="","",IF($AN36="AR",-29*$AS36,IF($AN36="DE",-110*$AS36,IF($AN36="MD",$AZ36*Inputs!$C$74,IF($AN36="AZ",Inputs!$C$82*($M36-$D36)*Inputs!$C$8,IF($AN36="CO",0.044*MAX(0,$AY36-IF($AU36="Married",10000,5000)),IF($AN36="IA",MAX(0,0.038*MAX(0,$AY36-IF($AU36="Head of household",19500,IF($AU36="Married",26000,13000)))-40*$AS36),IF($AN36="ID",0.053*MAX(0,$AY36-IF($AU36="Married",32000,16094)),IF($AN36="IL",0.0495*MAX(0,$AY36-(2925*$AS36+1000*$AT36)),IF($AN36="IN",(0.0295+Inputs!$C$76)*MAX(0,$AY36-(1000*$AS36+1500*$AT36+3000*Inputs!$C$86)),IF($AN36="KY",0.035*MAX(0,$AI36-3360),IF($AN36="LA",IF(Inputs!$C$84="0",0.0309*$AI36,0.0309*MAX(0,$AI36-IF(Inputs!$C$84="2",25750,12875))),IF($AN36="MA",0.05*MIN(MAX(0,$AY36-MIN(($BD35+$Q36+$R36+$S36),2000)-IF($AS36=0,0,IF($AS36=1,4400,1000*$AS36+3400))),1107750)+0.09*MAX(0,MAX(0,$AY36-MIN(($BD35+$Q36+$R36+$S36),2000)-IF($AS36=0,0,IF($AS36=1,4400,1000*$AS36+3400)))-1107750)-IF($AU36="Head of household",120,0)-110*Inputs!$C$75,IF($AN36="MI",0.0425*MAX(0,$AY36-5900*$AS36),IF($AN36="MS",0.04*MAX(0,$AI36-IF($AU36="Head of household",3400,IF($AU36="Married",4600,2300))-Inputs!$C$85-10000),IF($AN36="OR",IF(OR($AU36="Married",AND($AU36="Single",$AS36&gt;=3)),SUMPRODUCT((MAX(0,$AY36-MIN(($P36-'Methodology &amp; Sources'!$C$260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Sources'!$B$461:$J$464,0,4))*(MAX(0,$AY36-MIN(($P36-'Methodology &amp; Sources'!$C$260*$D36)*Inputs!$C$8,IF(OR($AU36="Married",AND($AU36="Single",$AS36&gt;=3)),IF($AY36&lt;250000,8750,IF($AY36&lt;260000,7000,IF($AY36&lt;270000,5250,IF($AY36&lt;280000,3500,IF($AY36&lt;290000,1750,0))))),IF($AY36&lt;125000,8750,IF($AY36&lt;130000,7000,IF($AY36&lt;135000,5250,IF($AY36&lt;140000,3500,IF($AY36&lt;145000,1750,0)))))))-IF(OR($AU36="Married",AND($AU36="Single",$AS36&gt;=3)),5820,2910))-INDEX('Methodology &amp; Sources'!$B$461:$J$464,0,4))*INDEX('Methodology &amp; Sources'!$B$461:$J$464,0,4+2)),SUMPRODUCT((MAX(0,$AY36-MIN(($P36-'Methodology &amp; Sources'!$C$260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Sources'!$B$461:$J$464,0,1))*(MAX(0,$AY36-MIN(($P36-'Methodology &amp; Sources'!$C$260*$D36)*Inputs!$C$8,IF(OR($AU36="Married",AND($AU36="Single",$AS36&gt;=3)),IF($AY36&lt;250000,8750,IF($AY36&lt;260000,7000,IF($AY36&lt;270000,5250,IF($AY36&lt;280000,3500,IF($AY36&lt;290000,1750,0))))),IF($AY36&lt;125000,8750,IF($AY36&lt;130000,7000,IF($AY36&lt;135000,5250,IF($AY36&lt;140000,3500,IF($AY36&lt;145000,1750,0)))))))-IF(OR($AU36="Married",AND($AU36="Single",$AS36&gt;=3)),5820,2910))-INDEX('Methodology &amp; Sources'!$B$461:$J$464,0,1))*INDEX('Methodology &amp; Sources'!$B$461:$J$464,0,1+2)))+263-263*IF(IF($AU36="Married",$AY36&gt;200000,$AY36&gt;100000),0,$AS36),IF($AN36="PA",0.0307*(($O36+$E36+$G36)*Inputs!$C$8),IF($AN36="NY",IF($AU36="Married",IF($AZ36&gt;=2155350,0,IF($AZ36&gt;=1077550,0.48,IF($AZ36&gt;=373200,1.21,IF($AZ36&gt;=323200,0.21,IF($AZ36&gt;=211550,-0.19,IF($AZ36&gt;=157650,-2.8,IF($AZ36&gt;=107650,-0.8,IF($AZ36&gt;=96800,0.05,IF($AZ36&gt;=80650,-0.1,IF($AZ36&gt;=13900,0.4,IF($AZ36&gt;=11700,-0.3,IF($AZ36&gt;=8500,0.5,0)))))))))))),IF($AZ36&gt;=1077550,0,IF($AZ36&gt;=265400,4.29,IF($AZ36&gt;=215400,2.29,IF($AZ36&gt;=157650,2.29,IF($AZ36&gt;=107650,0.29,IF($AZ36&gt;=96800,0.05,IF($AZ36&gt;=80650,-0.1,IF($AZ36&gt;=13900,0.4,IF($AZ36&gt;=11700,-0.3,IF($AZ36&gt;=8500,0.5,0))))))))))),0))))))))))))))))))</f>
      </c>
      <c r="BC36" s="7">
        <f>IF($B36="","",IF($AN36="AL",0.05*$D36,IF($AN36="AR",0.039*$D36,IF($AN36="ID",0.053*$D36,IF($AN36="IN",(0.0295+Inputs!$C$76)*$D36,IF($AN36="KS",0.05*$D36,IF($AN36="MA",0.09*MIN($D36,MAX(0,MAX(0,$AY36-MIN(($BD35+$Q36+$R36+$S36),2000)-IF($AS36=0,0,IF($AS36=1,4400,1000*$AS36+3400)))+$D36-1107750))+0.05*($D36-MIN($D36,MAX(0,MAX(0,$AY36-MIN(($BD35+$Q36+$R36+$S36),2000)-IF($AS36=0,0,IF($AS36=1,4400,1000*$AS36+3400)))+$D36-1107750))),IF($AN36="MD",(0.065+Inputs!$C$74)*$D36,IF($AN36="MI",0.0425*$D36,IF($AN36="MN",0.0625*$D36,IF($AN36="MO",0.047*$D36,IF($AN36="MT",0.05*$D36,IF($AN36="ND",0.015*$D36,IF($AN36="NE",0.035*$D36,IF($AN36="NJ",IF(Inputs!$C$77="B",SUMPRODUCT(($D36*Inputs!$C$8&gt;INDEX('Methodology &amp; Sources'!$B$405:$J$412,0,4))*($D36*Inputs!$C$8-INDEX('Methodology &amp; Sources'!$B$405:$J$412,0,4))*INDEX('Methodology &amp; Sources'!$B$405:$J$412,0,4+2)),IF(Inputs!$C$77="C",SUMPRODUCT(($D36*Inputs!$C$8&gt;INDEX('Methodology &amp; Sources'!$B$405:$J$412,0,7))*($D36*Inputs!$C$8-INDEX('Methodology &amp; Sources'!$B$405:$J$412,0,7))*INDEX('Methodology &amp; Sources'!$B$405:$J$412,0,7+2)),IF(Inputs!$C$77="D",SUMPRODUCT(($D36*Inputs!$C$8&gt;INDEX('Methodology &amp; Sources'!$B$417:$J$429,0,1))*($D36*Inputs!$C$8-INDEX('Methodology &amp; Sources'!$B$417:$J$429,0,1))*INDEX('Methodology &amp; Sources'!$B$417:$J$429,0,1+2)),IF(Inputs!$C$77="E",SUMPRODUCT(($D36*Inputs!$C$8&gt;INDEX('Methodology &amp; Sources'!$B$417:$J$429,0,4))*($D36*Inputs!$C$8-INDEX('Methodology &amp; Sources'!$B$417:$J$429,0,4))*INDEX('Methodology &amp; Sources'!$B$417:$J$429,0,4+2)),SUMPRODUCT(($D36*Inputs!$C$8&gt;INDEX('Methodology &amp; Sources'!$B$405:$J$412,0,1))*($D36*Inputs!$C$8-INDEX('Methodology &amp; Sources'!$B$405:$J$412,0,1))*INDEX('Methodology &amp; Sources'!$B$405:$J$412,0,1+2))))))/Inputs!$C$8,IF($AN36="NY",0.117*$D36,IF($AN36="OH",0.0275*$D36,IF($AN36="OK",0.045*$D36,IF($AN36="OR",0.08*$D36,IF($AN36="WI",IF($AY36&lt;12760,0.0354,IF($AY36&lt;25520,0.0465,IF($AY36&lt;280950,0.053,0.0765)))*$D36,0))))))))))))))))))))</f>
      </c>
      <c r="BD36" s="7">
        <f>IF($B36="","",$BD35+$Q36+$R36+$S36)</f>
      </c>
      <c r="BE36" s="6">
        <f>IF($B36="",$BE35,$BE35+$BF36)</f>
      </c>
      <c r="BF36" s="6">
        <f>IF($B36="","",IF(AND(IF(YEAR(IF(Inputs!$C$7="Weekly",Inputs!$C$9+7*(($BE35+1)-1),IF(Inputs!$C$7="Biweekly",Inputs!$C$9+14*(($BE35+1)-1),IF(Inputs!$C$7="Semimonthly",DATE(YEAR(Inputs!$C$9),MONTH(Inputs!$C$9)+INT((($BE35+1)-1)/2),MIN(DAY(Inputs!$C$9),DAY(EOMONTH(DATE(YEAR(Inputs!$C$9),MONTH(Inputs!$C$9)+INT((($BE35+1)-1)/2),1),0))))+IF(MOD(($BE35+1)-1,2)=1,15,0),EDATE(Inputs!$C$9,($BE35+1)-1)))))&lt;&gt;2026,"",IF(Inputs!$C$7="Weekly",Inputs!$C$9+7*(($BE35+1)-1),IF(Inputs!$C$7="Biweekly",Inputs!$C$9+14*(($BE35+1)-1),IF(Inputs!$C$7="Semimonthly",DATE(YEAR(Inputs!$C$9),MONTH(Inputs!$C$9)+INT((($BE35+1)-1)/2),MIN(DAY(Inputs!$C$9),DAY(EOMONTH(DATE(YEAR(Inputs!$C$9),MONTH(Inputs!$C$9)+INT((($BE35+1)-1)/2),1),0))))+IF(MOD(($BE35+1)-1,2)=1,15,0),EDATE(Inputs!$C$9,($BE35+1)-1)))))&lt;&gt;"",$B36=IF(YEAR(IF(Inputs!$C$7="Weekly",Inputs!$C$9+7*(($BE35+1)-1),IF(Inputs!$C$7="Biweekly",Inputs!$C$9+14*(($BE35+1)-1),IF(Inputs!$C$7="Semimonthly",DATE(YEAR(Inputs!$C$9),MONTH(Inputs!$C$9)+INT((($BE35+1)-1)/2),MIN(DAY(Inputs!$C$9),DAY(EOMONTH(DATE(YEAR(Inputs!$C$9),MONTH(Inputs!$C$9)+INT((($BE35+1)-1)/2),1),0))))+IF(MOD(($BE35+1)-1,2)=1,15,0),EDATE(Inputs!$C$9,($BE35+1)-1)))))&lt;&gt;2026,"",IF(Inputs!$C$7="Weekly",Inputs!$C$9+7*(($BE35+1)-1),IF(Inputs!$C$7="Biweekly",Inputs!$C$9+14*(($BE35+1)-1),IF(Inputs!$C$7="Semimonthly",DATE(YEAR(Inputs!$C$9),MONTH(Inputs!$C$9)+INT((($BE35+1)-1)/2),MIN(DAY(Inputs!$C$9),DAY(EOMONTH(DATE(YEAR(Inputs!$C$9),MONTH(Inputs!$C$9)+INT((($BE35+1)-1)/2),1),0))))+IF(MOD(($BE35+1)-1,2)=1,15,0),EDATE(Inputs!$C$9,($BE35+1)-1)))))),1,0))</f>
      </c>
      <c r="BG36" s="7">
        <f>IF($B36="","",$BG35+$H36)</f>
      </c>
      <c r="BH36" s="7">
        <f>IF($B36="","",$BH35+$I36)</f>
      </c>
      <c r="BI36" s="7">
        <f>IF($B36="","",$BI35+$G36)</f>
      </c>
      <c r="BJ36" s="7">
        <f>IF($B36="","",IFERROR(LOOKUP(2,1/((((Events!$C$6:$C$17="Deduction start"))*(Events!$D$6:$D$17="Health FSA"))*(Events!$B$6:$B$17&lt;=$B36)*(Events!$B$6:$B$17&lt;&gt;"")),Events!$E$6:$E$17),Inputs!$D$38))</f>
      </c>
      <c r="BK36" s="7">
        <f>IF($B36="","",IFERROR(LOOKUP(2,1/((((Events!$C$6:$C$17="Deduction start"))*(Events!$D$6:$D$17="Dependent-care FSA"))*(Events!$B$6:$B$17&lt;=$B36)*(Events!$B$6:$B$17&lt;&gt;"")),Events!$E$6:$E$17),Inputs!$D$39))</f>
      </c>
      <c r="BL36" s="7">
        <f>IF($B36="","",IFERROR(LOOKUP(2,1/((((Events!$C$6:$C$17="Deduction start")+(Events!$C$6:$C$17="Deduction stop"))*(Events!$D$6:$D$17="HSA"))*(Events!$B$6:$B$17&lt;=$B36)*(Events!$B$6:$B$17&lt;&gt;"")),Events!$I$6:$I$17),Inputs!$D$35))</f>
      </c>
      <c r="BM36" s="7">
        <f>IF($B36="","",IFERROR(LOOKUP(2,1/((((Events!$C$6:$C$17="Deduction start")+(Events!$C$6:$C$17="Deduction stop"))*(Events!$D$6:$D$17="Premiums"))*(Events!$B$6:$B$17&lt;=$B36)*(Events!$B$6:$B$17&lt;&gt;"")),Events!$I$6:$I$17),Inputs!$D$40+Inputs!$D$41+Inputs!$D$42))</f>
      </c>
      <c r="BN36" s="7">
        <f>IF($B36="","",IFERROR(LOOKUP(2,1/((((Events!$C$6:$C$17="Deduction start")+(Events!$C$6:$C$17="Deduction stop"))*(Events!$D$6:$D$17="Commuter"))*(Events!$B$6:$B$17&lt;=$B36)*(Events!$B$6:$B$17&lt;&gt;"")),Events!$I$6:$I$17),Inputs!$D$43))</f>
      </c>
      <c r="BO36" s="7">
        <f>IF($B36="","",IFERROR(LOOKUP(2,1/((((Events!$C$6:$C$17="Deduction start")+(Events!$C$6:$C$17="Deduction stop"))*(Events!$D$6:$D$17="Other pre-tax"))*(Events!$B$6:$B$17&lt;=$B36)*(Events!$B$6:$B$17&lt;&gt;"")),Events!$I$6:$I$17),Inputs!$D$44))</f>
      </c>
      <c r="BP36" s="7">
        <f>IF($B36="","",IFERROR(LOOKUP(2,1/((((Events!$C$6:$C$17="Deduction start")+(Events!$C$6:$C$17="Deduction stop"))*(Events!$D$6:$D$17="Other post-tax"))*(Events!$B$6:$B$17&lt;=$B36)*(Events!$B$6:$B$17&lt;&gt;"")),Events!$I$6:$I$17),Inputs!$D$45))</f>
      </c>
      <c r="BQ36" s="6">
        <f>IF($B36="","",IFERROR(LOOKUP(2,1/((((Events!$C$6:$C$17="Deduction start")+(Events!$C$6:$C$17="Deduction stop"))*(Events!$D$6:$D$17="Health FSA"))*(Events!$B$6:$B$17&lt;=$B36)*(Events!$B$6:$B$17&lt;&gt;"")),Events!$J$6:$J$17),0))</f>
      </c>
      <c r="BR36" s="6">
        <f>IF($B36="","",IFERROR(LOOKUP(2,1/((((Events!$C$6:$C$17="Deduction start")+(Events!$C$6:$C$17="Deduction stop"))*(Events!$D$6:$D$17="Dependent-care FSA"))*(Events!$B$6:$B$17&lt;=$B36)*(Events!$B$6:$B$17&lt;&gt;"")),Events!$J$6:$J$17),0))</f>
      </c>
      <c r="BS36" s="6">
        <f>IF($B36="","",IF(SUMPRODUCT((Events!$C$6:$C$17="Deduction start")*(Events!$B$6:$B$17&lt;=$B36)*(Events!$B$6:$B$17&lt;&gt;"")*(Events!$D$6:$D$17="Health FSA"))&gt;0,1,0))</f>
      </c>
      <c r="BT36" s="6">
        <f>IF($B36="","",IF(SUMPRODUCT((Events!$C$6:$C$17="Deduction start")*(Events!$B$6:$B$17&lt;=$B36)*(Events!$B$6:$B$17&lt;&gt;"")*(Events!$D$6:$D$17="Dependent-care FSA"))&gt;0,1,0))</f>
      </c>
      <c r="BU36" s="24">
        <f>IF($B36="","",IF(Inputs!$C$13,SUMPRODUCT(($AH36&gt;=INDEX('Methodology &amp; Sources'!$B$279:$J$286,0,IF(Inputs!$C$12="MFJ",1,IF(Inputs!$C$12="HoH",7,4))))*INDEX('Methodology &amp; Sources'!$B$279:$J$286,0,IF(Inputs!$C$12="MFJ",1,IF(Inputs!$C$12="HoH",7,4))+2)),SUMPRODUCT(($AH36&gt;=INDEX('Methodology &amp; Sources'!$B$269:$J$276,0,IF(Inputs!$C$12="MFJ",1,IF(Inputs!$C$12="HoH",7,4))))*INDEX('Methodology &amp; Sources'!$B$269:$J$276,0,IF(Inputs!$C$12="MFJ",1,IF(Inputs!$C$12="HoH",7,4))+2))))</f>
      </c>
      <c r="BV36" s="24">
        <f>IF($B36="","",IF($BZ36&lt;&gt;"",$BZ36,IF($CA36&lt;&gt;"",$CA36,IF($CB36&lt;&gt;"",$CB36,IF($CC36&lt;&gt;"",$CC36,0)))))</f>
      </c>
      <c r="BW36" s="7">
        <f>IF($B36="","",IF($AN36="MD",IF(OR($AU36="Married",$AU36="Head of household"),SUMPRODUCT(($AZ36&gt;INDEX('Methodology &amp; Sources'!$B$364:$J$370,0,1))*($AZ36-INDEX('Methodology &amp; Sources'!$B$364:$J$370,0,1))*INDEX('Methodology &amp; Sources'!$B$364:$J$370,0,1+2)),SUMPRODUCT(($AZ36&gt;INDEX('Methodology &amp; Sources'!$B$353:$J$359,0,7))*($AZ36-INDEX('Methodology &amp; Sources'!$B$353:$J$359,0,7))*INDEX('Methodology &amp; Sources'!$B$353:$J$359,0,7+2))),IF($AN36="MO",SUMPRODUCT(($AZ36&gt;INDEX('Methodology &amp; Sources'!$B$375:$J$382,0,1))*($AZ36-INDEX('Methodology &amp; Sources'!$B$375:$J$382,0,1))*INDEX('Methodology &amp; Sources'!$B$375:$J$382,0,1+2)),IF($AN36="MT",IF($AU36="Head of household",SUMPRODUCT(($AZ36&gt;INDEX('Methodology &amp; Sources'!$B$387:$J$389,0,1))*($AZ36-INDEX('Methodology &amp; Sources'!$B$387:$J$389,0,1))*INDEX('Methodology &amp; Sources'!$B$387:$J$389,0,1+2)),IF($AU36="Married",SUMPRODUCT(($AZ36&gt;INDEX('Methodology &amp; Sources'!$B$375:$J$382,0,7))*($AZ36-INDEX('Methodology &amp; Sources'!$B$375:$J$382,0,7))*INDEX('Methodology &amp; Sources'!$B$375:$J$382,0,7+2)),SUMPRODUCT(($AZ36&gt;INDEX('Methodology &amp; Sources'!$B$375:$J$382,0,4))*($AZ36-INDEX('Methodology &amp; Sources'!$B$375:$J$382,0,4))*INDEX('Methodology &amp; Sources'!$B$375:$J$382,0,4+2)))),IF($AN36="ND",IF($AU36="Head of household",SUMPRODUCT(($AZ36&gt;INDEX('Methodology &amp; Sources'!$B$394:$J$400,0,1))*($AZ36-INDEX('Methodology &amp; Sources'!$B$394:$J$400,0,1))*INDEX('Methodology &amp; Sources'!$B$394:$J$400,0,1+2)),IF($AU36="Married",SUMPRODUCT(($AZ36&gt;INDEX('Methodology &amp; Sources'!$B$387:$J$389,0,7))*($AZ36-INDEX('Methodology &amp; Sources'!$B$387:$J$389,0,7))*INDEX('Methodology &amp; Sources'!$B$387:$J$389,0,7+2)),SUMPRODUCT(($AZ36&gt;INDEX('Methodology &amp; Sources'!$B$387:$J$389,0,4))*($AZ36-INDEX('Methodology &amp; Sources'!$B$387:$J$389,0,4))*INDEX('Methodology &amp; Sources'!$B$387:$J$389,0,4+2)))),IF($AN36="NJ",IF(Inputs!$C$77="B",SUMPRODUCT(($AZ36&gt;INDEX('Methodology &amp; Sources'!$B$405:$J$412,0,4))*($AZ36-INDEX('Methodology &amp; Sources'!$B$405:$J$412,0,4))*INDEX('Methodology &amp; Sources'!$B$405:$J$412,0,4+2)),IF(Inputs!$C$77="C",SUMPRODUCT(($AZ36&gt;INDEX('Methodology &amp; Sources'!$B$405:$J$412,0,7))*($AZ36-INDEX('Methodology &amp; Sources'!$B$405:$J$412,0,7))*INDEX('Methodology &amp; Sources'!$B$405:$J$412,0,7+2)),IF(Inputs!$C$77="D",SUMPRODUCT(($AZ36&gt;INDEX('Methodology &amp; Sources'!$B$417:$J$429,0,1))*($AZ36-INDEX('Methodology &amp; Sources'!$B$417:$J$429,0,1))*INDEX('Methodology &amp; Sources'!$B$417:$J$429,0,1+2)),IF(Inputs!$C$77="E",SUMPRODUCT(($AZ36&gt;INDEX('Methodology &amp; Sources'!$B$417:$J$429,0,4))*($AZ36-INDEX('Methodology &amp; Sources'!$B$417:$J$429,0,4))*INDEX('Methodology &amp; Sources'!$B$417:$J$429,0,4+2)),SUMPRODUCT(($AZ36&gt;INDEX('Methodology &amp; Sources'!$B$405:$J$412,0,1))*($AZ36-INDEX('Methodology &amp; Sources'!$B$405:$J$412,0,1))*INDEX('Methodology &amp; Sources'!$B$405:$J$412,0,1+2)))))),IF($AN36="NY",IF($AU36="Married",IF($AZ36&gt;=2155350,$AZ36*IF($AZ36&gt;25000000,0.117,IF($AZ36&gt;5000000,0.111,0.1045)),SUMPRODUCT(($AZ36&gt;INDEX('Methodology &amp; Sources'!$B$434:$J$448,0,1))*($AZ36-INDEX('Methodology &amp; Sources'!$B$434:$J$448,0,1))*INDEX('Methodology &amp; Sources'!$B$434:$J$448,0,1+2))),IF($AZ36&gt;=1077550,$AZ36*IF($AZ36&gt;25000000,0.117,IF($AZ36&gt;5000000,0.111,0.1045)),SUMPRODUCT(($AZ36&gt;INDEX('Methodology &amp; Sources'!$B$417:$J$429,0,7))*($AZ36-INDEX('Methodology &amp; Sources'!$B$417:$J$429,0,7))*INDEX('Methodology &amp; Sources'!$B$417:$J$429,0,7+2)))),"")))))))</f>
      </c>
      <c r="BX36" s="7">
        <f>IF($B36="","",IF($AN36="AL",IF(OR($AU36="Married",$AU36="Head of household"),SUMPRODUCT(($AZ36&gt;INDEX('Methodology &amp; Sources'!$B$332:$J$336,0,4))*($AZ36-INDEX('Methodology &amp; Sources'!$B$332:$J$336,0,4))*INDEX('Methodology &amp; Sources'!$B$332:$J$336,0,4+2)),SUMPRODUCT(($AZ36&gt;INDEX('Methodology &amp; Sources'!$B$332:$J$336,0,1))*($AZ36-INDEX('Methodology &amp; Sources'!$B$332:$J$336,0,1))*INDEX('Methodology &amp; Sources'!$B$332:$J$336,0,1+2))),IF($AN36="KS",IF($AU36="Married",SUMPRODUCT(($AZ36&gt;INDEX('Methodology &amp; Sources'!$B$353:$J$359,0,4))*($AZ36-INDEX('Methodology &amp; Sources'!$B$353:$J$359,0,4))*INDEX('Methodology &amp; Sources'!$B$353:$J$359,0,4+2)),SUMPRODUCT(($AZ36&gt;INDEX('Methodology &amp; Sources'!$B$353:$J$359,0,1))*($AZ36-INDEX('Methodology &amp; Sources'!$B$353:$J$359,0,1))*INDEX('Methodology &amp; Sources'!$B$353:$J$359,0,1+2))),IF($AN36="MN",IF($AU36="Married",SUMPRODUCT(($AZ36&gt;INDEX('Methodology &amp; Sources'!$B$364:$J$370,0,7))*($AZ36-INDEX('Methodology &amp; Sources'!$B$364:$J$370,0,7))*INDEX('Methodology &amp; Sources'!$B$364:$J$370,0,7+2)),SUMPRODUCT(($AZ36&gt;INDEX('Methodology &amp; Sources'!$B$364:$J$370,0,4))*($AZ36-INDEX('Methodology &amp; Sources'!$B$364:$J$370,0,4))*INDEX('Methodology &amp; Sources'!$B$364:$J$370,0,4+2))),IF($AN36="NE",MAX(IF($AU36="Married",SUMPRODUCT(($AZ36&gt;INDEX('Methodology &amp; Sources'!$B$394:$J$400,0,7))*($AZ36-INDEX('Methodology &amp; Sources'!$B$394:$J$400,0,7))*INDEX('Methodology &amp; Sources'!$B$394:$J$400,0,7+2)),SUMPRODUCT(($AZ36&gt;INDEX('Methodology &amp; Sources'!$B$394:$J$400,0,4))*($AZ36-INDEX('Methodology &amp; Sources'!$B$394:$J$400,0,4))*INDEX('Methodology &amp; Sources'!$B$394:$J$400,0,4+2))),0.015*$AZ36),IF($AN36="OH",IF($B36&gt;=DATE(2026,8,1),SUMPRODUCT(($AZ36&gt;INDEX('Methodology &amp; Sources'!$B$453:$J$456,0,1))*($AZ36-INDEX('Methodology &amp; Sources'!$B$453:$J$456,0,1))*INDEX('Methodology &amp; Sources'!$B$453:$J$456,0,1+2)),SUMPRODUCT(($AZ36&gt;INDEX('Methodology &amp; Sources'!$B$434:$J$448,0,7))*($AZ36-INDEX('Methodology &amp; Sources'!$B$434:$J$448,0,7))*INDEX('Methodology &amp; Sources'!$B$434:$J$448,0,7+2))),IF($AN36="OK",IF($AU36="Married",SUMPRODUCT(($AZ36&gt;INDEX('Methodology &amp; Sources'!$B$453:$J$456,0,7))*($AZ36-INDEX('Methodology &amp; Sources'!$B$453:$J$456,0,7))*INDEX('Methodology &amp; Sources'!$B$453:$J$456,0,7+2)),SUMPRODUCT(($AZ36&gt;INDEX('Methodology &amp; Sources'!$B$453:$J$456,0,4))*($AZ36-INDEX('Methodology &amp; Sources'!$B$453:$J$456,0,4))*INDEX('Methodology &amp; Sources'!$B$453:$J$456,0,4+2))),IF($AN36="RI",SUMPRODUCT(($AZ36&gt;INDEX('Methodology &amp; Sources'!$B$461:$J$464,0,7))*($AZ36-INDEX('Methodology &amp; Sources'!$B$461:$J$464,0,7))*INDEX('Methodology &amp; Sources'!$B$461:$J$464,0,7+2)),IF($AN36="VT",IF($AU36="Married",SUMPRODUCT(($AZ36&gt;INDEX('Methodology &amp; Sources'!$B$478:$J$482,0,1))*($AZ36-INDEX('Methodology &amp; Sources'!$B$478:$J$482,0,1))*INDEX('Methodology &amp; Sources'!$B$478:$J$482,0,1+2)),SUMPRODUCT(($AZ36&gt;INDEX('Methodology &amp; Sources'!$B$469:$J$473,0,7))*($AZ36-INDEX('Methodology &amp; Sources'!$B$469:$J$473,0,7))*INDEX('Methodology &amp; Sources'!$B$469:$J$473,0,7+2))),IF($AN36="WV",IF($AU36="Married",SUMPRODUCT(($AZ36&gt;INDEX('Methodology &amp; Sources'!$B$487:$J$491,0,7))*($AZ36-INDEX('Methodology &amp; Sources'!$B$487:$J$491,0,7))*INDEX('Methodology &amp; Sources'!$B$487:$J$491,0,7+2)),SUMPRODUCT(($AZ36&gt;INDEX('Methodology &amp; Sources'!$B$478:$J$482,0,7))*($AZ36-INDEX('Methodology &amp; Sources'!$B$478:$J$482,0,7))*INDEX('Methodology &amp; Sources'!$B$478:$J$482,0,7+2))),""))))))))))</f>
      </c>
      <c r="BY36" s="7">
        <f>IF($B36="","",IF($AN36="AR",SUMPRODUCT(($AZ36&gt;INDEX('Methodology &amp; Sources'!$B$332:$J$336,0,7))*($AZ36-INDEX('Methodology &amp; Sources'!$B$332:$J$336,0,7))*INDEX('Methodology &amp; Sources'!$B$332:$J$336,0,7+2)),IF($AN36="DE",SUMPRODUCT(($AZ36&gt;INDEX('Methodology &amp; Sources'!$B$341:$J$348,0,1))*($AZ36-INDEX('Methodology &amp; Sources'!$B$341:$J$348,0,1))*INDEX('Methodology &amp; Sources'!$B$341:$J$348,0,1+2)),IF($AN36="HI",IF($AU36="Married",SUMPRODUCT(($AZ36&gt;INDEX('Methodology &amp; Sources'!$B$341:$J$348,0,7))*($AZ36-INDEX('Methodology &amp; Sources'!$B$341:$J$348,0,7))*INDEX('Methodology &amp; Sources'!$B$341:$J$348,0,7+2)),SUMPRODUCT(($AZ36&gt;INDEX('Methodology &amp; Sources'!$B$341:$J$348,0,4))*($AZ36-INDEX('Methodology &amp; Sources'!$B$341:$J$348,0,4))*INDEX('Methodology &amp; Sources'!$B$341:$J$348,0,4+2))),IF($AN36="SC",SUMPRODUCT(($AZ36&gt;INDEX('Methodology &amp; Sources'!$B$469:$J$473,0,1))*($AZ36-INDEX('Methodology &amp; Sources'!$B$469:$J$473,0,1))*INDEX('Methodology &amp; Sources'!$B$469:$J$473,0,1+2)),IF($AN36="VA",SUMPRODUCT(($AZ36&gt;INDEX('Methodology &amp; Sources'!$B$469:$J$473,0,4))*($AZ36-INDEX('Methodology &amp; Sources'!$B$469:$J$473,0,4))*INDEX('Methodology &amp; Sources'!$B$469:$J$473,0,4+2)),IF($AN36="WI",SUMPRODUCT(($AZ36&gt;INDEX('Methodology &amp; Sources'!$B$478:$J$482,0,4))*($AZ36-INDEX('Methodology &amp; Sources'!$B$478:$J$482,0,4))*INDEX('Methodology &amp; Sources'!$B$478:$J$482,0,4+2)),"")))))))</f>
      </c>
      <c r="BZ36" s="24">
        <f>IF($B36="","",IF($AN36="NJ",IF(Inputs!$C$77="B",SUMPRODUCT(($AZ36&gt;=INDEX('Methodology &amp; Sources'!$B$405:$J$412,0,4))*INDEX('Methodology &amp; Sources'!$B$405:$J$412,0,4+2)),IF(Inputs!$C$77="C",SUMPRODUCT(($AZ36&gt;=INDEX('Methodology &amp; Sources'!$B$405:$J$412,0,7))*INDEX('Methodology &amp; Sources'!$B$405:$J$412,0,7+2)),IF(Inputs!$C$77="D",SUMPRODUCT(($AZ36&gt;=INDEX('Methodology &amp; Sources'!$B$417:$J$429,0,1))*INDEX('Methodology &amp; Sources'!$B$417:$J$429,0,1+2)),IF(Inputs!$C$77="E",SUMPRODUCT(($AZ36&gt;=INDEX('Methodology &amp; Sources'!$B$417:$J$429,0,4))*INDEX('Methodology &amp; Sources'!$B$417:$J$429,0,4+2)),SUMPRODUCT(($AZ36&gt;=INDEX('Methodology &amp; Sources'!$B$405:$J$412,0,1))*INDEX('Methodology &amp; Sources'!$B$405:$J$412,0,1+2)))))),IF($AN36="OR",IF(OR($AU36="Married",AND($AU36="Single",$AS36&gt;=3)),SUMPRODUCT((MAX(0,$AY36-MIN(($P36-'Methodology &amp; Sources'!$C$260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Sources'!$B$461:$J$464,0,4))*INDEX('Methodology &amp; Sources'!$B$461:$J$464,0,4+2)),SUMPRODUCT((MAX(0,$AY36-MIN(($P36-'Methodology &amp; Sources'!$C$260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Sources'!$B$461:$J$464,0,1))*INDEX('Methodology &amp; Sources'!$B$461:$J$464,0,1+2)))*IF(($P36-'Methodology &amp; Sources'!$C$260*$D36)*Inputs!$C$8&gt;=IF(OR($AU36="Married",AND($AU36="Single",$AS36&gt;=3)),IF($AY36&lt;250000,8750,IF($AY36&lt;260000,7000,IF($AY36&lt;270000,5250,IF($AY36&lt;280000,3500,IF($AY36&lt;290000,1750,0))))),IF($AY36&lt;125000,8750,IF($AY36&lt;130000,7000,IF($AY36&lt;135000,5250,IF($AY36&lt;140000,3500,IF($AY36&lt;145000,1750,0)))))),1,1-IF(Inputs!$C$13,SUMPRODUCT(($AH36&gt;=INDEX('Methodology &amp; Sources'!$B$279:$J$286,0,IF(Inputs!$C$12="MFJ",1,IF(Inputs!$C$12="HoH",7,4))))*INDEX('Methodology &amp; Sources'!$B$279:$J$286,0,IF(Inputs!$C$12="MFJ",1,IF(Inputs!$C$12="HoH",7,4))+2)),SUMPRODUCT(($AH36&gt;=INDEX('Methodology &amp; Sources'!$B$269:$J$276,0,IF(Inputs!$C$12="MFJ",1,IF(Inputs!$C$12="HoH",7,4))))*INDEX('Methodology &amp; Sources'!$B$269:$J$276,0,IF(Inputs!$C$12="MFJ",1,IF(Inputs!$C$12="HoH",7,4))+2)))),IF($AN36="MI",IF($AY36&gt;5900*$AS36,0.0425,0),""))))</f>
      </c>
      <c r="CA36" s="24">
        <f>IF($B36="","",IF($AN36="AL",IF(OR($AU36="Married",$AU36="Head of household"),SUMPRODUCT(($AZ36&gt;=INDEX('Methodology &amp; Sources'!$B$332:$J$336,0,4))*INDEX('Methodology &amp; Sources'!$B$332:$J$336,0,4+2)),SUMPRODUCT(($AZ36&gt;=INDEX('Methodology &amp; Sources'!$B$332:$J$336,0,1))*INDEX('Methodology &amp; Sources'!$B$332:$J$336,0,1+2)))*(1-IF(Inputs!$C$13,SUMPRODUCT(($AH36&gt;=INDEX('Methodology &amp; Sources'!$B$279:$J$286,0,IF(Inputs!$C$12="MFJ",1,IF(Inputs!$C$12="HoH",7,4))))*INDEX('Methodology &amp; Sources'!$B$279:$J$286,0,IF(Inputs!$C$12="MFJ",1,IF(Inputs!$C$12="HoH",7,4))+2)),SUMPRODUCT(($AH36&gt;=INDEX('Methodology &amp; Sources'!$B$269:$J$276,0,IF(Inputs!$C$12="MFJ",1,IF(Inputs!$C$12="HoH",7,4))))*INDEX('Methodology &amp; Sources'!$B$269:$J$276,0,IF(Inputs!$C$12="MFJ",1,IF(Inputs!$C$12="HoH",7,4))+2)))),IF($AN36="KS",IF($AU36="Married",SUMPRODUCT(($AZ36&gt;=INDEX('Methodology &amp; Sources'!$B$353:$J$359,0,4))*INDEX('Methodology &amp; Sources'!$B$353:$J$359,0,4+2)),SUMPRODUCT(($AZ36&gt;=INDEX('Methodology &amp; Sources'!$B$353:$J$359,0,1))*INDEX('Methodology &amp; Sources'!$B$353:$J$359,0,1+2))),IF($AN36="MD",IF(OR($AU36="Married",$AU36="Head of household"),SUMPRODUCT(($AZ36&gt;=INDEX('Methodology &amp; Sources'!$B$364:$J$370,0,1))*INDEX('Methodology &amp; Sources'!$B$364:$J$370,0,1+2)),SUMPRODUCT(($AZ36&gt;=INDEX('Methodology &amp; Sources'!$B$353:$J$359,0,7))*INDEX('Methodology &amp; Sources'!$B$353:$J$359,0,7+2)))+Inputs!$C$74,IF($AN36="MT",IF($AU36="Head of household",SUMPRODUCT(($AZ36&gt;=INDEX('Methodology &amp; Sources'!$B$387:$J$389,0,1))*INDEX('Methodology &amp; Sources'!$B$387:$J$389,0,1+2)),IF($AU36="Married",SUMPRODUCT(($AZ36&gt;=INDEX('Methodology &amp; Sources'!$B$375:$J$382,0,7))*INDEX('Methodology &amp; Sources'!$B$375:$J$382,0,7+2)),SUMPRODUCT(($AZ36&gt;=INDEX('Methodology &amp; Sources'!$B$375:$J$382,0,4))*INDEX('Methodology &amp; Sources'!$B$375:$J$382,0,4+2)))),IF($AN36="ND",IF($AU36="Head of household",SUMPRODUCT(($AZ36&gt;=INDEX('Methodology &amp; Sources'!$B$394:$J$400,0,1))*INDEX('Methodology &amp; Sources'!$B$394:$J$400,0,1+2)),IF($AU36="Married",SUMPRODUCT(($AZ36&gt;=INDEX('Methodology &amp; Sources'!$B$387:$J$389,0,7))*INDEX('Methodology &amp; Sources'!$B$387:$J$389,0,7+2)),SUMPRODUCT(($AZ36&gt;=INDEX('Methodology &amp; Sources'!$B$387:$J$389,0,4))*INDEX('Methodology &amp; Sources'!$B$387:$J$389,0,4+2)))),IF($AN36="NY",IF($AU36="Married",IF($AZ36&gt;=2155350,IF($AZ36&gt;25000000,0.117,IF($AZ36&gt;5000000,0.111,0.1045)),SUMPRODUCT(($AZ36&gt;=INDEX('Methodology &amp; Sources'!$B$434:$J$448,0,1))*INDEX('Methodology &amp; Sources'!$B$434:$J$448,0,1+2))),IF($AZ36&gt;=1077550,IF($AZ36&gt;25000000,0.117,IF($AZ36&gt;5000000,0.111,0.1045)),SUMPRODUCT(($AZ36&gt;=INDEX('Methodology &amp; Sources'!$B$417:$J$429,0,7))*INDEX('Methodology &amp; Sources'!$B$417:$J$429,0,7+2)))),"")))))))</f>
      </c>
      <c r="CB36" s="24">
        <f>IF($B36="","",IF($AN36="CA",SUMPRODUCT(($AJ36&gt;=INDEX('Methodology &amp; Sources'!$B$289:$J$298,0,IF($AU36="Married",4,IF($AU36="Head of household",7,1))))*INDEX('Methodology &amp; Sources'!$B$289:$J$298,0,IF($AU36="Married",4,IF($AU36="Head of household",7,1))+2)),IF($AN36="HI",IF($AU36="Married",SUMPRODUCT(($AZ36&gt;=INDEX('Methodology &amp; Sources'!$B$341:$J$348,0,7))*INDEX('Methodology &amp; Sources'!$B$341:$J$348,0,7+2)),SUMPRODUCT(($AZ36&gt;=INDEX('Methodology &amp; Sources'!$B$341:$J$348,0,4))*INDEX('Methodology &amp; Sources'!$B$341:$J$348,0,4+2))),IF($AN36="MN",IF($AU36="Married",SUMPRODUCT(($AZ36&gt;=INDEX('Methodology &amp; Sources'!$B$364:$J$370,0,7))*INDEX('Methodology &amp; Sources'!$B$364:$J$370,0,7+2)),SUMPRODUCT(($AZ36&gt;=INDEX('Methodology &amp; Sources'!$B$364:$J$370,0,4))*INDEX('Methodology &amp; Sources'!$B$364:$J$370,0,4+2))),IF($AN36="MO",SUMPRODUCT(($AZ36&gt;=INDEX('Methodology &amp; Sources'!$B$375:$J$382,0,1))*INDEX('Methodology &amp; Sources'!$B$375:$J$382,0,1+2)),IF($AN36="NE",MAX(IF($AU36="Married",SUMPRODUCT(($AZ36&gt;=INDEX('Methodology &amp; Sources'!$B$394:$J$400,0,7))*INDEX('Methodology &amp; Sources'!$B$394:$J$400,0,7+2)),SUMPRODUCT(($AZ36&gt;=INDEX('Methodology &amp; Sources'!$B$394:$J$400,0,4))*INDEX('Methodology &amp; Sources'!$B$394:$J$400,0,4+2))),0.015),IF($AN36="OH",IF($B36&gt;=DATE(2026,8,1),SUMPRODUCT(($AZ36&gt;=INDEX('Methodology &amp; Sources'!$B$453:$J$456,0,1))*INDEX('Methodology &amp; Sources'!$B$453:$J$456,0,1+2)),SUMPRODUCT(($AZ36&gt;=INDEX('Methodology &amp; Sources'!$B$434:$J$448,0,7))*INDEX('Methodology &amp; Sources'!$B$434:$J$448,0,7+2))),IF($AN36="OK",IF($AU36="Married",SUMPRODUCT(($AZ36&gt;=INDEX('Methodology &amp; Sources'!$B$453:$J$456,0,7))*INDEX('Methodology &amp; Sources'!$B$453:$J$456,0,7+2)),SUMPRODUCT(($AZ36&gt;=INDEX('Methodology &amp; Sources'!$B$453:$J$456,0,4))*INDEX('Methodology &amp; Sources'!$B$453:$J$456,0,4+2))),IF($AN36="RI",SUMPRODUCT(($AZ36&gt;=INDEX('Methodology &amp; Sources'!$B$461:$J$464,0,7))*INDEX('Methodology &amp; Sources'!$B$461:$J$464,0,7+2)),IF($AN36="SC",SUMPRODUCT(($AZ36&gt;=INDEX('Methodology &amp; Sources'!$B$469:$J$473,0,1))*INDEX('Methodology &amp; Sources'!$B$469:$J$473,0,1+2)),IF($AN36="VT",IF($AU36="Married",SUMPRODUCT(($AZ36&gt;=INDEX('Methodology &amp; Sources'!$B$478:$J$482,0,1))*INDEX('Methodology &amp; Sources'!$B$478:$J$482,0,1+2)),SUMPRODUCT(($AZ36&gt;=INDEX('Methodology &amp; Sources'!$B$469:$J$473,0,7))*INDEX('Methodology &amp; Sources'!$B$469:$J$473,0,7+2))),IF($AN36="WV",IF($AU36="Married",SUMPRODUCT(($AZ36&gt;=INDEX('Methodology &amp; Sources'!$B$487:$J$491,0,7))*INDEX('Methodology &amp; Sources'!$B$487:$J$491,0,7+2)),SUMPRODUCT(($AZ36&gt;=INDEX('Methodology &amp; Sources'!$B$478:$J$482,0,7))*INDEX('Methodology &amp; Sources'!$B$478:$J$482,0,7+2))),IF($AN36="IN",(0.0295+Inputs!$C$76),"")))))))))))))</f>
      </c>
      <c r="CC36" s="24">
        <f>IF($B36="","",IF($AN36="AR",SUMPRODUCT(($AZ36&gt;=INDEX('Methodology &amp; Sources'!$B$332:$J$336,0,7))*INDEX('Methodology &amp; Sources'!$B$332:$J$336,0,7+2)),IF($AN36="DE",SUMPRODUCT(($AZ36&gt;=INDEX('Methodology &amp; Sources'!$B$341:$J$348,0,1))*INDEX('Methodology &amp; Sources'!$B$341:$J$348,0,1+2)),IF($AN36="VA",SUMPRODUCT(($AZ36&gt;=INDEX('Methodology &amp; Sources'!$B$469:$J$473,0,4))*INDEX('Methodology &amp; Sources'!$B$469:$J$473,0,4+2)),IF($AN36="WI",SUMPRODUCT(($AZ36&gt;=INDEX('Methodology &amp; Sources'!$B$478:$J$482,0,4))*INDEX('Methodology &amp; Sources'!$B$478:$J$482,0,4+2)),IF($AN36="AZ",Inputs!$C$82,IF($AN36="CO",IF($AY36&gt;IF($AU36="Married",10000,5000),0.044,0),IF($AN36="IA",IF($AY36&gt;IF($AU36="Head of household",19500,IF($AU36="Married",26000,13000)),0.038,0),IF($AN36="ID",IF($AY36&gt;IF($AU36="Married",32000,16094),0.053,0),IF($AN36="IL",IF($AY36&gt;(2925*$AS36+1000*$AT36),0.0495,0),IF($AN36="KY",IF($AI36&gt;3360,0.035,0),IF($AN36="LA",0.0309,IF($AN36="MA",IF(MAX(0,$AY36-MIN(($BD35+$Q36+$R36+$S36),2000)-IF($AS36=0,0,IF($AS36=1,4400,1000*$AS36+3400)))&gt;=1107750,0.09,0.05),IF($AN36="MS",IF($AI36-IF($AU36="Head of household",3400,IF($AU36="Married",4600,2300))-Inputs!$C$85&gt;10000,0.04,0),IF($AN36="PA",0.0307,"")))))))))))))))</f>
      </c>
      <c r="CD36" s="21">
        <f>IF(YEAR(IF(Inputs!$C$7="Weekly",Inputs!$C$9+7*(($BE35+1)-1),IF(Inputs!$C$7="Biweekly",Inputs!$C$9+14*(($BE35+1)-1),IF(Inputs!$C$7="Semimonthly",DATE(YEAR(Inputs!$C$9),MONTH(Inputs!$C$9)+INT((($BE35+1)-1)/2),MIN(DAY(Inputs!$C$9),DAY(EOMONTH(DATE(YEAR(Inputs!$C$9),MONTH(Inputs!$C$9)+INT((($BE35+1)-1)/2),1),0))))+IF(MOD(($BE35+1)-1,2)=1,15,0),EDATE(Inputs!$C$9,($BE35+1)-1)))))&lt;&gt;2026,"",IF(Inputs!$C$7="Weekly",Inputs!$C$9+7*(($BE35+1)-1),IF(Inputs!$C$7="Biweekly",Inputs!$C$9+14*(($BE35+1)-1),IF(Inputs!$C$7="Semimonthly",DATE(YEAR(Inputs!$C$9),MONTH(Inputs!$C$9)+INT((($BE35+1)-1)/2),MIN(DAY(Inputs!$C$9),DAY(EOMONTH(DATE(YEAR(Inputs!$C$9),MONTH(Inputs!$C$9)+INT((($BE35+1)-1)/2),1),0))))+IF(MOD(($BE35+1)-1,2)=1,15,0),EDATE(Inputs!$C$9,($BE35+1)-1)))))</f>
      </c>
      <c r="CE36" s="21">
        <f>IF(SUMPRODUCT(MIN(IF((Inputs!$C$58:$C$67&gt;MAX($B$6:$B35))*(Inputs!$C$58:$C$67&gt;=DATE(2026,1,1))*(Inputs!$C$58:$C$67&lt;=DATE(2026,12,31)),Inputs!$C$58:$C$67,999999)))=999999,"",SUMPRODUCT(MIN(IF((Inputs!$C$58:$C$67&gt;MAX($B$6:$B35))*(Inputs!$C$58:$C$67&gt;=DATE(2026,1,1))*(Inputs!$C$58:$C$67&lt;=DATE(2026,12,31)),Inputs!$C$58:$C$67,999999))))</f>
      </c>
    </row>
    <row r="37">
      <c r="A37" t="n">
        <v>32</v>
      </c>
      <c r="B37" s="21">
        <f>IF(AND($CD37="",$CE37=""),"",IF($CE37="",$CD37,IF($CD37="",$CE37,MIN($CD37,$CE37))))</f>
      </c>
      <c r="C37" s="7">
        <f>IF($B37="","",IF($BF37=0,0,IF(Inputs!$C$4="Annual salary",ROUND($AK37/IF(AND(Inputs!$C$88="Actual paydays",MONTH(Inputs!$C$9)=1),MAX(1,MAX($BE$6:$BE$68)),Inputs!$C$8),2),$AK37)))</f>
      </c>
      <c r="D37" s="7">
        <f>IF($B37="","",SUMIF(Inputs!$C$58:$C$67,$B37,Inputs!$D$58:$D$67))</f>
      </c>
      <c r="E37" s="7">
        <f>IF($B37="","",ROUND(MAX(0,MIN(IF($AL37="Percent",$AM37*($C37+$D37),$AM37),MAX(0,Inputs!$C$91-$AC36))),2))</f>
      </c>
      <c r="F37" s="7">
        <f>IF($B37="","",ROUND(MAX(0,MIN(IF(Inputs!$C$32="Percent",Inputs!$D$32*($C37+$D37),Inputs!$D$32),MAX(0,Inputs!$C$91-$AC36-$E37))),2))</f>
      </c>
      <c r="G37" s="7">
        <f>IF($B37="","",IF($BF37=0,0,ROUND(MAX(0,MIN($BL37,Inputs!$C$92-Inputs!$C$54-$BI36)),2)))</f>
      </c>
      <c r="H37" s="7">
        <f>IF($B37="","",IF(OR($BF37=0,$BQ37=1),0,ROUND(MAX(0,MIN(IF($BS37=1,ROUND(MAX(0,MIN($BJ37,'Methodology &amp; Sources'!$C$263)-$BG36)/MAX(1,MAX($BE$6:$BE$68)-($BE36)),2),ROUND(MIN($BJ37,'Methodology &amp; Sources'!$C$263)/Inputs!$C$8,2)),MIN($BJ37,'Methodology &amp; Sources'!$C$263)-$BG36)),2)))</f>
      </c>
      <c r="I37" s="7">
        <f>IF($B37="","",IF(OR($BF37=0,$BR37=1),0,ROUND(MAX(0,MIN(IF($BT37=1,ROUND(MAX(0,MIN($BK37,IF(Inputs!$C$12="MFJ",'Methodology &amp; Sources'!$C$264,'Methodology &amp; Sources'!$C$265))-$BH36)/MAX(1,MAX($BE$6:$BE$68)-($BE36)),2),ROUND(MIN($BK37,IF(Inputs!$C$12="MFJ",'Methodology &amp; Sources'!$C$264,'Methodology &amp; Sources'!$C$265))/Inputs!$C$8,2)),MIN($BK37,IF(Inputs!$C$12="MFJ",'Methodology &amp; Sources'!$C$264,'Methodology &amp; Sources'!$C$265))-$BH36)),2)))</f>
      </c>
      <c r="J37" s="7">
        <f>IF($B37="","",IF($BF37=0,0,$BM37))</f>
      </c>
      <c r="K37" s="7">
        <f>IF($B37="","",IF($BF37=0,0,$BN37+$BO37))</f>
      </c>
      <c r="L37" s="7">
        <f>IF($B37="","",IF($BF37=0,0,Inputs!$D$46))</f>
      </c>
      <c r="M37" s="7">
        <f>IF($B37="","",$C37+$D37+$L37-$E37-$G37-$H37-$I37-$J37-$K37)</f>
      </c>
      <c r="N37" s="7">
        <f>IF($B37="","",$C37+$D37+$L37-$G37-$H37-$I37-$J37-$K37)</f>
      </c>
      <c r="O37" s="7">
        <f>IF($B37="","",$C37+$D37+$L37-$E37-$H37-$I37-$J37-$K37-IF(OR($AN37="CA",$AN37="NJ"),0,$G37))</f>
      </c>
      <c r="P37" s="7">
        <f>IF($B37="","",IF(Inputs!$C$18,0,ROUND(MAX(0,IF(Inputs!$C$13,SUMPRODUCT(($AH37&gt;INDEX('Methodology &amp; Sources'!$B$279:$J$286,0,IF(Inputs!$C$12="MFJ",1,IF(Inputs!$C$12="HoH",7,4))))*($AH37-INDEX('Methodology &amp; Sources'!$B$279:$J$286,0,IF(Inputs!$C$12="MFJ",1,IF(Inputs!$C$12="HoH",7,4))))*INDEX('Methodology &amp; Sources'!$B$279:$J$286,0,IF(Inputs!$C$12="MFJ",1,IF(Inputs!$C$12="HoH",7,4))+2)),SUMPRODUCT(($AH37&gt;INDEX('Methodology &amp; Sources'!$B$269:$J$276,0,IF(Inputs!$C$12="MFJ",1,IF(Inputs!$C$12="HoH",7,4))))*($AH37-INDEX('Methodology &amp; Sources'!$B$269:$J$276,0,IF(Inputs!$C$12="MFJ",1,IF(Inputs!$C$12="HoH",7,4))))*INDEX('Methodology &amp; Sources'!$B$269:$J$276,0,IF(Inputs!$C$12="MFJ",1,IF(Inputs!$C$12="HoH",7,4))+2)))/Inputs!$C$8-$AO37/Inputs!$C$8)+$AR37+IF(Inputs!$C$89="Aggregate",MAX(0,IF(Inputs!$C$13,SUMPRODUCT((($AH37+$D37)&gt;INDEX('Methodology &amp; Sources'!$B$279:$J$286,0,IF(Inputs!$C$12="MFJ",1,IF(Inputs!$C$12="HoH",7,4))))*(($AH37+$D37)-INDEX('Methodology &amp; Sources'!$B$279:$J$286,0,IF(Inputs!$C$12="MFJ",1,IF(Inputs!$C$12="HoH",7,4))))*INDEX('Methodology &amp; Sources'!$B$279:$J$286,0,IF(Inputs!$C$12="MFJ",1,IF(Inputs!$C$12="HoH",7,4))+2)),SUMPRODUCT((($AH37+$D37)&gt;INDEX('Methodology &amp; Sources'!$B$269:$J$276,0,IF(Inputs!$C$12="MFJ",1,IF(Inputs!$C$12="HoH",7,4))))*(($AH37+$D37)-INDEX('Methodology &amp; Sources'!$B$269:$J$276,0,IF(Inputs!$C$12="MFJ",1,IF(Inputs!$C$12="HoH",7,4))))*INDEX('Methodology &amp; Sources'!$B$269:$J$276,0,IF(Inputs!$C$12="MFJ",1,IF(Inputs!$C$12="HoH",7,4))+2)))-IF(Inputs!$C$13,SUMPRODUCT(($AH37&gt;INDEX('Methodology &amp; Sources'!$B$279:$J$286,0,IF(Inputs!$C$12="MFJ",1,IF(Inputs!$C$12="HoH",7,4))))*($AH37-INDEX('Methodology &amp; Sources'!$B$279:$J$286,0,IF(Inputs!$C$12="MFJ",1,IF(Inputs!$C$12="HoH",7,4))))*INDEX('Methodology &amp; Sources'!$B$279:$J$286,0,IF(Inputs!$C$12="MFJ",1,IF(Inputs!$C$12="HoH",7,4))+2)),SUMPRODUCT(($AH37&gt;INDEX('Methodology &amp; Sources'!$B$269:$J$276,0,IF(Inputs!$C$12="MFJ",1,IF(Inputs!$C$12="HoH",7,4))))*($AH37-INDEX('Methodology &amp; Sources'!$B$269:$J$276,0,IF(Inputs!$C$12="MFJ",1,IF(Inputs!$C$12="HoH",7,4))))*INDEX('Methodology &amp; Sources'!$B$269:$J$276,0,IF(Inputs!$C$12="MFJ",1,IF(Inputs!$C$12="HoH",7,4))+2)))),'Methodology &amp; Sources'!$C$260*$D37),2)))</f>
      </c>
      <c r="Q37" s="7">
        <f>IF($B37="","",ROUND('Methodology &amp; Sources'!$C$254*MIN($N37,MAX(0,'Methodology &amp; Sources'!$C$253-($AX37+$AB36-$AW37))),2))</f>
      </c>
      <c r="R37" s="7">
        <f>IF($B37="","",ROUND('Methodology &amp; Sources'!$C$255*$N37,2))</f>
      </c>
      <c r="S37" s="7">
        <f>IF($B37="","",ROUND('Methodology &amp; Sources'!$C$256*MAX(0,MIN($N37,$AG36+$N37-'Methodology &amp; Sources'!$C$257)),2))</f>
      </c>
      <c r="T37" s="7">
        <f>IF($B37="","",IF(Inputs!$C$26,0,IF($AN37="CA",ROUND(IF($AI37&lt;=IF(($AS37+$AT37)&gt;=2,VLOOKUP($AN37,'StateTables 2026'!$A$6:$AB$56,10,FALSE),VLOOKUP($AN37,'StateTables 2026'!$A$6:$AB$56,9,FALSE)),0,MAX(0,SUMPRODUCT(($AJ37&gt;INDEX('Methodology &amp; Sources'!$B$289:$J$298,0,IF($AU37="Married",4,IF($AU37="Head of household",7,1))))*($AJ37-INDEX('Methodology &amp; Sources'!$B$289:$J$298,0,IF($AU37="Married",4,IF($AU37="Head of household",7,1))))*INDEX('Methodology &amp; Sources'!$B$289:$J$298,0,IF($AU37="Married",4,IF($AU37="Head of household",7,1))+2))-VLOOKUP($AN37,'StateTables 2026'!$A$6:$AB$56,11,FALSE)*$AS37)/Inputs!$C$8)+Inputs!$C$25+VLOOKUP($AN37,'StateTables 2026'!$A$6:$AB$56,13,FALSE)*$D37,2),IF(VLOOKUP($AN37,'StateTables 2026'!$A$6:$AB$56,4,FALSE)="None",0,IF(ISNUMBER(SEARCH("MANUAL",VLOOKUP($AN37,'StateTables 2026'!$A$6:$AB$56,5,FALSE))),Inputs!$C$28,ROUND(MAX(0,$BA37+$BB37)/Inputs!$C$8+Inputs!$C$25+$BC37,2))))))</f>
      </c>
      <c r="U37" s="7">
        <f>IF($B37="","",IF(VLOOKUP($AN37,'StateTables 2026'!$A$6:$AB$56,24,FALSE)="flatq",IF(OR(MONTH($B37)=1,MONTH($B37)=4,MONTH($B37)=7,MONTH($B37)=10),VLOOKUP($AN37,'StateTables 2026'!$A$6:$AB$56,25,FALSE),0),IF(VLOOKUP($AN37,'StateTables 2026'!$A$6:$AB$56,24,FALSE)="dbl",MIN(ROUND(0.005*$N37,2),ROUND(0.6*52/Inputs!$C$8,2)),IF(OR(VLOOKUP($AN37,'StateTables 2026'!$A$6:$AB$56,15,FALSE)="",VLOOKUP($AN37,'StateTables 2026'!$A$6:$AB$56,15,FALSE)=0),0,ROUND(VLOOKUP($AN37,'StateTables 2026'!$A$6:$AB$56,15,FALSE)*IF(OR(VLOOKUP($AN37,'StateTables 2026'!$A$6:$AB$56,16,FALSE)="",VLOOKUP($AN37,'StateTables 2026'!$A$6:$AB$56,16,FALSE)=0),$N37,MIN($N37,MAX(0,VLOOKUP($AN37,'StateTables 2026'!$A$6:$AB$56,16,FALSE)-($AX37+$AB36-$AW37)))),2))))+IF(VLOOKUP($AN37,'StateTables 2026'!$A$6:$AB$56,27,FALSE)="flatq",IF(OR(MONTH($B37)=1,MONTH($B37)=4,MONTH($B37)=7,MONTH($B37)=10),VLOOKUP($AN37,'StateTables 2026'!$A$6:$AB$56,28,FALSE),0),IF(VLOOKUP($AN37,'StateTables 2026'!$A$6:$AB$56,27,FALSE)="dbl",MIN(ROUND(0.005*$N37,2),ROUND(0.6*52/Inputs!$C$8,2)),IF(OR(VLOOKUP($AN37,'StateTables 2026'!$A$6:$AB$56,18,FALSE)="",VLOOKUP($AN37,'StateTables 2026'!$A$6:$AB$56,18,FALSE)=0),0,ROUND(VLOOKUP($AN37,'StateTables 2026'!$A$6:$AB$56,18,FALSE)*IF(OR(VLOOKUP($AN37,'StateTables 2026'!$A$6:$AB$56,19,FALSE)="",VLOOKUP($AN37,'StateTables 2026'!$A$6:$AB$56,19,FALSE)=0),$N37,MIN($N37,MAX(0,VLOOKUP($AN37,'StateTables 2026'!$A$6:$AB$56,19,FALSE)-($AX37+$AB36-$AW37)))),2)))))</f>
      </c>
      <c r="V37" s="7">
        <f>IF($B37="","",IF($AN37="NY",IF(Inputs!$C$78,ROUND(SUMPRODUCT((MAX(0,($O37-$D37)*Inputs!$C$8-(IF($AU37="Married",5500,5000)+1000*$AS37))&gt;INDEX('Methodology &amp; Sources'!$B$434:$J$448,0,4))*(MAX(0,($O37-$D37)*Inputs!$C$8-(IF($AU37="Married",5500,5000)+1000*$AS37))-INDEX('Methodology &amp; Sources'!$B$434:$J$448,0,4))*INDEX('Methodology &amp; Sources'!$B$434:$J$448,0,4+2))/Inputs!$C$8+0.0425*$D37,2),0)+IF(Inputs!$C$79="Resident",ROUND(0.1675*$T37,2),IF(Inputs!$C$79="Nonresident",ROUND(0.005*MAX(0,($O37-$D37)-(IF($AU37="Married",7950,7400)+1000*$AS37)/Inputs!$C$8),2),0)),IF($AN37="PA",IF(Inputs!$C$80="None",Inputs!$C$27+ROUND(Inputs!$C$81*($C37+$D37),2),ROUND(IF(Inputs!$C$80="Resident",IF($B37&lt;DATE(2026,7,1),0.0374,0.03735),IF($B37&lt;DATE(2026,7,1),0.0343,0.03425))*($C37+$D37),2)),IF($BF37=0,ROUND(Inputs!$C$81*($C37+$D37),2),Inputs!$C$27+ROUND(Inputs!$C$81*($C37+$D37),2)))))</f>
      </c>
      <c r="W37" s="7">
        <f>IF($B37="","",IF($BF37=0,0,$BP37))</f>
      </c>
      <c r="X37" s="7">
        <f>IF($B37="","",SUM($E37:$K37)+$P37+$Q37+$R37+$S37+$T37+$U37+$V37+$W37)</f>
      </c>
      <c r="Y37" s="22">
        <f>IF($B37="","",$C37+$D37-$X37)</f>
      </c>
      <c r="Z37" s="7">
        <f>IF($B37="","",$Z36+$C37+$D37)</f>
      </c>
      <c r="AA37" s="7">
        <f>IF($B37="","",$AA36+$Y37)</f>
      </c>
      <c r="AB37" s="7">
        <f>IF($B37="","",$AB36+MIN($N37,MAX(0,'Methodology &amp; Sources'!$C$253-($AX37+$AB36-$AW37))))</f>
      </c>
      <c r="AC37" s="7">
        <f>IF($B37="","",$AC36+$E37+$F37)</f>
      </c>
      <c r="AD37" s="3">
        <f>IF($B37="","",IF(AND($AB36&lt;'Methodology &amp; Sources'!$C$253,$AB37&gt;='Methodology &amp; Sources'!$C$253),"★ Social Security maxed on this check — from the next check your net rises by about $"&amp;TEXT(ROUND('Methodology &amp; Sources'!$C$254*$N37,2),"#,##0.00")&amp;". ","")&amp;IF(AND($AC36&lt;Inputs!$C$91,$AC37&gt;=Inputs!$C$91),"★ 401(k) reaches the $"&amp;TEXT(Inputs!$C$91,"#,##0")&amp;" cap on this check — deferrals stop and net pay rises. ","")&amp;IF(AND($AG36&lt;'Methodology &amp; Sources'!$C$257,$AG37&gt;='Methodology &amp; Sources'!$C$257),"★ Wages pass $200,000 — the 0.9% Additional Medicare Tax starts here. ","")&amp;IF(AND($BJ37&gt;0,$H37&gt;0,$BG36&lt;MIN($BJ37,'Methodology &amp; Sources'!$C$263),$BG36+$H37&gt;=MIN($BJ37,'Methodology &amp; Sources'!$C$263)),"★ Health FSA election is now fully deferred for the year. ",""))</f>
      </c>
      <c r="AE37" s="41" t="n"/>
      <c r="AF37" s="7">
        <f>IF(OR($B37="",$AE37=""),"",$AE37-$Y37)</f>
      </c>
      <c r="AG37" s="7">
        <f>IF($B37="","",$AG36+$N37)</f>
      </c>
      <c r="AH37" s="7">
        <f>IF($B37="","",MAX(0,($M37-$D37)*Inputs!$C$8+$AP37-$AQ37-IF(Inputs!$C$13,0,IF(Inputs!$C$12="MFJ",'Methodology &amp; Sources'!$C$258,'Methodology &amp; Sources'!$C$259))))</f>
      </c>
      <c r="AI37" s="7">
        <f>IF($B37="","",$O37*Inputs!$C$8)</f>
      </c>
      <c r="AJ37" s="7">
        <f>IF($B37="","",MAX(0,$AI37-VLOOKUP($AN37,'StateTables 2026'!$A$6:$AB$56,12,FALSE)*$AT37-IF(($AS37+$AT37)&gt;=2,VLOOKUP($AN37,'StateTables 2026'!$A$6:$AB$56,8,FALSE),VLOOKUP($AN37,'StateTables 2026'!$A$6:$AB$56,7,FALSE))))</f>
      </c>
      <c r="AK37" s="7">
        <f>IF($B37="","",IFERROR(LOOKUP(2,1/((Events!$C$6:$C$17="Salary change")*(Events!$B$6:$B$17&lt;=$B37)*(Events!$B$6:$B$17&lt;&gt;"")),Events!$D$6:$D$17),IF(Inputs!$C$4="Annual salary",Inputs!$C$5,Inputs!$C$6)))</f>
      </c>
      <c r="AL37">
        <f>IF($B37="","",IFERROR(LOOKUP(2,1/((Events!$C$6:$C$17="401(k) change")*(Events!$B$6:$B$17&lt;=$B37)*(Events!$B$6:$B$17&lt;&gt;"")),Events!$D$6:$D$17),Inputs!$C$30))</f>
      </c>
      <c r="AM37" s="7">
        <f>IF($B37="","",IFERROR(LOOKUP(2,1/((Events!$C$6:$C$17="401(k) change")*(Events!$B$6:$B$17&lt;=$B37)*(Events!$B$6:$B$17&lt;&gt;"")),Events!$E$6:$E$17),Inputs!$D$30))</f>
      </c>
      <c r="AN37">
        <f>IF($B37="","",IFERROR(LOOKUP(2,1/((Events!$C$6:$C$17="State move")*(Events!$B$6:$B$17&lt;=$B37)*(Events!$B$6:$B$17&lt;&gt;"")),Events!$D$6:$D$17),Inputs!$C$21))</f>
      </c>
      <c r="AO37" s="7">
        <f>IF($B37="","",IFERROR(LOOKUP(2,1/((Events!$C$6:$C$17="W-4 change")*(Events!$B$6:$B$17&lt;=$B37)*(Events!$B$6:$B$17&lt;&gt;"")),Events!$D$6:$D$17),Inputs!$C$14))</f>
      </c>
      <c r="AP37" s="7">
        <f>IF($B37="","",IFERROR(LOOKUP(2,1/((Events!$C$6:$C$17="W-4 change")*(Events!$B$6:$B$17&lt;=$B37)*(Events!$B$6:$B$17&lt;&gt;"")),Events!$E$6:$E$17),Inputs!$C$15))</f>
      </c>
      <c r="AQ37" s="7">
        <f>IF($B37="","",IFERROR(LOOKUP(2,1/((Events!$C$6:$C$17="W-4 change")*(Events!$B$6:$B$17&lt;=$B37)*(Events!$B$6:$B$17&lt;&gt;"")),Events!$F$6:$F$17),Inputs!$C$16))</f>
      </c>
      <c r="AR37" s="7">
        <f>IF($B37="","",IFERROR(LOOKUP(2,1/((Events!$C$6:$C$17="W-4 change")*(Events!$B$6:$B$17&lt;=$B37)*(Events!$B$6:$B$17&lt;&gt;"")),Events!$G$6:$G$17),Inputs!$C$17))</f>
      </c>
      <c r="AS37" s="6">
        <f>IF($B37="","",IFERROR(LOOKUP(2,1/(((Events!$C$6:$C$17="State move")+(Events!$C$6:$C$17="State cert change"))*(Events!$B$6:$B$17&lt;=$B37)*(Events!$B$6:$B$17&lt;&gt;"")),Events!$F$6:$F$17),Inputs!$C$23))</f>
      </c>
      <c r="AT37" s="6">
        <f>IF($B37="","",IFERROR(LOOKUP(2,1/(((Events!$C$6:$C$17="State move")+(Events!$C$6:$C$17="State cert change"))*(Events!$B$6:$B$17&lt;=$B37)*(Events!$B$6:$B$17&lt;&gt;"")),Events!$G$6:$G$17),Inputs!$C$24))</f>
      </c>
      <c r="AU37">
        <f>IF($B37="","",IFERROR(LOOKUP(2,1/((Events!$C$6:$C$17="State move")*(Events!$B$6:$B$17&lt;=$B37)*(Events!$B$6:$B$17&lt;&gt;"")),Events!$E$6:$E$17),Inputs!$C$22))</f>
      </c>
      <c r="AV37" s="6">
        <f>IF($B37="","",1+COUNTIFS(Events!$C$6:$C$17,"Employer change",Events!$B$6:$B$17,"&lt;="&amp;$B37,Events!$B$6:$B$17,"&lt;&gt;"))</f>
      </c>
      <c r="AW37" s="7">
        <f>IF($B37="","",IF($AV37=1,Inputs!$C$49,IF(IFERROR(MATCH(IFERROR(LOOKUP(2,1/((Events!$C$6:$C$17="Employer change")*(Events!$B$6:$B$17&lt;=$B37)*(Events!$B$6:$B$17&lt;&gt;"")),Events!$B$6:$B$17),""),$B$6:$B$68,1),1)&lt;=1,Inputs!$C$49,INDEX($AB$6:$AB$68,MATCH(IFERROR(LOOKUP(2,1/((Events!$C$6:$C$17="Employer change")*(Events!$B$6:$B$17&lt;=$B37)*(Events!$B$6:$B$17&lt;&gt;"")),Events!$B$6:$B$17),""),$B$6:$B$68,1)-1))))</f>
      </c>
      <c r="AX37" s="7">
        <f>IF($B37="","",IF($AV37=1,Inputs!$C$49,IFERROR(LOOKUP(2,1/((Events!$C$6:$C$17="Employer change")*(Events!$B$6:$B$17&lt;=$B37)*(Events!$B$6:$B$17&lt;&gt;"")),Events!$D$6:$D$17),0)))</f>
      </c>
      <c r="AY37" s="7">
        <f>IF($B37="","",($O37-$D37)*Inputs!$C$8)</f>
      </c>
      <c r="AZ37" s="7">
        <f>IF($B37="","",IF($AN37="AL",MAX(0,$AY37-IF($AU37="Married",IF($AY37&lt;=25999,8500,MAX(5000,8500-175*CEILING(($AY37-25999)/500,1))),IF($AU37="Head of household",IF($AY37&lt;=25999,5200,MAX(2500,5200-135*CEILING(($AY37-25999)/500,1))),IF($AY37&lt;=25999,3000,MAX(2500,3000-25*CEILING(($AY37-25999)/500,1)))))-($P37-'Methodology &amp; Sources'!$C$260*$D37)*Inputs!$C$8-IF(OR($AU37="Married",$AU37="Head of household"),3000,1500)-$AT37*IF($AY37&lt;=50000,1000,IF($AY37&lt;=100000,500,300))),IF($AN37="AR",IF(MAX(0,$AY37-2470)&lt;97701,INT(MAX(0,$AY37-2470)/100)*100+50,MAX(0,$AY37-2470)),IF($AN37="DE",MAX(0,$AI37-3250),IF($AN37="HI",MAX(0,$AI37-1144*$AS37-4350),IF($AN37="KS",MAX(0,$AI37-(9160*IF($AU37="Married",2,1)+2320*$AT37+IF($AU37="Head of household",2320,0))),IF($AN37="MD",MAX(0,$AI37-3400-3200*$AS37),IF($AN37="MN",MAX(0,$AY37-5300*$AS37),IF($AN37="MO",MAX(0,$AI37-IF($AU37="Head of household",24150,IF($AU37="Married",IF(Inputs!$C$83,16100,32200),16100))),IF($AN37="MT",$AY37,IF($AN37="ND",($C37+$L37)*Inputs!$C$8,IF($AN37="NE",MAX(0,$AY37-2440*$AS37),IF($AN37="NJ",MAX(0,$AY37-1000*$AS37),IF($AN37="NY",MAX(0,$AY37-(IF($AU37="Married",7950,7400)+1000*$AS37)),IF($AN37="OH",MAX(0,$AY37-650*$AS37),IF($AN37="OK",MAX(0,$AY37-1000*$AS37),IF($AN37="RI",MAX(0,$AI37-1000*$AS37),IF($AN37="SC",MAX(0,$AI37-5000*$AS37-IF($AS37=0,0,MIN(0.1*$AI37,7500))),IF($AN37="VA",MAX(0,$AI37-IF($AU37="Married",17500,8750)-930*$AS37-800*$AT37),IF($AN37="VT",MAX(0,$AI37-5400*$AS37),IF($AN37="WI",MAX(0,$AI37-MAX(0,IF($AU37="Married",9461-0.2*MAX(0,$AI37-25727),6702-0.12*MAX(0,$AI37-17780)))-400*$AS37),IF($AN37="WV",MAX(0,$AI37-2000*$AS37),$AI37))))))))))))))))))))))</f>
      </c>
      <c r="BA37" s="7">
        <f>IF($B37="","",IF($BW37&lt;&gt;"",$BW37,IF($BX37&lt;&gt;"",$BX37,IF($BY37&lt;&gt;"",$BY37,0))))</f>
      </c>
      <c r="BB37" s="7">
        <f>IF($B37="","",IF($AN37="AR",-29*$AS37,IF($AN37="DE",-110*$AS37,IF($AN37="MD",$AZ37*Inputs!$C$74,IF($AN37="AZ",Inputs!$C$82*($M37-$D37)*Inputs!$C$8,IF($AN37="CO",0.044*MAX(0,$AY37-IF($AU37="Married",10000,5000)),IF($AN37="IA",MAX(0,0.038*MAX(0,$AY37-IF($AU37="Head of household",19500,IF($AU37="Married",26000,13000)))-40*$AS37),IF($AN37="ID",0.053*MAX(0,$AY37-IF($AU37="Married",32000,16094)),IF($AN37="IL",0.0495*MAX(0,$AY37-(2925*$AS37+1000*$AT37)),IF($AN37="IN",(0.0295+Inputs!$C$76)*MAX(0,$AY37-(1000*$AS37+1500*$AT37+3000*Inputs!$C$86)),IF($AN37="KY",0.035*MAX(0,$AI37-3360),IF($AN37="LA",IF(Inputs!$C$84="0",0.0309*$AI37,0.0309*MAX(0,$AI37-IF(Inputs!$C$84="2",25750,12875))),IF($AN37="MA",0.05*MIN(MAX(0,$AY37-MIN(($BD36+$Q37+$R37+$S37),2000)-IF($AS37=0,0,IF($AS37=1,4400,1000*$AS37+3400))),1107750)+0.09*MAX(0,MAX(0,$AY37-MIN(($BD36+$Q37+$R37+$S37),2000)-IF($AS37=0,0,IF($AS37=1,4400,1000*$AS37+3400)))-1107750)-IF($AU37="Head of household",120,0)-110*Inputs!$C$75,IF($AN37="MI",0.0425*MAX(0,$AY37-5900*$AS37),IF($AN37="MS",0.04*MAX(0,$AI37-IF($AU37="Head of household",3400,IF($AU37="Married",4600,2300))-Inputs!$C$85-10000),IF($AN37="OR",IF(OR($AU37="Married",AND($AU37="Single",$AS37&gt;=3)),SUMPRODUCT((MAX(0,$AY37-MIN(($P37-'Methodology &amp; Sources'!$C$260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Sources'!$B$461:$J$464,0,4))*(MAX(0,$AY37-MIN(($P37-'Methodology &amp; Sources'!$C$260*$D37)*Inputs!$C$8,IF(OR($AU37="Married",AND($AU37="Single",$AS37&gt;=3)),IF($AY37&lt;250000,8750,IF($AY37&lt;260000,7000,IF($AY37&lt;270000,5250,IF($AY37&lt;280000,3500,IF($AY37&lt;290000,1750,0))))),IF($AY37&lt;125000,8750,IF($AY37&lt;130000,7000,IF($AY37&lt;135000,5250,IF($AY37&lt;140000,3500,IF($AY37&lt;145000,1750,0)))))))-IF(OR($AU37="Married",AND($AU37="Single",$AS37&gt;=3)),5820,2910))-INDEX('Methodology &amp; Sources'!$B$461:$J$464,0,4))*INDEX('Methodology &amp; Sources'!$B$461:$J$464,0,4+2)),SUMPRODUCT((MAX(0,$AY37-MIN(($P37-'Methodology &amp; Sources'!$C$260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Sources'!$B$461:$J$464,0,1))*(MAX(0,$AY37-MIN(($P37-'Methodology &amp; Sources'!$C$260*$D37)*Inputs!$C$8,IF(OR($AU37="Married",AND($AU37="Single",$AS37&gt;=3)),IF($AY37&lt;250000,8750,IF($AY37&lt;260000,7000,IF($AY37&lt;270000,5250,IF($AY37&lt;280000,3500,IF($AY37&lt;290000,1750,0))))),IF($AY37&lt;125000,8750,IF($AY37&lt;130000,7000,IF($AY37&lt;135000,5250,IF($AY37&lt;140000,3500,IF($AY37&lt;145000,1750,0)))))))-IF(OR($AU37="Married",AND($AU37="Single",$AS37&gt;=3)),5820,2910))-INDEX('Methodology &amp; Sources'!$B$461:$J$464,0,1))*INDEX('Methodology &amp; Sources'!$B$461:$J$464,0,1+2)))+263-263*IF(IF($AU37="Married",$AY37&gt;200000,$AY37&gt;100000),0,$AS37),IF($AN37="PA",0.0307*(($O37+$E37+$G37)*Inputs!$C$8),IF($AN37="NY",IF($AU37="Married",IF($AZ37&gt;=2155350,0,IF($AZ37&gt;=1077550,0.48,IF($AZ37&gt;=373200,1.21,IF($AZ37&gt;=323200,0.21,IF($AZ37&gt;=211550,-0.19,IF($AZ37&gt;=157650,-2.8,IF($AZ37&gt;=107650,-0.8,IF($AZ37&gt;=96800,0.05,IF($AZ37&gt;=80650,-0.1,IF($AZ37&gt;=13900,0.4,IF($AZ37&gt;=11700,-0.3,IF($AZ37&gt;=8500,0.5,0)))))))))))),IF($AZ37&gt;=1077550,0,IF($AZ37&gt;=265400,4.29,IF($AZ37&gt;=215400,2.29,IF($AZ37&gt;=157650,2.29,IF($AZ37&gt;=107650,0.29,IF($AZ37&gt;=96800,0.05,IF($AZ37&gt;=80650,-0.1,IF($AZ37&gt;=13900,0.4,IF($AZ37&gt;=11700,-0.3,IF($AZ37&gt;=8500,0.5,0))))))))))),0))))))))))))))))))</f>
      </c>
      <c r="BC37" s="7">
        <f>IF($B37="","",IF($AN37="AL",0.05*$D37,IF($AN37="AR",0.039*$D37,IF($AN37="ID",0.053*$D37,IF($AN37="IN",(0.0295+Inputs!$C$76)*$D37,IF($AN37="KS",0.05*$D37,IF($AN37="MA",0.09*MIN($D37,MAX(0,MAX(0,$AY37-MIN(($BD36+$Q37+$R37+$S37),2000)-IF($AS37=0,0,IF($AS37=1,4400,1000*$AS37+3400)))+$D37-1107750))+0.05*($D37-MIN($D37,MAX(0,MAX(0,$AY37-MIN(($BD36+$Q37+$R37+$S37),2000)-IF($AS37=0,0,IF($AS37=1,4400,1000*$AS37+3400)))+$D37-1107750))),IF($AN37="MD",(0.065+Inputs!$C$74)*$D37,IF($AN37="MI",0.0425*$D37,IF($AN37="MN",0.0625*$D37,IF($AN37="MO",0.047*$D37,IF($AN37="MT",0.05*$D37,IF($AN37="ND",0.015*$D37,IF($AN37="NE",0.035*$D37,IF($AN37="NJ",IF(Inputs!$C$77="B",SUMPRODUCT(($D37*Inputs!$C$8&gt;INDEX('Methodology &amp; Sources'!$B$405:$J$412,0,4))*($D37*Inputs!$C$8-INDEX('Methodology &amp; Sources'!$B$405:$J$412,0,4))*INDEX('Methodology &amp; Sources'!$B$405:$J$412,0,4+2)),IF(Inputs!$C$77="C",SUMPRODUCT(($D37*Inputs!$C$8&gt;INDEX('Methodology &amp; Sources'!$B$405:$J$412,0,7))*($D37*Inputs!$C$8-INDEX('Methodology &amp; Sources'!$B$405:$J$412,0,7))*INDEX('Methodology &amp; Sources'!$B$405:$J$412,0,7+2)),IF(Inputs!$C$77="D",SUMPRODUCT(($D37*Inputs!$C$8&gt;INDEX('Methodology &amp; Sources'!$B$417:$J$429,0,1))*($D37*Inputs!$C$8-INDEX('Methodology &amp; Sources'!$B$417:$J$429,0,1))*INDEX('Methodology &amp; Sources'!$B$417:$J$429,0,1+2)),IF(Inputs!$C$77="E",SUMPRODUCT(($D37*Inputs!$C$8&gt;INDEX('Methodology &amp; Sources'!$B$417:$J$429,0,4))*($D37*Inputs!$C$8-INDEX('Methodology &amp; Sources'!$B$417:$J$429,0,4))*INDEX('Methodology &amp; Sources'!$B$417:$J$429,0,4+2)),SUMPRODUCT(($D37*Inputs!$C$8&gt;INDEX('Methodology &amp; Sources'!$B$405:$J$412,0,1))*($D37*Inputs!$C$8-INDEX('Methodology &amp; Sources'!$B$405:$J$412,0,1))*INDEX('Methodology &amp; Sources'!$B$405:$J$412,0,1+2))))))/Inputs!$C$8,IF($AN37="NY",0.117*$D37,IF($AN37="OH",0.0275*$D37,IF($AN37="OK",0.045*$D37,IF($AN37="OR",0.08*$D37,IF($AN37="WI",IF($AY37&lt;12760,0.0354,IF($AY37&lt;25520,0.0465,IF($AY37&lt;280950,0.053,0.0765)))*$D37,0))))))))))))))))))))</f>
      </c>
      <c r="BD37" s="7">
        <f>IF($B37="","",$BD36+$Q37+$R37+$S37)</f>
      </c>
      <c r="BE37" s="6">
        <f>IF($B37="",$BE36,$BE36+$BF37)</f>
      </c>
      <c r="BF37" s="6">
        <f>IF($B37="","",IF(AND(IF(YEAR(IF(Inputs!$C$7="Weekly",Inputs!$C$9+7*(($BE36+1)-1),IF(Inputs!$C$7="Biweekly",Inputs!$C$9+14*(($BE36+1)-1),IF(Inputs!$C$7="Semimonthly",DATE(YEAR(Inputs!$C$9),MONTH(Inputs!$C$9)+INT((($BE36+1)-1)/2),MIN(DAY(Inputs!$C$9),DAY(EOMONTH(DATE(YEAR(Inputs!$C$9),MONTH(Inputs!$C$9)+INT((($BE36+1)-1)/2),1),0))))+IF(MOD(($BE36+1)-1,2)=1,15,0),EDATE(Inputs!$C$9,($BE36+1)-1)))))&lt;&gt;2026,"",IF(Inputs!$C$7="Weekly",Inputs!$C$9+7*(($BE36+1)-1),IF(Inputs!$C$7="Biweekly",Inputs!$C$9+14*(($BE36+1)-1),IF(Inputs!$C$7="Semimonthly",DATE(YEAR(Inputs!$C$9),MONTH(Inputs!$C$9)+INT((($BE36+1)-1)/2),MIN(DAY(Inputs!$C$9),DAY(EOMONTH(DATE(YEAR(Inputs!$C$9),MONTH(Inputs!$C$9)+INT((($BE36+1)-1)/2),1),0))))+IF(MOD(($BE36+1)-1,2)=1,15,0),EDATE(Inputs!$C$9,($BE36+1)-1)))))&lt;&gt;"",$B37=IF(YEAR(IF(Inputs!$C$7="Weekly",Inputs!$C$9+7*(($BE36+1)-1),IF(Inputs!$C$7="Biweekly",Inputs!$C$9+14*(($BE36+1)-1),IF(Inputs!$C$7="Semimonthly",DATE(YEAR(Inputs!$C$9),MONTH(Inputs!$C$9)+INT((($BE36+1)-1)/2),MIN(DAY(Inputs!$C$9),DAY(EOMONTH(DATE(YEAR(Inputs!$C$9),MONTH(Inputs!$C$9)+INT((($BE36+1)-1)/2),1),0))))+IF(MOD(($BE36+1)-1,2)=1,15,0),EDATE(Inputs!$C$9,($BE36+1)-1)))))&lt;&gt;2026,"",IF(Inputs!$C$7="Weekly",Inputs!$C$9+7*(($BE36+1)-1),IF(Inputs!$C$7="Biweekly",Inputs!$C$9+14*(($BE36+1)-1),IF(Inputs!$C$7="Semimonthly",DATE(YEAR(Inputs!$C$9),MONTH(Inputs!$C$9)+INT((($BE36+1)-1)/2),MIN(DAY(Inputs!$C$9),DAY(EOMONTH(DATE(YEAR(Inputs!$C$9),MONTH(Inputs!$C$9)+INT((($BE36+1)-1)/2),1),0))))+IF(MOD(($BE36+1)-1,2)=1,15,0),EDATE(Inputs!$C$9,($BE36+1)-1)))))),1,0))</f>
      </c>
      <c r="BG37" s="7">
        <f>IF($B37="","",$BG36+$H37)</f>
      </c>
      <c r="BH37" s="7">
        <f>IF($B37="","",$BH36+$I37)</f>
      </c>
      <c r="BI37" s="7">
        <f>IF($B37="","",$BI36+$G37)</f>
      </c>
      <c r="BJ37" s="7">
        <f>IF($B37="","",IFERROR(LOOKUP(2,1/((((Events!$C$6:$C$17="Deduction start"))*(Events!$D$6:$D$17="Health FSA"))*(Events!$B$6:$B$17&lt;=$B37)*(Events!$B$6:$B$17&lt;&gt;"")),Events!$E$6:$E$17),Inputs!$D$38))</f>
      </c>
      <c r="BK37" s="7">
        <f>IF($B37="","",IFERROR(LOOKUP(2,1/((((Events!$C$6:$C$17="Deduction start"))*(Events!$D$6:$D$17="Dependent-care FSA"))*(Events!$B$6:$B$17&lt;=$B37)*(Events!$B$6:$B$17&lt;&gt;"")),Events!$E$6:$E$17),Inputs!$D$39))</f>
      </c>
      <c r="BL37" s="7">
        <f>IF($B37="","",IFERROR(LOOKUP(2,1/((((Events!$C$6:$C$17="Deduction start")+(Events!$C$6:$C$17="Deduction stop"))*(Events!$D$6:$D$17="HSA"))*(Events!$B$6:$B$17&lt;=$B37)*(Events!$B$6:$B$17&lt;&gt;"")),Events!$I$6:$I$17),Inputs!$D$35))</f>
      </c>
      <c r="BM37" s="7">
        <f>IF($B37="","",IFERROR(LOOKUP(2,1/((((Events!$C$6:$C$17="Deduction start")+(Events!$C$6:$C$17="Deduction stop"))*(Events!$D$6:$D$17="Premiums"))*(Events!$B$6:$B$17&lt;=$B37)*(Events!$B$6:$B$17&lt;&gt;"")),Events!$I$6:$I$17),Inputs!$D$40+Inputs!$D$41+Inputs!$D$42))</f>
      </c>
      <c r="BN37" s="7">
        <f>IF($B37="","",IFERROR(LOOKUP(2,1/((((Events!$C$6:$C$17="Deduction start")+(Events!$C$6:$C$17="Deduction stop"))*(Events!$D$6:$D$17="Commuter"))*(Events!$B$6:$B$17&lt;=$B37)*(Events!$B$6:$B$17&lt;&gt;"")),Events!$I$6:$I$17),Inputs!$D$43))</f>
      </c>
      <c r="BO37" s="7">
        <f>IF($B37="","",IFERROR(LOOKUP(2,1/((((Events!$C$6:$C$17="Deduction start")+(Events!$C$6:$C$17="Deduction stop"))*(Events!$D$6:$D$17="Other pre-tax"))*(Events!$B$6:$B$17&lt;=$B37)*(Events!$B$6:$B$17&lt;&gt;"")),Events!$I$6:$I$17),Inputs!$D$44))</f>
      </c>
      <c r="BP37" s="7">
        <f>IF($B37="","",IFERROR(LOOKUP(2,1/((((Events!$C$6:$C$17="Deduction start")+(Events!$C$6:$C$17="Deduction stop"))*(Events!$D$6:$D$17="Other post-tax"))*(Events!$B$6:$B$17&lt;=$B37)*(Events!$B$6:$B$17&lt;&gt;"")),Events!$I$6:$I$17),Inputs!$D$45))</f>
      </c>
      <c r="BQ37" s="6">
        <f>IF($B37="","",IFERROR(LOOKUP(2,1/((((Events!$C$6:$C$17="Deduction start")+(Events!$C$6:$C$17="Deduction stop"))*(Events!$D$6:$D$17="Health FSA"))*(Events!$B$6:$B$17&lt;=$B37)*(Events!$B$6:$B$17&lt;&gt;"")),Events!$J$6:$J$17),0))</f>
      </c>
      <c r="BR37" s="6">
        <f>IF($B37="","",IFERROR(LOOKUP(2,1/((((Events!$C$6:$C$17="Deduction start")+(Events!$C$6:$C$17="Deduction stop"))*(Events!$D$6:$D$17="Dependent-care FSA"))*(Events!$B$6:$B$17&lt;=$B37)*(Events!$B$6:$B$17&lt;&gt;"")),Events!$J$6:$J$17),0))</f>
      </c>
      <c r="BS37" s="6">
        <f>IF($B37="","",IF(SUMPRODUCT((Events!$C$6:$C$17="Deduction start")*(Events!$B$6:$B$17&lt;=$B37)*(Events!$B$6:$B$17&lt;&gt;"")*(Events!$D$6:$D$17="Health FSA"))&gt;0,1,0))</f>
      </c>
      <c r="BT37" s="6">
        <f>IF($B37="","",IF(SUMPRODUCT((Events!$C$6:$C$17="Deduction start")*(Events!$B$6:$B$17&lt;=$B37)*(Events!$B$6:$B$17&lt;&gt;"")*(Events!$D$6:$D$17="Dependent-care FSA"))&gt;0,1,0))</f>
      </c>
      <c r="BU37" s="24">
        <f>IF($B37="","",IF(Inputs!$C$13,SUMPRODUCT(($AH37&gt;=INDEX('Methodology &amp; Sources'!$B$279:$J$286,0,IF(Inputs!$C$12="MFJ",1,IF(Inputs!$C$12="HoH",7,4))))*INDEX('Methodology &amp; Sources'!$B$279:$J$286,0,IF(Inputs!$C$12="MFJ",1,IF(Inputs!$C$12="HoH",7,4))+2)),SUMPRODUCT(($AH37&gt;=INDEX('Methodology &amp; Sources'!$B$269:$J$276,0,IF(Inputs!$C$12="MFJ",1,IF(Inputs!$C$12="HoH",7,4))))*INDEX('Methodology &amp; Sources'!$B$269:$J$276,0,IF(Inputs!$C$12="MFJ",1,IF(Inputs!$C$12="HoH",7,4))+2))))</f>
      </c>
      <c r="BV37" s="24">
        <f>IF($B37="","",IF($BZ37&lt;&gt;"",$BZ37,IF($CA37&lt;&gt;"",$CA37,IF($CB37&lt;&gt;"",$CB37,IF($CC37&lt;&gt;"",$CC37,0)))))</f>
      </c>
      <c r="BW37" s="7">
        <f>IF($B37="","",IF($AN37="MD",IF(OR($AU37="Married",$AU37="Head of household"),SUMPRODUCT(($AZ37&gt;INDEX('Methodology &amp; Sources'!$B$364:$J$370,0,1))*($AZ37-INDEX('Methodology &amp; Sources'!$B$364:$J$370,0,1))*INDEX('Methodology &amp; Sources'!$B$364:$J$370,0,1+2)),SUMPRODUCT(($AZ37&gt;INDEX('Methodology &amp; Sources'!$B$353:$J$359,0,7))*($AZ37-INDEX('Methodology &amp; Sources'!$B$353:$J$359,0,7))*INDEX('Methodology &amp; Sources'!$B$353:$J$359,0,7+2))),IF($AN37="MO",SUMPRODUCT(($AZ37&gt;INDEX('Methodology &amp; Sources'!$B$375:$J$382,0,1))*($AZ37-INDEX('Methodology &amp; Sources'!$B$375:$J$382,0,1))*INDEX('Methodology &amp; Sources'!$B$375:$J$382,0,1+2)),IF($AN37="MT",IF($AU37="Head of household",SUMPRODUCT(($AZ37&gt;INDEX('Methodology &amp; Sources'!$B$387:$J$389,0,1))*($AZ37-INDEX('Methodology &amp; Sources'!$B$387:$J$389,0,1))*INDEX('Methodology &amp; Sources'!$B$387:$J$389,0,1+2)),IF($AU37="Married",SUMPRODUCT(($AZ37&gt;INDEX('Methodology &amp; Sources'!$B$375:$J$382,0,7))*($AZ37-INDEX('Methodology &amp; Sources'!$B$375:$J$382,0,7))*INDEX('Methodology &amp; Sources'!$B$375:$J$382,0,7+2)),SUMPRODUCT(($AZ37&gt;INDEX('Methodology &amp; Sources'!$B$375:$J$382,0,4))*($AZ37-INDEX('Methodology &amp; Sources'!$B$375:$J$382,0,4))*INDEX('Methodology &amp; Sources'!$B$375:$J$382,0,4+2)))),IF($AN37="ND",IF($AU37="Head of household",SUMPRODUCT(($AZ37&gt;INDEX('Methodology &amp; Sources'!$B$394:$J$400,0,1))*($AZ37-INDEX('Methodology &amp; Sources'!$B$394:$J$400,0,1))*INDEX('Methodology &amp; Sources'!$B$394:$J$400,0,1+2)),IF($AU37="Married",SUMPRODUCT(($AZ37&gt;INDEX('Methodology &amp; Sources'!$B$387:$J$389,0,7))*($AZ37-INDEX('Methodology &amp; Sources'!$B$387:$J$389,0,7))*INDEX('Methodology &amp; Sources'!$B$387:$J$389,0,7+2)),SUMPRODUCT(($AZ37&gt;INDEX('Methodology &amp; Sources'!$B$387:$J$389,0,4))*($AZ37-INDEX('Methodology &amp; Sources'!$B$387:$J$389,0,4))*INDEX('Methodology &amp; Sources'!$B$387:$J$389,0,4+2)))),IF($AN37="NJ",IF(Inputs!$C$77="B",SUMPRODUCT(($AZ37&gt;INDEX('Methodology &amp; Sources'!$B$405:$J$412,0,4))*($AZ37-INDEX('Methodology &amp; Sources'!$B$405:$J$412,0,4))*INDEX('Methodology &amp; Sources'!$B$405:$J$412,0,4+2)),IF(Inputs!$C$77="C",SUMPRODUCT(($AZ37&gt;INDEX('Methodology &amp; Sources'!$B$405:$J$412,0,7))*($AZ37-INDEX('Methodology &amp; Sources'!$B$405:$J$412,0,7))*INDEX('Methodology &amp; Sources'!$B$405:$J$412,0,7+2)),IF(Inputs!$C$77="D",SUMPRODUCT(($AZ37&gt;INDEX('Methodology &amp; Sources'!$B$417:$J$429,0,1))*($AZ37-INDEX('Methodology &amp; Sources'!$B$417:$J$429,0,1))*INDEX('Methodology &amp; Sources'!$B$417:$J$429,0,1+2)),IF(Inputs!$C$77="E",SUMPRODUCT(($AZ37&gt;INDEX('Methodology &amp; Sources'!$B$417:$J$429,0,4))*($AZ37-INDEX('Methodology &amp; Sources'!$B$417:$J$429,0,4))*INDEX('Methodology &amp; Sources'!$B$417:$J$429,0,4+2)),SUMPRODUCT(($AZ37&gt;INDEX('Methodology &amp; Sources'!$B$405:$J$412,0,1))*($AZ37-INDEX('Methodology &amp; Sources'!$B$405:$J$412,0,1))*INDEX('Methodology &amp; Sources'!$B$405:$J$412,0,1+2)))))),IF($AN37="NY",IF($AU37="Married",IF($AZ37&gt;=2155350,$AZ37*IF($AZ37&gt;25000000,0.117,IF($AZ37&gt;5000000,0.111,0.1045)),SUMPRODUCT(($AZ37&gt;INDEX('Methodology &amp; Sources'!$B$434:$J$448,0,1))*($AZ37-INDEX('Methodology &amp; Sources'!$B$434:$J$448,0,1))*INDEX('Methodology &amp; Sources'!$B$434:$J$448,0,1+2))),IF($AZ37&gt;=1077550,$AZ37*IF($AZ37&gt;25000000,0.117,IF($AZ37&gt;5000000,0.111,0.1045)),SUMPRODUCT(($AZ37&gt;INDEX('Methodology &amp; Sources'!$B$417:$J$429,0,7))*($AZ37-INDEX('Methodology &amp; Sources'!$B$417:$J$429,0,7))*INDEX('Methodology &amp; Sources'!$B$417:$J$429,0,7+2)))),"")))))))</f>
      </c>
      <c r="BX37" s="7">
        <f>IF($B37="","",IF($AN37="AL",IF(OR($AU37="Married",$AU37="Head of household"),SUMPRODUCT(($AZ37&gt;INDEX('Methodology &amp; Sources'!$B$332:$J$336,0,4))*($AZ37-INDEX('Methodology &amp; Sources'!$B$332:$J$336,0,4))*INDEX('Methodology &amp; Sources'!$B$332:$J$336,0,4+2)),SUMPRODUCT(($AZ37&gt;INDEX('Methodology &amp; Sources'!$B$332:$J$336,0,1))*($AZ37-INDEX('Methodology &amp; Sources'!$B$332:$J$336,0,1))*INDEX('Methodology &amp; Sources'!$B$332:$J$336,0,1+2))),IF($AN37="KS",IF($AU37="Married",SUMPRODUCT(($AZ37&gt;INDEX('Methodology &amp; Sources'!$B$353:$J$359,0,4))*($AZ37-INDEX('Methodology &amp; Sources'!$B$353:$J$359,0,4))*INDEX('Methodology &amp; Sources'!$B$353:$J$359,0,4+2)),SUMPRODUCT(($AZ37&gt;INDEX('Methodology &amp; Sources'!$B$353:$J$359,0,1))*($AZ37-INDEX('Methodology &amp; Sources'!$B$353:$J$359,0,1))*INDEX('Methodology &amp; Sources'!$B$353:$J$359,0,1+2))),IF($AN37="MN",IF($AU37="Married",SUMPRODUCT(($AZ37&gt;INDEX('Methodology &amp; Sources'!$B$364:$J$370,0,7))*($AZ37-INDEX('Methodology &amp; Sources'!$B$364:$J$370,0,7))*INDEX('Methodology &amp; Sources'!$B$364:$J$370,0,7+2)),SUMPRODUCT(($AZ37&gt;INDEX('Methodology &amp; Sources'!$B$364:$J$370,0,4))*($AZ37-INDEX('Methodology &amp; Sources'!$B$364:$J$370,0,4))*INDEX('Methodology &amp; Sources'!$B$364:$J$370,0,4+2))),IF($AN37="NE",MAX(IF($AU37="Married",SUMPRODUCT(($AZ37&gt;INDEX('Methodology &amp; Sources'!$B$394:$J$400,0,7))*($AZ37-INDEX('Methodology &amp; Sources'!$B$394:$J$400,0,7))*INDEX('Methodology &amp; Sources'!$B$394:$J$400,0,7+2)),SUMPRODUCT(($AZ37&gt;INDEX('Methodology &amp; Sources'!$B$394:$J$400,0,4))*($AZ37-INDEX('Methodology &amp; Sources'!$B$394:$J$400,0,4))*INDEX('Methodology &amp; Sources'!$B$394:$J$400,0,4+2))),0.015*$AZ37),IF($AN37="OH",IF($B37&gt;=DATE(2026,8,1),SUMPRODUCT(($AZ37&gt;INDEX('Methodology &amp; Sources'!$B$453:$J$456,0,1))*($AZ37-INDEX('Methodology &amp; Sources'!$B$453:$J$456,0,1))*INDEX('Methodology &amp; Sources'!$B$453:$J$456,0,1+2)),SUMPRODUCT(($AZ37&gt;INDEX('Methodology &amp; Sources'!$B$434:$J$448,0,7))*($AZ37-INDEX('Methodology &amp; Sources'!$B$434:$J$448,0,7))*INDEX('Methodology &amp; Sources'!$B$434:$J$448,0,7+2))),IF($AN37="OK",IF($AU37="Married",SUMPRODUCT(($AZ37&gt;INDEX('Methodology &amp; Sources'!$B$453:$J$456,0,7))*($AZ37-INDEX('Methodology &amp; Sources'!$B$453:$J$456,0,7))*INDEX('Methodology &amp; Sources'!$B$453:$J$456,0,7+2)),SUMPRODUCT(($AZ37&gt;INDEX('Methodology &amp; Sources'!$B$453:$J$456,0,4))*($AZ37-INDEX('Methodology &amp; Sources'!$B$453:$J$456,0,4))*INDEX('Methodology &amp; Sources'!$B$453:$J$456,0,4+2))),IF($AN37="RI",SUMPRODUCT(($AZ37&gt;INDEX('Methodology &amp; Sources'!$B$461:$J$464,0,7))*($AZ37-INDEX('Methodology &amp; Sources'!$B$461:$J$464,0,7))*INDEX('Methodology &amp; Sources'!$B$461:$J$464,0,7+2)),IF($AN37="VT",IF($AU37="Married",SUMPRODUCT(($AZ37&gt;INDEX('Methodology &amp; Sources'!$B$478:$J$482,0,1))*($AZ37-INDEX('Methodology &amp; Sources'!$B$478:$J$482,0,1))*INDEX('Methodology &amp; Sources'!$B$478:$J$482,0,1+2)),SUMPRODUCT(($AZ37&gt;INDEX('Methodology &amp; Sources'!$B$469:$J$473,0,7))*($AZ37-INDEX('Methodology &amp; Sources'!$B$469:$J$473,0,7))*INDEX('Methodology &amp; Sources'!$B$469:$J$473,0,7+2))),IF($AN37="WV",IF($AU37="Married",SUMPRODUCT(($AZ37&gt;INDEX('Methodology &amp; Sources'!$B$487:$J$491,0,7))*($AZ37-INDEX('Methodology &amp; Sources'!$B$487:$J$491,0,7))*INDEX('Methodology &amp; Sources'!$B$487:$J$491,0,7+2)),SUMPRODUCT(($AZ37&gt;INDEX('Methodology &amp; Sources'!$B$478:$J$482,0,7))*($AZ37-INDEX('Methodology &amp; Sources'!$B$478:$J$482,0,7))*INDEX('Methodology &amp; Sources'!$B$478:$J$482,0,7+2))),""))))))))))</f>
      </c>
      <c r="BY37" s="7">
        <f>IF($B37="","",IF($AN37="AR",SUMPRODUCT(($AZ37&gt;INDEX('Methodology &amp; Sources'!$B$332:$J$336,0,7))*($AZ37-INDEX('Methodology &amp; Sources'!$B$332:$J$336,0,7))*INDEX('Methodology &amp; Sources'!$B$332:$J$336,0,7+2)),IF($AN37="DE",SUMPRODUCT(($AZ37&gt;INDEX('Methodology &amp; Sources'!$B$341:$J$348,0,1))*($AZ37-INDEX('Methodology &amp; Sources'!$B$341:$J$348,0,1))*INDEX('Methodology &amp; Sources'!$B$341:$J$348,0,1+2)),IF($AN37="HI",IF($AU37="Married",SUMPRODUCT(($AZ37&gt;INDEX('Methodology &amp; Sources'!$B$341:$J$348,0,7))*($AZ37-INDEX('Methodology &amp; Sources'!$B$341:$J$348,0,7))*INDEX('Methodology &amp; Sources'!$B$341:$J$348,0,7+2)),SUMPRODUCT(($AZ37&gt;INDEX('Methodology &amp; Sources'!$B$341:$J$348,0,4))*($AZ37-INDEX('Methodology &amp; Sources'!$B$341:$J$348,0,4))*INDEX('Methodology &amp; Sources'!$B$341:$J$348,0,4+2))),IF($AN37="SC",SUMPRODUCT(($AZ37&gt;INDEX('Methodology &amp; Sources'!$B$469:$J$473,0,1))*($AZ37-INDEX('Methodology &amp; Sources'!$B$469:$J$473,0,1))*INDEX('Methodology &amp; Sources'!$B$469:$J$473,0,1+2)),IF($AN37="VA",SUMPRODUCT(($AZ37&gt;INDEX('Methodology &amp; Sources'!$B$469:$J$473,0,4))*($AZ37-INDEX('Methodology &amp; Sources'!$B$469:$J$473,0,4))*INDEX('Methodology &amp; Sources'!$B$469:$J$473,0,4+2)),IF($AN37="WI",SUMPRODUCT(($AZ37&gt;INDEX('Methodology &amp; Sources'!$B$478:$J$482,0,4))*($AZ37-INDEX('Methodology &amp; Sources'!$B$478:$J$482,0,4))*INDEX('Methodology &amp; Sources'!$B$478:$J$482,0,4+2)),"")))))))</f>
      </c>
      <c r="BZ37" s="24">
        <f>IF($B37="","",IF($AN37="NJ",IF(Inputs!$C$77="B",SUMPRODUCT(($AZ37&gt;=INDEX('Methodology &amp; Sources'!$B$405:$J$412,0,4))*INDEX('Methodology &amp; Sources'!$B$405:$J$412,0,4+2)),IF(Inputs!$C$77="C",SUMPRODUCT(($AZ37&gt;=INDEX('Methodology &amp; Sources'!$B$405:$J$412,0,7))*INDEX('Methodology &amp; Sources'!$B$405:$J$412,0,7+2)),IF(Inputs!$C$77="D",SUMPRODUCT(($AZ37&gt;=INDEX('Methodology &amp; Sources'!$B$417:$J$429,0,1))*INDEX('Methodology &amp; Sources'!$B$417:$J$429,0,1+2)),IF(Inputs!$C$77="E",SUMPRODUCT(($AZ37&gt;=INDEX('Methodology &amp; Sources'!$B$417:$J$429,0,4))*INDEX('Methodology &amp; Sources'!$B$417:$J$429,0,4+2)),SUMPRODUCT(($AZ37&gt;=INDEX('Methodology &amp; Sources'!$B$405:$J$412,0,1))*INDEX('Methodology &amp; Sources'!$B$405:$J$412,0,1+2)))))),IF($AN37="OR",IF(OR($AU37="Married",AND($AU37="Single",$AS37&gt;=3)),SUMPRODUCT((MAX(0,$AY37-MIN(($P37-'Methodology &amp; Sources'!$C$260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Sources'!$B$461:$J$464,0,4))*INDEX('Methodology &amp; Sources'!$B$461:$J$464,0,4+2)),SUMPRODUCT((MAX(0,$AY37-MIN(($P37-'Methodology &amp; Sources'!$C$260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Sources'!$B$461:$J$464,0,1))*INDEX('Methodology &amp; Sources'!$B$461:$J$464,0,1+2)))*IF(($P37-'Methodology &amp; Sources'!$C$260*$D37)*Inputs!$C$8&gt;=IF(OR($AU37="Married",AND($AU37="Single",$AS37&gt;=3)),IF($AY37&lt;250000,8750,IF($AY37&lt;260000,7000,IF($AY37&lt;270000,5250,IF($AY37&lt;280000,3500,IF($AY37&lt;290000,1750,0))))),IF($AY37&lt;125000,8750,IF($AY37&lt;130000,7000,IF($AY37&lt;135000,5250,IF($AY37&lt;140000,3500,IF($AY37&lt;145000,1750,0)))))),1,1-IF(Inputs!$C$13,SUMPRODUCT(($AH37&gt;=INDEX('Methodology &amp; Sources'!$B$279:$J$286,0,IF(Inputs!$C$12="MFJ",1,IF(Inputs!$C$12="HoH",7,4))))*INDEX('Methodology &amp; Sources'!$B$279:$J$286,0,IF(Inputs!$C$12="MFJ",1,IF(Inputs!$C$12="HoH",7,4))+2)),SUMPRODUCT(($AH37&gt;=INDEX('Methodology &amp; Sources'!$B$269:$J$276,0,IF(Inputs!$C$12="MFJ",1,IF(Inputs!$C$12="HoH",7,4))))*INDEX('Methodology &amp; Sources'!$B$269:$J$276,0,IF(Inputs!$C$12="MFJ",1,IF(Inputs!$C$12="HoH",7,4))+2)))),IF($AN37="MI",IF($AY37&gt;5900*$AS37,0.0425,0),""))))</f>
      </c>
      <c r="CA37" s="24">
        <f>IF($B37="","",IF($AN37="AL",IF(OR($AU37="Married",$AU37="Head of household"),SUMPRODUCT(($AZ37&gt;=INDEX('Methodology &amp; Sources'!$B$332:$J$336,0,4))*INDEX('Methodology &amp; Sources'!$B$332:$J$336,0,4+2)),SUMPRODUCT(($AZ37&gt;=INDEX('Methodology &amp; Sources'!$B$332:$J$336,0,1))*INDEX('Methodology &amp; Sources'!$B$332:$J$336,0,1+2)))*(1-IF(Inputs!$C$13,SUMPRODUCT(($AH37&gt;=INDEX('Methodology &amp; Sources'!$B$279:$J$286,0,IF(Inputs!$C$12="MFJ",1,IF(Inputs!$C$12="HoH",7,4))))*INDEX('Methodology &amp; Sources'!$B$279:$J$286,0,IF(Inputs!$C$12="MFJ",1,IF(Inputs!$C$12="HoH",7,4))+2)),SUMPRODUCT(($AH37&gt;=INDEX('Methodology &amp; Sources'!$B$269:$J$276,0,IF(Inputs!$C$12="MFJ",1,IF(Inputs!$C$12="HoH",7,4))))*INDEX('Methodology &amp; Sources'!$B$269:$J$276,0,IF(Inputs!$C$12="MFJ",1,IF(Inputs!$C$12="HoH",7,4))+2)))),IF($AN37="KS",IF($AU37="Married",SUMPRODUCT(($AZ37&gt;=INDEX('Methodology &amp; Sources'!$B$353:$J$359,0,4))*INDEX('Methodology &amp; Sources'!$B$353:$J$359,0,4+2)),SUMPRODUCT(($AZ37&gt;=INDEX('Methodology &amp; Sources'!$B$353:$J$359,0,1))*INDEX('Methodology &amp; Sources'!$B$353:$J$359,0,1+2))),IF($AN37="MD",IF(OR($AU37="Married",$AU37="Head of household"),SUMPRODUCT(($AZ37&gt;=INDEX('Methodology &amp; Sources'!$B$364:$J$370,0,1))*INDEX('Methodology &amp; Sources'!$B$364:$J$370,0,1+2)),SUMPRODUCT(($AZ37&gt;=INDEX('Methodology &amp; Sources'!$B$353:$J$359,0,7))*INDEX('Methodology &amp; Sources'!$B$353:$J$359,0,7+2)))+Inputs!$C$74,IF($AN37="MT",IF($AU37="Head of household",SUMPRODUCT(($AZ37&gt;=INDEX('Methodology &amp; Sources'!$B$387:$J$389,0,1))*INDEX('Methodology &amp; Sources'!$B$387:$J$389,0,1+2)),IF($AU37="Married",SUMPRODUCT(($AZ37&gt;=INDEX('Methodology &amp; Sources'!$B$375:$J$382,0,7))*INDEX('Methodology &amp; Sources'!$B$375:$J$382,0,7+2)),SUMPRODUCT(($AZ37&gt;=INDEX('Methodology &amp; Sources'!$B$375:$J$382,0,4))*INDEX('Methodology &amp; Sources'!$B$375:$J$382,0,4+2)))),IF($AN37="ND",IF($AU37="Head of household",SUMPRODUCT(($AZ37&gt;=INDEX('Methodology &amp; Sources'!$B$394:$J$400,0,1))*INDEX('Methodology &amp; Sources'!$B$394:$J$400,0,1+2)),IF($AU37="Married",SUMPRODUCT(($AZ37&gt;=INDEX('Methodology &amp; Sources'!$B$387:$J$389,0,7))*INDEX('Methodology &amp; Sources'!$B$387:$J$389,0,7+2)),SUMPRODUCT(($AZ37&gt;=INDEX('Methodology &amp; Sources'!$B$387:$J$389,0,4))*INDEX('Methodology &amp; Sources'!$B$387:$J$389,0,4+2)))),IF($AN37="NY",IF($AU37="Married",IF($AZ37&gt;=2155350,IF($AZ37&gt;25000000,0.117,IF($AZ37&gt;5000000,0.111,0.1045)),SUMPRODUCT(($AZ37&gt;=INDEX('Methodology &amp; Sources'!$B$434:$J$448,0,1))*INDEX('Methodology &amp; Sources'!$B$434:$J$448,0,1+2))),IF($AZ37&gt;=1077550,IF($AZ37&gt;25000000,0.117,IF($AZ37&gt;5000000,0.111,0.1045)),SUMPRODUCT(($AZ37&gt;=INDEX('Methodology &amp; Sources'!$B$417:$J$429,0,7))*INDEX('Methodology &amp; Sources'!$B$417:$J$429,0,7+2)))),"")))))))</f>
      </c>
      <c r="CB37" s="24">
        <f>IF($B37="","",IF($AN37="CA",SUMPRODUCT(($AJ37&gt;=INDEX('Methodology &amp; Sources'!$B$289:$J$298,0,IF($AU37="Married",4,IF($AU37="Head of household",7,1))))*INDEX('Methodology &amp; Sources'!$B$289:$J$298,0,IF($AU37="Married",4,IF($AU37="Head of household",7,1))+2)),IF($AN37="HI",IF($AU37="Married",SUMPRODUCT(($AZ37&gt;=INDEX('Methodology &amp; Sources'!$B$341:$J$348,0,7))*INDEX('Methodology &amp; Sources'!$B$341:$J$348,0,7+2)),SUMPRODUCT(($AZ37&gt;=INDEX('Methodology &amp; Sources'!$B$341:$J$348,0,4))*INDEX('Methodology &amp; Sources'!$B$341:$J$348,0,4+2))),IF($AN37="MN",IF($AU37="Married",SUMPRODUCT(($AZ37&gt;=INDEX('Methodology &amp; Sources'!$B$364:$J$370,0,7))*INDEX('Methodology &amp; Sources'!$B$364:$J$370,0,7+2)),SUMPRODUCT(($AZ37&gt;=INDEX('Methodology &amp; Sources'!$B$364:$J$370,0,4))*INDEX('Methodology &amp; Sources'!$B$364:$J$370,0,4+2))),IF($AN37="MO",SUMPRODUCT(($AZ37&gt;=INDEX('Methodology &amp; Sources'!$B$375:$J$382,0,1))*INDEX('Methodology &amp; Sources'!$B$375:$J$382,0,1+2)),IF($AN37="NE",MAX(IF($AU37="Married",SUMPRODUCT(($AZ37&gt;=INDEX('Methodology &amp; Sources'!$B$394:$J$400,0,7))*INDEX('Methodology &amp; Sources'!$B$394:$J$400,0,7+2)),SUMPRODUCT(($AZ37&gt;=INDEX('Methodology &amp; Sources'!$B$394:$J$400,0,4))*INDEX('Methodology &amp; Sources'!$B$394:$J$400,0,4+2))),0.015),IF($AN37="OH",IF($B37&gt;=DATE(2026,8,1),SUMPRODUCT(($AZ37&gt;=INDEX('Methodology &amp; Sources'!$B$453:$J$456,0,1))*INDEX('Methodology &amp; Sources'!$B$453:$J$456,0,1+2)),SUMPRODUCT(($AZ37&gt;=INDEX('Methodology &amp; Sources'!$B$434:$J$448,0,7))*INDEX('Methodology &amp; Sources'!$B$434:$J$448,0,7+2))),IF($AN37="OK",IF($AU37="Married",SUMPRODUCT(($AZ37&gt;=INDEX('Methodology &amp; Sources'!$B$453:$J$456,0,7))*INDEX('Methodology &amp; Sources'!$B$453:$J$456,0,7+2)),SUMPRODUCT(($AZ37&gt;=INDEX('Methodology &amp; Sources'!$B$453:$J$456,0,4))*INDEX('Methodology &amp; Sources'!$B$453:$J$456,0,4+2))),IF($AN37="RI",SUMPRODUCT(($AZ37&gt;=INDEX('Methodology &amp; Sources'!$B$461:$J$464,0,7))*INDEX('Methodology &amp; Sources'!$B$461:$J$464,0,7+2)),IF($AN37="SC",SUMPRODUCT(($AZ37&gt;=INDEX('Methodology &amp; Sources'!$B$469:$J$473,0,1))*INDEX('Methodology &amp; Sources'!$B$469:$J$473,0,1+2)),IF($AN37="VT",IF($AU37="Married",SUMPRODUCT(($AZ37&gt;=INDEX('Methodology &amp; Sources'!$B$478:$J$482,0,1))*INDEX('Methodology &amp; Sources'!$B$478:$J$482,0,1+2)),SUMPRODUCT(($AZ37&gt;=INDEX('Methodology &amp; Sources'!$B$469:$J$473,0,7))*INDEX('Methodology &amp; Sources'!$B$469:$J$473,0,7+2))),IF($AN37="WV",IF($AU37="Married",SUMPRODUCT(($AZ37&gt;=INDEX('Methodology &amp; Sources'!$B$487:$J$491,0,7))*INDEX('Methodology &amp; Sources'!$B$487:$J$491,0,7+2)),SUMPRODUCT(($AZ37&gt;=INDEX('Methodology &amp; Sources'!$B$478:$J$482,0,7))*INDEX('Methodology &amp; Sources'!$B$478:$J$482,0,7+2))),IF($AN37="IN",(0.0295+Inputs!$C$76),"")))))))))))))</f>
      </c>
      <c r="CC37" s="24">
        <f>IF($B37="","",IF($AN37="AR",SUMPRODUCT(($AZ37&gt;=INDEX('Methodology &amp; Sources'!$B$332:$J$336,0,7))*INDEX('Methodology &amp; Sources'!$B$332:$J$336,0,7+2)),IF($AN37="DE",SUMPRODUCT(($AZ37&gt;=INDEX('Methodology &amp; Sources'!$B$341:$J$348,0,1))*INDEX('Methodology &amp; Sources'!$B$341:$J$348,0,1+2)),IF($AN37="VA",SUMPRODUCT(($AZ37&gt;=INDEX('Methodology &amp; Sources'!$B$469:$J$473,0,4))*INDEX('Methodology &amp; Sources'!$B$469:$J$473,0,4+2)),IF($AN37="WI",SUMPRODUCT(($AZ37&gt;=INDEX('Methodology &amp; Sources'!$B$478:$J$482,0,4))*INDEX('Methodology &amp; Sources'!$B$478:$J$482,0,4+2)),IF($AN37="AZ",Inputs!$C$82,IF($AN37="CO",IF($AY37&gt;IF($AU37="Married",10000,5000),0.044,0),IF($AN37="IA",IF($AY37&gt;IF($AU37="Head of household",19500,IF($AU37="Married",26000,13000)),0.038,0),IF($AN37="ID",IF($AY37&gt;IF($AU37="Married",32000,16094),0.053,0),IF($AN37="IL",IF($AY37&gt;(2925*$AS37+1000*$AT37),0.0495,0),IF($AN37="KY",IF($AI37&gt;3360,0.035,0),IF($AN37="LA",0.0309,IF($AN37="MA",IF(MAX(0,$AY37-MIN(($BD36+$Q37+$R37+$S37),2000)-IF($AS37=0,0,IF($AS37=1,4400,1000*$AS37+3400)))&gt;=1107750,0.09,0.05),IF($AN37="MS",IF($AI37-IF($AU37="Head of household",3400,IF($AU37="Married",4600,2300))-Inputs!$C$85&gt;10000,0.04,0),IF($AN37="PA",0.0307,"")))))))))))))))</f>
      </c>
      <c r="CD37" s="21">
        <f>IF(YEAR(IF(Inputs!$C$7="Weekly",Inputs!$C$9+7*(($BE36+1)-1),IF(Inputs!$C$7="Biweekly",Inputs!$C$9+14*(($BE36+1)-1),IF(Inputs!$C$7="Semimonthly",DATE(YEAR(Inputs!$C$9),MONTH(Inputs!$C$9)+INT((($BE36+1)-1)/2),MIN(DAY(Inputs!$C$9),DAY(EOMONTH(DATE(YEAR(Inputs!$C$9),MONTH(Inputs!$C$9)+INT((($BE36+1)-1)/2),1),0))))+IF(MOD(($BE36+1)-1,2)=1,15,0),EDATE(Inputs!$C$9,($BE36+1)-1)))))&lt;&gt;2026,"",IF(Inputs!$C$7="Weekly",Inputs!$C$9+7*(($BE36+1)-1),IF(Inputs!$C$7="Biweekly",Inputs!$C$9+14*(($BE36+1)-1),IF(Inputs!$C$7="Semimonthly",DATE(YEAR(Inputs!$C$9),MONTH(Inputs!$C$9)+INT((($BE36+1)-1)/2),MIN(DAY(Inputs!$C$9),DAY(EOMONTH(DATE(YEAR(Inputs!$C$9),MONTH(Inputs!$C$9)+INT((($BE36+1)-1)/2),1),0))))+IF(MOD(($BE36+1)-1,2)=1,15,0),EDATE(Inputs!$C$9,($BE36+1)-1)))))</f>
      </c>
      <c r="CE37" s="21">
        <f>IF(SUMPRODUCT(MIN(IF((Inputs!$C$58:$C$67&gt;MAX($B$6:$B36))*(Inputs!$C$58:$C$67&gt;=DATE(2026,1,1))*(Inputs!$C$58:$C$67&lt;=DATE(2026,12,31)),Inputs!$C$58:$C$67,999999)))=999999,"",SUMPRODUCT(MIN(IF((Inputs!$C$58:$C$67&gt;MAX($B$6:$B36))*(Inputs!$C$58:$C$67&gt;=DATE(2026,1,1))*(Inputs!$C$58:$C$67&lt;=DATE(2026,12,31)),Inputs!$C$58:$C$67,999999))))</f>
      </c>
    </row>
    <row r="38">
      <c r="A38" t="n">
        <v>33</v>
      </c>
      <c r="B38" s="21">
        <f>IF(AND($CD38="",$CE38=""),"",IF($CE38="",$CD38,IF($CD38="",$CE38,MIN($CD38,$CE38))))</f>
      </c>
      <c r="C38" s="7">
        <f>IF($B38="","",IF($BF38=0,0,IF(Inputs!$C$4="Annual salary",ROUND($AK38/IF(AND(Inputs!$C$88="Actual paydays",MONTH(Inputs!$C$9)=1),MAX(1,MAX($BE$6:$BE$68)),Inputs!$C$8),2),$AK38)))</f>
      </c>
      <c r="D38" s="7">
        <f>IF($B38="","",SUMIF(Inputs!$C$58:$C$67,$B38,Inputs!$D$58:$D$67))</f>
      </c>
      <c r="E38" s="7">
        <f>IF($B38="","",ROUND(MAX(0,MIN(IF($AL38="Percent",$AM38*($C38+$D38),$AM38),MAX(0,Inputs!$C$91-$AC37))),2))</f>
      </c>
      <c r="F38" s="7">
        <f>IF($B38="","",ROUND(MAX(0,MIN(IF(Inputs!$C$32="Percent",Inputs!$D$32*($C38+$D38),Inputs!$D$32),MAX(0,Inputs!$C$91-$AC37-$E38))),2))</f>
      </c>
      <c r="G38" s="7">
        <f>IF($B38="","",IF($BF38=0,0,ROUND(MAX(0,MIN($BL38,Inputs!$C$92-Inputs!$C$54-$BI37)),2)))</f>
      </c>
      <c r="H38" s="7">
        <f>IF($B38="","",IF(OR($BF38=0,$BQ38=1),0,ROUND(MAX(0,MIN(IF($BS38=1,ROUND(MAX(0,MIN($BJ38,'Methodology &amp; Sources'!$C$263)-$BG37)/MAX(1,MAX($BE$6:$BE$68)-($BE37)),2),ROUND(MIN($BJ38,'Methodology &amp; Sources'!$C$263)/Inputs!$C$8,2)),MIN($BJ38,'Methodology &amp; Sources'!$C$263)-$BG37)),2)))</f>
      </c>
      <c r="I38" s="7">
        <f>IF($B38="","",IF(OR($BF38=0,$BR38=1),0,ROUND(MAX(0,MIN(IF($BT38=1,ROUND(MAX(0,MIN($BK38,IF(Inputs!$C$12="MFJ",'Methodology &amp; Sources'!$C$264,'Methodology &amp; Sources'!$C$265))-$BH37)/MAX(1,MAX($BE$6:$BE$68)-($BE37)),2),ROUND(MIN($BK38,IF(Inputs!$C$12="MFJ",'Methodology &amp; Sources'!$C$264,'Methodology &amp; Sources'!$C$265))/Inputs!$C$8,2)),MIN($BK38,IF(Inputs!$C$12="MFJ",'Methodology &amp; Sources'!$C$264,'Methodology &amp; Sources'!$C$265))-$BH37)),2)))</f>
      </c>
      <c r="J38" s="7">
        <f>IF($B38="","",IF($BF38=0,0,$BM38))</f>
      </c>
      <c r="K38" s="7">
        <f>IF($B38="","",IF($BF38=0,0,$BN38+$BO38))</f>
      </c>
      <c r="L38" s="7">
        <f>IF($B38="","",IF($BF38=0,0,Inputs!$D$46))</f>
      </c>
      <c r="M38" s="7">
        <f>IF($B38="","",$C38+$D38+$L38-$E38-$G38-$H38-$I38-$J38-$K38)</f>
      </c>
      <c r="N38" s="7">
        <f>IF($B38="","",$C38+$D38+$L38-$G38-$H38-$I38-$J38-$K38)</f>
      </c>
      <c r="O38" s="7">
        <f>IF($B38="","",$C38+$D38+$L38-$E38-$H38-$I38-$J38-$K38-IF(OR($AN38="CA",$AN38="NJ"),0,$G38))</f>
      </c>
      <c r="P38" s="7">
        <f>IF($B38="","",IF(Inputs!$C$18,0,ROUND(MAX(0,IF(Inputs!$C$13,SUMPRODUCT(($AH38&gt;INDEX('Methodology &amp; Sources'!$B$279:$J$286,0,IF(Inputs!$C$12="MFJ",1,IF(Inputs!$C$12="HoH",7,4))))*($AH38-INDEX('Methodology &amp; Sources'!$B$279:$J$286,0,IF(Inputs!$C$12="MFJ",1,IF(Inputs!$C$12="HoH",7,4))))*INDEX('Methodology &amp; Sources'!$B$279:$J$286,0,IF(Inputs!$C$12="MFJ",1,IF(Inputs!$C$12="HoH",7,4))+2)),SUMPRODUCT(($AH38&gt;INDEX('Methodology &amp; Sources'!$B$269:$J$276,0,IF(Inputs!$C$12="MFJ",1,IF(Inputs!$C$12="HoH",7,4))))*($AH38-INDEX('Methodology &amp; Sources'!$B$269:$J$276,0,IF(Inputs!$C$12="MFJ",1,IF(Inputs!$C$12="HoH",7,4))))*INDEX('Methodology &amp; Sources'!$B$269:$J$276,0,IF(Inputs!$C$12="MFJ",1,IF(Inputs!$C$12="HoH",7,4))+2)))/Inputs!$C$8-$AO38/Inputs!$C$8)+$AR38+IF(Inputs!$C$89="Aggregate",MAX(0,IF(Inputs!$C$13,SUMPRODUCT((($AH38+$D38)&gt;INDEX('Methodology &amp; Sources'!$B$279:$J$286,0,IF(Inputs!$C$12="MFJ",1,IF(Inputs!$C$12="HoH",7,4))))*(($AH38+$D38)-INDEX('Methodology &amp; Sources'!$B$279:$J$286,0,IF(Inputs!$C$12="MFJ",1,IF(Inputs!$C$12="HoH",7,4))))*INDEX('Methodology &amp; Sources'!$B$279:$J$286,0,IF(Inputs!$C$12="MFJ",1,IF(Inputs!$C$12="HoH",7,4))+2)),SUMPRODUCT((($AH38+$D38)&gt;INDEX('Methodology &amp; Sources'!$B$269:$J$276,0,IF(Inputs!$C$12="MFJ",1,IF(Inputs!$C$12="HoH",7,4))))*(($AH38+$D38)-INDEX('Methodology &amp; Sources'!$B$269:$J$276,0,IF(Inputs!$C$12="MFJ",1,IF(Inputs!$C$12="HoH",7,4))))*INDEX('Methodology &amp; Sources'!$B$269:$J$276,0,IF(Inputs!$C$12="MFJ",1,IF(Inputs!$C$12="HoH",7,4))+2)))-IF(Inputs!$C$13,SUMPRODUCT(($AH38&gt;INDEX('Methodology &amp; Sources'!$B$279:$J$286,0,IF(Inputs!$C$12="MFJ",1,IF(Inputs!$C$12="HoH",7,4))))*($AH38-INDEX('Methodology &amp; Sources'!$B$279:$J$286,0,IF(Inputs!$C$12="MFJ",1,IF(Inputs!$C$12="HoH",7,4))))*INDEX('Methodology &amp; Sources'!$B$279:$J$286,0,IF(Inputs!$C$12="MFJ",1,IF(Inputs!$C$12="HoH",7,4))+2)),SUMPRODUCT(($AH38&gt;INDEX('Methodology &amp; Sources'!$B$269:$J$276,0,IF(Inputs!$C$12="MFJ",1,IF(Inputs!$C$12="HoH",7,4))))*($AH38-INDEX('Methodology &amp; Sources'!$B$269:$J$276,0,IF(Inputs!$C$12="MFJ",1,IF(Inputs!$C$12="HoH",7,4))))*INDEX('Methodology &amp; Sources'!$B$269:$J$276,0,IF(Inputs!$C$12="MFJ",1,IF(Inputs!$C$12="HoH",7,4))+2)))),'Methodology &amp; Sources'!$C$260*$D38),2)))</f>
      </c>
      <c r="Q38" s="7">
        <f>IF($B38="","",ROUND('Methodology &amp; Sources'!$C$254*MIN($N38,MAX(0,'Methodology &amp; Sources'!$C$253-($AX38+$AB37-$AW38))),2))</f>
      </c>
      <c r="R38" s="7">
        <f>IF($B38="","",ROUND('Methodology &amp; Sources'!$C$255*$N38,2))</f>
      </c>
      <c r="S38" s="7">
        <f>IF($B38="","",ROUND('Methodology &amp; Sources'!$C$256*MAX(0,MIN($N38,$AG37+$N38-'Methodology &amp; Sources'!$C$257)),2))</f>
      </c>
      <c r="T38" s="7">
        <f>IF($B38="","",IF(Inputs!$C$26,0,IF($AN38="CA",ROUND(IF($AI38&lt;=IF(($AS38+$AT38)&gt;=2,VLOOKUP($AN38,'StateTables 2026'!$A$6:$AB$56,10,FALSE),VLOOKUP($AN38,'StateTables 2026'!$A$6:$AB$56,9,FALSE)),0,MAX(0,SUMPRODUCT(($AJ38&gt;INDEX('Methodology &amp; Sources'!$B$289:$J$298,0,IF($AU38="Married",4,IF($AU38="Head of household",7,1))))*($AJ38-INDEX('Methodology &amp; Sources'!$B$289:$J$298,0,IF($AU38="Married",4,IF($AU38="Head of household",7,1))))*INDEX('Methodology &amp; Sources'!$B$289:$J$298,0,IF($AU38="Married",4,IF($AU38="Head of household",7,1))+2))-VLOOKUP($AN38,'StateTables 2026'!$A$6:$AB$56,11,FALSE)*$AS38)/Inputs!$C$8)+Inputs!$C$25+VLOOKUP($AN38,'StateTables 2026'!$A$6:$AB$56,13,FALSE)*$D38,2),IF(VLOOKUP($AN38,'StateTables 2026'!$A$6:$AB$56,4,FALSE)="None",0,IF(ISNUMBER(SEARCH("MANUAL",VLOOKUP($AN38,'StateTables 2026'!$A$6:$AB$56,5,FALSE))),Inputs!$C$28,ROUND(MAX(0,$BA38+$BB38)/Inputs!$C$8+Inputs!$C$25+$BC38,2))))))</f>
      </c>
      <c r="U38" s="7">
        <f>IF($B38="","",IF(VLOOKUP($AN38,'StateTables 2026'!$A$6:$AB$56,24,FALSE)="flatq",IF(OR(MONTH($B38)=1,MONTH($B38)=4,MONTH($B38)=7,MONTH($B38)=10),VLOOKUP($AN38,'StateTables 2026'!$A$6:$AB$56,25,FALSE),0),IF(VLOOKUP($AN38,'StateTables 2026'!$A$6:$AB$56,24,FALSE)="dbl",MIN(ROUND(0.005*$N38,2),ROUND(0.6*52/Inputs!$C$8,2)),IF(OR(VLOOKUP($AN38,'StateTables 2026'!$A$6:$AB$56,15,FALSE)="",VLOOKUP($AN38,'StateTables 2026'!$A$6:$AB$56,15,FALSE)=0),0,ROUND(VLOOKUP($AN38,'StateTables 2026'!$A$6:$AB$56,15,FALSE)*IF(OR(VLOOKUP($AN38,'StateTables 2026'!$A$6:$AB$56,16,FALSE)="",VLOOKUP($AN38,'StateTables 2026'!$A$6:$AB$56,16,FALSE)=0),$N38,MIN($N38,MAX(0,VLOOKUP($AN38,'StateTables 2026'!$A$6:$AB$56,16,FALSE)-($AX38+$AB37-$AW38)))),2))))+IF(VLOOKUP($AN38,'StateTables 2026'!$A$6:$AB$56,27,FALSE)="flatq",IF(OR(MONTH($B38)=1,MONTH($B38)=4,MONTH($B38)=7,MONTH($B38)=10),VLOOKUP($AN38,'StateTables 2026'!$A$6:$AB$56,28,FALSE),0),IF(VLOOKUP($AN38,'StateTables 2026'!$A$6:$AB$56,27,FALSE)="dbl",MIN(ROUND(0.005*$N38,2),ROUND(0.6*52/Inputs!$C$8,2)),IF(OR(VLOOKUP($AN38,'StateTables 2026'!$A$6:$AB$56,18,FALSE)="",VLOOKUP($AN38,'StateTables 2026'!$A$6:$AB$56,18,FALSE)=0),0,ROUND(VLOOKUP($AN38,'StateTables 2026'!$A$6:$AB$56,18,FALSE)*IF(OR(VLOOKUP($AN38,'StateTables 2026'!$A$6:$AB$56,19,FALSE)="",VLOOKUP($AN38,'StateTables 2026'!$A$6:$AB$56,19,FALSE)=0),$N38,MIN($N38,MAX(0,VLOOKUP($AN38,'StateTables 2026'!$A$6:$AB$56,19,FALSE)-($AX38+$AB37-$AW38)))),2)))))</f>
      </c>
      <c r="V38" s="7">
        <f>IF($B38="","",IF($AN38="NY",IF(Inputs!$C$78,ROUND(SUMPRODUCT((MAX(0,($O38-$D38)*Inputs!$C$8-(IF($AU38="Married",5500,5000)+1000*$AS38))&gt;INDEX('Methodology &amp; Sources'!$B$434:$J$448,0,4))*(MAX(0,($O38-$D38)*Inputs!$C$8-(IF($AU38="Married",5500,5000)+1000*$AS38))-INDEX('Methodology &amp; Sources'!$B$434:$J$448,0,4))*INDEX('Methodology &amp; Sources'!$B$434:$J$448,0,4+2))/Inputs!$C$8+0.0425*$D38,2),0)+IF(Inputs!$C$79="Resident",ROUND(0.1675*$T38,2),IF(Inputs!$C$79="Nonresident",ROUND(0.005*MAX(0,($O38-$D38)-(IF($AU38="Married",7950,7400)+1000*$AS38)/Inputs!$C$8),2),0)),IF($AN38="PA",IF(Inputs!$C$80="None",Inputs!$C$27+ROUND(Inputs!$C$81*($C38+$D38),2),ROUND(IF(Inputs!$C$80="Resident",IF($B38&lt;DATE(2026,7,1),0.0374,0.03735),IF($B38&lt;DATE(2026,7,1),0.0343,0.03425))*($C38+$D38),2)),IF($BF38=0,ROUND(Inputs!$C$81*($C38+$D38),2),Inputs!$C$27+ROUND(Inputs!$C$81*($C38+$D38),2)))))</f>
      </c>
      <c r="W38" s="7">
        <f>IF($B38="","",IF($BF38=0,0,$BP38))</f>
      </c>
      <c r="X38" s="7">
        <f>IF($B38="","",SUM($E38:$K38)+$P38+$Q38+$R38+$S38+$T38+$U38+$V38+$W38)</f>
      </c>
      <c r="Y38" s="22">
        <f>IF($B38="","",$C38+$D38-$X38)</f>
      </c>
      <c r="Z38" s="7">
        <f>IF($B38="","",$Z37+$C38+$D38)</f>
      </c>
      <c r="AA38" s="7">
        <f>IF($B38="","",$AA37+$Y38)</f>
      </c>
      <c r="AB38" s="7">
        <f>IF($B38="","",$AB37+MIN($N38,MAX(0,'Methodology &amp; Sources'!$C$253-($AX38+$AB37-$AW38))))</f>
      </c>
      <c r="AC38" s="7">
        <f>IF($B38="","",$AC37+$E38+$F38)</f>
      </c>
      <c r="AD38" s="3">
        <f>IF($B38="","",IF(AND($AB37&lt;'Methodology &amp; Sources'!$C$253,$AB38&gt;='Methodology &amp; Sources'!$C$253),"★ Social Security maxed on this check — from the next check your net rises by about $"&amp;TEXT(ROUND('Methodology &amp; Sources'!$C$254*$N38,2),"#,##0.00")&amp;". ","")&amp;IF(AND($AC37&lt;Inputs!$C$91,$AC38&gt;=Inputs!$C$91),"★ 401(k) reaches the $"&amp;TEXT(Inputs!$C$91,"#,##0")&amp;" cap on this check — deferrals stop and net pay rises. ","")&amp;IF(AND($AG37&lt;'Methodology &amp; Sources'!$C$257,$AG38&gt;='Methodology &amp; Sources'!$C$257),"★ Wages pass $200,000 — the 0.9% Additional Medicare Tax starts here. ","")&amp;IF(AND($BJ38&gt;0,$H38&gt;0,$BG37&lt;MIN($BJ38,'Methodology &amp; Sources'!$C$263),$BG37+$H38&gt;=MIN($BJ38,'Methodology &amp; Sources'!$C$263)),"★ Health FSA election is now fully deferred for the year. ",""))</f>
      </c>
      <c r="AE38" s="41" t="n"/>
      <c r="AF38" s="7">
        <f>IF(OR($B38="",$AE38=""),"",$AE38-$Y38)</f>
      </c>
      <c r="AG38" s="7">
        <f>IF($B38="","",$AG37+$N38)</f>
      </c>
      <c r="AH38" s="7">
        <f>IF($B38="","",MAX(0,($M38-$D38)*Inputs!$C$8+$AP38-$AQ38-IF(Inputs!$C$13,0,IF(Inputs!$C$12="MFJ",'Methodology &amp; Sources'!$C$258,'Methodology &amp; Sources'!$C$259))))</f>
      </c>
      <c r="AI38" s="7">
        <f>IF($B38="","",$O38*Inputs!$C$8)</f>
      </c>
      <c r="AJ38" s="7">
        <f>IF($B38="","",MAX(0,$AI38-VLOOKUP($AN38,'StateTables 2026'!$A$6:$AB$56,12,FALSE)*$AT38-IF(($AS38+$AT38)&gt;=2,VLOOKUP($AN38,'StateTables 2026'!$A$6:$AB$56,8,FALSE),VLOOKUP($AN38,'StateTables 2026'!$A$6:$AB$56,7,FALSE))))</f>
      </c>
      <c r="AK38" s="7">
        <f>IF($B38="","",IFERROR(LOOKUP(2,1/((Events!$C$6:$C$17="Salary change")*(Events!$B$6:$B$17&lt;=$B38)*(Events!$B$6:$B$17&lt;&gt;"")),Events!$D$6:$D$17),IF(Inputs!$C$4="Annual salary",Inputs!$C$5,Inputs!$C$6)))</f>
      </c>
      <c r="AL38">
        <f>IF($B38="","",IFERROR(LOOKUP(2,1/((Events!$C$6:$C$17="401(k) change")*(Events!$B$6:$B$17&lt;=$B38)*(Events!$B$6:$B$17&lt;&gt;"")),Events!$D$6:$D$17),Inputs!$C$30))</f>
      </c>
      <c r="AM38" s="7">
        <f>IF($B38="","",IFERROR(LOOKUP(2,1/((Events!$C$6:$C$17="401(k) change")*(Events!$B$6:$B$17&lt;=$B38)*(Events!$B$6:$B$17&lt;&gt;"")),Events!$E$6:$E$17),Inputs!$D$30))</f>
      </c>
      <c r="AN38">
        <f>IF($B38="","",IFERROR(LOOKUP(2,1/((Events!$C$6:$C$17="State move")*(Events!$B$6:$B$17&lt;=$B38)*(Events!$B$6:$B$17&lt;&gt;"")),Events!$D$6:$D$17),Inputs!$C$21))</f>
      </c>
      <c r="AO38" s="7">
        <f>IF($B38="","",IFERROR(LOOKUP(2,1/((Events!$C$6:$C$17="W-4 change")*(Events!$B$6:$B$17&lt;=$B38)*(Events!$B$6:$B$17&lt;&gt;"")),Events!$D$6:$D$17),Inputs!$C$14))</f>
      </c>
      <c r="AP38" s="7">
        <f>IF($B38="","",IFERROR(LOOKUP(2,1/((Events!$C$6:$C$17="W-4 change")*(Events!$B$6:$B$17&lt;=$B38)*(Events!$B$6:$B$17&lt;&gt;"")),Events!$E$6:$E$17),Inputs!$C$15))</f>
      </c>
      <c r="AQ38" s="7">
        <f>IF($B38="","",IFERROR(LOOKUP(2,1/((Events!$C$6:$C$17="W-4 change")*(Events!$B$6:$B$17&lt;=$B38)*(Events!$B$6:$B$17&lt;&gt;"")),Events!$F$6:$F$17),Inputs!$C$16))</f>
      </c>
      <c r="AR38" s="7">
        <f>IF($B38="","",IFERROR(LOOKUP(2,1/((Events!$C$6:$C$17="W-4 change")*(Events!$B$6:$B$17&lt;=$B38)*(Events!$B$6:$B$17&lt;&gt;"")),Events!$G$6:$G$17),Inputs!$C$17))</f>
      </c>
      <c r="AS38" s="6">
        <f>IF($B38="","",IFERROR(LOOKUP(2,1/(((Events!$C$6:$C$17="State move")+(Events!$C$6:$C$17="State cert change"))*(Events!$B$6:$B$17&lt;=$B38)*(Events!$B$6:$B$17&lt;&gt;"")),Events!$F$6:$F$17),Inputs!$C$23))</f>
      </c>
      <c r="AT38" s="6">
        <f>IF($B38="","",IFERROR(LOOKUP(2,1/(((Events!$C$6:$C$17="State move")+(Events!$C$6:$C$17="State cert change"))*(Events!$B$6:$B$17&lt;=$B38)*(Events!$B$6:$B$17&lt;&gt;"")),Events!$G$6:$G$17),Inputs!$C$24))</f>
      </c>
      <c r="AU38">
        <f>IF($B38="","",IFERROR(LOOKUP(2,1/((Events!$C$6:$C$17="State move")*(Events!$B$6:$B$17&lt;=$B38)*(Events!$B$6:$B$17&lt;&gt;"")),Events!$E$6:$E$17),Inputs!$C$22))</f>
      </c>
      <c r="AV38" s="6">
        <f>IF($B38="","",1+COUNTIFS(Events!$C$6:$C$17,"Employer change",Events!$B$6:$B$17,"&lt;="&amp;$B38,Events!$B$6:$B$17,"&lt;&gt;"))</f>
      </c>
      <c r="AW38" s="7">
        <f>IF($B38="","",IF($AV38=1,Inputs!$C$49,IF(IFERROR(MATCH(IFERROR(LOOKUP(2,1/((Events!$C$6:$C$17="Employer change")*(Events!$B$6:$B$17&lt;=$B38)*(Events!$B$6:$B$17&lt;&gt;"")),Events!$B$6:$B$17),""),$B$6:$B$68,1),1)&lt;=1,Inputs!$C$49,INDEX($AB$6:$AB$68,MATCH(IFERROR(LOOKUP(2,1/((Events!$C$6:$C$17="Employer change")*(Events!$B$6:$B$17&lt;=$B38)*(Events!$B$6:$B$17&lt;&gt;"")),Events!$B$6:$B$17),""),$B$6:$B$68,1)-1))))</f>
      </c>
      <c r="AX38" s="7">
        <f>IF($B38="","",IF($AV38=1,Inputs!$C$49,IFERROR(LOOKUP(2,1/((Events!$C$6:$C$17="Employer change")*(Events!$B$6:$B$17&lt;=$B38)*(Events!$B$6:$B$17&lt;&gt;"")),Events!$D$6:$D$17),0)))</f>
      </c>
      <c r="AY38" s="7">
        <f>IF($B38="","",($O38-$D38)*Inputs!$C$8)</f>
      </c>
      <c r="AZ38" s="7">
        <f>IF($B38="","",IF($AN38="AL",MAX(0,$AY38-IF($AU38="Married",IF($AY38&lt;=25999,8500,MAX(5000,8500-175*CEILING(($AY38-25999)/500,1))),IF($AU38="Head of household",IF($AY38&lt;=25999,5200,MAX(2500,5200-135*CEILING(($AY38-25999)/500,1))),IF($AY38&lt;=25999,3000,MAX(2500,3000-25*CEILING(($AY38-25999)/500,1)))))-($P38-'Methodology &amp; Sources'!$C$260*$D38)*Inputs!$C$8-IF(OR($AU38="Married",$AU38="Head of household"),3000,1500)-$AT38*IF($AY38&lt;=50000,1000,IF($AY38&lt;=100000,500,300))),IF($AN38="AR",IF(MAX(0,$AY38-2470)&lt;97701,INT(MAX(0,$AY38-2470)/100)*100+50,MAX(0,$AY38-2470)),IF($AN38="DE",MAX(0,$AI38-3250),IF($AN38="HI",MAX(0,$AI38-1144*$AS38-4350),IF($AN38="KS",MAX(0,$AI38-(9160*IF($AU38="Married",2,1)+2320*$AT38+IF($AU38="Head of household",2320,0))),IF($AN38="MD",MAX(0,$AI38-3400-3200*$AS38),IF($AN38="MN",MAX(0,$AY38-5300*$AS38),IF($AN38="MO",MAX(0,$AI38-IF($AU38="Head of household",24150,IF($AU38="Married",IF(Inputs!$C$83,16100,32200),16100))),IF($AN38="MT",$AY38,IF($AN38="ND",($C38+$L38)*Inputs!$C$8,IF($AN38="NE",MAX(0,$AY38-2440*$AS38),IF($AN38="NJ",MAX(0,$AY38-1000*$AS38),IF($AN38="NY",MAX(0,$AY38-(IF($AU38="Married",7950,7400)+1000*$AS38)),IF($AN38="OH",MAX(0,$AY38-650*$AS38),IF($AN38="OK",MAX(0,$AY38-1000*$AS38),IF($AN38="RI",MAX(0,$AI38-1000*$AS38),IF($AN38="SC",MAX(0,$AI38-5000*$AS38-IF($AS38=0,0,MIN(0.1*$AI38,7500))),IF($AN38="VA",MAX(0,$AI38-IF($AU38="Married",17500,8750)-930*$AS38-800*$AT38),IF($AN38="VT",MAX(0,$AI38-5400*$AS38),IF($AN38="WI",MAX(0,$AI38-MAX(0,IF($AU38="Married",9461-0.2*MAX(0,$AI38-25727),6702-0.12*MAX(0,$AI38-17780)))-400*$AS38),IF($AN38="WV",MAX(0,$AI38-2000*$AS38),$AI38))))))))))))))))))))))</f>
      </c>
      <c r="BA38" s="7">
        <f>IF($B38="","",IF($BW38&lt;&gt;"",$BW38,IF($BX38&lt;&gt;"",$BX38,IF($BY38&lt;&gt;"",$BY38,0))))</f>
      </c>
      <c r="BB38" s="7">
        <f>IF($B38="","",IF($AN38="AR",-29*$AS38,IF($AN38="DE",-110*$AS38,IF($AN38="MD",$AZ38*Inputs!$C$74,IF($AN38="AZ",Inputs!$C$82*($M38-$D38)*Inputs!$C$8,IF($AN38="CO",0.044*MAX(0,$AY38-IF($AU38="Married",10000,5000)),IF($AN38="IA",MAX(0,0.038*MAX(0,$AY38-IF($AU38="Head of household",19500,IF($AU38="Married",26000,13000)))-40*$AS38),IF($AN38="ID",0.053*MAX(0,$AY38-IF($AU38="Married",32000,16094)),IF($AN38="IL",0.0495*MAX(0,$AY38-(2925*$AS38+1000*$AT38)),IF($AN38="IN",(0.0295+Inputs!$C$76)*MAX(0,$AY38-(1000*$AS38+1500*$AT38+3000*Inputs!$C$86)),IF($AN38="KY",0.035*MAX(0,$AI38-3360),IF($AN38="LA",IF(Inputs!$C$84="0",0.0309*$AI38,0.0309*MAX(0,$AI38-IF(Inputs!$C$84="2",25750,12875))),IF($AN38="MA",0.05*MIN(MAX(0,$AY38-MIN(($BD37+$Q38+$R38+$S38),2000)-IF($AS38=0,0,IF($AS38=1,4400,1000*$AS38+3400))),1107750)+0.09*MAX(0,MAX(0,$AY38-MIN(($BD37+$Q38+$R38+$S38),2000)-IF($AS38=0,0,IF($AS38=1,4400,1000*$AS38+3400)))-1107750)-IF($AU38="Head of household",120,0)-110*Inputs!$C$75,IF($AN38="MI",0.0425*MAX(0,$AY38-5900*$AS38),IF($AN38="MS",0.04*MAX(0,$AI38-IF($AU38="Head of household",3400,IF($AU38="Married",4600,2300))-Inputs!$C$85-10000),IF($AN38="OR",IF(OR($AU38="Married",AND($AU38="Single",$AS38&gt;=3)),SUMPRODUCT((MAX(0,$AY38-MIN(($P38-'Methodology &amp; Sources'!$C$260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Sources'!$B$461:$J$464,0,4))*(MAX(0,$AY38-MIN(($P38-'Methodology &amp; Sources'!$C$260*$D38)*Inputs!$C$8,IF(OR($AU38="Married",AND($AU38="Single",$AS38&gt;=3)),IF($AY38&lt;250000,8750,IF($AY38&lt;260000,7000,IF($AY38&lt;270000,5250,IF($AY38&lt;280000,3500,IF($AY38&lt;290000,1750,0))))),IF($AY38&lt;125000,8750,IF($AY38&lt;130000,7000,IF($AY38&lt;135000,5250,IF($AY38&lt;140000,3500,IF($AY38&lt;145000,1750,0)))))))-IF(OR($AU38="Married",AND($AU38="Single",$AS38&gt;=3)),5820,2910))-INDEX('Methodology &amp; Sources'!$B$461:$J$464,0,4))*INDEX('Methodology &amp; Sources'!$B$461:$J$464,0,4+2)),SUMPRODUCT((MAX(0,$AY38-MIN(($P38-'Methodology &amp; Sources'!$C$260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Sources'!$B$461:$J$464,0,1))*(MAX(0,$AY38-MIN(($P38-'Methodology &amp; Sources'!$C$260*$D38)*Inputs!$C$8,IF(OR($AU38="Married",AND($AU38="Single",$AS38&gt;=3)),IF($AY38&lt;250000,8750,IF($AY38&lt;260000,7000,IF($AY38&lt;270000,5250,IF($AY38&lt;280000,3500,IF($AY38&lt;290000,1750,0))))),IF($AY38&lt;125000,8750,IF($AY38&lt;130000,7000,IF($AY38&lt;135000,5250,IF($AY38&lt;140000,3500,IF($AY38&lt;145000,1750,0)))))))-IF(OR($AU38="Married",AND($AU38="Single",$AS38&gt;=3)),5820,2910))-INDEX('Methodology &amp; Sources'!$B$461:$J$464,0,1))*INDEX('Methodology &amp; Sources'!$B$461:$J$464,0,1+2)))+263-263*IF(IF($AU38="Married",$AY38&gt;200000,$AY38&gt;100000),0,$AS38),IF($AN38="PA",0.0307*(($O38+$E38+$G38)*Inputs!$C$8),IF($AN38="NY",IF($AU38="Married",IF($AZ38&gt;=2155350,0,IF($AZ38&gt;=1077550,0.48,IF($AZ38&gt;=373200,1.21,IF($AZ38&gt;=323200,0.21,IF($AZ38&gt;=211550,-0.19,IF($AZ38&gt;=157650,-2.8,IF($AZ38&gt;=107650,-0.8,IF($AZ38&gt;=96800,0.05,IF($AZ38&gt;=80650,-0.1,IF($AZ38&gt;=13900,0.4,IF($AZ38&gt;=11700,-0.3,IF($AZ38&gt;=8500,0.5,0)))))))))))),IF($AZ38&gt;=1077550,0,IF($AZ38&gt;=265400,4.29,IF($AZ38&gt;=215400,2.29,IF($AZ38&gt;=157650,2.29,IF($AZ38&gt;=107650,0.29,IF($AZ38&gt;=96800,0.05,IF($AZ38&gt;=80650,-0.1,IF($AZ38&gt;=13900,0.4,IF($AZ38&gt;=11700,-0.3,IF($AZ38&gt;=8500,0.5,0))))))))))),0))))))))))))))))))</f>
      </c>
      <c r="BC38" s="7">
        <f>IF($B38="","",IF($AN38="AL",0.05*$D38,IF($AN38="AR",0.039*$D38,IF($AN38="ID",0.053*$D38,IF($AN38="IN",(0.0295+Inputs!$C$76)*$D38,IF($AN38="KS",0.05*$D38,IF($AN38="MA",0.09*MIN($D38,MAX(0,MAX(0,$AY38-MIN(($BD37+$Q38+$R38+$S38),2000)-IF($AS38=0,0,IF($AS38=1,4400,1000*$AS38+3400)))+$D38-1107750))+0.05*($D38-MIN($D38,MAX(0,MAX(0,$AY38-MIN(($BD37+$Q38+$R38+$S38),2000)-IF($AS38=0,0,IF($AS38=1,4400,1000*$AS38+3400)))+$D38-1107750))),IF($AN38="MD",(0.065+Inputs!$C$74)*$D38,IF($AN38="MI",0.0425*$D38,IF($AN38="MN",0.0625*$D38,IF($AN38="MO",0.047*$D38,IF($AN38="MT",0.05*$D38,IF($AN38="ND",0.015*$D38,IF($AN38="NE",0.035*$D38,IF($AN38="NJ",IF(Inputs!$C$77="B",SUMPRODUCT(($D38*Inputs!$C$8&gt;INDEX('Methodology &amp; Sources'!$B$405:$J$412,0,4))*($D38*Inputs!$C$8-INDEX('Methodology &amp; Sources'!$B$405:$J$412,0,4))*INDEX('Methodology &amp; Sources'!$B$405:$J$412,0,4+2)),IF(Inputs!$C$77="C",SUMPRODUCT(($D38*Inputs!$C$8&gt;INDEX('Methodology &amp; Sources'!$B$405:$J$412,0,7))*($D38*Inputs!$C$8-INDEX('Methodology &amp; Sources'!$B$405:$J$412,0,7))*INDEX('Methodology &amp; Sources'!$B$405:$J$412,0,7+2)),IF(Inputs!$C$77="D",SUMPRODUCT(($D38*Inputs!$C$8&gt;INDEX('Methodology &amp; Sources'!$B$417:$J$429,0,1))*($D38*Inputs!$C$8-INDEX('Methodology &amp; Sources'!$B$417:$J$429,0,1))*INDEX('Methodology &amp; Sources'!$B$417:$J$429,0,1+2)),IF(Inputs!$C$77="E",SUMPRODUCT(($D38*Inputs!$C$8&gt;INDEX('Methodology &amp; Sources'!$B$417:$J$429,0,4))*($D38*Inputs!$C$8-INDEX('Methodology &amp; Sources'!$B$417:$J$429,0,4))*INDEX('Methodology &amp; Sources'!$B$417:$J$429,0,4+2)),SUMPRODUCT(($D38*Inputs!$C$8&gt;INDEX('Methodology &amp; Sources'!$B$405:$J$412,0,1))*($D38*Inputs!$C$8-INDEX('Methodology &amp; Sources'!$B$405:$J$412,0,1))*INDEX('Methodology &amp; Sources'!$B$405:$J$412,0,1+2))))))/Inputs!$C$8,IF($AN38="NY",0.117*$D38,IF($AN38="OH",0.0275*$D38,IF($AN38="OK",0.045*$D38,IF($AN38="OR",0.08*$D38,IF($AN38="WI",IF($AY38&lt;12760,0.0354,IF($AY38&lt;25520,0.0465,IF($AY38&lt;280950,0.053,0.0765)))*$D38,0))))))))))))))))))))</f>
      </c>
      <c r="BD38" s="7">
        <f>IF($B38="","",$BD37+$Q38+$R38+$S38)</f>
      </c>
      <c r="BE38" s="6">
        <f>IF($B38="",$BE37,$BE37+$BF38)</f>
      </c>
      <c r="BF38" s="6">
        <f>IF($B38="","",IF(AND(IF(YEAR(IF(Inputs!$C$7="Weekly",Inputs!$C$9+7*(($BE37+1)-1),IF(Inputs!$C$7="Biweekly",Inputs!$C$9+14*(($BE37+1)-1),IF(Inputs!$C$7="Semimonthly",DATE(YEAR(Inputs!$C$9),MONTH(Inputs!$C$9)+INT((($BE37+1)-1)/2),MIN(DAY(Inputs!$C$9),DAY(EOMONTH(DATE(YEAR(Inputs!$C$9),MONTH(Inputs!$C$9)+INT((($BE37+1)-1)/2),1),0))))+IF(MOD(($BE37+1)-1,2)=1,15,0),EDATE(Inputs!$C$9,($BE37+1)-1)))))&lt;&gt;2026,"",IF(Inputs!$C$7="Weekly",Inputs!$C$9+7*(($BE37+1)-1),IF(Inputs!$C$7="Biweekly",Inputs!$C$9+14*(($BE37+1)-1),IF(Inputs!$C$7="Semimonthly",DATE(YEAR(Inputs!$C$9),MONTH(Inputs!$C$9)+INT((($BE37+1)-1)/2),MIN(DAY(Inputs!$C$9),DAY(EOMONTH(DATE(YEAR(Inputs!$C$9),MONTH(Inputs!$C$9)+INT((($BE37+1)-1)/2),1),0))))+IF(MOD(($BE37+1)-1,2)=1,15,0),EDATE(Inputs!$C$9,($BE37+1)-1)))))&lt;&gt;"",$B38=IF(YEAR(IF(Inputs!$C$7="Weekly",Inputs!$C$9+7*(($BE37+1)-1),IF(Inputs!$C$7="Biweekly",Inputs!$C$9+14*(($BE37+1)-1),IF(Inputs!$C$7="Semimonthly",DATE(YEAR(Inputs!$C$9),MONTH(Inputs!$C$9)+INT((($BE37+1)-1)/2),MIN(DAY(Inputs!$C$9),DAY(EOMONTH(DATE(YEAR(Inputs!$C$9),MONTH(Inputs!$C$9)+INT((($BE37+1)-1)/2),1),0))))+IF(MOD(($BE37+1)-1,2)=1,15,0),EDATE(Inputs!$C$9,($BE37+1)-1)))))&lt;&gt;2026,"",IF(Inputs!$C$7="Weekly",Inputs!$C$9+7*(($BE37+1)-1),IF(Inputs!$C$7="Biweekly",Inputs!$C$9+14*(($BE37+1)-1),IF(Inputs!$C$7="Semimonthly",DATE(YEAR(Inputs!$C$9),MONTH(Inputs!$C$9)+INT((($BE37+1)-1)/2),MIN(DAY(Inputs!$C$9),DAY(EOMONTH(DATE(YEAR(Inputs!$C$9),MONTH(Inputs!$C$9)+INT((($BE37+1)-1)/2),1),0))))+IF(MOD(($BE37+1)-1,2)=1,15,0),EDATE(Inputs!$C$9,($BE37+1)-1)))))),1,0))</f>
      </c>
      <c r="BG38" s="7">
        <f>IF($B38="","",$BG37+$H38)</f>
      </c>
      <c r="BH38" s="7">
        <f>IF($B38="","",$BH37+$I38)</f>
      </c>
      <c r="BI38" s="7">
        <f>IF($B38="","",$BI37+$G38)</f>
      </c>
      <c r="BJ38" s="7">
        <f>IF($B38="","",IFERROR(LOOKUP(2,1/((((Events!$C$6:$C$17="Deduction start"))*(Events!$D$6:$D$17="Health FSA"))*(Events!$B$6:$B$17&lt;=$B38)*(Events!$B$6:$B$17&lt;&gt;"")),Events!$E$6:$E$17),Inputs!$D$38))</f>
      </c>
      <c r="BK38" s="7">
        <f>IF($B38="","",IFERROR(LOOKUP(2,1/((((Events!$C$6:$C$17="Deduction start"))*(Events!$D$6:$D$17="Dependent-care FSA"))*(Events!$B$6:$B$17&lt;=$B38)*(Events!$B$6:$B$17&lt;&gt;"")),Events!$E$6:$E$17),Inputs!$D$39))</f>
      </c>
      <c r="BL38" s="7">
        <f>IF($B38="","",IFERROR(LOOKUP(2,1/((((Events!$C$6:$C$17="Deduction start")+(Events!$C$6:$C$17="Deduction stop"))*(Events!$D$6:$D$17="HSA"))*(Events!$B$6:$B$17&lt;=$B38)*(Events!$B$6:$B$17&lt;&gt;"")),Events!$I$6:$I$17),Inputs!$D$35))</f>
      </c>
      <c r="BM38" s="7">
        <f>IF($B38="","",IFERROR(LOOKUP(2,1/((((Events!$C$6:$C$17="Deduction start")+(Events!$C$6:$C$17="Deduction stop"))*(Events!$D$6:$D$17="Premiums"))*(Events!$B$6:$B$17&lt;=$B38)*(Events!$B$6:$B$17&lt;&gt;"")),Events!$I$6:$I$17),Inputs!$D$40+Inputs!$D$41+Inputs!$D$42))</f>
      </c>
      <c r="BN38" s="7">
        <f>IF($B38="","",IFERROR(LOOKUP(2,1/((((Events!$C$6:$C$17="Deduction start")+(Events!$C$6:$C$17="Deduction stop"))*(Events!$D$6:$D$17="Commuter"))*(Events!$B$6:$B$17&lt;=$B38)*(Events!$B$6:$B$17&lt;&gt;"")),Events!$I$6:$I$17),Inputs!$D$43))</f>
      </c>
      <c r="BO38" s="7">
        <f>IF($B38="","",IFERROR(LOOKUP(2,1/((((Events!$C$6:$C$17="Deduction start")+(Events!$C$6:$C$17="Deduction stop"))*(Events!$D$6:$D$17="Other pre-tax"))*(Events!$B$6:$B$17&lt;=$B38)*(Events!$B$6:$B$17&lt;&gt;"")),Events!$I$6:$I$17),Inputs!$D$44))</f>
      </c>
      <c r="BP38" s="7">
        <f>IF($B38="","",IFERROR(LOOKUP(2,1/((((Events!$C$6:$C$17="Deduction start")+(Events!$C$6:$C$17="Deduction stop"))*(Events!$D$6:$D$17="Other post-tax"))*(Events!$B$6:$B$17&lt;=$B38)*(Events!$B$6:$B$17&lt;&gt;"")),Events!$I$6:$I$17),Inputs!$D$45))</f>
      </c>
      <c r="BQ38" s="6">
        <f>IF($B38="","",IFERROR(LOOKUP(2,1/((((Events!$C$6:$C$17="Deduction start")+(Events!$C$6:$C$17="Deduction stop"))*(Events!$D$6:$D$17="Health FSA"))*(Events!$B$6:$B$17&lt;=$B38)*(Events!$B$6:$B$17&lt;&gt;"")),Events!$J$6:$J$17),0))</f>
      </c>
      <c r="BR38" s="6">
        <f>IF($B38="","",IFERROR(LOOKUP(2,1/((((Events!$C$6:$C$17="Deduction start")+(Events!$C$6:$C$17="Deduction stop"))*(Events!$D$6:$D$17="Dependent-care FSA"))*(Events!$B$6:$B$17&lt;=$B38)*(Events!$B$6:$B$17&lt;&gt;"")),Events!$J$6:$J$17),0))</f>
      </c>
      <c r="BS38" s="6">
        <f>IF($B38="","",IF(SUMPRODUCT((Events!$C$6:$C$17="Deduction start")*(Events!$B$6:$B$17&lt;=$B38)*(Events!$B$6:$B$17&lt;&gt;"")*(Events!$D$6:$D$17="Health FSA"))&gt;0,1,0))</f>
      </c>
      <c r="BT38" s="6">
        <f>IF($B38="","",IF(SUMPRODUCT((Events!$C$6:$C$17="Deduction start")*(Events!$B$6:$B$17&lt;=$B38)*(Events!$B$6:$B$17&lt;&gt;"")*(Events!$D$6:$D$17="Dependent-care FSA"))&gt;0,1,0))</f>
      </c>
      <c r="BU38" s="24">
        <f>IF($B38="","",IF(Inputs!$C$13,SUMPRODUCT(($AH38&gt;=INDEX('Methodology &amp; Sources'!$B$279:$J$286,0,IF(Inputs!$C$12="MFJ",1,IF(Inputs!$C$12="HoH",7,4))))*INDEX('Methodology &amp; Sources'!$B$279:$J$286,0,IF(Inputs!$C$12="MFJ",1,IF(Inputs!$C$12="HoH",7,4))+2)),SUMPRODUCT(($AH38&gt;=INDEX('Methodology &amp; Sources'!$B$269:$J$276,0,IF(Inputs!$C$12="MFJ",1,IF(Inputs!$C$12="HoH",7,4))))*INDEX('Methodology &amp; Sources'!$B$269:$J$276,0,IF(Inputs!$C$12="MFJ",1,IF(Inputs!$C$12="HoH",7,4))+2))))</f>
      </c>
      <c r="BV38" s="24">
        <f>IF($B38="","",IF($BZ38&lt;&gt;"",$BZ38,IF($CA38&lt;&gt;"",$CA38,IF($CB38&lt;&gt;"",$CB38,IF($CC38&lt;&gt;"",$CC38,0)))))</f>
      </c>
      <c r="BW38" s="7">
        <f>IF($B38="","",IF($AN38="MD",IF(OR($AU38="Married",$AU38="Head of household"),SUMPRODUCT(($AZ38&gt;INDEX('Methodology &amp; Sources'!$B$364:$J$370,0,1))*($AZ38-INDEX('Methodology &amp; Sources'!$B$364:$J$370,0,1))*INDEX('Methodology &amp; Sources'!$B$364:$J$370,0,1+2)),SUMPRODUCT(($AZ38&gt;INDEX('Methodology &amp; Sources'!$B$353:$J$359,0,7))*($AZ38-INDEX('Methodology &amp; Sources'!$B$353:$J$359,0,7))*INDEX('Methodology &amp; Sources'!$B$353:$J$359,0,7+2))),IF($AN38="MO",SUMPRODUCT(($AZ38&gt;INDEX('Methodology &amp; Sources'!$B$375:$J$382,0,1))*($AZ38-INDEX('Methodology &amp; Sources'!$B$375:$J$382,0,1))*INDEX('Methodology &amp; Sources'!$B$375:$J$382,0,1+2)),IF($AN38="MT",IF($AU38="Head of household",SUMPRODUCT(($AZ38&gt;INDEX('Methodology &amp; Sources'!$B$387:$J$389,0,1))*($AZ38-INDEX('Methodology &amp; Sources'!$B$387:$J$389,0,1))*INDEX('Methodology &amp; Sources'!$B$387:$J$389,0,1+2)),IF($AU38="Married",SUMPRODUCT(($AZ38&gt;INDEX('Methodology &amp; Sources'!$B$375:$J$382,0,7))*($AZ38-INDEX('Methodology &amp; Sources'!$B$375:$J$382,0,7))*INDEX('Methodology &amp; Sources'!$B$375:$J$382,0,7+2)),SUMPRODUCT(($AZ38&gt;INDEX('Methodology &amp; Sources'!$B$375:$J$382,0,4))*($AZ38-INDEX('Methodology &amp; Sources'!$B$375:$J$382,0,4))*INDEX('Methodology &amp; Sources'!$B$375:$J$382,0,4+2)))),IF($AN38="ND",IF($AU38="Head of household",SUMPRODUCT(($AZ38&gt;INDEX('Methodology &amp; Sources'!$B$394:$J$400,0,1))*($AZ38-INDEX('Methodology &amp; Sources'!$B$394:$J$400,0,1))*INDEX('Methodology &amp; Sources'!$B$394:$J$400,0,1+2)),IF($AU38="Married",SUMPRODUCT(($AZ38&gt;INDEX('Methodology &amp; Sources'!$B$387:$J$389,0,7))*($AZ38-INDEX('Methodology &amp; Sources'!$B$387:$J$389,0,7))*INDEX('Methodology &amp; Sources'!$B$387:$J$389,0,7+2)),SUMPRODUCT(($AZ38&gt;INDEX('Methodology &amp; Sources'!$B$387:$J$389,0,4))*($AZ38-INDEX('Methodology &amp; Sources'!$B$387:$J$389,0,4))*INDEX('Methodology &amp; Sources'!$B$387:$J$389,0,4+2)))),IF($AN38="NJ",IF(Inputs!$C$77="B",SUMPRODUCT(($AZ38&gt;INDEX('Methodology &amp; Sources'!$B$405:$J$412,0,4))*($AZ38-INDEX('Methodology &amp; Sources'!$B$405:$J$412,0,4))*INDEX('Methodology &amp; Sources'!$B$405:$J$412,0,4+2)),IF(Inputs!$C$77="C",SUMPRODUCT(($AZ38&gt;INDEX('Methodology &amp; Sources'!$B$405:$J$412,0,7))*($AZ38-INDEX('Methodology &amp; Sources'!$B$405:$J$412,0,7))*INDEX('Methodology &amp; Sources'!$B$405:$J$412,0,7+2)),IF(Inputs!$C$77="D",SUMPRODUCT(($AZ38&gt;INDEX('Methodology &amp; Sources'!$B$417:$J$429,0,1))*($AZ38-INDEX('Methodology &amp; Sources'!$B$417:$J$429,0,1))*INDEX('Methodology &amp; Sources'!$B$417:$J$429,0,1+2)),IF(Inputs!$C$77="E",SUMPRODUCT(($AZ38&gt;INDEX('Methodology &amp; Sources'!$B$417:$J$429,0,4))*($AZ38-INDEX('Methodology &amp; Sources'!$B$417:$J$429,0,4))*INDEX('Methodology &amp; Sources'!$B$417:$J$429,0,4+2)),SUMPRODUCT(($AZ38&gt;INDEX('Methodology &amp; Sources'!$B$405:$J$412,0,1))*($AZ38-INDEX('Methodology &amp; Sources'!$B$405:$J$412,0,1))*INDEX('Methodology &amp; Sources'!$B$405:$J$412,0,1+2)))))),IF($AN38="NY",IF($AU38="Married",IF($AZ38&gt;=2155350,$AZ38*IF($AZ38&gt;25000000,0.117,IF($AZ38&gt;5000000,0.111,0.1045)),SUMPRODUCT(($AZ38&gt;INDEX('Methodology &amp; Sources'!$B$434:$J$448,0,1))*($AZ38-INDEX('Methodology &amp; Sources'!$B$434:$J$448,0,1))*INDEX('Methodology &amp; Sources'!$B$434:$J$448,0,1+2))),IF($AZ38&gt;=1077550,$AZ38*IF($AZ38&gt;25000000,0.117,IF($AZ38&gt;5000000,0.111,0.1045)),SUMPRODUCT(($AZ38&gt;INDEX('Methodology &amp; Sources'!$B$417:$J$429,0,7))*($AZ38-INDEX('Methodology &amp; Sources'!$B$417:$J$429,0,7))*INDEX('Methodology &amp; Sources'!$B$417:$J$429,0,7+2)))),"")))))))</f>
      </c>
      <c r="BX38" s="7">
        <f>IF($B38="","",IF($AN38="AL",IF(OR($AU38="Married",$AU38="Head of household"),SUMPRODUCT(($AZ38&gt;INDEX('Methodology &amp; Sources'!$B$332:$J$336,0,4))*($AZ38-INDEX('Methodology &amp; Sources'!$B$332:$J$336,0,4))*INDEX('Methodology &amp; Sources'!$B$332:$J$336,0,4+2)),SUMPRODUCT(($AZ38&gt;INDEX('Methodology &amp; Sources'!$B$332:$J$336,0,1))*($AZ38-INDEX('Methodology &amp; Sources'!$B$332:$J$336,0,1))*INDEX('Methodology &amp; Sources'!$B$332:$J$336,0,1+2))),IF($AN38="KS",IF($AU38="Married",SUMPRODUCT(($AZ38&gt;INDEX('Methodology &amp; Sources'!$B$353:$J$359,0,4))*($AZ38-INDEX('Methodology &amp; Sources'!$B$353:$J$359,0,4))*INDEX('Methodology &amp; Sources'!$B$353:$J$359,0,4+2)),SUMPRODUCT(($AZ38&gt;INDEX('Methodology &amp; Sources'!$B$353:$J$359,0,1))*($AZ38-INDEX('Methodology &amp; Sources'!$B$353:$J$359,0,1))*INDEX('Methodology &amp; Sources'!$B$353:$J$359,0,1+2))),IF($AN38="MN",IF($AU38="Married",SUMPRODUCT(($AZ38&gt;INDEX('Methodology &amp; Sources'!$B$364:$J$370,0,7))*($AZ38-INDEX('Methodology &amp; Sources'!$B$364:$J$370,0,7))*INDEX('Methodology &amp; Sources'!$B$364:$J$370,0,7+2)),SUMPRODUCT(($AZ38&gt;INDEX('Methodology &amp; Sources'!$B$364:$J$370,0,4))*($AZ38-INDEX('Methodology &amp; Sources'!$B$364:$J$370,0,4))*INDEX('Methodology &amp; Sources'!$B$364:$J$370,0,4+2))),IF($AN38="NE",MAX(IF($AU38="Married",SUMPRODUCT(($AZ38&gt;INDEX('Methodology &amp; Sources'!$B$394:$J$400,0,7))*($AZ38-INDEX('Methodology &amp; Sources'!$B$394:$J$400,0,7))*INDEX('Methodology &amp; Sources'!$B$394:$J$400,0,7+2)),SUMPRODUCT(($AZ38&gt;INDEX('Methodology &amp; Sources'!$B$394:$J$400,0,4))*($AZ38-INDEX('Methodology &amp; Sources'!$B$394:$J$400,0,4))*INDEX('Methodology &amp; Sources'!$B$394:$J$400,0,4+2))),0.015*$AZ38),IF($AN38="OH",IF($B38&gt;=DATE(2026,8,1),SUMPRODUCT(($AZ38&gt;INDEX('Methodology &amp; Sources'!$B$453:$J$456,0,1))*($AZ38-INDEX('Methodology &amp; Sources'!$B$453:$J$456,0,1))*INDEX('Methodology &amp; Sources'!$B$453:$J$456,0,1+2)),SUMPRODUCT(($AZ38&gt;INDEX('Methodology &amp; Sources'!$B$434:$J$448,0,7))*($AZ38-INDEX('Methodology &amp; Sources'!$B$434:$J$448,0,7))*INDEX('Methodology &amp; Sources'!$B$434:$J$448,0,7+2))),IF($AN38="OK",IF($AU38="Married",SUMPRODUCT(($AZ38&gt;INDEX('Methodology &amp; Sources'!$B$453:$J$456,0,7))*($AZ38-INDEX('Methodology &amp; Sources'!$B$453:$J$456,0,7))*INDEX('Methodology &amp; Sources'!$B$453:$J$456,0,7+2)),SUMPRODUCT(($AZ38&gt;INDEX('Methodology &amp; Sources'!$B$453:$J$456,0,4))*($AZ38-INDEX('Methodology &amp; Sources'!$B$453:$J$456,0,4))*INDEX('Methodology &amp; Sources'!$B$453:$J$456,0,4+2))),IF($AN38="RI",SUMPRODUCT(($AZ38&gt;INDEX('Methodology &amp; Sources'!$B$461:$J$464,0,7))*($AZ38-INDEX('Methodology &amp; Sources'!$B$461:$J$464,0,7))*INDEX('Methodology &amp; Sources'!$B$461:$J$464,0,7+2)),IF($AN38="VT",IF($AU38="Married",SUMPRODUCT(($AZ38&gt;INDEX('Methodology &amp; Sources'!$B$478:$J$482,0,1))*($AZ38-INDEX('Methodology &amp; Sources'!$B$478:$J$482,0,1))*INDEX('Methodology &amp; Sources'!$B$478:$J$482,0,1+2)),SUMPRODUCT(($AZ38&gt;INDEX('Methodology &amp; Sources'!$B$469:$J$473,0,7))*($AZ38-INDEX('Methodology &amp; Sources'!$B$469:$J$473,0,7))*INDEX('Methodology &amp; Sources'!$B$469:$J$473,0,7+2))),IF($AN38="WV",IF($AU38="Married",SUMPRODUCT(($AZ38&gt;INDEX('Methodology &amp; Sources'!$B$487:$J$491,0,7))*($AZ38-INDEX('Methodology &amp; Sources'!$B$487:$J$491,0,7))*INDEX('Methodology &amp; Sources'!$B$487:$J$491,0,7+2)),SUMPRODUCT(($AZ38&gt;INDEX('Methodology &amp; Sources'!$B$478:$J$482,0,7))*($AZ38-INDEX('Methodology &amp; Sources'!$B$478:$J$482,0,7))*INDEX('Methodology &amp; Sources'!$B$478:$J$482,0,7+2))),""))))))))))</f>
      </c>
      <c r="BY38" s="7">
        <f>IF($B38="","",IF($AN38="AR",SUMPRODUCT(($AZ38&gt;INDEX('Methodology &amp; Sources'!$B$332:$J$336,0,7))*($AZ38-INDEX('Methodology &amp; Sources'!$B$332:$J$336,0,7))*INDEX('Methodology &amp; Sources'!$B$332:$J$336,0,7+2)),IF($AN38="DE",SUMPRODUCT(($AZ38&gt;INDEX('Methodology &amp; Sources'!$B$341:$J$348,0,1))*($AZ38-INDEX('Methodology &amp; Sources'!$B$341:$J$348,0,1))*INDEX('Methodology &amp; Sources'!$B$341:$J$348,0,1+2)),IF($AN38="HI",IF($AU38="Married",SUMPRODUCT(($AZ38&gt;INDEX('Methodology &amp; Sources'!$B$341:$J$348,0,7))*($AZ38-INDEX('Methodology &amp; Sources'!$B$341:$J$348,0,7))*INDEX('Methodology &amp; Sources'!$B$341:$J$348,0,7+2)),SUMPRODUCT(($AZ38&gt;INDEX('Methodology &amp; Sources'!$B$341:$J$348,0,4))*($AZ38-INDEX('Methodology &amp; Sources'!$B$341:$J$348,0,4))*INDEX('Methodology &amp; Sources'!$B$341:$J$348,0,4+2))),IF($AN38="SC",SUMPRODUCT(($AZ38&gt;INDEX('Methodology &amp; Sources'!$B$469:$J$473,0,1))*($AZ38-INDEX('Methodology &amp; Sources'!$B$469:$J$473,0,1))*INDEX('Methodology &amp; Sources'!$B$469:$J$473,0,1+2)),IF($AN38="VA",SUMPRODUCT(($AZ38&gt;INDEX('Methodology &amp; Sources'!$B$469:$J$473,0,4))*($AZ38-INDEX('Methodology &amp; Sources'!$B$469:$J$473,0,4))*INDEX('Methodology &amp; Sources'!$B$469:$J$473,0,4+2)),IF($AN38="WI",SUMPRODUCT(($AZ38&gt;INDEX('Methodology &amp; Sources'!$B$478:$J$482,0,4))*($AZ38-INDEX('Methodology &amp; Sources'!$B$478:$J$482,0,4))*INDEX('Methodology &amp; Sources'!$B$478:$J$482,0,4+2)),"")))))))</f>
      </c>
      <c r="BZ38" s="24">
        <f>IF($B38="","",IF($AN38="NJ",IF(Inputs!$C$77="B",SUMPRODUCT(($AZ38&gt;=INDEX('Methodology &amp; Sources'!$B$405:$J$412,0,4))*INDEX('Methodology &amp; Sources'!$B$405:$J$412,0,4+2)),IF(Inputs!$C$77="C",SUMPRODUCT(($AZ38&gt;=INDEX('Methodology &amp; Sources'!$B$405:$J$412,0,7))*INDEX('Methodology &amp; Sources'!$B$405:$J$412,0,7+2)),IF(Inputs!$C$77="D",SUMPRODUCT(($AZ38&gt;=INDEX('Methodology &amp; Sources'!$B$417:$J$429,0,1))*INDEX('Methodology &amp; Sources'!$B$417:$J$429,0,1+2)),IF(Inputs!$C$77="E",SUMPRODUCT(($AZ38&gt;=INDEX('Methodology &amp; Sources'!$B$417:$J$429,0,4))*INDEX('Methodology &amp; Sources'!$B$417:$J$429,0,4+2)),SUMPRODUCT(($AZ38&gt;=INDEX('Methodology &amp; Sources'!$B$405:$J$412,0,1))*INDEX('Methodology &amp; Sources'!$B$405:$J$412,0,1+2)))))),IF($AN38="OR",IF(OR($AU38="Married",AND($AU38="Single",$AS38&gt;=3)),SUMPRODUCT((MAX(0,$AY38-MIN(($P38-'Methodology &amp; Sources'!$C$260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Sources'!$B$461:$J$464,0,4))*INDEX('Methodology &amp; Sources'!$B$461:$J$464,0,4+2)),SUMPRODUCT((MAX(0,$AY38-MIN(($P38-'Methodology &amp; Sources'!$C$260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Sources'!$B$461:$J$464,0,1))*INDEX('Methodology &amp; Sources'!$B$461:$J$464,0,1+2)))*IF(($P38-'Methodology &amp; Sources'!$C$260*$D38)*Inputs!$C$8&gt;=IF(OR($AU38="Married",AND($AU38="Single",$AS38&gt;=3)),IF($AY38&lt;250000,8750,IF($AY38&lt;260000,7000,IF($AY38&lt;270000,5250,IF($AY38&lt;280000,3500,IF($AY38&lt;290000,1750,0))))),IF($AY38&lt;125000,8750,IF($AY38&lt;130000,7000,IF($AY38&lt;135000,5250,IF($AY38&lt;140000,3500,IF($AY38&lt;145000,1750,0)))))),1,1-IF(Inputs!$C$13,SUMPRODUCT(($AH38&gt;=INDEX('Methodology &amp; Sources'!$B$279:$J$286,0,IF(Inputs!$C$12="MFJ",1,IF(Inputs!$C$12="HoH",7,4))))*INDEX('Methodology &amp; Sources'!$B$279:$J$286,0,IF(Inputs!$C$12="MFJ",1,IF(Inputs!$C$12="HoH",7,4))+2)),SUMPRODUCT(($AH38&gt;=INDEX('Methodology &amp; Sources'!$B$269:$J$276,0,IF(Inputs!$C$12="MFJ",1,IF(Inputs!$C$12="HoH",7,4))))*INDEX('Methodology &amp; Sources'!$B$269:$J$276,0,IF(Inputs!$C$12="MFJ",1,IF(Inputs!$C$12="HoH",7,4))+2)))),IF($AN38="MI",IF($AY38&gt;5900*$AS38,0.0425,0),""))))</f>
      </c>
      <c r="CA38" s="24">
        <f>IF($B38="","",IF($AN38="AL",IF(OR($AU38="Married",$AU38="Head of household"),SUMPRODUCT(($AZ38&gt;=INDEX('Methodology &amp; Sources'!$B$332:$J$336,0,4))*INDEX('Methodology &amp; Sources'!$B$332:$J$336,0,4+2)),SUMPRODUCT(($AZ38&gt;=INDEX('Methodology &amp; Sources'!$B$332:$J$336,0,1))*INDEX('Methodology &amp; Sources'!$B$332:$J$336,0,1+2)))*(1-IF(Inputs!$C$13,SUMPRODUCT(($AH38&gt;=INDEX('Methodology &amp; Sources'!$B$279:$J$286,0,IF(Inputs!$C$12="MFJ",1,IF(Inputs!$C$12="HoH",7,4))))*INDEX('Methodology &amp; Sources'!$B$279:$J$286,0,IF(Inputs!$C$12="MFJ",1,IF(Inputs!$C$12="HoH",7,4))+2)),SUMPRODUCT(($AH38&gt;=INDEX('Methodology &amp; Sources'!$B$269:$J$276,0,IF(Inputs!$C$12="MFJ",1,IF(Inputs!$C$12="HoH",7,4))))*INDEX('Methodology &amp; Sources'!$B$269:$J$276,0,IF(Inputs!$C$12="MFJ",1,IF(Inputs!$C$12="HoH",7,4))+2)))),IF($AN38="KS",IF($AU38="Married",SUMPRODUCT(($AZ38&gt;=INDEX('Methodology &amp; Sources'!$B$353:$J$359,0,4))*INDEX('Methodology &amp; Sources'!$B$353:$J$359,0,4+2)),SUMPRODUCT(($AZ38&gt;=INDEX('Methodology &amp; Sources'!$B$353:$J$359,0,1))*INDEX('Methodology &amp; Sources'!$B$353:$J$359,0,1+2))),IF($AN38="MD",IF(OR($AU38="Married",$AU38="Head of household"),SUMPRODUCT(($AZ38&gt;=INDEX('Methodology &amp; Sources'!$B$364:$J$370,0,1))*INDEX('Methodology &amp; Sources'!$B$364:$J$370,0,1+2)),SUMPRODUCT(($AZ38&gt;=INDEX('Methodology &amp; Sources'!$B$353:$J$359,0,7))*INDEX('Methodology &amp; Sources'!$B$353:$J$359,0,7+2)))+Inputs!$C$74,IF($AN38="MT",IF($AU38="Head of household",SUMPRODUCT(($AZ38&gt;=INDEX('Methodology &amp; Sources'!$B$387:$J$389,0,1))*INDEX('Methodology &amp; Sources'!$B$387:$J$389,0,1+2)),IF($AU38="Married",SUMPRODUCT(($AZ38&gt;=INDEX('Methodology &amp; Sources'!$B$375:$J$382,0,7))*INDEX('Methodology &amp; Sources'!$B$375:$J$382,0,7+2)),SUMPRODUCT(($AZ38&gt;=INDEX('Methodology &amp; Sources'!$B$375:$J$382,0,4))*INDEX('Methodology &amp; Sources'!$B$375:$J$382,0,4+2)))),IF($AN38="ND",IF($AU38="Head of household",SUMPRODUCT(($AZ38&gt;=INDEX('Methodology &amp; Sources'!$B$394:$J$400,0,1))*INDEX('Methodology &amp; Sources'!$B$394:$J$400,0,1+2)),IF($AU38="Married",SUMPRODUCT(($AZ38&gt;=INDEX('Methodology &amp; Sources'!$B$387:$J$389,0,7))*INDEX('Methodology &amp; Sources'!$B$387:$J$389,0,7+2)),SUMPRODUCT(($AZ38&gt;=INDEX('Methodology &amp; Sources'!$B$387:$J$389,0,4))*INDEX('Methodology &amp; Sources'!$B$387:$J$389,0,4+2)))),IF($AN38="NY",IF($AU38="Married",IF($AZ38&gt;=2155350,IF($AZ38&gt;25000000,0.117,IF($AZ38&gt;5000000,0.111,0.1045)),SUMPRODUCT(($AZ38&gt;=INDEX('Methodology &amp; Sources'!$B$434:$J$448,0,1))*INDEX('Methodology &amp; Sources'!$B$434:$J$448,0,1+2))),IF($AZ38&gt;=1077550,IF($AZ38&gt;25000000,0.117,IF($AZ38&gt;5000000,0.111,0.1045)),SUMPRODUCT(($AZ38&gt;=INDEX('Methodology &amp; Sources'!$B$417:$J$429,0,7))*INDEX('Methodology &amp; Sources'!$B$417:$J$429,0,7+2)))),"")))))))</f>
      </c>
      <c r="CB38" s="24">
        <f>IF($B38="","",IF($AN38="CA",SUMPRODUCT(($AJ38&gt;=INDEX('Methodology &amp; Sources'!$B$289:$J$298,0,IF($AU38="Married",4,IF($AU38="Head of household",7,1))))*INDEX('Methodology &amp; Sources'!$B$289:$J$298,0,IF($AU38="Married",4,IF($AU38="Head of household",7,1))+2)),IF($AN38="HI",IF($AU38="Married",SUMPRODUCT(($AZ38&gt;=INDEX('Methodology &amp; Sources'!$B$341:$J$348,0,7))*INDEX('Methodology &amp; Sources'!$B$341:$J$348,0,7+2)),SUMPRODUCT(($AZ38&gt;=INDEX('Methodology &amp; Sources'!$B$341:$J$348,0,4))*INDEX('Methodology &amp; Sources'!$B$341:$J$348,0,4+2))),IF($AN38="MN",IF($AU38="Married",SUMPRODUCT(($AZ38&gt;=INDEX('Methodology &amp; Sources'!$B$364:$J$370,0,7))*INDEX('Methodology &amp; Sources'!$B$364:$J$370,0,7+2)),SUMPRODUCT(($AZ38&gt;=INDEX('Methodology &amp; Sources'!$B$364:$J$370,0,4))*INDEX('Methodology &amp; Sources'!$B$364:$J$370,0,4+2))),IF($AN38="MO",SUMPRODUCT(($AZ38&gt;=INDEX('Methodology &amp; Sources'!$B$375:$J$382,0,1))*INDEX('Methodology &amp; Sources'!$B$375:$J$382,0,1+2)),IF($AN38="NE",MAX(IF($AU38="Married",SUMPRODUCT(($AZ38&gt;=INDEX('Methodology &amp; Sources'!$B$394:$J$400,0,7))*INDEX('Methodology &amp; Sources'!$B$394:$J$400,0,7+2)),SUMPRODUCT(($AZ38&gt;=INDEX('Methodology &amp; Sources'!$B$394:$J$400,0,4))*INDEX('Methodology &amp; Sources'!$B$394:$J$400,0,4+2))),0.015),IF($AN38="OH",IF($B38&gt;=DATE(2026,8,1),SUMPRODUCT(($AZ38&gt;=INDEX('Methodology &amp; Sources'!$B$453:$J$456,0,1))*INDEX('Methodology &amp; Sources'!$B$453:$J$456,0,1+2)),SUMPRODUCT(($AZ38&gt;=INDEX('Methodology &amp; Sources'!$B$434:$J$448,0,7))*INDEX('Methodology &amp; Sources'!$B$434:$J$448,0,7+2))),IF($AN38="OK",IF($AU38="Married",SUMPRODUCT(($AZ38&gt;=INDEX('Methodology &amp; Sources'!$B$453:$J$456,0,7))*INDEX('Methodology &amp; Sources'!$B$453:$J$456,0,7+2)),SUMPRODUCT(($AZ38&gt;=INDEX('Methodology &amp; Sources'!$B$453:$J$456,0,4))*INDEX('Methodology &amp; Sources'!$B$453:$J$456,0,4+2))),IF($AN38="RI",SUMPRODUCT(($AZ38&gt;=INDEX('Methodology &amp; Sources'!$B$461:$J$464,0,7))*INDEX('Methodology &amp; Sources'!$B$461:$J$464,0,7+2)),IF($AN38="SC",SUMPRODUCT(($AZ38&gt;=INDEX('Methodology &amp; Sources'!$B$469:$J$473,0,1))*INDEX('Methodology &amp; Sources'!$B$469:$J$473,0,1+2)),IF($AN38="VT",IF($AU38="Married",SUMPRODUCT(($AZ38&gt;=INDEX('Methodology &amp; Sources'!$B$478:$J$482,0,1))*INDEX('Methodology &amp; Sources'!$B$478:$J$482,0,1+2)),SUMPRODUCT(($AZ38&gt;=INDEX('Methodology &amp; Sources'!$B$469:$J$473,0,7))*INDEX('Methodology &amp; Sources'!$B$469:$J$473,0,7+2))),IF($AN38="WV",IF($AU38="Married",SUMPRODUCT(($AZ38&gt;=INDEX('Methodology &amp; Sources'!$B$487:$J$491,0,7))*INDEX('Methodology &amp; Sources'!$B$487:$J$491,0,7+2)),SUMPRODUCT(($AZ38&gt;=INDEX('Methodology &amp; Sources'!$B$478:$J$482,0,7))*INDEX('Methodology &amp; Sources'!$B$478:$J$482,0,7+2))),IF($AN38="IN",(0.0295+Inputs!$C$76),"")))))))))))))</f>
      </c>
      <c r="CC38" s="24">
        <f>IF($B38="","",IF($AN38="AR",SUMPRODUCT(($AZ38&gt;=INDEX('Methodology &amp; Sources'!$B$332:$J$336,0,7))*INDEX('Methodology &amp; Sources'!$B$332:$J$336,0,7+2)),IF($AN38="DE",SUMPRODUCT(($AZ38&gt;=INDEX('Methodology &amp; Sources'!$B$341:$J$348,0,1))*INDEX('Methodology &amp; Sources'!$B$341:$J$348,0,1+2)),IF($AN38="VA",SUMPRODUCT(($AZ38&gt;=INDEX('Methodology &amp; Sources'!$B$469:$J$473,0,4))*INDEX('Methodology &amp; Sources'!$B$469:$J$473,0,4+2)),IF($AN38="WI",SUMPRODUCT(($AZ38&gt;=INDEX('Methodology &amp; Sources'!$B$478:$J$482,0,4))*INDEX('Methodology &amp; Sources'!$B$478:$J$482,0,4+2)),IF($AN38="AZ",Inputs!$C$82,IF($AN38="CO",IF($AY38&gt;IF($AU38="Married",10000,5000),0.044,0),IF($AN38="IA",IF($AY38&gt;IF($AU38="Head of household",19500,IF($AU38="Married",26000,13000)),0.038,0),IF($AN38="ID",IF($AY38&gt;IF($AU38="Married",32000,16094),0.053,0),IF($AN38="IL",IF($AY38&gt;(2925*$AS38+1000*$AT38),0.0495,0),IF($AN38="KY",IF($AI38&gt;3360,0.035,0),IF($AN38="LA",0.0309,IF($AN38="MA",IF(MAX(0,$AY38-MIN(($BD37+$Q38+$R38+$S38),2000)-IF($AS38=0,0,IF($AS38=1,4400,1000*$AS38+3400)))&gt;=1107750,0.09,0.05),IF($AN38="MS",IF($AI38-IF($AU38="Head of household",3400,IF($AU38="Married",4600,2300))-Inputs!$C$85&gt;10000,0.04,0),IF($AN38="PA",0.0307,"")))))))))))))))</f>
      </c>
      <c r="CD38" s="21">
        <f>IF(YEAR(IF(Inputs!$C$7="Weekly",Inputs!$C$9+7*(($BE37+1)-1),IF(Inputs!$C$7="Biweekly",Inputs!$C$9+14*(($BE37+1)-1),IF(Inputs!$C$7="Semimonthly",DATE(YEAR(Inputs!$C$9),MONTH(Inputs!$C$9)+INT((($BE37+1)-1)/2),MIN(DAY(Inputs!$C$9),DAY(EOMONTH(DATE(YEAR(Inputs!$C$9),MONTH(Inputs!$C$9)+INT((($BE37+1)-1)/2),1),0))))+IF(MOD(($BE37+1)-1,2)=1,15,0),EDATE(Inputs!$C$9,($BE37+1)-1)))))&lt;&gt;2026,"",IF(Inputs!$C$7="Weekly",Inputs!$C$9+7*(($BE37+1)-1),IF(Inputs!$C$7="Biweekly",Inputs!$C$9+14*(($BE37+1)-1),IF(Inputs!$C$7="Semimonthly",DATE(YEAR(Inputs!$C$9),MONTH(Inputs!$C$9)+INT((($BE37+1)-1)/2),MIN(DAY(Inputs!$C$9),DAY(EOMONTH(DATE(YEAR(Inputs!$C$9),MONTH(Inputs!$C$9)+INT((($BE37+1)-1)/2),1),0))))+IF(MOD(($BE37+1)-1,2)=1,15,0),EDATE(Inputs!$C$9,($BE37+1)-1)))))</f>
      </c>
      <c r="CE38" s="21">
        <f>IF(SUMPRODUCT(MIN(IF((Inputs!$C$58:$C$67&gt;MAX($B$6:$B37))*(Inputs!$C$58:$C$67&gt;=DATE(2026,1,1))*(Inputs!$C$58:$C$67&lt;=DATE(2026,12,31)),Inputs!$C$58:$C$67,999999)))=999999,"",SUMPRODUCT(MIN(IF((Inputs!$C$58:$C$67&gt;MAX($B$6:$B37))*(Inputs!$C$58:$C$67&gt;=DATE(2026,1,1))*(Inputs!$C$58:$C$67&lt;=DATE(2026,12,31)),Inputs!$C$58:$C$67,999999))))</f>
      </c>
    </row>
    <row r="39">
      <c r="A39" t="n">
        <v>34</v>
      </c>
      <c r="B39" s="21">
        <f>IF(AND($CD39="",$CE39=""),"",IF($CE39="",$CD39,IF($CD39="",$CE39,MIN($CD39,$CE39))))</f>
      </c>
      <c r="C39" s="7">
        <f>IF($B39="","",IF($BF39=0,0,IF(Inputs!$C$4="Annual salary",ROUND($AK39/IF(AND(Inputs!$C$88="Actual paydays",MONTH(Inputs!$C$9)=1),MAX(1,MAX($BE$6:$BE$68)),Inputs!$C$8),2),$AK39)))</f>
      </c>
      <c r="D39" s="7">
        <f>IF($B39="","",SUMIF(Inputs!$C$58:$C$67,$B39,Inputs!$D$58:$D$67))</f>
      </c>
      <c r="E39" s="7">
        <f>IF($B39="","",ROUND(MAX(0,MIN(IF($AL39="Percent",$AM39*($C39+$D39),$AM39),MAX(0,Inputs!$C$91-$AC38))),2))</f>
      </c>
      <c r="F39" s="7">
        <f>IF($B39="","",ROUND(MAX(0,MIN(IF(Inputs!$C$32="Percent",Inputs!$D$32*($C39+$D39),Inputs!$D$32),MAX(0,Inputs!$C$91-$AC38-$E39))),2))</f>
      </c>
      <c r="G39" s="7">
        <f>IF($B39="","",IF($BF39=0,0,ROUND(MAX(0,MIN($BL39,Inputs!$C$92-Inputs!$C$54-$BI38)),2)))</f>
      </c>
      <c r="H39" s="7">
        <f>IF($B39="","",IF(OR($BF39=0,$BQ39=1),0,ROUND(MAX(0,MIN(IF($BS39=1,ROUND(MAX(0,MIN($BJ39,'Methodology &amp; Sources'!$C$263)-$BG38)/MAX(1,MAX($BE$6:$BE$68)-($BE38)),2),ROUND(MIN($BJ39,'Methodology &amp; Sources'!$C$263)/Inputs!$C$8,2)),MIN($BJ39,'Methodology &amp; Sources'!$C$263)-$BG38)),2)))</f>
      </c>
      <c r="I39" s="7">
        <f>IF($B39="","",IF(OR($BF39=0,$BR39=1),0,ROUND(MAX(0,MIN(IF($BT39=1,ROUND(MAX(0,MIN($BK39,IF(Inputs!$C$12="MFJ",'Methodology &amp; Sources'!$C$264,'Methodology &amp; Sources'!$C$265))-$BH38)/MAX(1,MAX($BE$6:$BE$68)-($BE38)),2),ROUND(MIN($BK39,IF(Inputs!$C$12="MFJ",'Methodology &amp; Sources'!$C$264,'Methodology &amp; Sources'!$C$265))/Inputs!$C$8,2)),MIN($BK39,IF(Inputs!$C$12="MFJ",'Methodology &amp; Sources'!$C$264,'Methodology &amp; Sources'!$C$265))-$BH38)),2)))</f>
      </c>
      <c r="J39" s="7">
        <f>IF($B39="","",IF($BF39=0,0,$BM39))</f>
      </c>
      <c r="K39" s="7">
        <f>IF($B39="","",IF($BF39=0,0,$BN39+$BO39))</f>
      </c>
      <c r="L39" s="7">
        <f>IF($B39="","",IF($BF39=0,0,Inputs!$D$46))</f>
      </c>
      <c r="M39" s="7">
        <f>IF($B39="","",$C39+$D39+$L39-$E39-$G39-$H39-$I39-$J39-$K39)</f>
      </c>
      <c r="N39" s="7">
        <f>IF($B39="","",$C39+$D39+$L39-$G39-$H39-$I39-$J39-$K39)</f>
      </c>
      <c r="O39" s="7">
        <f>IF($B39="","",$C39+$D39+$L39-$E39-$H39-$I39-$J39-$K39-IF(OR($AN39="CA",$AN39="NJ"),0,$G39))</f>
      </c>
      <c r="P39" s="7">
        <f>IF($B39="","",IF(Inputs!$C$18,0,ROUND(MAX(0,IF(Inputs!$C$13,SUMPRODUCT(($AH39&gt;INDEX('Methodology &amp; Sources'!$B$279:$J$286,0,IF(Inputs!$C$12="MFJ",1,IF(Inputs!$C$12="HoH",7,4))))*($AH39-INDEX('Methodology &amp; Sources'!$B$279:$J$286,0,IF(Inputs!$C$12="MFJ",1,IF(Inputs!$C$12="HoH",7,4))))*INDEX('Methodology &amp; Sources'!$B$279:$J$286,0,IF(Inputs!$C$12="MFJ",1,IF(Inputs!$C$12="HoH",7,4))+2)),SUMPRODUCT(($AH39&gt;INDEX('Methodology &amp; Sources'!$B$269:$J$276,0,IF(Inputs!$C$12="MFJ",1,IF(Inputs!$C$12="HoH",7,4))))*($AH39-INDEX('Methodology &amp; Sources'!$B$269:$J$276,0,IF(Inputs!$C$12="MFJ",1,IF(Inputs!$C$12="HoH",7,4))))*INDEX('Methodology &amp; Sources'!$B$269:$J$276,0,IF(Inputs!$C$12="MFJ",1,IF(Inputs!$C$12="HoH",7,4))+2)))/Inputs!$C$8-$AO39/Inputs!$C$8)+$AR39+IF(Inputs!$C$89="Aggregate",MAX(0,IF(Inputs!$C$13,SUMPRODUCT((($AH39+$D39)&gt;INDEX('Methodology &amp; Sources'!$B$279:$J$286,0,IF(Inputs!$C$12="MFJ",1,IF(Inputs!$C$12="HoH",7,4))))*(($AH39+$D39)-INDEX('Methodology &amp; Sources'!$B$279:$J$286,0,IF(Inputs!$C$12="MFJ",1,IF(Inputs!$C$12="HoH",7,4))))*INDEX('Methodology &amp; Sources'!$B$279:$J$286,0,IF(Inputs!$C$12="MFJ",1,IF(Inputs!$C$12="HoH",7,4))+2)),SUMPRODUCT((($AH39+$D39)&gt;INDEX('Methodology &amp; Sources'!$B$269:$J$276,0,IF(Inputs!$C$12="MFJ",1,IF(Inputs!$C$12="HoH",7,4))))*(($AH39+$D39)-INDEX('Methodology &amp; Sources'!$B$269:$J$276,0,IF(Inputs!$C$12="MFJ",1,IF(Inputs!$C$12="HoH",7,4))))*INDEX('Methodology &amp; Sources'!$B$269:$J$276,0,IF(Inputs!$C$12="MFJ",1,IF(Inputs!$C$12="HoH",7,4))+2)))-IF(Inputs!$C$13,SUMPRODUCT(($AH39&gt;INDEX('Methodology &amp; Sources'!$B$279:$J$286,0,IF(Inputs!$C$12="MFJ",1,IF(Inputs!$C$12="HoH",7,4))))*($AH39-INDEX('Methodology &amp; Sources'!$B$279:$J$286,0,IF(Inputs!$C$12="MFJ",1,IF(Inputs!$C$12="HoH",7,4))))*INDEX('Methodology &amp; Sources'!$B$279:$J$286,0,IF(Inputs!$C$12="MFJ",1,IF(Inputs!$C$12="HoH",7,4))+2)),SUMPRODUCT(($AH39&gt;INDEX('Methodology &amp; Sources'!$B$269:$J$276,0,IF(Inputs!$C$12="MFJ",1,IF(Inputs!$C$12="HoH",7,4))))*($AH39-INDEX('Methodology &amp; Sources'!$B$269:$J$276,0,IF(Inputs!$C$12="MFJ",1,IF(Inputs!$C$12="HoH",7,4))))*INDEX('Methodology &amp; Sources'!$B$269:$J$276,0,IF(Inputs!$C$12="MFJ",1,IF(Inputs!$C$12="HoH",7,4))+2)))),'Methodology &amp; Sources'!$C$260*$D39),2)))</f>
      </c>
      <c r="Q39" s="7">
        <f>IF($B39="","",ROUND('Methodology &amp; Sources'!$C$254*MIN($N39,MAX(0,'Methodology &amp; Sources'!$C$253-($AX39+$AB38-$AW39))),2))</f>
      </c>
      <c r="R39" s="7">
        <f>IF($B39="","",ROUND('Methodology &amp; Sources'!$C$255*$N39,2))</f>
      </c>
      <c r="S39" s="7">
        <f>IF($B39="","",ROUND('Methodology &amp; Sources'!$C$256*MAX(0,MIN($N39,$AG38+$N39-'Methodology &amp; Sources'!$C$257)),2))</f>
      </c>
      <c r="T39" s="7">
        <f>IF($B39="","",IF(Inputs!$C$26,0,IF($AN39="CA",ROUND(IF($AI39&lt;=IF(($AS39+$AT39)&gt;=2,VLOOKUP($AN39,'StateTables 2026'!$A$6:$AB$56,10,FALSE),VLOOKUP($AN39,'StateTables 2026'!$A$6:$AB$56,9,FALSE)),0,MAX(0,SUMPRODUCT(($AJ39&gt;INDEX('Methodology &amp; Sources'!$B$289:$J$298,0,IF($AU39="Married",4,IF($AU39="Head of household",7,1))))*($AJ39-INDEX('Methodology &amp; Sources'!$B$289:$J$298,0,IF($AU39="Married",4,IF($AU39="Head of household",7,1))))*INDEX('Methodology &amp; Sources'!$B$289:$J$298,0,IF($AU39="Married",4,IF($AU39="Head of household",7,1))+2))-VLOOKUP($AN39,'StateTables 2026'!$A$6:$AB$56,11,FALSE)*$AS39)/Inputs!$C$8)+Inputs!$C$25+VLOOKUP($AN39,'StateTables 2026'!$A$6:$AB$56,13,FALSE)*$D39,2),IF(VLOOKUP($AN39,'StateTables 2026'!$A$6:$AB$56,4,FALSE)="None",0,IF(ISNUMBER(SEARCH("MANUAL",VLOOKUP($AN39,'StateTables 2026'!$A$6:$AB$56,5,FALSE))),Inputs!$C$28,ROUND(MAX(0,$BA39+$BB39)/Inputs!$C$8+Inputs!$C$25+$BC39,2))))))</f>
      </c>
      <c r="U39" s="7">
        <f>IF($B39="","",IF(VLOOKUP($AN39,'StateTables 2026'!$A$6:$AB$56,24,FALSE)="flatq",IF(OR(MONTH($B39)=1,MONTH($B39)=4,MONTH($B39)=7,MONTH($B39)=10),VLOOKUP($AN39,'StateTables 2026'!$A$6:$AB$56,25,FALSE),0),IF(VLOOKUP($AN39,'StateTables 2026'!$A$6:$AB$56,24,FALSE)="dbl",MIN(ROUND(0.005*$N39,2),ROUND(0.6*52/Inputs!$C$8,2)),IF(OR(VLOOKUP($AN39,'StateTables 2026'!$A$6:$AB$56,15,FALSE)="",VLOOKUP($AN39,'StateTables 2026'!$A$6:$AB$56,15,FALSE)=0),0,ROUND(VLOOKUP($AN39,'StateTables 2026'!$A$6:$AB$56,15,FALSE)*IF(OR(VLOOKUP($AN39,'StateTables 2026'!$A$6:$AB$56,16,FALSE)="",VLOOKUP($AN39,'StateTables 2026'!$A$6:$AB$56,16,FALSE)=0),$N39,MIN($N39,MAX(0,VLOOKUP($AN39,'StateTables 2026'!$A$6:$AB$56,16,FALSE)-($AX39+$AB38-$AW39)))),2))))+IF(VLOOKUP($AN39,'StateTables 2026'!$A$6:$AB$56,27,FALSE)="flatq",IF(OR(MONTH($B39)=1,MONTH($B39)=4,MONTH($B39)=7,MONTH($B39)=10),VLOOKUP($AN39,'StateTables 2026'!$A$6:$AB$56,28,FALSE),0),IF(VLOOKUP($AN39,'StateTables 2026'!$A$6:$AB$56,27,FALSE)="dbl",MIN(ROUND(0.005*$N39,2),ROUND(0.6*52/Inputs!$C$8,2)),IF(OR(VLOOKUP($AN39,'StateTables 2026'!$A$6:$AB$56,18,FALSE)="",VLOOKUP($AN39,'StateTables 2026'!$A$6:$AB$56,18,FALSE)=0),0,ROUND(VLOOKUP($AN39,'StateTables 2026'!$A$6:$AB$56,18,FALSE)*IF(OR(VLOOKUP($AN39,'StateTables 2026'!$A$6:$AB$56,19,FALSE)="",VLOOKUP($AN39,'StateTables 2026'!$A$6:$AB$56,19,FALSE)=0),$N39,MIN($N39,MAX(0,VLOOKUP($AN39,'StateTables 2026'!$A$6:$AB$56,19,FALSE)-($AX39+$AB38-$AW39)))),2)))))</f>
      </c>
      <c r="V39" s="7">
        <f>IF($B39="","",IF($AN39="NY",IF(Inputs!$C$78,ROUND(SUMPRODUCT((MAX(0,($O39-$D39)*Inputs!$C$8-(IF($AU39="Married",5500,5000)+1000*$AS39))&gt;INDEX('Methodology &amp; Sources'!$B$434:$J$448,0,4))*(MAX(0,($O39-$D39)*Inputs!$C$8-(IF($AU39="Married",5500,5000)+1000*$AS39))-INDEX('Methodology &amp; Sources'!$B$434:$J$448,0,4))*INDEX('Methodology &amp; Sources'!$B$434:$J$448,0,4+2))/Inputs!$C$8+0.0425*$D39,2),0)+IF(Inputs!$C$79="Resident",ROUND(0.1675*$T39,2),IF(Inputs!$C$79="Nonresident",ROUND(0.005*MAX(0,($O39-$D39)-(IF($AU39="Married",7950,7400)+1000*$AS39)/Inputs!$C$8),2),0)),IF($AN39="PA",IF(Inputs!$C$80="None",Inputs!$C$27+ROUND(Inputs!$C$81*($C39+$D39),2),ROUND(IF(Inputs!$C$80="Resident",IF($B39&lt;DATE(2026,7,1),0.0374,0.03735),IF($B39&lt;DATE(2026,7,1),0.0343,0.03425))*($C39+$D39),2)),IF($BF39=0,ROUND(Inputs!$C$81*($C39+$D39),2),Inputs!$C$27+ROUND(Inputs!$C$81*($C39+$D39),2)))))</f>
      </c>
      <c r="W39" s="7">
        <f>IF($B39="","",IF($BF39=0,0,$BP39))</f>
      </c>
      <c r="X39" s="7">
        <f>IF($B39="","",SUM($E39:$K39)+$P39+$Q39+$R39+$S39+$T39+$U39+$V39+$W39)</f>
      </c>
      <c r="Y39" s="22">
        <f>IF($B39="","",$C39+$D39-$X39)</f>
      </c>
      <c r="Z39" s="7">
        <f>IF($B39="","",$Z38+$C39+$D39)</f>
      </c>
      <c r="AA39" s="7">
        <f>IF($B39="","",$AA38+$Y39)</f>
      </c>
      <c r="AB39" s="7">
        <f>IF($B39="","",$AB38+MIN($N39,MAX(0,'Methodology &amp; Sources'!$C$253-($AX39+$AB38-$AW39))))</f>
      </c>
      <c r="AC39" s="7">
        <f>IF($B39="","",$AC38+$E39+$F39)</f>
      </c>
      <c r="AD39" s="3">
        <f>IF($B39="","",IF(AND($AB38&lt;'Methodology &amp; Sources'!$C$253,$AB39&gt;='Methodology &amp; Sources'!$C$253),"★ Social Security maxed on this check — from the next check your net rises by about $"&amp;TEXT(ROUND('Methodology &amp; Sources'!$C$254*$N39,2),"#,##0.00")&amp;". ","")&amp;IF(AND($AC38&lt;Inputs!$C$91,$AC39&gt;=Inputs!$C$91),"★ 401(k) reaches the $"&amp;TEXT(Inputs!$C$91,"#,##0")&amp;" cap on this check — deferrals stop and net pay rises. ","")&amp;IF(AND($AG38&lt;'Methodology &amp; Sources'!$C$257,$AG39&gt;='Methodology &amp; Sources'!$C$257),"★ Wages pass $200,000 — the 0.9% Additional Medicare Tax starts here. ","")&amp;IF(AND($BJ39&gt;0,$H39&gt;0,$BG38&lt;MIN($BJ39,'Methodology &amp; Sources'!$C$263),$BG38+$H39&gt;=MIN($BJ39,'Methodology &amp; Sources'!$C$263)),"★ Health FSA election is now fully deferred for the year. ",""))</f>
      </c>
      <c r="AE39" s="41" t="n"/>
      <c r="AF39" s="7">
        <f>IF(OR($B39="",$AE39=""),"",$AE39-$Y39)</f>
      </c>
      <c r="AG39" s="7">
        <f>IF($B39="","",$AG38+$N39)</f>
      </c>
      <c r="AH39" s="7">
        <f>IF($B39="","",MAX(0,($M39-$D39)*Inputs!$C$8+$AP39-$AQ39-IF(Inputs!$C$13,0,IF(Inputs!$C$12="MFJ",'Methodology &amp; Sources'!$C$258,'Methodology &amp; Sources'!$C$259))))</f>
      </c>
      <c r="AI39" s="7">
        <f>IF($B39="","",$O39*Inputs!$C$8)</f>
      </c>
      <c r="AJ39" s="7">
        <f>IF($B39="","",MAX(0,$AI39-VLOOKUP($AN39,'StateTables 2026'!$A$6:$AB$56,12,FALSE)*$AT39-IF(($AS39+$AT39)&gt;=2,VLOOKUP($AN39,'StateTables 2026'!$A$6:$AB$56,8,FALSE),VLOOKUP($AN39,'StateTables 2026'!$A$6:$AB$56,7,FALSE))))</f>
      </c>
      <c r="AK39" s="7">
        <f>IF($B39="","",IFERROR(LOOKUP(2,1/((Events!$C$6:$C$17="Salary change")*(Events!$B$6:$B$17&lt;=$B39)*(Events!$B$6:$B$17&lt;&gt;"")),Events!$D$6:$D$17),IF(Inputs!$C$4="Annual salary",Inputs!$C$5,Inputs!$C$6)))</f>
      </c>
      <c r="AL39">
        <f>IF($B39="","",IFERROR(LOOKUP(2,1/((Events!$C$6:$C$17="401(k) change")*(Events!$B$6:$B$17&lt;=$B39)*(Events!$B$6:$B$17&lt;&gt;"")),Events!$D$6:$D$17),Inputs!$C$30))</f>
      </c>
      <c r="AM39" s="7">
        <f>IF($B39="","",IFERROR(LOOKUP(2,1/((Events!$C$6:$C$17="401(k) change")*(Events!$B$6:$B$17&lt;=$B39)*(Events!$B$6:$B$17&lt;&gt;"")),Events!$E$6:$E$17),Inputs!$D$30))</f>
      </c>
      <c r="AN39">
        <f>IF($B39="","",IFERROR(LOOKUP(2,1/((Events!$C$6:$C$17="State move")*(Events!$B$6:$B$17&lt;=$B39)*(Events!$B$6:$B$17&lt;&gt;"")),Events!$D$6:$D$17),Inputs!$C$21))</f>
      </c>
      <c r="AO39" s="7">
        <f>IF($B39="","",IFERROR(LOOKUP(2,1/((Events!$C$6:$C$17="W-4 change")*(Events!$B$6:$B$17&lt;=$B39)*(Events!$B$6:$B$17&lt;&gt;"")),Events!$D$6:$D$17),Inputs!$C$14))</f>
      </c>
      <c r="AP39" s="7">
        <f>IF($B39="","",IFERROR(LOOKUP(2,1/((Events!$C$6:$C$17="W-4 change")*(Events!$B$6:$B$17&lt;=$B39)*(Events!$B$6:$B$17&lt;&gt;"")),Events!$E$6:$E$17),Inputs!$C$15))</f>
      </c>
      <c r="AQ39" s="7">
        <f>IF($B39="","",IFERROR(LOOKUP(2,1/((Events!$C$6:$C$17="W-4 change")*(Events!$B$6:$B$17&lt;=$B39)*(Events!$B$6:$B$17&lt;&gt;"")),Events!$F$6:$F$17),Inputs!$C$16))</f>
      </c>
      <c r="AR39" s="7">
        <f>IF($B39="","",IFERROR(LOOKUP(2,1/((Events!$C$6:$C$17="W-4 change")*(Events!$B$6:$B$17&lt;=$B39)*(Events!$B$6:$B$17&lt;&gt;"")),Events!$G$6:$G$17),Inputs!$C$17))</f>
      </c>
      <c r="AS39" s="6">
        <f>IF($B39="","",IFERROR(LOOKUP(2,1/(((Events!$C$6:$C$17="State move")+(Events!$C$6:$C$17="State cert change"))*(Events!$B$6:$B$17&lt;=$B39)*(Events!$B$6:$B$17&lt;&gt;"")),Events!$F$6:$F$17),Inputs!$C$23))</f>
      </c>
      <c r="AT39" s="6">
        <f>IF($B39="","",IFERROR(LOOKUP(2,1/(((Events!$C$6:$C$17="State move")+(Events!$C$6:$C$17="State cert change"))*(Events!$B$6:$B$17&lt;=$B39)*(Events!$B$6:$B$17&lt;&gt;"")),Events!$G$6:$G$17),Inputs!$C$24))</f>
      </c>
      <c r="AU39">
        <f>IF($B39="","",IFERROR(LOOKUP(2,1/((Events!$C$6:$C$17="State move")*(Events!$B$6:$B$17&lt;=$B39)*(Events!$B$6:$B$17&lt;&gt;"")),Events!$E$6:$E$17),Inputs!$C$22))</f>
      </c>
      <c r="AV39" s="6">
        <f>IF($B39="","",1+COUNTIFS(Events!$C$6:$C$17,"Employer change",Events!$B$6:$B$17,"&lt;="&amp;$B39,Events!$B$6:$B$17,"&lt;&gt;"))</f>
      </c>
      <c r="AW39" s="7">
        <f>IF($B39="","",IF($AV39=1,Inputs!$C$49,IF(IFERROR(MATCH(IFERROR(LOOKUP(2,1/((Events!$C$6:$C$17="Employer change")*(Events!$B$6:$B$17&lt;=$B39)*(Events!$B$6:$B$17&lt;&gt;"")),Events!$B$6:$B$17),""),$B$6:$B$68,1),1)&lt;=1,Inputs!$C$49,INDEX($AB$6:$AB$68,MATCH(IFERROR(LOOKUP(2,1/((Events!$C$6:$C$17="Employer change")*(Events!$B$6:$B$17&lt;=$B39)*(Events!$B$6:$B$17&lt;&gt;"")),Events!$B$6:$B$17),""),$B$6:$B$68,1)-1))))</f>
      </c>
      <c r="AX39" s="7">
        <f>IF($B39="","",IF($AV39=1,Inputs!$C$49,IFERROR(LOOKUP(2,1/((Events!$C$6:$C$17="Employer change")*(Events!$B$6:$B$17&lt;=$B39)*(Events!$B$6:$B$17&lt;&gt;"")),Events!$D$6:$D$17),0)))</f>
      </c>
      <c r="AY39" s="7">
        <f>IF($B39="","",($O39-$D39)*Inputs!$C$8)</f>
      </c>
      <c r="AZ39" s="7">
        <f>IF($B39="","",IF($AN39="AL",MAX(0,$AY39-IF($AU39="Married",IF($AY39&lt;=25999,8500,MAX(5000,8500-175*CEILING(($AY39-25999)/500,1))),IF($AU39="Head of household",IF($AY39&lt;=25999,5200,MAX(2500,5200-135*CEILING(($AY39-25999)/500,1))),IF($AY39&lt;=25999,3000,MAX(2500,3000-25*CEILING(($AY39-25999)/500,1)))))-($P39-'Methodology &amp; Sources'!$C$260*$D39)*Inputs!$C$8-IF(OR($AU39="Married",$AU39="Head of household"),3000,1500)-$AT39*IF($AY39&lt;=50000,1000,IF($AY39&lt;=100000,500,300))),IF($AN39="AR",IF(MAX(0,$AY39-2470)&lt;97701,INT(MAX(0,$AY39-2470)/100)*100+50,MAX(0,$AY39-2470)),IF($AN39="DE",MAX(0,$AI39-3250),IF($AN39="HI",MAX(0,$AI39-1144*$AS39-4350),IF($AN39="KS",MAX(0,$AI39-(9160*IF($AU39="Married",2,1)+2320*$AT39+IF($AU39="Head of household",2320,0))),IF($AN39="MD",MAX(0,$AI39-3400-3200*$AS39),IF($AN39="MN",MAX(0,$AY39-5300*$AS39),IF($AN39="MO",MAX(0,$AI39-IF($AU39="Head of household",24150,IF($AU39="Married",IF(Inputs!$C$83,16100,32200),16100))),IF($AN39="MT",$AY39,IF($AN39="ND",($C39+$L39)*Inputs!$C$8,IF($AN39="NE",MAX(0,$AY39-2440*$AS39),IF($AN39="NJ",MAX(0,$AY39-1000*$AS39),IF($AN39="NY",MAX(0,$AY39-(IF($AU39="Married",7950,7400)+1000*$AS39)),IF($AN39="OH",MAX(0,$AY39-650*$AS39),IF($AN39="OK",MAX(0,$AY39-1000*$AS39),IF($AN39="RI",MAX(0,$AI39-1000*$AS39),IF($AN39="SC",MAX(0,$AI39-5000*$AS39-IF($AS39=0,0,MIN(0.1*$AI39,7500))),IF($AN39="VA",MAX(0,$AI39-IF($AU39="Married",17500,8750)-930*$AS39-800*$AT39),IF($AN39="VT",MAX(0,$AI39-5400*$AS39),IF($AN39="WI",MAX(0,$AI39-MAX(0,IF($AU39="Married",9461-0.2*MAX(0,$AI39-25727),6702-0.12*MAX(0,$AI39-17780)))-400*$AS39),IF($AN39="WV",MAX(0,$AI39-2000*$AS39),$AI39))))))))))))))))))))))</f>
      </c>
      <c r="BA39" s="7">
        <f>IF($B39="","",IF($BW39&lt;&gt;"",$BW39,IF($BX39&lt;&gt;"",$BX39,IF($BY39&lt;&gt;"",$BY39,0))))</f>
      </c>
      <c r="BB39" s="7">
        <f>IF($B39="","",IF($AN39="AR",-29*$AS39,IF($AN39="DE",-110*$AS39,IF($AN39="MD",$AZ39*Inputs!$C$74,IF($AN39="AZ",Inputs!$C$82*($M39-$D39)*Inputs!$C$8,IF($AN39="CO",0.044*MAX(0,$AY39-IF($AU39="Married",10000,5000)),IF($AN39="IA",MAX(0,0.038*MAX(0,$AY39-IF($AU39="Head of household",19500,IF($AU39="Married",26000,13000)))-40*$AS39),IF($AN39="ID",0.053*MAX(0,$AY39-IF($AU39="Married",32000,16094)),IF($AN39="IL",0.0495*MAX(0,$AY39-(2925*$AS39+1000*$AT39)),IF($AN39="IN",(0.0295+Inputs!$C$76)*MAX(0,$AY39-(1000*$AS39+1500*$AT39+3000*Inputs!$C$86)),IF($AN39="KY",0.035*MAX(0,$AI39-3360),IF($AN39="LA",IF(Inputs!$C$84="0",0.0309*$AI39,0.0309*MAX(0,$AI39-IF(Inputs!$C$84="2",25750,12875))),IF($AN39="MA",0.05*MIN(MAX(0,$AY39-MIN(($BD38+$Q39+$R39+$S39),2000)-IF($AS39=0,0,IF($AS39=1,4400,1000*$AS39+3400))),1107750)+0.09*MAX(0,MAX(0,$AY39-MIN(($BD38+$Q39+$R39+$S39),2000)-IF($AS39=0,0,IF($AS39=1,4400,1000*$AS39+3400)))-1107750)-IF($AU39="Head of household",120,0)-110*Inputs!$C$75,IF($AN39="MI",0.0425*MAX(0,$AY39-5900*$AS39),IF($AN39="MS",0.04*MAX(0,$AI39-IF($AU39="Head of household",3400,IF($AU39="Married",4600,2300))-Inputs!$C$85-10000),IF($AN39="OR",IF(OR($AU39="Married",AND($AU39="Single",$AS39&gt;=3)),SUMPRODUCT((MAX(0,$AY39-MIN(($P39-'Methodology &amp; Sources'!$C$260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Sources'!$B$461:$J$464,0,4))*(MAX(0,$AY39-MIN(($P39-'Methodology &amp; Sources'!$C$260*$D39)*Inputs!$C$8,IF(OR($AU39="Married",AND($AU39="Single",$AS39&gt;=3)),IF($AY39&lt;250000,8750,IF($AY39&lt;260000,7000,IF($AY39&lt;270000,5250,IF($AY39&lt;280000,3500,IF($AY39&lt;290000,1750,0))))),IF($AY39&lt;125000,8750,IF($AY39&lt;130000,7000,IF($AY39&lt;135000,5250,IF($AY39&lt;140000,3500,IF($AY39&lt;145000,1750,0)))))))-IF(OR($AU39="Married",AND($AU39="Single",$AS39&gt;=3)),5820,2910))-INDEX('Methodology &amp; Sources'!$B$461:$J$464,0,4))*INDEX('Methodology &amp; Sources'!$B$461:$J$464,0,4+2)),SUMPRODUCT((MAX(0,$AY39-MIN(($P39-'Methodology &amp; Sources'!$C$260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Sources'!$B$461:$J$464,0,1))*(MAX(0,$AY39-MIN(($P39-'Methodology &amp; Sources'!$C$260*$D39)*Inputs!$C$8,IF(OR($AU39="Married",AND($AU39="Single",$AS39&gt;=3)),IF($AY39&lt;250000,8750,IF($AY39&lt;260000,7000,IF($AY39&lt;270000,5250,IF($AY39&lt;280000,3500,IF($AY39&lt;290000,1750,0))))),IF($AY39&lt;125000,8750,IF($AY39&lt;130000,7000,IF($AY39&lt;135000,5250,IF($AY39&lt;140000,3500,IF($AY39&lt;145000,1750,0)))))))-IF(OR($AU39="Married",AND($AU39="Single",$AS39&gt;=3)),5820,2910))-INDEX('Methodology &amp; Sources'!$B$461:$J$464,0,1))*INDEX('Methodology &amp; Sources'!$B$461:$J$464,0,1+2)))+263-263*IF(IF($AU39="Married",$AY39&gt;200000,$AY39&gt;100000),0,$AS39),IF($AN39="PA",0.0307*(($O39+$E39+$G39)*Inputs!$C$8),IF($AN39="NY",IF($AU39="Married",IF($AZ39&gt;=2155350,0,IF($AZ39&gt;=1077550,0.48,IF($AZ39&gt;=373200,1.21,IF($AZ39&gt;=323200,0.21,IF($AZ39&gt;=211550,-0.19,IF($AZ39&gt;=157650,-2.8,IF($AZ39&gt;=107650,-0.8,IF($AZ39&gt;=96800,0.05,IF($AZ39&gt;=80650,-0.1,IF($AZ39&gt;=13900,0.4,IF($AZ39&gt;=11700,-0.3,IF($AZ39&gt;=8500,0.5,0)))))))))))),IF($AZ39&gt;=1077550,0,IF($AZ39&gt;=265400,4.29,IF($AZ39&gt;=215400,2.29,IF($AZ39&gt;=157650,2.29,IF($AZ39&gt;=107650,0.29,IF($AZ39&gt;=96800,0.05,IF($AZ39&gt;=80650,-0.1,IF($AZ39&gt;=13900,0.4,IF($AZ39&gt;=11700,-0.3,IF($AZ39&gt;=8500,0.5,0))))))))))),0))))))))))))))))))</f>
      </c>
      <c r="BC39" s="7">
        <f>IF($B39="","",IF($AN39="AL",0.05*$D39,IF($AN39="AR",0.039*$D39,IF($AN39="ID",0.053*$D39,IF($AN39="IN",(0.0295+Inputs!$C$76)*$D39,IF($AN39="KS",0.05*$D39,IF($AN39="MA",0.09*MIN($D39,MAX(0,MAX(0,$AY39-MIN(($BD38+$Q39+$R39+$S39),2000)-IF($AS39=0,0,IF($AS39=1,4400,1000*$AS39+3400)))+$D39-1107750))+0.05*($D39-MIN($D39,MAX(0,MAX(0,$AY39-MIN(($BD38+$Q39+$R39+$S39),2000)-IF($AS39=0,0,IF($AS39=1,4400,1000*$AS39+3400)))+$D39-1107750))),IF($AN39="MD",(0.065+Inputs!$C$74)*$D39,IF($AN39="MI",0.0425*$D39,IF($AN39="MN",0.0625*$D39,IF($AN39="MO",0.047*$D39,IF($AN39="MT",0.05*$D39,IF($AN39="ND",0.015*$D39,IF($AN39="NE",0.035*$D39,IF($AN39="NJ",IF(Inputs!$C$77="B",SUMPRODUCT(($D39*Inputs!$C$8&gt;INDEX('Methodology &amp; Sources'!$B$405:$J$412,0,4))*($D39*Inputs!$C$8-INDEX('Methodology &amp; Sources'!$B$405:$J$412,0,4))*INDEX('Methodology &amp; Sources'!$B$405:$J$412,0,4+2)),IF(Inputs!$C$77="C",SUMPRODUCT(($D39*Inputs!$C$8&gt;INDEX('Methodology &amp; Sources'!$B$405:$J$412,0,7))*($D39*Inputs!$C$8-INDEX('Methodology &amp; Sources'!$B$405:$J$412,0,7))*INDEX('Methodology &amp; Sources'!$B$405:$J$412,0,7+2)),IF(Inputs!$C$77="D",SUMPRODUCT(($D39*Inputs!$C$8&gt;INDEX('Methodology &amp; Sources'!$B$417:$J$429,0,1))*($D39*Inputs!$C$8-INDEX('Methodology &amp; Sources'!$B$417:$J$429,0,1))*INDEX('Methodology &amp; Sources'!$B$417:$J$429,0,1+2)),IF(Inputs!$C$77="E",SUMPRODUCT(($D39*Inputs!$C$8&gt;INDEX('Methodology &amp; Sources'!$B$417:$J$429,0,4))*($D39*Inputs!$C$8-INDEX('Methodology &amp; Sources'!$B$417:$J$429,0,4))*INDEX('Methodology &amp; Sources'!$B$417:$J$429,0,4+2)),SUMPRODUCT(($D39*Inputs!$C$8&gt;INDEX('Methodology &amp; Sources'!$B$405:$J$412,0,1))*($D39*Inputs!$C$8-INDEX('Methodology &amp; Sources'!$B$405:$J$412,0,1))*INDEX('Methodology &amp; Sources'!$B$405:$J$412,0,1+2))))))/Inputs!$C$8,IF($AN39="NY",0.117*$D39,IF($AN39="OH",0.0275*$D39,IF($AN39="OK",0.045*$D39,IF($AN39="OR",0.08*$D39,IF($AN39="WI",IF($AY39&lt;12760,0.0354,IF($AY39&lt;25520,0.0465,IF($AY39&lt;280950,0.053,0.0765)))*$D39,0))))))))))))))))))))</f>
      </c>
      <c r="BD39" s="7">
        <f>IF($B39="","",$BD38+$Q39+$R39+$S39)</f>
      </c>
      <c r="BE39" s="6">
        <f>IF($B39="",$BE38,$BE38+$BF39)</f>
      </c>
      <c r="BF39" s="6">
        <f>IF($B39="","",IF(AND(IF(YEAR(IF(Inputs!$C$7="Weekly",Inputs!$C$9+7*(($BE38+1)-1),IF(Inputs!$C$7="Biweekly",Inputs!$C$9+14*(($BE38+1)-1),IF(Inputs!$C$7="Semimonthly",DATE(YEAR(Inputs!$C$9),MONTH(Inputs!$C$9)+INT((($BE38+1)-1)/2),MIN(DAY(Inputs!$C$9),DAY(EOMONTH(DATE(YEAR(Inputs!$C$9),MONTH(Inputs!$C$9)+INT((($BE38+1)-1)/2),1),0))))+IF(MOD(($BE38+1)-1,2)=1,15,0),EDATE(Inputs!$C$9,($BE38+1)-1)))))&lt;&gt;2026,"",IF(Inputs!$C$7="Weekly",Inputs!$C$9+7*(($BE38+1)-1),IF(Inputs!$C$7="Biweekly",Inputs!$C$9+14*(($BE38+1)-1),IF(Inputs!$C$7="Semimonthly",DATE(YEAR(Inputs!$C$9),MONTH(Inputs!$C$9)+INT((($BE38+1)-1)/2),MIN(DAY(Inputs!$C$9),DAY(EOMONTH(DATE(YEAR(Inputs!$C$9),MONTH(Inputs!$C$9)+INT((($BE38+1)-1)/2),1),0))))+IF(MOD(($BE38+1)-1,2)=1,15,0),EDATE(Inputs!$C$9,($BE38+1)-1)))))&lt;&gt;"",$B39=IF(YEAR(IF(Inputs!$C$7="Weekly",Inputs!$C$9+7*(($BE38+1)-1),IF(Inputs!$C$7="Biweekly",Inputs!$C$9+14*(($BE38+1)-1),IF(Inputs!$C$7="Semimonthly",DATE(YEAR(Inputs!$C$9),MONTH(Inputs!$C$9)+INT((($BE38+1)-1)/2),MIN(DAY(Inputs!$C$9),DAY(EOMONTH(DATE(YEAR(Inputs!$C$9),MONTH(Inputs!$C$9)+INT((($BE38+1)-1)/2),1),0))))+IF(MOD(($BE38+1)-1,2)=1,15,0),EDATE(Inputs!$C$9,($BE38+1)-1)))))&lt;&gt;2026,"",IF(Inputs!$C$7="Weekly",Inputs!$C$9+7*(($BE38+1)-1),IF(Inputs!$C$7="Biweekly",Inputs!$C$9+14*(($BE38+1)-1),IF(Inputs!$C$7="Semimonthly",DATE(YEAR(Inputs!$C$9),MONTH(Inputs!$C$9)+INT((($BE38+1)-1)/2),MIN(DAY(Inputs!$C$9),DAY(EOMONTH(DATE(YEAR(Inputs!$C$9),MONTH(Inputs!$C$9)+INT((($BE38+1)-1)/2),1),0))))+IF(MOD(($BE38+1)-1,2)=1,15,0),EDATE(Inputs!$C$9,($BE38+1)-1)))))),1,0))</f>
      </c>
      <c r="BG39" s="7">
        <f>IF($B39="","",$BG38+$H39)</f>
      </c>
      <c r="BH39" s="7">
        <f>IF($B39="","",$BH38+$I39)</f>
      </c>
      <c r="BI39" s="7">
        <f>IF($B39="","",$BI38+$G39)</f>
      </c>
      <c r="BJ39" s="7">
        <f>IF($B39="","",IFERROR(LOOKUP(2,1/((((Events!$C$6:$C$17="Deduction start"))*(Events!$D$6:$D$17="Health FSA"))*(Events!$B$6:$B$17&lt;=$B39)*(Events!$B$6:$B$17&lt;&gt;"")),Events!$E$6:$E$17),Inputs!$D$38))</f>
      </c>
      <c r="BK39" s="7">
        <f>IF($B39="","",IFERROR(LOOKUP(2,1/((((Events!$C$6:$C$17="Deduction start"))*(Events!$D$6:$D$17="Dependent-care FSA"))*(Events!$B$6:$B$17&lt;=$B39)*(Events!$B$6:$B$17&lt;&gt;"")),Events!$E$6:$E$17),Inputs!$D$39))</f>
      </c>
      <c r="BL39" s="7">
        <f>IF($B39="","",IFERROR(LOOKUP(2,1/((((Events!$C$6:$C$17="Deduction start")+(Events!$C$6:$C$17="Deduction stop"))*(Events!$D$6:$D$17="HSA"))*(Events!$B$6:$B$17&lt;=$B39)*(Events!$B$6:$B$17&lt;&gt;"")),Events!$I$6:$I$17),Inputs!$D$35))</f>
      </c>
      <c r="BM39" s="7">
        <f>IF($B39="","",IFERROR(LOOKUP(2,1/((((Events!$C$6:$C$17="Deduction start")+(Events!$C$6:$C$17="Deduction stop"))*(Events!$D$6:$D$17="Premiums"))*(Events!$B$6:$B$17&lt;=$B39)*(Events!$B$6:$B$17&lt;&gt;"")),Events!$I$6:$I$17),Inputs!$D$40+Inputs!$D$41+Inputs!$D$42))</f>
      </c>
      <c r="BN39" s="7">
        <f>IF($B39="","",IFERROR(LOOKUP(2,1/((((Events!$C$6:$C$17="Deduction start")+(Events!$C$6:$C$17="Deduction stop"))*(Events!$D$6:$D$17="Commuter"))*(Events!$B$6:$B$17&lt;=$B39)*(Events!$B$6:$B$17&lt;&gt;"")),Events!$I$6:$I$17),Inputs!$D$43))</f>
      </c>
      <c r="BO39" s="7">
        <f>IF($B39="","",IFERROR(LOOKUP(2,1/((((Events!$C$6:$C$17="Deduction start")+(Events!$C$6:$C$17="Deduction stop"))*(Events!$D$6:$D$17="Other pre-tax"))*(Events!$B$6:$B$17&lt;=$B39)*(Events!$B$6:$B$17&lt;&gt;"")),Events!$I$6:$I$17),Inputs!$D$44))</f>
      </c>
      <c r="BP39" s="7">
        <f>IF($B39="","",IFERROR(LOOKUP(2,1/((((Events!$C$6:$C$17="Deduction start")+(Events!$C$6:$C$17="Deduction stop"))*(Events!$D$6:$D$17="Other post-tax"))*(Events!$B$6:$B$17&lt;=$B39)*(Events!$B$6:$B$17&lt;&gt;"")),Events!$I$6:$I$17),Inputs!$D$45))</f>
      </c>
      <c r="BQ39" s="6">
        <f>IF($B39="","",IFERROR(LOOKUP(2,1/((((Events!$C$6:$C$17="Deduction start")+(Events!$C$6:$C$17="Deduction stop"))*(Events!$D$6:$D$17="Health FSA"))*(Events!$B$6:$B$17&lt;=$B39)*(Events!$B$6:$B$17&lt;&gt;"")),Events!$J$6:$J$17),0))</f>
      </c>
      <c r="BR39" s="6">
        <f>IF($B39="","",IFERROR(LOOKUP(2,1/((((Events!$C$6:$C$17="Deduction start")+(Events!$C$6:$C$17="Deduction stop"))*(Events!$D$6:$D$17="Dependent-care FSA"))*(Events!$B$6:$B$17&lt;=$B39)*(Events!$B$6:$B$17&lt;&gt;"")),Events!$J$6:$J$17),0))</f>
      </c>
      <c r="BS39" s="6">
        <f>IF($B39="","",IF(SUMPRODUCT((Events!$C$6:$C$17="Deduction start")*(Events!$B$6:$B$17&lt;=$B39)*(Events!$B$6:$B$17&lt;&gt;"")*(Events!$D$6:$D$17="Health FSA"))&gt;0,1,0))</f>
      </c>
      <c r="BT39" s="6">
        <f>IF($B39="","",IF(SUMPRODUCT((Events!$C$6:$C$17="Deduction start")*(Events!$B$6:$B$17&lt;=$B39)*(Events!$B$6:$B$17&lt;&gt;"")*(Events!$D$6:$D$17="Dependent-care FSA"))&gt;0,1,0))</f>
      </c>
      <c r="BU39" s="24">
        <f>IF($B39="","",IF(Inputs!$C$13,SUMPRODUCT(($AH39&gt;=INDEX('Methodology &amp; Sources'!$B$279:$J$286,0,IF(Inputs!$C$12="MFJ",1,IF(Inputs!$C$12="HoH",7,4))))*INDEX('Methodology &amp; Sources'!$B$279:$J$286,0,IF(Inputs!$C$12="MFJ",1,IF(Inputs!$C$12="HoH",7,4))+2)),SUMPRODUCT(($AH39&gt;=INDEX('Methodology &amp; Sources'!$B$269:$J$276,0,IF(Inputs!$C$12="MFJ",1,IF(Inputs!$C$12="HoH",7,4))))*INDEX('Methodology &amp; Sources'!$B$269:$J$276,0,IF(Inputs!$C$12="MFJ",1,IF(Inputs!$C$12="HoH",7,4))+2))))</f>
      </c>
      <c r="BV39" s="24">
        <f>IF($B39="","",IF($BZ39&lt;&gt;"",$BZ39,IF($CA39&lt;&gt;"",$CA39,IF($CB39&lt;&gt;"",$CB39,IF($CC39&lt;&gt;"",$CC39,0)))))</f>
      </c>
      <c r="BW39" s="7">
        <f>IF($B39="","",IF($AN39="MD",IF(OR($AU39="Married",$AU39="Head of household"),SUMPRODUCT(($AZ39&gt;INDEX('Methodology &amp; Sources'!$B$364:$J$370,0,1))*($AZ39-INDEX('Methodology &amp; Sources'!$B$364:$J$370,0,1))*INDEX('Methodology &amp; Sources'!$B$364:$J$370,0,1+2)),SUMPRODUCT(($AZ39&gt;INDEX('Methodology &amp; Sources'!$B$353:$J$359,0,7))*($AZ39-INDEX('Methodology &amp; Sources'!$B$353:$J$359,0,7))*INDEX('Methodology &amp; Sources'!$B$353:$J$359,0,7+2))),IF($AN39="MO",SUMPRODUCT(($AZ39&gt;INDEX('Methodology &amp; Sources'!$B$375:$J$382,0,1))*($AZ39-INDEX('Methodology &amp; Sources'!$B$375:$J$382,0,1))*INDEX('Methodology &amp; Sources'!$B$375:$J$382,0,1+2)),IF($AN39="MT",IF($AU39="Head of household",SUMPRODUCT(($AZ39&gt;INDEX('Methodology &amp; Sources'!$B$387:$J$389,0,1))*($AZ39-INDEX('Methodology &amp; Sources'!$B$387:$J$389,0,1))*INDEX('Methodology &amp; Sources'!$B$387:$J$389,0,1+2)),IF($AU39="Married",SUMPRODUCT(($AZ39&gt;INDEX('Methodology &amp; Sources'!$B$375:$J$382,0,7))*($AZ39-INDEX('Methodology &amp; Sources'!$B$375:$J$382,0,7))*INDEX('Methodology &amp; Sources'!$B$375:$J$382,0,7+2)),SUMPRODUCT(($AZ39&gt;INDEX('Methodology &amp; Sources'!$B$375:$J$382,0,4))*($AZ39-INDEX('Methodology &amp; Sources'!$B$375:$J$382,0,4))*INDEX('Methodology &amp; Sources'!$B$375:$J$382,0,4+2)))),IF($AN39="ND",IF($AU39="Head of household",SUMPRODUCT(($AZ39&gt;INDEX('Methodology &amp; Sources'!$B$394:$J$400,0,1))*($AZ39-INDEX('Methodology &amp; Sources'!$B$394:$J$400,0,1))*INDEX('Methodology &amp; Sources'!$B$394:$J$400,0,1+2)),IF($AU39="Married",SUMPRODUCT(($AZ39&gt;INDEX('Methodology &amp; Sources'!$B$387:$J$389,0,7))*($AZ39-INDEX('Methodology &amp; Sources'!$B$387:$J$389,0,7))*INDEX('Methodology &amp; Sources'!$B$387:$J$389,0,7+2)),SUMPRODUCT(($AZ39&gt;INDEX('Methodology &amp; Sources'!$B$387:$J$389,0,4))*($AZ39-INDEX('Methodology &amp; Sources'!$B$387:$J$389,0,4))*INDEX('Methodology &amp; Sources'!$B$387:$J$389,0,4+2)))),IF($AN39="NJ",IF(Inputs!$C$77="B",SUMPRODUCT(($AZ39&gt;INDEX('Methodology &amp; Sources'!$B$405:$J$412,0,4))*($AZ39-INDEX('Methodology &amp; Sources'!$B$405:$J$412,0,4))*INDEX('Methodology &amp; Sources'!$B$405:$J$412,0,4+2)),IF(Inputs!$C$77="C",SUMPRODUCT(($AZ39&gt;INDEX('Methodology &amp; Sources'!$B$405:$J$412,0,7))*($AZ39-INDEX('Methodology &amp; Sources'!$B$405:$J$412,0,7))*INDEX('Methodology &amp; Sources'!$B$405:$J$412,0,7+2)),IF(Inputs!$C$77="D",SUMPRODUCT(($AZ39&gt;INDEX('Methodology &amp; Sources'!$B$417:$J$429,0,1))*($AZ39-INDEX('Methodology &amp; Sources'!$B$417:$J$429,0,1))*INDEX('Methodology &amp; Sources'!$B$417:$J$429,0,1+2)),IF(Inputs!$C$77="E",SUMPRODUCT(($AZ39&gt;INDEX('Methodology &amp; Sources'!$B$417:$J$429,0,4))*($AZ39-INDEX('Methodology &amp; Sources'!$B$417:$J$429,0,4))*INDEX('Methodology &amp; Sources'!$B$417:$J$429,0,4+2)),SUMPRODUCT(($AZ39&gt;INDEX('Methodology &amp; Sources'!$B$405:$J$412,0,1))*($AZ39-INDEX('Methodology &amp; Sources'!$B$405:$J$412,0,1))*INDEX('Methodology &amp; Sources'!$B$405:$J$412,0,1+2)))))),IF($AN39="NY",IF($AU39="Married",IF($AZ39&gt;=2155350,$AZ39*IF($AZ39&gt;25000000,0.117,IF($AZ39&gt;5000000,0.111,0.1045)),SUMPRODUCT(($AZ39&gt;INDEX('Methodology &amp; Sources'!$B$434:$J$448,0,1))*($AZ39-INDEX('Methodology &amp; Sources'!$B$434:$J$448,0,1))*INDEX('Methodology &amp; Sources'!$B$434:$J$448,0,1+2))),IF($AZ39&gt;=1077550,$AZ39*IF($AZ39&gt;25000000,0.117,IF($AZ39&gt;5000000,0.111,0.1045)),SUMPRODUCT(($AZ39&gt;INDEX('Methodology &amp; Sources'!$B$417:$J$429,0,7))*($AZ39-INDEX('Methodology &amp; Sources'!$B$417:$J$429,0,7))*INDEX('Methodology &amp; Sources'!$B$417:$J$429,0,7+2)))),"")))))))</f>
      </c>
      <c r="BX39" s="7">
        <f>IF($B39="","",IF($AN39="AL",IF(OR($AU39="Married",$AU39="Head of household"),SUMPRODUCT(($AZ39&gt;INDEX('Methodology &amp; Sources'!$B$332:$J$336,0,4))*($AZ39-INDEX('Methodology &amp; Sources'!$B$332:$J$336,0,4))*INDEX('Methodology &amp; Sources'!$B$332:$J$336,0,4+2)),SUMPRODUCT(($AZ39&gt;INDEX('Methodology &amp; Sources'!$B$332:$J$336,0,1))*($AZ39-INDEX('Methodology &amp; Sources'!$B$332:$J$336,0,1))*INDEX('Methodology &amp; Sources'!$B$332:$J$336,0,1+2))),IF($AN39="KS",IF($AU39="Married",SUMPRODUCT(($AZ39&gt;INDEX('Methodology &amp; Sources'!$B$353:$J$359,0,4))*($AZ39-INDEX('Methodology &amp; Sources'!$B$353:$J$359,0,4))*INDEX('Methodology &amp; Sources'!$B$353:$J$359,0,4+2)),SUMPRODUCT(($AZ39&gt;INDEX('Methodology &amp; Sources'!$B$353:$J$359,0,1))*($AZ39-INDEX('Methodology &amp; Sources'!$B$353:$J$359,0,1))*INDEX('Methodology &amp; Sources'!$B$353:$J$359,0,1+2))),IF($AN39="MN",IF($AU39="Married",SUMPRODUCT(($AZ39&gt;INDEX('Methodology &amp; Sources'!$B$364:$J$370,0,7))*($AZ39-INDEX('Methodology &amp; Sources'!$B$364:$J$370,0,7))*INDEX('Methodology &amp; Sources'!$B$364:$J$370,0,7+2)),SUMPRODUCT(($AZ39&gt;INDEX('Methodology &amp; Sources'!$B$364:$J$370,0,4))*($AZ39-INDEX('Methodology &amp; Sources'!$B$364:$J$370,0,4))*INDEX('Methodology &amp; Sources'!$B$364:$J$370,0,4+2))),IF($AN39="NE",MAX(IF($AU39="Married",SUMPRODUCT(($AZ39&gt;INDEX('Methodology &amp; Sources'!$B$394:$J$400,0,7))*($AZ39-INDEX('Methodology &amp; Sources'!$B$394:$J$400,0,7))*INDEX('Methodology &amp; Sources'!$B$394:$J$400,0,7+2)),SUMPRODUCT(($AZ39&gt;INDEX('Methodology &amp; Sources'!$B$394:$J$400,0,4))*($AZ39-INDEX('Methodology &amp; Sources'!$B$394:$J$400,0,4))*INDEX('Methodology &amp; Sources'!$B$394:$J$400,0,4+2))),0.015*$AZ39),IF($AN39="OH",IF($B39&gt;=DATE(2026,8,1),SUMPRODUCT(($AZ39&gt;INDEX('Methodology &amp; Sources'!$B$453:$J$456,0,1))*($AZ39-INDEX('Methodology &amp; Sources'!$B$453:$J$456,0,1))*INDEX('Methodology &amp; Sources'!$B$453:$J$456,0,1+2)),SUMPRODUCT(($AZ39&gt;INDEX('Methodology &amp; Sources'!$B$434:$J$448,0,7))*($AZ39-INDEX('Methodology &amp; Sources'!$B$434:$J$448,0,7))*INDEX('Methodology &amp; Sources'!$B$434:$J$448,0,7+2))),IF($AN39="OK",IF($AU39="Married",SUMPRODUCT(($AZ39&gt;INDEX('Methodology &amp; Sources'!$B$453:$J$456,0,7))*($AZ39-INDEX('Methodology &amp; Sources'!$B$453:$J$456,0,7))*INDEX('Methodology &amp; Sources'!$B$453:$J$456,0,7+2)),SUMPRODUCT(($AZ39&gt;INDEX('Methodology &amp; Sources'!$B$453:$J$456,0,4))*($AZ39-INDEX('Methodology &amp; Sources'!$B$453:$J$456,0,4))*INDEX('Methodology &amp; Sources'!$B$453:$J$456,0,4+2))),IF($AN39="RI",SUMPRODUCT(($AZ39&gt;INDEX('Methodology &amp; Sources'!$B$461:$J$464,0,7))*($AZ39-INDEX('Methodology &amp; Sources'!$B$461:$J$464,0,7))*INDEX('Methodology &amp; Sources'!$B$461:$J$464,0,7+2)),IF($AN39="VT",IF($AU39="Married",SUMPRODUCT(($AZ39&gt;INDEX('Methodology &amp; Sources'!$B$478:$J$482,0,1))*($AZ39-INDEX('Methodology &amp; Sources'!$B$478:$J$482,0,1))*INDEX('Methodology &amp; Sources'!$B$478:$J$482,0,1+2)),SUMPRODUCT(($AZ39&gt;INDEX('Methodology &amp; Sources'!$B$469:$J$473,0,7))*($AZ39-INDEX('Methodology &amp; Sources'!$B$469:$J$473,0,7))*INDEX('Methodology &amp; Sources'!$B$469:$J$473,0,7+2))),IF($AN39="WV",IF($AU39="Married",SUMPRODUCT(($AZ39&gt;INDEX('Methodology &amp; Sources'!$B$487:$J$491,0,7))*($AZ39-INDEX('Methodology &amp; Sources'!$B$487:$J$491,0,7))*INDEX('Methodology &amp; Sources'!$B$487:$J$491,0,7+2)),SUMPRODUCT(($AZ39&gt;INDEX('Methodology &amp; Sources'!$B$478:$J$482,0,7))*($AZ39-INDEX('Methodology &amp; Sources'!$B$478:$J$482,0,7))*INDEX('Methodology &amp; Sources'!$B$478:$J$482,0,7+2))),""))))))))))</f>
      </c>
      <c r="BY39" s="7">
        <f>IF($B39="","",IF($AN39="AR",SUMPRODUCT(($AZ39&gt;INDEX('Methodology &amp; Sources'!$B$332:$J$336,0,7))*($AZ39-INDEX('Methodology &amp; Sources'!$B$332:$J$336,0,7))*INDEX('Methodology &amp; Sources'!$B$332:$J$336,0,7+2)),IF($AN39="DE",SUMPRODUCT(($AZ39&gt;INDEX('Methodology &amp; Sources'!$B$341:$J$348,0,1))*($AZ39-INDEX('Methodology &amp; Sources'!$B$341:$J$348,0,1))*INDEX('Methodology &amp; Sources'!$B$341:$J$348,0,1+2)),IF($AN39="HI",IF($AU39="Married",SUMPRODUCT(($AZ39&gt;INDEX('Methodology &amp; Sources'!$B$341:$J$348,0,7))*($AZ39-INDEX('Methodology &amp; Sources'!$B$341:$J$348,0,7))*INDEX('Methodology &amp; Sources'!$B$341:$J$348,0,7+2)),SUMPRODUCT(($AZ39&gt;INDEX('Methodology &amp; Sources'!$B$341:$J$348,0,4))*($AZ39-INDEX('Methodology &amp; Sources'!$B$341:$J$348,0,4))*INDEX('Methodology &amp; Sources'!$B$341:$J$348,0,4+2))),IF($AN39="SC",SUMPRODUCT(($AZ39&gt;INDEX('Methodology &amp; Sources'!$B$469:$J$473,0,1))*($AZ39-INDEX('Methodology &amp; Sources'!$B$469:$J$473,0,1))*INDEX('Methodology &amp; Sources'!$B$469:$J$473,0,1+2)),IF($AN39="VA",SUMPRODUCT(($AZ39&gt;INDEX('Methodology &amp; Sources'!$B$469:$J$473,0,4))*($AZ39-INDEX('Methodology &amp; Sources'!$B$469:$J$473,0,4))*INDEX('Methodology &amp; Sources'!$B$469:$J$473,0,4+2)),IF($AN39="WI",SUMPRODUCT(($AZ39&gt;INDEX('Methodology &amp; Sources'!$B$478:$J$482,0,4))*($AZ39-INDEX('Methodology &amp; Sources'!$B$478:$J$482,0,4))*INDEX('Methodology &amp; Sources'!$B$478:$J$482,0,4+2)),"")))))))</f>
      </c>
      <c r="BZ39" s="24">
        <f>IF($B39="","",IF($AN39="NJ",IF(Inputs!$C$77="B",SUMPRODUCT(($AZ39&gt;=INDEX('Methodology &amp; Sources'!$B$405:$J$412,0,4))*INDEX('Methodology &amp; Sources'!$B$405:$J$412,0,4+2)),IF(Inputs!$C$77="C",SUMPRODUCT(($AZ39&gt;=INDEX('Methodology &amp; Sources'!$B$405:$J$412,0,7))*INDEX('Methodology &amp; Sources'!$B$405:$J$412,0,7+2)),IF(Inputs!$C$77="D",SUMPRODUCT(($AZ39&gt;=INDEX('Methodology &amp; Sources'!$B$417:$J$429,0,1))*INDEX('Methodology &amp; Sources'!$B$417:$J$429,0,1+2)),IF(Inputs!$C$77="E",SUMPRODUCT(($AZ39&gt;=INDEX('Methodology &amp; Sources'!$B$417:$J$429,0,4))*INDEX('Methodology &amp; Sources'!$B$417:$J$429,0,4+2)),SUMPRODUCT(($AZ39&gt;=INDEX('Methodology &amp; Sources'!$B$405:$J$412,0,1))*INDEX('Methodology &amp; Sources'!$B$405:$J$412,0,1+2)))))),IF($AN39="OR",IF(OR($AU39="Married",AND($AU39="Single",$AS39&gt;=3)),SUMPRODUCT((MAX(0,$AY39-MIN(($P39-'Methodology &amp; Sources'!$C$260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Sources'!$B$461:$J$464,0,4))*INDEX('Methodology &amp; Sources'!$B$461:$J$464,0,4+2)),SUMPRODUCT((MAX(0,$AY39-MIN(($P39-'Methodology &amp; Sources'!$C$260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Sources'!$B$461:$J$464,0,1))*INDEX('Methodology &amp; Sources'!$B$461:$J$464,0,1+2)))*IF(($P39-'Methodology &amp; Sources'!$C$260*$D39)*Inputs!$C$8&gt;=IF(OR($AU39="Married",AND($AU39="Single",$AS39&gt;=3)),IF($AY39&lt;250000,8750,IF($AY39&lt;260000,7000,IF($AY39&lt;270000,5250,IF($AY39&lt;280000,3500,IF($AY39&lt;290000,1750,0))))),IF($AY39&lt;125000,8750,IF($AY39&lt;130000,7000,IF($AY39&lt;135000,5250,IF($AY39&lt;140000,3500,IF($AY39&lt;145000,1750,0)))))),1,1-IF(Inputs!$C$13,SUMPRODUCT(($AH39&gt;=INDEX('Methodology &amp; Sources'!$B$279:$J$286,0,IF(Inputs!$C$12="MFJ",1,IF(Inputs!$C$12="HoH",7,4))))*INDEX('Methodology &amp; Sources'!$B$279:$J$286,0,IF(Inputs!$C$12="MFJ",1,IF(Inputs!$C$12="HoH",7,4))+2)),SUMPRODUCT(($AH39&gt;=INDEX('Methodology &amp; Sources'!$B$269:$J$276,0,IF(Inputs!$C$12="MFJ",1,IF(Inputs!$C$12="HoH",7,4))))*INDEX('Methodology &amp; Sources'!$B$269:$J$276,0,IF(Inputs!$C$12="MFJ",1,IF(Inputs!$C$12="HoH",7,4))+2)))),IF($AN39="MI",IF($AY39&gt;5900*$AS39,0.0425,0),""))))</f>
      </c>
      <c r="CA39" s="24">
        <f>IF($B39="","",IF($AN39="AL",IF(OR($AU39="Married",$AU39="Head of household"),SUMPRODUCT(($AZ39&gt;=INDEX('Methodology &amp; Sources'!$B$332:$J$336,0,4))*INDEX('Methodology &amp; Sources'!$B$332:$J$336,0,4+2)),SUMPRODUCT(($AZ39&gt;=INDEX('Methodology &amp; Sources'!$B$332:$J$336,0,1))*INDEX('Methodology &amp; Sources'!$B$332:$J$336,0,1+2)))*(1-IF(Inputs!$C$13,SUMPRODUCT(($AH39&gt;=INDEX('Methodology &amp; Sources'!$B$279:$J$286,0,IF(Inputs!$C$12="MFJ",1,IF(Inputs!$C$12="HoH",7,4))))*INDEX('Methodology &amp; Sources'!$B$279:$J$286,0,IF(Inputs!$C$12="MFJ",1,IF(Inputs!$C$12="HoH",7,4))+2)),SUMPRODUCT(($AH39&gt;=INDEX('Methodology &amp; Sources'!$B$269:$J$276,0,IF(Inputs!$C$12="MFJ",1,IF(Inputs!$C$12="HoH",7,4))))*INDEX('Methodology &amp; Sources'!$B$269:$J$276,0,IF(Inputs!$C$12="MFJ",1,IF(Inputs!$C$12="HoH",7,4))+2)))),IF($AN39="KS",IF($AU39="Married",SUMPRODUCT(($AZ39&gt;=INDEX('Methodology &amp; Sources'!$B$353:$J$359,0,4))*INDEX('Methodology &amp; Sources'!$B$353:$J$359,0,4+2)),SUMPRODUCT(($AZ39&gt;=INDEX('Methodology &amp; Sources'!$B$353:$J$359,0,1))*INDEX('Methodology &amp; Sources'!$B$353:$J$359,0,1+2))),IF($AN39="MD",IF(OR($AU39="Married",$AU39="Head of household"),SUMPRODUCT(($AZ39&gt;=INDEX('Methodology &amp; Sources'!$B$364:$J$370,0,1))*INDEX('Methodology &amp; Sources'!$B$364:$J$370,0,1+2)),SUMPRODUCT(($AZ39&gt;=INDEX('Methodology &amp; Sources'!$B$353:$J$359,0,7))*INDEX('Methodology &amp; Sources'!$B$353:$J$359,0,7+2)))+Inputs!$C$74,IF($AN39="MT",IF($AU39="Head of household",SUMPRODUCT(($AZ39&gt;=INDEX('Methodology &amp; Sources'!$B$387:$J$389,0,1))*INDEX('Methodology &amp; Sources'!$B$387:$J$389,0,1+2)),IF($AU39="Married",SUMPRODUCT(($AZ39&gt;=INDEX('Methodology &amp; Sources'!$B$375:$J$382,0,7))*INDEX('Methodology &amp; Sources'!$B$375:$J$382,0,7+2)),SUMPRODUCT(($AZ39&gt;=INDEX('Methodology &amp; Sources'!$B$375:$J$382,0,4))*INDEX('Methodology &amp; Sources'!$B$375:$J$382,0,4+2)))),IF($AN39="ND",IF($AU39="Head of household",SUMPRODUCT(($AZ39&gt;=INDEX('Methodology &amp; Sources'!$B$394:$J$400,0,1))*INDEX('Methodology &amp; Sources'!$B$394:$J$400,0,1+2)),IF($AU39="Married",SUMPRODUCT(($AZ39&gt;=INDEX('Methodology &amp; Sources'!$B$387:$J$389,0,7))*INDEX('Methodology &amp; Sources'!$B$387:$J$389,0,7+2)),SUMPRODUCT(($AZ39&gt;=INDEX('Methodology &amp; Sources'!$B$387:$J$389,0,4))*INDEX('Methodology &amp; Sources'!$B$387:$J$389,0,4+2)))),IF($AN39="NY",IF($AU39="Married",IF($AZ39&gt;=2155350,IF($AZ39&gt;25000000,0.117,IF($AZ39&gt;5000000,0.111,0.1045)),SUMPRODUCT(($AZ39&gt;=INDEX('Methodology &amp; Sources'!$B$434:$J$448,0,1))*INDEX('Methodology &amp; Sources'!$B$434:$J$448,0,1+2))),IF($AZ39&gt;=1077550,IF($AZ39&gt;25000000,0.117,IF($AZ39&gt;5000000,0.111,0.1045)),SUMPRODUCT(($AZ39&gt;=INDEX('Methodology &amp; Sources'!$B$417:$J$429,0,7))*INDEX('Methodology &amp; Sources'!$B$417:$J$429,0,7+2)))),"")))))))</f>
      </c>
      <c r="CB39" s="24">
        <f>IF($B39="","",IF($AN39="CA",SUMPRODUCT(($AJ39&gt;=INDEX('Methodology &amp; Sources'!$B$289:$J$298,0,IF($AU39="Married",4,IF($AU39="Head of household",7,1))))*INDEX('Methodology &amp; Sources'!$B$289:$J$298,0,IF($AU39="Married",4,IF($AU39="Head of household",7,1))+2)),IF($AN39="HI",IF($AU39="Married",SUMPRODUCT(($AZ39&gt;=INDEX('Methodology &amp; Sources'!$B$341:$J$348,0,7))*INDEX('Methodology &amp; Sources'!$B$341:$J$348,0,7+2)),SUMPRODUCT(($AZ39&gt;=INDEX('Methodology &amp; Sources'!$B$341:$J$348,0,4))*INDEX('Methodology &amp; Sources'!$B$341:$J$348,0,4+2))),IF($AN39="MN",IF($AU39="Married",SUMPRODUCT(($AZ39&gt;=INDEX('Methodology &amp; Sources'!$B$364:$J$370,0,7))*INDEX('Methodology &amp; Sources'!$B$364:$J$370,0,7+2)),SUMPRODUCT(($AZ39&gt;=INDEX('Methodology &amp; Sources'!$B$364:$J$370,0,4))*INDEX('Methodology &amp; Sources'!$B$364:$J$370,0,4+2))),IF($AN39="MO",SUMPRODUCT(($AZ39&gt;=INDEX('Methodology &amp; Sources'!$B$375:$J$382,0,1))*INDEX('Methodology &amp; Sources'!$B$375:$J$382,0,1+2)),IF($AN39="NE",MAX(IF($AU39="Married",SUMPRODUCT(($AZ39&gt;=INDEX('Methodology &amp; Sources'!$B$394:$J$400,0,7))*INDEX('Methodology &amp; Sources'!$B$394:$J$400,0,7+2)),SUMPRODUCT(($AZ39&gt;=INDEX('Methodology &amp; Sources'!$B$394:$J$400,0,4))*INDEX('Methodology &amp; Sources'!$B$394:$J$400,0,4+2))),0.015),IF($AN39="OH",IF($B39&gt;=DATE(2026,8,1),SUMPRODUCT(($AZ39&gt;=INDEX('Methodology &amp; Sources'!$B$453:$J$456,0,1))*INDEX('Methodology &amp; Sources'!$B$453:$J$456,0,1+2)),SUMPRODUCT(($AZ39&gt;=INDEX('Methodology &amp; Sources'!$B$434:$J$448,0,7))*INDEX('Methodology &amp; Sources'!$B$434:$J$448,0,7+2))),IF($AN39="OK",IF($AU39="Married",SUMPRODUCT(($AZ39&gt;=INDEX('Methodology &amp; Sources'!$B$453:$J$456,0,7))*INDEX('Methodology &amp; Sources'!$B$453:$J$456,0,7+2)),SUMPRODUCT(($AZ39&gt;=INDEX('Methodology &amp; Sources'!$B$453:$J$456,0,4))*INDEX('Methodology &amp; Sources'!$B$453:$J$456,0,4+2))),IF($AN39="RI",SUMPRODUCT(($AZ39&gt;=INDEX('Methodology &amp; Sources'!$B$461:$J$464,0,7))*INDEX('Methodology &amp; Sources'!$B$461:$J$464,0,7+2)),IF($AN39="SC",SUMPRODUCT(($AZ39&gt;=INDEX('Methodology &amp; Sources'!$B$469:$J$473,0,1))*INDEX('Methodology &amp; Sources'!$B$469:$J$473,0,1+2)),IF($AN39="VT",IF($AU39="Married",SUMPRODUCT(($AZ39&gt;=INDEX('Methodology &amp; Sources'!$B$478:$J$482,0,1))*INDEX('Methodology &amp; Sources'!$B$478:$J$482,0,1+2)),SUMPRODUCT(($AZ39&gt;=INDEX('Methodology &amp; Sources'!$B$469:$J$473,0,7))*INDEX('Methodology &amp; Sources'!$B$469:$J$473,0,7+2))),IF($AN39="WV",IF($AU39="Married",SUMPRODUCT(($AZ39&gt;=INDEX('Methodology &amp; Sources'!$B$487:$J$491,0,7))*INDEX('Methodology &amp; Sources'!$B$487:$J$491,0,7+2)),SUMPRODUCT(($AZ39&gt;=INDEX('Methodology &amp; Sources'!$B$478:$J$482,0,7))*INDEX('Methodology &amp; Sources'!$B$478:$J$482,0,7+2))),IF($AN39="IN",(0.0295+Inputs!$C$76),"")))))))))))))</f>
      </c>
      <c r="CC39" s="24">
        <f>IF($B39="","",IF($AN39="AR",SUMPRODUCT(($AZ39&gt;=INDEX('Methodology &amp; Sources'!$B$332:$J$336,0,7))*INDEX('Methodology &amp; Sources'!$B$332:$J$336,0,7+2)),IF($AN39="DE",SUMPRODUCT(($AZ39&gt;=INDEX('Methodology &amp; Sources'!$B$341:$J$348,0,1))*INDEX('Methodology &amp; Sources'!$B$341:$J$348,0,1+2)),IF($AN39="VA",SUMPRODUCT(($AZ39&gt;=INDEX('Methodology &amp; Sources'!$B$469:$J$473,0,4))*INDEX('Methodology &amp; Sources'!$B$469:$J$473,0,4+2)),IF($AN39="WI",SUMPRODUCT(($AZ39&gt;=INDEX('Methodology &amp; Sources'!$B$478:$J$482,0,4))*INDEX('Methodology &amp; Sources'!$B$478:$J$482,0,4+2)),IF($AN39="AZ",Inputs!$C$82,IF($AN39="CO",IF($AY39&gt;IF($AU39="Married",10000,5000),0.044,0),IF($AN39="IA",IF($AY39&gt;IF($AU39="Head of household",19500,IF($AU39="Married",26000,13000)),0.038,0),IF($AN39="ID",IF($AY39&gt;IF($AU39="Married",32000,16094),0.053,0),IF($AN39="IL",IF($AY39&gt;(2925*$AS39+1000*$AT39),0.0495,0),IF($AN39="KY",IF($AI39&gt;3360,0.035,0),IF($AN39="LA",0.0309,IF($AN39="MA",IF(MAX(0,$AY39-MIN(($BD38+$Q39+$R39+$S39),2000)-IF($AS39=0,0,IF($AS39=1,4400,1000*$AS39+3400)))&gt;=1107750,0.09,0.05),IF($AN39="MS",IF($AI39-IF($AU39="Head of household",3400,IF($AU39="Married",4600,2300))-Inputs!$C$85&gt;10000,0.04,0),IF($AN39="PA",0.0307,"")))))))))))))))</f>
      </c>
      <c r="CD39" s="21">
        <f>IF(YEAR(IF(Inputs!$C$7="Weekly",Inputs!$C$9+7*(($BE38+1)-1),IF(Inputs!$C$7="Biweekly",Inputs!$C$9+14*(($BE38+1)-1),IF(Inputs!$C$7="Semimonthly",DATE(YEAR(Inputs!$C$9),MONTH(Inputs!$C$9)+INT((($BE38+1)-1)/2),MIN(DAY(Inputs!$C$9),DAY(EOMONTH(DATE(YEAR(Inputs!$C$9),MONTH(Inputs!$C$9)+INT((($BE38+1)-1)/2),1),0))))+IF(MOD(($BE38+1)-1,2)=1,15,0),EDATE(Inputs!$C$9,($BE38+1)-1)))))&lt;&gt;2026,"",IF(Inputs!$C$7="Weekly",Inputs!$C$9+7*(($BE38+1)-1),IF(Inputs!$C$7="Biweekly",Inputs!$C$9+14*(($BE38+1)-1),IF(Inputs!$C$7="Semimonthly",DATE(YEAR(Inputs!$C$9),MONTH(Inputs!$C$9)+INT((($BE38+1)-1)/2),MIN(DAY(Inputs!$C$9),DAY(EOMONTH(DATE(YEAR(Inputs!$C$9),MONTH(Inputs!$C$9)+INT((($BE38+1)-1)/2),1),0))))+IF(MOD(($BE38+1)-1,2)=1,15,0),EDATE(Inputs!$C$9,($BE38+1)-1)))))</f>
      </c>
      <c r="CE39" s="21">
        <f>IF(SUMPRODUCT(MIN(IF((Inputs!$C$58:$C$67&gt;MAX($B$6:$B38))*(Inputs!$C$58:$C$67&gt;=DATE(2026,1,1))*(Inputs!$C$58:$C$67&lt;=DATE(2026,12,31)),Inputs!$C$58:$C$67,999999)))=999999,"",SUMPRODUCT(MIN(IF((Inputs!$C$58:$C$67&gt;MAX($B$6:$B38))*(Inputs!$C$58:$C$67&gt;=DATE(2026,1,1))*(Inputs!$C$58:$C$67&lt;=DATE(2026,12,31)),Inputs!$C$58:$C$67,999999))))</f>
      </c>
    </row>
    <row r="40">
      <c r="A40" t="n">
        <v>35</v>
      </c>
      <c r="B40" s="21">
        <f>IF(AND($CD40="",$CE40=""),"",IF($CE40="",$CD40,IF($CD40="",$CE40,MIN($CD40,$CE40))))</f>
      </c>
      <c r="C40" s="7">
        <f>IF($B40="","",IF($BF40=0,0,IF(Inputs!$C$4="Annual salary",ROUND($AK40/IF(AND(Inputs!$C$88="Actual paydays",MONTH(Inputs!$C$9)=1),MAX(1,MAX($BE$6:$BE$68)),Inputs!$C$8),2),$AK40)))</f>
      </c>
      <c r="D40" s="7">
        <f>IF($B40="","",SUMIF(Inputs!$C$58:$C$67,$B40,Inputs!$D$58:$D$67))</f>
      </c>
      <c r="E40" s="7">
        <f>IF($B40="","",ROUND(MAX(0,MIN(IF($AL40="Percent",$AM40*($C40+$D40),$AM40),MAX(0,Inputs!$C$91-$AC39))),2))</f>
      </c>
      <c r="F40" s="7">
        <f>IF($B40="","",ROUND(MAX(0,MIN(IF(Inputs!$C$32="Percent",Inputs!$D$32*($C40+$D40),Inputs!$D$32),MAX(0,Inputs!$C$91-$AC39-$E40))),2))</f>
      </c>
      <c r="G40" s="7">
        <f>IF($B40="","",IF($BF40=0,0,ROUND(MAX(0,MIN($BL40,Inputs!$C$92-Inputs!$C$54-$BI39)),2)))</f>
      </c>
      <c r="H40" s="7">
        <f>IF($B40="","",IF(OR($BF40=0,$BQ40=1),0,ROUND(MAX(0,MIN(IF($BS40=1,ROUND(MAX(0,MIN($BJ40,'Methodology &amp; Sources'!$C$263)-$BG39)/MAX(1,MAX($BE$6:$BE$68)-($BE39)),2),ROUND(MIN($BJ40,'Methodology &amp; Sources'!$C$263)/Inputs!$C$8,2)),MIN($BJ40,'Methodology &amp; Sources'!$C$263)-$BG39)),2)))</f>
      </c>
      <c r="I40" s="7">
        <f>IF($B40="","",IF(OR($BF40=0,$BR40=1),0,ROUND(MAX(0,MIN(IF($BT40=1,ROUND(MAX(0,MIN($BK40,IF(Inputs!$C$12="MFJ",'Methodology &amp; Sources'!$C$264,'Methodology &amp; Sources'!$C$265))-$BH39)/MAX(1,MAX($BE$6:$BE$68)-($BE39)),2),ROUND(MIN($BK40,IF(Inputs!$C$12="MFJ",'Methodology &amp; Sources'!$C$264,'Methodology &amp; Sources'!$C$265))/Inputs!$C$8,2)),MIN($BK40,IF(Inputs!$C$12="MFJ",'Methodology &amp; Sources'!$C$264,'Methodology &amp; Sources'!$C$265))-$BH39)),2)))</f>
      </c>
      <c r="J40" s="7">
        <f>IF($B40="","",IF($BF40=0,0,$BM40))</f>
      </c>
      <c r="K40" s="7">
        <f>IF($B40="","",IF($BF40=0,0,$BN40+$BO40))</f>
      </c>
      <c r="L40" s="7">
        <f>IF($B40="","",IF($BF40=0,0,Inputs!$D$46))</f>
      </c>
      <c r="M40" s="7">
        <f>IF($B40="","",$C40+$D40+$L40-$E40-$G40-$H40-$I40-$J40-$K40)</f>
      </c>
      <c r="N40" s="7">
        <f>IF($B40="","",$C40+$D40+$L40-$G40-$H40-$I40-$J40-$K40)</f>
      </c>
      <c r="O40" s="7">
        <f>IF($B40="","",$C40+$D40+$L40-$E40-$H40-$I40-$J40-$K40-IF(OR($AN40="CA",$AN40="NJ"),0,$G40))</f>
      </c>
      <c r="P40" s="7">
        <f>IF($B40="","",IF(Inputs!$C$18,0,ROUND(MAX(0,IF(Inputs!$C$13,SUMPRODUCT(($AH40&gt;INDEX('Methodology &amp; Sources'!$B$279:$J$286,0,IF(Inputs!$C$12="MFJ",1,IF(Inputs!$C$12="HoH",7,4))))*($AH40-INDEX('Methodology &amp; Sources'!$B$279:$J$286,0,IF(Inputs!$C$12="MFJ",1,IF(Inputs!$C$12="HoH",7,4))))*INDEX('Methodology &amp; Sources'!$B$279:$J$286,0,IF(Inputs!$C$12="MFJ",1,IF(Inputs!$C$12="HoH",7,4))+2)),SUMPRODUCT(($AH40&gt;INDEX('Methodology &amp; Sources'!$B$269:$J$276,0,IF(Inputs!$C$12="MFJ",1,IF(Inputs!$C$12="HoH",7,4))))*($AH40-INDEX('Methodology &amp; Sources'!$B$269:$J$276,0,IF(Inputs!$C$12="MFJ",1,IF(Inputs!$C$12="HoH",7,4))))*INDEX('Methodology &amp; Sources'!$B$269:$J$276,0,IF(Inputs!$C$12="MFJ",1,IF(Inputs!$C$12="HoH",7,4))+2)))/Inputs!$C$8-$AO40/Inputs!$C$8)+$AR40+IF(Inputs!$C$89="Aggregate",MAX(0,IF(Inputs!$C$13,SUMPRODUCT((($AH40+$D40)&gt;INDEX('Methodology &amp; Sources'!$B$279:$J$286,0,IF(Inputs!$C$12="MFJ",1,IF(Inputs!$C$12="HoH",7,4))))*(($AH40+$D40)-INDEX('Methodology &amp; Sources'!$B$279:$J$286,0,IF(Inputs!$C$12="MFJ",1,IF(Inputs!$C$12="HoH",7,4))))*INDEX('Methodology &amp; Sources'!$B$279:$J$286,0,IF(Inputs!$C$12="MFJ",1,IF(Inputs!$C$12="HoH",7,4))+2)),SUMPRODUCT((($AH40+$D40)&gt;INDEX('Methodology &amp; Sources'!$B$269:$J$276,0,IF(Inputs!$C$12="MFJ",1,IF(Inputs!$C$12="HoH",7,4))))*(($AH40+$D40)-INDEX('Methodology &amp; Sources'!$B$269:$J$276,0,IF(Inputs!$C$12="MFJ",1,IF(Inputs!$C$12="HoH",7,4))))*INDEX('Methodology &amp; Sources'!$B$269:$J$276,0,IF(Inputs!$C$12="MFJ",1,IF(Inputs!$C$12="HoH",7,4))+2)))-IF(Inputs!$C$13,SUMPRODUCT(($AH40&gt;INDEX('Methodology &amp; Sources'!$B$279:$J$286,0,IF(Inputs!$C$12="MFJ",1,IF(Inputs!$C$12="HoH",7,4))))*($AH40-INDEX('Methodology &amp; Sources'!$B$279:$J$286,0,IF(Inputs!$C$12="MFJ",1,IF(Inputs!$C$12="HoH",7,4))))*INDEX('Methodology &amp; Sources'!$B$279:$J$286,0,IF(Inputs!$C$12="MFJ",1,IF(Inputs!$C$12="HoH",7,4))+2)),SUMPRODUCT(($AH40&gt;INDEX('Methodology &amp; Sources'!$B$269:$J$276,0,IF(Inputs!$C$12="MFJ",1,IF(Inputs!$C$12="HoH",7,4))))*($AH40-INDEX('Methodology &amp; Sources'!$B$269:$J$276,0,IF(Inputs!$C$12="MFJ",1,IF(Inputs!$C$12="HoH",7,4))))*INDEX('Methodology &amp; Sources'!$B$269:$J$276,0,IF(Inputs!$C$12="MFJ",1,IF(Inputs!$C$12="HoH",7,4))+2)))),'Methodology &amp; Sources'!$C$260*$D40),2)))</f>
      </c>
      <c r="Q40" s="7">
        <f>IF($B40="","",ROUND('Methodology &amp; Sources'!$C$254*MIN($N40,MAX(0,'Methodology &amp; Sources'!$C$253-($AX40+$AB39-$AW40))),2))</f>
      </c>
      <c r="R40" s="7">
        <f>IF($B40="","",ROUND('Methodology &amp; Sources'!$C$255*$N40,2))</f>
      </c>
      <c r="S40" s="7">
        <f>IF($B40="","",ROUND('Methodology &amp; Sources'!$C$256*MAX(0,MIN($N40,$AG39+$N40-'Methodology &amp; Sources'!$C$257)),2))</f>
      </c>
      <c r="T40" s="7">
        <f>IF($B40="","",IF(Inputs!$C$26,0,IF($AN40="CA",ROUND(IF($AI40&lt;=IF(($AS40+$AT40)&gt;=2,VLOOKUP($AN40,'StateTables 2026'!$A$6:$AB$56,10,FALSE),VLOOKUP($AN40,'StateTables 2026'!$A$6:$AB$56,9,FALSE)),0,MAX(0,SUMPRODUCT(($AJ40&gt;INDEX('Methodology &amp; Sources'!$B$289:$J$298,0,IF($AU40="Married",4,IF($AU40="Head of household",7,1))))*($AJ40-INDEX('Methodology &amp; Sources'!$B$289:$J$298,0,IF($AU40="Married",4,IF($AU40="Head of household",7,1))))*INDEX('Methodology &amp; Sources'!$B$289:$J$298,0,IF($AU40="Married",4,IF($AU40="Head of household",7,1))+2))-VLOOKUP($AN40,'StateTables 2026'!$A$6:$AB$56,11,FALSE)*$AS40)/Inputs!$C$8)+Inputs!$C$25+VLOOKUP($AN40,'StateTables 2026'!$A$6:$AB$56,13,FALSE)*$D40,2),IF(VLOOKUP($AN40,'StateTables 2026'!$A$6:$AB$56,4,FALSE)="None",0,IF(ISNUMBER(SEARCH("MANUAL",VLOOKUP($AN40,'StateTables 2026'!$A$6:$AB$56,5,FALSE))),Inputs!$C$28,ROUND(MAX(0,$BA40+$BB40)/Inputs!$C$8+Inputs!$C$25+$BC40,2))))))</f>
      </c>
      <c r="U40" s="7">
        <f>IF($B40="","",IF(VLOOKUP($AN40,'StateTables 2026'!$A$6:$AB$56,24,FALSE)="flatq",IF(OR(MONTH($B40)=1,MONTH($B40)=4,MONTH($B40)=7,MONTH($B40)=10),VLOOKUP($AN40,'StateTables 2026'!$A$6:$AB$56,25,FALSE),0),IF(VLOOKUP($AN40,'StateTables 2026'!$A$6:$AB$56,24,FALSE)="dbl",MIN(ROUND(0.005*$N40,2),ROUND(0.6*52/Inputs!$C$8,2)),IF(OR(VLOOKUP($AN40,'StateTables 2026'!$A$6:$AB$56,15,FALSE)="",VLOOKUP($AN40,'StateTables 2026'!$A$6:$AB$56,15,FALSE)=0),0,ROUND(VLOOKUP($AN40,'StateTables 2026'!$A$6:$AB$56,15,FALSE)*IF(OR(VLOOKUP($AN40,'StateTables 2026'!$A$6:$AB$56,16,FALSE)="",VLOOKUP($AN40,'StateTables 2026'!$A$6:$AB$56,16,FALSE)=0),$N40,MIN($N40,MAX(0,VLOOKUP($AN40,'StateTables 2026'!$A$6:$AB$56,16,FALSE)-($AX40+$AB39-$AW40)))),2))))+IF(VLOOKUP($AN40,'StateTables 2026'!$A$6:$AB$56,27,FALSE)="flatq",IF(OR(MONTH($B40)=1,MONTH($B40)=4,MONTH($B40)=7,MONTH($B40)=10),VLOOKUP($AN40,'StateTables 2026'!$A$6:$AB$56,28,FALSE),0),IF(VLOOKUP($AN40,'StateTables 2026'!$A$6:$AB$56,27,FALSE)="dbl",MIN(ROUND(0.005*$N40,2),ROUND(0.6*52/Inputs!$C$8,2)),IF(OR(VLOOKUP($AN40,'StateTables 2026'!$A$6:$AB$56,18,FALSE)="",VLOOKUP($AN40,'StateTables 2026'!$A$6:$AB$56,18,FALSE)=0),0,ROUND(VLOOKUP($AN40,'StateTables 2026'!$A$6:$AB$56,18,FALSE)*IF(OR(VLOOKUP($AN40,'StateTables 2026'!$A$6:$AB$56,19,FALSE)="",VLOOKUP($AN40,'StateTables 2026'!$A$6:$AB$56,19,FALSE)=0),$N40,MIN($N40,MAX(0,VLOOKUP($AN40,'StateTables 2026'!$A$6:$AB$56,19,FALSE)-($AX40+$AB39-$AW40)))),2)))))</f>
      </c>
      <c r="V40" s="7">
        <f>IF($B40="","",IF($AN40="NY",IF(Inputs!$C$78,ROUND(SUMPRODUCT((MAX(0,($O40-$D40)*Inputs!$C$8-(IF($AU40="Married",5500,5000)+1000*$AS40))&gt;INDEX('Methodology &amp; Sources'!$B$434:$J$448,0,4))*(MAX(0,($O40-$D40)*Inputs!$C$8-(IF($AU40="Married",5500,5000)+1000*$AS40))-INDEX('Methodology &amp; Sources'!$B$434:$J$448,0,4))*INDEX('Methodology &amp; Sources'!$B$434:$J$448,0,4+2))/Inputs!$C$8+0.0425*$D40,2),0)+IF(Inputs!$C$79="Resident",ROUND(0.1675*$T40,2),IF(Inputs!$C$79="Nonresident",ROUND(0.005*MAX(0,($O40-$D40)-(IF($AU40="Married",7950,7400)+1000*$AS40)/Inputs!$C$8),2),0)),IF($AN40="PA",IF(Inputs!$C$80="None",Inputs!$C$27+ROUND(Inputs!$C$81*($C40+$D40),2),ROUND(IF(Inputs!$C$80="Resident",IF($B40&lt;DATE(2026,7,1),0.0374,0.03735),IF($B40&lt;DATE(2026,7,1),0.0343,0.03425))*($C40+$D40),2)),IF($BF40=0,ROUND(Inputs!$C$81*($C40+$D40),2),Inputs!$C$27+ROUND(Inputs!$C$81*($C40+$D40),2)))))</f>
      </c>
      <c r="W40" s="7">
        <f>IF($B40="","",IF($BF40=0,0,$BP40))</f>
      </c>
      <c r="X40" s="7">
        <f>IF($B40="","",SUM($E40:$K40)+$P40+$Q40+$R40+$S40+$T40+$U40+$V40+$W40)</f>
      </c>
      <c r="Y40" s="22">
        <f>IF($B40="","",$C40+$D40-$X40)</f>
      </c>
      <c r="Z40" s="7">
        <f>IF($B40="","",$Z39+$C40+$D40)</f>
      </c>
      <c r="AA40" s="7">
        <f>IF($B40="","",$AA39+$Y40)</f>
      </c>
      <c r="AB40" s="7">
        <f>IF($B40="","",$AB39+MIN($N40,MAX(0,'Methodology &amp; Sources'!$C$253-($AX40+$AB39-$AW40))))</f>
      </c>
      <c r="AC40" s="7">
        <f>IF($B40="","",$AC39+$E40+$F40)</f>
      </c>
      <c r="AD40" s="3">
        <f>IF($B40="","",IF(AND($AB39&lt;'Methodology &amp; Sources'!$C$253,$AB40&gt;='Methodology &amp; Sources'!$C$253),"★ Social Security maxed on this check — from the next check your net rises by about $"&amp;TEXT(ROUND('Methodology &amp; Sources'!$C$254*$N40,2),"#,##0.00")&amp;". ","")&amp;IF(AND($AC39&lt;Inputs!$C$91,$AC40&gt;=Inputs!$C$91),"★ 401(k) reaches the $"&amp;TEXT(Inputs!$C$91,"#,##0")&amp;" cap on this check — deferrals stop and net pay rises. ","")&amp;IF(AND($AG39&lt;'Methodology &amp; Sources'!$C$257,$AG40&gt;='Methodology &amp; Sources'!$C$257),"★ Wages pass $200,000 — the 0.9% Additional Medicare Tax starts here. ","")&amp;IF(AND($BJ40&gt;0,$H40&gt;0,$BG39&lt;MIN($BJ40,'Methodology &amp; Sources'!$C$263),$BG39+$H40&gt;=MIN($BJ40,'Methodology &amp; Sources'!$C$263)),"★ Health FSA election is now fully deferred for the year. ",""))</f>
      </c>
      <c r="AE40" s="41" t="n"/>
      <c r="AF40" s="7">
        <f>IF(OR($B40="",$AE40=""),"",$AE40-$Y40)</f>
      </c>
      <c r="AG40" s="7">
        <f>IF($B40="","",$AG39+$N40)</f>
      </c>
      <c r="AH40" s="7">
        <f>IF($B40="","",MAX(0,($M40-$D40)*Inputs!$C$8+$AP40-$AQ40-IF(Inputs!$C$13,0,IF(Inputs!$C$12="MFJ",'Methodology &amp; Sources'!$C$258,'Methodology &amp; Sources'!$C$259))))</f>
      </c>
      <c r="AI40" s="7">
        <f>IF($B40="","",$O40*Inputs!$C$8)</f>
      </c>
      <c r="AJ40" s="7">
        <f>IF($B40="","",MAX(0,$AI40-VLOOKUP($AN40,'StateTables 2026'!$A$6:$AB$56,12,FALSE)*$AT40-IF(($AS40+$AT40)&gt;=2,VLOOKUP($AN40,'StateTables 2026'!$A$6:$AB$56,8,FALSE),VLOOKUP($AN40,'StateTables 2026'!$A$6:$AB$56,7,FALSE))))</f>
      </c>
      <c r="AK40" s="7">
        <f>IF($B40="","",IFERROR(LOOKUP(2,1/((Events!$C$6:$C$17="Salary change")*(Events!$B$6:$B$17&lt;=$B40)*(Events!$B$6:$B$17&lt;&gt;"")),Events!$D$6:$D$17),IF(Inputs!$C$4="Annual salary",Inputs!$C$5,Inputs!$C$6)))</f>
      </c>
      <c r="AL40">
        <f>IF($B40="","",IFERROR(LOOKUP(2,1/((Events!$C$6:$C$17="401(k) change")*(Events!$B$6:$B$17&lt;=$B40)*(Events!$B$6:$B$17&lt;&gt;"")),Events!$D$6:$D$17),Inputs!$C$30))</f>
      </c>
      <c r="AM40" s="7">
        <f>IF($B40="","",IFERROR(LOOKUP(2,1/((Events!$C$6:$C$17="401(k) change")*(Events!$B$6:$B$17&lt;=$B40)*(Events!$B$6:$B$17&lt;&gt;"")),Events!$E$6:$E$17),Inputs!$D$30))</f>
      </c>
      <c r="AN40">
        <f>IF($B40="","",IFERROR(LOOKUP(2,1/((Events!$C$6:$C$17="State move")*(Events!$B$6:$B$17&lt;=$B40)*(Events!$B$6:$B$17&lt;&gt;"")),Events!$D$6:$D$17),Inputs!$C$21))</f>
      </c>
      <c r="AO40" s="7">
        <f>IF($B40="","",IFERROR(LOOKUP(2,1/((Events!$C$6:$C$17="W-4 change")*(Events!$B$6:$B$17&lt;=$B40)*(Events!$B$6:$B$17&lt;&gt;"")),Events!$D$6:$D$17),Inputs!$C$14))</f>
      </c>
      <c r="AP40" s="7">
        <f>IF($B40="","",IFERROR(LOOKUP(2,1/((Events!$C$6:$C$17="W-4 change")*(Events!$B$6:$B$17&lt;=$B40)*(Events!$B$6:$B$17&lt;&gt;"")),Events!$E$6:$E$17),Inputs!$C$15))</f>
      </c>
      <c r="AQ40" s="7">
        <f>IF($B40="","",IFERROR(LOOKUP(2,1/((Events!$C$6:$C$17="W-4 change")*(Events!$B$6:$B$17&lt;=$B40)*(Events!$B$6:$B$17&lt;&gt;"")),Events!$F$6:$F$17),Inputs!$C$16))</f>
      </c>
      <c r="AR40" s="7">
        <f>IF($B40="","",IFERROR(LOOKUP(2,1/((Events!$C$6:$C$17="W-4 change")*(Events!$B$6:$B$17&lt;=$B40)*(Events!$B$6:$B$17&lt;&gt;"")),Events!$G$6:$G$17),Inputs!$C$17))</f>
      </c>
      <c r="AS40" s="6">
        <f>IF($B40="","",IFERROR(LOOKUP(2,1/(((Events!$C$6:$C$17="State move")+(Events!$C$6:$C$17="State cert change"))*(Events!$B$6:$B$17&lt;=$B40)*(Events!$B$6:$B$17&lt;&gt;"")),Events!$F$6:$F$17),Inputs!$C$23))</f>
      </c>
      <c r="AT40" s="6">
        <f>IF($B40="","",IFERROR(LOOKUP(2,1/(((Events!$C$6:$C$17="State move")+(Events!$C$6:$C$17="State cert change"))*(Events!$B$6:$B$17&lt;=$B40)*(Events!$B$6:$B$17&lt;&gt;"")),Events!$G$6:$G$17),Inputs!$C$24))</f>
      </c>
      <c r="AU40">
        <f>IF($B40="","",IFERROR(LOOKUP(2,1/((Events!$C$6:$C$17="State move")*(Events!$B$6:$B$17&lt;=$B40)*(Events!$B$6:$B$17&lt;&gt;"")),Events!$E$6:$E$17),Inputs!$C$22))</f>
      </c>
      <c r="AV40" s="6">
        <f>IF($B40="","",1+COUNTIFS(Events!$C$6:$C$17,"Employer change",Events!$B$6:$B$17,"&lt;="&amp;$B40,Events!$B$6:$B$17,"&lt;&gt;"))</f>
      </c>
      <c r="AW40" s="7">
        <f>IF($B40="","",IF($AV40=1,Inputs!$C$49,IF(IFERROR(MATCH(IFERROR(LOOKUP(2,1/((Events!$C$6:$C$17="Employer change")*(Events!$B$6:$B$17&lt;=$B40)*(Events!$B$6:$B$17&lt;&gt;"")),Events!$B$6:$B$17),""),$B$6:$B$68,1),1)&lt;=1,Inputs!$C$49,INDEX($AB$6:$AB$68,MATCH(IFERROR(LOOKUP(2,1/((Events!$C$6:$C$17="Employer change")*(Events!$B$6:$B$17&lt;=$B40)*(Events!$B$6:$B$17&lt;&gt;"")),Events!$B$6:$B$17),""),$B$6:$B$68,1)-1))))</f>
      </c>
      <c r="AX40" s="7">
        <f>IF($B40="","",IF($AV40=1,Inputs!$C$49,IFERROR(LOOKUP(2,1/((Events!$C$6:$C$17="Employer change")*(Events!$B$6:$B$17&lt;=$B40)*(Events!$B$6:$B$17&lt;&gt;"")),Events!$D$6:$D$17),0)))</f>
      </c>
      <c r="AY40" s="7">
        <f>IF($B40="","",($O40-$D40)*Inputs!$C$8)</f>
      </c>
      <c r="AZ40" s="7">
        <f>IF($B40="","",IF($AN40="AL",MAX(0,$AY40-IF($AU40="Married",IF($AY40&lt;=25999,8500,MAX(5000,8500-175*CEILING(($AY40-25999)/500,1))),IF($AU40="Head of household",IF($AY40&lt;=25999,5200,MAX(2500,5200-135*CEILING(($AY40-25999)/500,1))),IF($AY40&lt;=25999,3000,MAX(2500,3000-25*CEILING(($AY40-25999)/500,1)))))-($P40-'Methodology &amp; Sources'!$C$260*$D40)*Inputs!$C$8-IF(OR($AU40="Married",$AU40="Head of household"),3000,1500)-$AT40*IF($AY40&lt;=50000,1000,IF($AY40&lt;=100000,500,300))),IF($AN40="AR",IF(MAX(0,$AY40-2470)&lt;97701,INT(MAX(0,$AY40-2470)/100)*100+50,MAX(0,$AY40-2470)),IF($AN40="DE",MAX(0,$AI40-3250),IF($AN40="HI",MAX(0,$AI40-1144*$AS40-4350),IF($AN40="KS",MAX(0,$AI40-(9160*IF($AU40="Married",2,1)+2320*$AT40+IF($AU40="Head of household",2320,0))),IF($AN40="MD",MAX(0,$AI40-3400-3200*$AS40),IF($AN40="MN",MAX(0,$AY40-5300*$AS40),IF($AN40="MO",MAX(0,$AI40-IF($AU40="Head of household",24150,IF($AU40="Married",IF(Inputs!$C$83,16100,32200),16100))),IF($AN40="MT",$AY40,IF($AN40="ND",($C40+$L40)*Inputs!$C$8,IF($AN40="NE",MAX(0,$AY40-2440*$AS40),IF($AN40="NJ",MAX(0,$AY40-1000*$AS40),IF($AN40="NY",MAX(0,$AY40-(IF($AU40="Married",7950,7400)+1000*$AS40)),IF($AN40="OH",MAX(0,$AY40-650*$AS40),IF($AN40="OK",MAX(0,$AY40-1000*$AS40),IF($AN40="RI",MAX(0,$AI40-1000*$AS40),IF($AN40="SC",MAX(0,$AI40-5000*$AS40-IF($AS40=0,0,MIN(0.1*$AI40,7500))),IF($AN40="VA",MAX(0,$AI40-IF($AU40="Married",17500,8750)-930*$AS40-800*$AT40),IF($AN40="VT",MAX(0,$AI40-5400*$AS40),IF($AN40="WI",MAX(0,$AI40-MAX(0,IF($AU40="Married",9461-0.2*MAX(0,$AI40-25727),6702-0.12*MAX(0,$AI40-17780)))-400*$AS40),IF($AN40="WV",MAX(0,$AI40-2000*$AS40),$AI40))))))))))))))))))))))</f>
      </c>
      <c r="BA40" s="7">
        <f>IF($B40="","",IF($BW40&lt;&gt;"",$BW40,IF($BX40&lt;&gt;"",$BX40,IF($BY40&lt;&gt;"",$BY40,0))))</f>
      </c>
      <c r="BB40" s="7">
        <f>IF($B40="","",IF($AN40="AR",-29*$AS40,IF($AN40="DE",-110*$AS40,IF($AN40="MD",$AZ40*Inputs!$C$74,IF($AN40="AZ",Inputs!$C$82*($M40-$D40)*Inputs!$C$8,IF($AN40="CO",0.044*MAX(0,$AY40-IF($AU40="Married",10000,5000)),IF($AN40="IA",MAX(0,0.038*MAX(0,$AY40-IF($AU40="Head of household",19500,IF($AU40="Married",26000,13000)))-40*$AS40),IF($AN40="ID",0.053*MAX(0,$AY40-IF($AU40="Married",32000,16094)),IF($AN40="IL",0.0495*MAX(0,$AY40-(2925*$AS40+1000*$AT40)),IF($AN40="IN",(0.0295+Inputs!$C$76)*MAX(0,$AY40-(1000*$AS40+1500*$AT40+3000*Inputs!$C$86)),IF($AN40="KY",0.035*MAX(0,$AI40-3360),IF($AN40="LA",IF(Inputs!$C$84="0",0.0309*$AI40,0.0309*MAX(0,$AI40-IF(Inputs!$C$84="2",25750,12875))),IF($AN40="MA",0.05*MIN(MAX(0,$AY40-MIN(($BD39+$Q40+$R40+$S40),2000)-IF($AS40=0,0,IF($AS40=1,4400,1000*$AS40+3400))),1107750)+0.09*MAX(0,MAX(0,$AY40-MIN(($BD39+$Q40+$R40+$S40),2000)-IF($AS40=0,0,IF($AS40=1,4400,1000*$AS40+3400)))-1107750)-IF($AU40="Head of household",120,0)-110*Inputs!$C$75,IF($AN40="MI",0.0425*MAX(0,$AY40-5900*$AS40),IF($AN40="MS",0.04*MAX(0,$AI40-IF($AU40="Head of household",3400,IF($AU40="Married",4600,2300))-Inputs!$C$85-10000),IF($AN40="OR",IF(OR($AU40="Married",AND($AU40="Single",$AS40&gt;=3)),SUMPRODUCT((MAX(0,$AY40-MIN(($P40-'Methodology &amp; Sources'!$C$260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Sources'!$B$461:$J$464,0,4))*(MAX(0,$AY40-MIN(($P40-'Methodology &amp; Sources'!$C$260*$D40)*Inputs!$C$8,IF(OR($AU40="Married",AND($AU40="Single",$AS40&gt;=3)),IF($AY40&lt;250000,8750,IF($AY40&lt;260000,7000,IF($AY40&lt;270000,5250,IF($AY40&lt;280000,3500,IF($AY40&lt;290000,1750,0))))),IF($AY40&lt;125000,8750,IF($AY40&lt;130000,7000,IF($AY40&lt;135000,5250,IF($AY40&lt;140000,3500,IF($AY40&lt;145000,1750,0)))))))-IF(OR($AU40="Married",AND($AU40="Single",$AS40&gt;=3)),5820,2910))-INDEX('Methodology &amp; Sources'!$B$461:$J$464,0,4))*INDEX('Methodology &amp; Sources'!$B$461:$J$464,0,4+2)),SUMPRODUCT((MAX(0,$AY40-MIN(($P40-'Methodology &amp; Sources'!$C$260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Sources'!$B$461:$J$464,0,1))*(MAX(0,$AY40-MIN(($P40-'Methodology &amp; Sources'!$C$260*$D40)*Inputs!$C$8,IF(OR($AU40="Married",AND($AU40="Single",$AS40&gt;=3)),IF($AY40&lt;250000,8750,IF($AY40&lt;260000,7000,IF($AY40&lt;270000,5250,IF($AY40&lt;280000,3500,IF($AY40&lt;290000,1750,0))))),IF($AY40&lt;125000,8750,IF($AY40&lt;130000,7000,IF($AY40&lt;135000,5250,IF($AY40&lt;140000,3500,IF($AY40&lt;145000,1750,0)))))))-IF(OR($AU40="Married",AND($AU40="Single",$AS40&gt;=3)),5820,2910))-INDEX('Methodology &amp; Sources'!$B$461:$J$464,0,1))*INDEX('Methodology &amp; Sources'!$B$461:$J$464,0,1+2)))+263-263*IF(IF($AU40="Married",$AY40&gt;200000,$AY40&gt;100000),0,$AS40),IF($AN40="PA",0.0307*(($O40+$E40+$G40)*Inputs!$C$8),IF($AN40="NY",IF($AU40="Married",IF($AZ40&gt;=2155350,0,IF($AZ40&gt;=1077550,0.48,IF($AZ40&gt;=373200,1.21,IF($AZ40&gt;=323200,0.21,IF($AZ40&gt;=211550,-0.19,IF($AZ40&gt;=157650,-2.8,IF($AZ40&gt;=107650,-0.8,IF($AZ40&gt;=96800,0.05,IF($AZ40&gt;=80650,-0.1,IF($AZ40&gt;=13900,0.4,IF($AZ40&gt;=11700,-0.3,IF($AZ40&gt;=8500,0.5,0)))))))))))),IF($AZ40&gt;=1077550,0,IF($AZ40&gt;=265400,4.29,IF($AZ40&gt;=215400,2.29,IF($AZ40&gt;=157650,2.29,IF($AZ40&gt;=107650,0.29,IF($AZ40&gt;=96800,0.05,IF($AZ40&gt;=80650,-0.1,IF($AZ40&gt;=13900,0.4,IF($AZ40&gt;=11700,-0.3,IF($AZ40&gt;=8500,0.5,0))))))))))),0))))))))))))))))))</f>
      </c>
      <c r="BC40" s="7">
        <f>IF($B40="","",IF($AN40="AL",0.05*$D40,IF($AN40="AR",0.039*$D40,IF($AN40="ID",0.053*$D40,IF($AN40="IN",(0.0295+Inputs!$C$76)*$D40,IF($AN40="KS",0.05*$D40,IF($AN40="MA",0.09*MIN($D40,MAX(0,MAX(0,$AY40-MIN(($BD39+$Q40+$R40+$S40),2000)-IF($AS40=0,0,IF($AS40=1,4400,1000*$AS40+3400)))+$D40-1107750))+0.05*($D40-MIN($D40,MAX(0,MAX(0,$AY40-MIN(($BD39+$Q40+$R40+$S40),2000)-IF($AS40=0,0,IF($AS40=1,4400,1000*$AS40+3400)))+$D40-1107750))),IF($AN40="MD",(0.065+Inputs!$C$74)*$D40,IF($AN40="MI",0.0425*$D40,IF($AN40="MN",0.0625*$D40,IF($AN40="MO",0.047*$D40,IF($AN40="MT",0.05*$D40,IF($AN40="ND",0.015*$D40,IF($AN40="NE",0.035*$D40,IF($AN40="NJ",IF(Inputs!$C$77="B",SUMPRODUCT(($D40*Inputs!$C$8&gt;INDEX('Methodology &amp; Sources'!$B$405:$J$412,0,4))*($D40*Inputs!$C$8-INDEX('Methodology &amp; Sources'!$B$405:$J$412,0,4))*INDEX('Methodology &amp; Sources'!$B$405:$J$412,0,4+2)),IF(Inputs!$C$77="C",SUMPRODUCT(($D40*Inputs!$C$8&gt;INDEX('Methodology &amp; Sources'!$B$405:$J$412,0,7))*($D40*Inputs!$C$8-INDEX('Methodology &amp; Sources'!$B$405:$J$412,0,7))*INDEX('Methodology &amp; Sources'!$B$405:$J$412,0,7+2)),IF(Inputs!$C$77="D",SUMPRODUCT(($D40*Inputs!$C$8&gt;INDEX('Methodology &amp; Sources'!$B$417:$J$429,0,1))*($D40*Inputs!$C$8-INDEX('Methodology &amp; Sources'!$B$417:$J$429,0,1))*INDEX('Methodology &amp; Sources'!$B$417:$J$429,0,1+2)),IF(Inputs!$C$77="E",SUMPRODUCT(($D40*Inputs!$C$8&gt;INDEX('Methodology &amp; Sources'!$B$417:$J$429,0,4))*($D40*Inputs!$C$8-INDEX('Methodology &amp; Sources'!$B$417:$J$429,0,4))*INDEX('Methodology &amp; Sources'!$B$417:$J$429,0,4+2)),SUMPRODUCT(($D40*Inputs!$C$8&gt;INDEX('Methodology &amp; Sources'!$B$405:$J$412,0,1))*($D40*Inputs!$C$8-INDEX('Methodology &amp; Sources'!$B$405:$J$412,0,1))*INDEX('Methodology &amp; Sources'!$B$405:$J$412,0,1+2))))))/Inputs!$C$8,IF($AN40="NY",0.117*$D40,IF($AN40="OH",0.0275*$D40,IF($AN40="OK",0.045*$D40,IF($AN40="OR",0.08*$D40,IF($AN40="WI",IF($AY40&lt;12760,0.0354,IF($AY40&lt;25520,0.0465,IF($AY40&lt;280950,0.053,0.0765)))*$D40,0))))))))))))))))))))</f>
      </c>
      <c r="BD40" s="7">
        <f>IF($B40="","",$BD39+$Q40+$R40+$S40)</f>
      </c>
      <c r="BE40" s="6">
        <f>IF($B40="",$BE39,$BE39+$BF40)</f>
      </c>
      <c r="BF40" s="6">
        <f>IF($B40="","",IF(AND(IF(YEAR(IF(Inputs!$C$7="Weekly",Inputs!$C$9+7*(($BE39+1)-1),IF(Inputs!$C$7="Biweekly",Inputs!$C$9+14*(($BE39+1)-1),IF(Inputs!$C$7="Semimonthly",DATE(YEAR(Inputs!$C$9),MONTH(Inputs!$C$9)+INT((($BE39+1)-1)/2),MIN(DAY(Inputs!$C$9),DAY(EOMONTH(DATE(YEAR(Inputs!$C$9),MONTH(Inputs!$C$9)+INT((($BE39+1)-1)/2),1),0))))+IF(MOD(($BE39+1)-1,2)=1,15,0),EDATE(Inputs!$C$9,($BE39+1)-1)))))&lt;&gt;2026,"",IF(Inputs!$C$7="Weekly",Inputs!$C$9+7*(($BE39+1)-1),IF(Inputs!$C$7="Biweekly",Inputs!$C$9+14*(($BE39+1)-1),IF(Inputs!$C$7="Semimonthly",DATE(YEAR(Inputs!$C$9),MONTH(Inputs!$C$9)+INT((($BE39+1)-1)/2),MIN(DAY(Inputs!$C$9),DAY(EOMONTH(DATE(YEAR(Inputs!$C$9),MONTH(Inputs!$C$9)+INT((($BE39+1)-1)/2),1),0))))+IF(MOD(($BE39+1)-1,2)=1,15,0),EDATE(Inputs!$C$9,($BE39+1)-1)))))&lt;&gt;"",$B40=IF(YEAR(IF(Inputs!$C$7="Weekly",Inputs!$C$9+7*(($BE39+1)-1),IF(Inputs!$C$7="Biweekly",Inputs!$C$9+14*(($BE39+1)-1),IF(Inputs!$C$7="Semimonthly",DATE(YEAR(Inputs!$C$9),MONTH(Inputs!$C$9)+INT((($BE39+1)-1)/2),MIN(DAY(Inputs!$C$9),DAY(EOMONTH(DATE(YEAR(Inputs!$C$9),MONTH(Inputs!$C$9)+INT((($BE39+1)-1)/2),1),0))))+IF(MOD(($BE39+1)-1,2)=1,15,0),EDATE(Inputs!$C$9,($BE39+1)-1)))))&lt;&gt;2026,"",IF(Inputs!$C$7="Weekly",Inputs!$C$9+7*(($BE39+1)-1),IF(Inputs!$C$7="Biweekly",Inputs!$C$9+14*(($BE39+1)-1),IF(Inputs!$C$7="Semimonthly",DATE(YEAR(Inputs!$C$9),MONTH(Inputs!$C$9)+INT((($BE39+1)-1)/2),MIN(DAY(Inputs!$C$9),DAY(EOMONTH(DATE(YEAR(Inputs!$C$9),MONTH(Inputs!$C$9)+INT((($BE39+1)-1)/2),1),0))))+IF(MOD(($BE39+1)-1,2)=1,15,0),EDATE(Inputs!$C$9,($BE39+1)-1)))))),1,0))</f>
      </c>
      <c r="BG40" s="7">
        <f>IF($B40="","",$BG39+$H40)</f>
      </c>
      <c r="BH40" s="7">
        <f>IF($B40="","",$BH39+$I40)</f>
      </c>
      <c r="BI40" s="7">
        <f>IF($B40="","",$BI39+$G40)</f>
      </c>
      <c r="BJ40" s="7">
        <f>IF($B40="","",IFERROR(LOOKUP(2,1/((((Events!$C$6:$C$17="Deduction start"))*(Events!$D$6:$D$17="Health FSA"))*(Events!$B$6:$B$17&lt;=$B40)*(Events!$B$6:$B$17&lt;&gt;"")),Events!$E$6:$E$17),Inputs!$D$38))</f>
      </c>
      <c r="BK40" s="7">
        <f>IF($B40="","",IFERROR(LOOKUP(2,1/((((Events!$C$6:$C$17="Deduction start"))*(Events!$D$6:$D$17="Dependent-care FSA"))*(Events!$B$6:$B$17&lt;=$B40)*(Events!$B$6:$B$17&lt;&gt;"")),Events!$E$6:$E$17),Inputs!$D$39))</f>
      </c>
      <c r="BL40" s="7">
        <f>IF($B40="","",IFERROR(LOOKUP(2,1/((((Events!$C$6:$C$17="Deduction start")+(Events!$C$6:$C$17="Deduction stop"))*(Events!$D$6:$D$17="HSA"))*(Events!$B$6:$B$17&lt;=$B40)*(Events!$B$6:$B$17&lt;&gt;"")),Events!$I$6:$I$17),Inputs!$D$35))</f>
      </c>
      <c r="BM40" s="7">
        <f>IF($B40="","",IFERROR(LOOKUP(2,1/((((Events!$C$6:$C$17="Deduction start")+(Events!$C$6:$C$17="Deduction stop"))*(Events!$D$6:$D$17="Premiums"))*(Events!$B$6:$B$17&lt;=$B40)*(Events!$B$6:$B$17&lt;&gt;"")),Events!$I$6:$I$17),Inputs!$D$40+Inputs!$D$41+Inputs!$D$42))</f>
      </c>
      <c r="BN40" s="7">
        <f>IF($B40="","",IFERROR(LOOKUP(2,1/((((Events!$C$6:$C$17="Deduction start")+(Events!$C$6:$C$17="Deduction stop"))*(Events!$D$6:$D$17="Commuter"))*(Events!$B$6:$B$17&lt;=$B40)*(Events!$B$6:$B$17&lt;&gt;"")),Events!$I$6:$I$17),Inputs!$D$43))</f>
      </c>
      <c r="BO40" s="7">
        <f>IF($B40="","",IFERROR(LOOKUP(2,1/((((Events!$C$6:$C$17="Deduction start")+(Events!$C$6:$C$17="Deduction stop"))*(Events!$D$6:$D$17="Other pre-tax"))*(Events!$B$6:$B$17&lt;=$B40)*(Events!$B$6:$B$17&lt;&gt;"")),Events!$I$6:$I$17),Inputs!$D$44))</f>
      </c>
      <c r="BP40" s="7">
        <f>IF($B40="","",IFERROR(LOOKUP(2,1/((((Events!$C$6:$C$17="Deduction start")+(Events!$C$6:$C$17="Deduction stop"))*(Events!$D$6:$D$17="Other post-tax"))*(Events!$B$6:$B$17&lt;=$B40)*(Events!$B$6:$B$17&lt;&gt;"")),Events!$I$6:$I$17),Inputs!$D$45))</f>
      </c>
      <c r="BQ40" s="6">
        <f>IF($B40="","",IFERROR(LOOKUP(2,1/((((Events!$C$6:$C$17="Deduction start")+(Events!$C$6:$C$17="Deduction stop"))*(Events!$D$6:$D$17="Health FSA"))*(Events!$B$6:$B$17&lt;=$B40)*(Events!$B$6:$B$17&lt;&gt;"")),Events!$J$6:$J$17),0))</f>
      </c>
      <c r="BR40" s="6">
        <f>IF($B40="","",IFERROR(LOOKUP(2,1/((((Events!$C$6:$C$17="Deduction start")+(Events!$C$6:$C$17="Deduction stop"))*(Events!$D$6:$D$17="Dependent-care FSA"))*(Events!$B$6:$B$17&lt;=$B40)*(Events!$B$6:$B$17&lt;&gt;"")),Events!$J$6:$J$17),0))</f>
      </c>
      <c r="BS40" s="6">
        <f>IF($B40="","",IF(SUMPRODUCT((Events!$C$6:$C$17="Deduction start")*(Events!$B$6:$B$17&lt;=$B40)*(Events!$B$6:$B$17&lt;&gt;"")*(Events!$D$6:$D$17="Health FSA"))&gt;0,1,0))</f>
      </c>
      <c r="BT40" s="6">
        <f>IF($B40="","",IF(SUMPRODUCT((Events!$C$6:$C$17="Deduction start")*(Events!$B$6:$B$17&lt;=$B40)*(Events!$B$6:$B$17&lt;&gt;"")*(Events!$D$6:$D$17="Dependent-care FSA"))&gt;0,1,0))</f>
      </c>
      <c r="BU40" s="24">
        <f>IF($B40="","",IF(Inputs!$C$13,SUMPRODUCT(($AH40&gt;=INDEX('Methodology &amp; Sources'!$B$279:$J$286,0,IF(Inputs!$C$12="MFJ",1,IF(Inputs!$C$12="HoH",7,4))))*INDEX('Methodology &amp; Sources'!$B$279:$J$286,0,IF(Inputs!$C$12="MFJ",1,IF(Inputs!$C$12="HoH",7,4))+2)),SUMPRODUCT(($AH40&gt;=INDEX('Methodology &amp; Sources'!$B$269:$J$276,0,IF(Inputs!$C$12="MFJ",1,IF(Inputs!$C$12="HoH",7,4))))*INDEX('Methodology &amp; Sources'!$B$269:$J$276,0,IF(Inputs!$C$12="MFJ",1,IF(Inputs!$C$12="HoH",7,4))+2))))</f>
      </c>
      <c r="BV40" s="24">
        <f>IF($B40="","",IF($BZ40&lt;&gt;"",$BZ40,IF($CA40&lt;&gt;"",$CA40,IF($CB40&lt;&gt;"",$CB40,IF($CC40&lt;&gt;"",$CC40,0)))))</f>
      </c>
      <c r="BW40" s="7">
        <f>IF($B40="","",IF($AN40="MD",IF(OR($AU40="Married",$AU40="Head of household"),SUMPRODUCT(($AZ40&gt;INDEX('Methodology &amp; Sources'!$B$364:$J$370,0,1))*($AZ40-INDEX('Methodology &amp; Sources'!$B$364:$J$370,0,1))*INDEX('Methodology &amp; Sources'!$B$364:$J$370,0,1+2)),SUMPRODUCT(($AZ40&gt;INDEX('Methodology &amp; Sources'!$B$353:$J$359,0,7))*($AZ40-INDEX('Methodology &amp; Sources'!$B$353:$J$359,0,7))*INDEX('Methodology &amp; Sources'!$B$353:$J$359,0,7+2))),IF($AN40="MO",SUMPRODUCT(($AZ40&gt;INDEX('Methodology &amp; Sources'!$B$375:$J$382,0,1))*($AZ40-INDEX('Methodology &amp; Sources'!$B$375:$J$382,0,1))*INDEX('Methodology &amp; Sources'!$B$375:$J$382,0,1+2)),IF($AN40="MT",IF($AU40="Head of household",SUMPRODUCT(($AZ40&gt;INDEX('Methodology &amp; Sources'!$B$387:$J$389,0,1))*($AZ40-INDEX('Methodology &amp; Sources'!$B$387:$J$389,0,1))*INDEX('Methodology &amp; Sources'!$B$387:$J$389,0,1+2)),IF($AU40="Married",SUMPRODUCT(($AZ40&gt;INDEX('Methodology &amp; Sources'!$B$375:$J$382,0,7))*($AZ40-INDEX('Methodology &amp; Sources'!$B$375:$J$382,0,7))*INDEX('Methodology &amp; Sources'!$B$375:$J$382,0,7+2)),SUMPRODUCT(($AZ40&gt;INDEX('Methodology &amp; Sources'!$B$375:$J$382,0,4))*($AZ40-INDEX('Methodology &amp; Sources'!$B$375:$J$382,0,4))*INDEX('Methodology &amp; Sources'!$B$375:$J$382,0,4+2)))),IF($AN40="ND",IF($AU40="Head of household",SUMPRODUCT(($AZ40&gt;INDEX('Methodology &amp; Sources'!$B$394:$J$400,0,1))*($AZ40-INDEX('Methodology &amp; Sources'!$B$394:$J$400,0,1))*INDEX('Methodology &amp; Sources'!$B$394:$J$400,0,1+2)),IF($AU40="Married",SUMPRODUCT(($AZ40&gt;INDEX('Methodology &amp; Sources'!$B$387:$J$389,0,7))*($AZ40-INDEX('Methodology &amp; Sources'!$B$387:$J$389,0,7))*INDEX('Methodology &amp; Sources'!$B$387:$J$389,0,7+2)),SUMPRODUCT(($AZ40&gt;INDEX('Methodology &amp; Sources'!$B$387:$J$389,0,4))*($AZ40-INDEX('Methodology &amp; Sources'!$B$387:$J$389,0,4))*INDEX('Methodology &amp; Sources'!$B$387:$J$389,0,4+2)))),IF($AN40="NJ",IF(Inputs!$C$77="B",SUMPRODUCT(($AZ40&gt;INDEX('Methodology &amp; Sources'!$B$405:$J$412,0,4))*($AZ40-INDEX('Methodology &amp; Sources'!$B$405:$J$412,0,4))*INDEX('Methodology &amp; Sources'!$B$405:$J$412,0,4+2)),IF(Inputs!$C$77="C",SUMPRODUCT(($AZ40&gt;INDEX('Methodology &amp; Sources'!$B$405:$J$412,0,7))*($AZ40-INDEX('Methodology &amp; Sources'!$B$405:$J$412,0,7))*INDEX('Methodology &amp; Sources'!$B$405:$J$412,0,7+2)),IF(Inputs!$C$77="D",SUMPRODUCT(($AZ40&gt;INDEX('Methodology &amp; Sources'!$B$417:$J$429,0,1))*($AZ40-INDEX('Methodology &amp; Sources'!$B$417:$J$429,0,1))*INDEX('Methodology &amp; Sources'!$B$417:$J$429,0,1+2)),IF(Inputs!$C$77="E",SUMPRODUCT(($AZ40&gt;INDEX('Methodology &amp; Sources'!$B$417:$J$429,0,4))*($AZ40-INDEX('Methodology &amp; Sources'!$B$417:$J$429,0,4))*INDEX('Methodology &amp; Sources'!$B$417:$J$429,0,4+2)),SUMPRODUCT(($AZ40&gt;INDEX('Methodology &amp; Sources'!$B$405:$J$412,0,1))*($AZ40-INDEX('Methodology &amp; Sources'!$B$405:$J$412,0,1))*INDEX('Methodology &amp; Sources'!$B$405:$J$412,0,1+2)))))),IF($AN40="NY",IF($AU40="Married",IF($AZ40&gt;=2155350,$AZ40*IF($AZ40&gt;25000000,0.117,IF($AZ40&gt;5000000,0.111,0.1045)),SUMPRODUCT(($AZ40&gt;INDEX('Methodology &amp; Sources'!$B$434:$J$448,0,1))*($AZ40-INDEX('Methodology &amp; Sources'!$B$434:$J$448,0,1))*INDEX('Methodology &amp; Sources'!$B$434:$J$448,0,1+2))),IF($AZ40&gt;=1077550,$AZ40*IF($AZ40&gt;25000000,0.117,IF($AZ40&gt;5000000,0.111,0.1045)),SUMPRODUCT(($AZ40&gt;INDEX('Methodology &amp; Sources'!$B$417:$J$429,0,7))*($AZ40-INDEX('Methodology &amp; Sources'!$B$417:$J$429,0,7))*INDEX('Methodology &amp; Sources'!$B$417:$J$429,0,7+2)))),"")))))))</f>
      </c>
      <c r="BX40" s="7">
        <f>IF($B40="","",IF($AN40="AL",IF(OR($AU40="Married",$AU40="Head of household"),SUMPRODUCT(($AZ40&gt;INDEX('Methodology &amp; Sources'!$B$332:$J$336,0,4))*($AZ40-INDEX('Methodology &amp; Sources'!$B$332:$J$336,0,4))*INDEX('Methodology &amp; Sources'!$B$332:$J$336,0,4+2)),SUMPRODUCT(($AZ40&gt;INDEX('Methodology &amp; Sources'!$B$332:$J$336,0,1))*($AZ40-INDEX('Methodology &amp; Sources'!$B$332:$J$336,0,1))*INDEX('Methodology &amp; Sources'!$B$332:$J$336,0,1+2))),IF($AN40="KS",IF($AU40="Married",SUMPRODUCT(($AZ40&gt;INDEX('Methodology &amp; Sources'!$B$353:$J$359,0,4))*($AZ40-INDEX('Methodology &amp; Sources'!$B$353:$J$359,0,4))*INDEX('Methodology &amp; Sources'!$B$353:$J$359,0,4+2)),SUMPRODUCT(($AZ40&gt;INDEX('Methodology &amp; Sources'!$B$353:$J$359,0,1))*($AZ40-INDEX('Methodology &amp; Sources'!$B$353:$J$359,0,1))*INDEX('Methodology &amp; Sources'!$B$353:$J$359,0,1+2))),IF($AN40="MN",IF($AU40="Married",SUMPRODUCT(($AZ40&gt;INDEX('Methodology &amp; Sources'!$B$364:$J$370,0,7))*($AZ40-INDEX('Methodology &amp; Sources'!$B$364:$J$370,0,7))*INDEX('Methodology &amp; Sources'!$B$364:$J$370,0,7+2)),SUMPRODUCT(($AZ40&gt;INDEX('Methodology &amp; Sources'!$B$364:$J$370,0,4))*($AZ40-INDEX('Methodology &amp; Sources'!$B$364:$J$370,0,4))*INDEX('Methodology &amp; Sources'!$B$364:$J$370,0,4+2))),IF($AN40="NE",MAX(IF($AU40="Married",SUMPRODUCT(($AZ40&gt;INDEX('Methodology &amp; Sources'!$B$394:$J$400,0,7))*($AZ40-INDEX('Methodology &amp; Sources'!$B$394:$J$400,0,7))*INDEX('Methodology &amp; Sources'!$B$394:$J$400,0,7+2)),SUMPRODUCT(($AZ40&gt;INDEX('Methodology &amp; Sources'!$B$394:$J$400,0,4))*($AZ40-INDEX('Methodology &amp; Sources'!$B$394:$J$400,0,4))*INDEX('Methodology &amp; Sources'!$B$394:$J$400,0,4+2))),0.015*$AZ40),IF($AN40="OH",IF($B40&gt;=DATE(2026,8,1),SUMPRODUCT(($AZ40&gt;INDEX('Methodology &amp; Sources'!$B$453:$J$456,0,1))*($AZ40-INDEX('Methodology &amp; Sources'!$B$453:$J$456,0,1))*INDEX('Methodology &amp; Sources'!$B$453:$J$456,0,1+2)),SUMPRODUCT(($AZ40&gt;INDEX('Methodology &amp; Sources'!$B$434:$J$448,0,7))*($AZ40-INDEX('Methodology &amp; Sources'!$B$434:$J$448,0,7))*INDEX('Methodology &amp; Sources'!$B$434:$J$448,0,7+2))),IF($AN40="OK",IF($AU40="Married",SUMPRODUCT(($AZ40&gt;INDEX('Methodology &amp; Sources'!$B$453:$J$456,0,7))*($AZ40-INDEX('Methodology &amp; Sources'!$B$453:$J$456,0,7))*INDEX('Methodology &amp; Sources'!$B$453:$J$456,0,7+2)),SUMPRODUCT(($AZ40&gt;INDEX('Methodology &amp; Sources'!$B$453:$J$456,0,4))*($AZ40-INDEX('Methodology &amp; Sources'!$B$453:$J$456,0,4))*INDEX('Methodology &amp; Sources'!$B$453:$J$456,0,4+2))),IF($AN40="RI",SUMPRODUCT(($AZ40&gt;INDEX('Methodology &amp; Sources'!$B$461:$J$464,0,7))*($AZ40-INDEX('Methodology &amp; Sources'!$B$461:$J$464,0,7))*INDEX('Methodology &amp; Sources'!$B$461:$J$464,0,7+2)),IF($AN40="VT",IF($AU40="Married",SUMPRODUCT(($AZ40&gt;INDEX('Methodology &amp; Sources'!$B$478:$J$482,0,1))*($AZ40-INDEX('Methodology &amp; Sources'!$B$478:$J$482,0,1))*INDEX('Methodology &amp; Sources'!$B$478:$J$482,0,1+2)),SUMPRODUCT(($AZ40&gt;INDEX('Methodology &amp; Sources'!$B$469:$J$473,0,7))*($AZ40-INDEX('Methodology &amp; Sources'!$B$469:$J$473,0,7))*INDEX('Methodology &amp; Sources'!$B$469:$J$473,0,7+2))),IF($AN40="WV",IF($AU40="Married",SUMPRODUCT(($AZ40&gt;INDEX('Methodology &amp; Sources'!$B$487:$J$491,0,7))*($AZ40-INDEX('Methodology &amp; Sources'!$B$487:$J$491,0,7))*INDEX('Methodology &amp; Sources'!$B$487:$J$491,0,7+2)),SUMPRODUCT(($AZ40&gt;INDEX('Methodology &amp; Sources'!$B$478:$J$482,0,7))*($AZ40-INDEX('Methodology &amp; Sources'!$B$478:$J$482,0,7))*INDEX('Methodology &amp; Sources'!$B$478:$J$482,0,7+2))),""))))))))))</f>
      </c>
      <c r="BY40" s="7">
        <f>IF($B40="","",IF($AN40="AR",SUMPRODUCT(($AZ40&gt;INDEX('Methodology &amp; Sources'!$B$332:$J$336,0,7))*($AZ40-INDEX('Methodology &amp; Sources'!$B$332:$J$336,0,7))*INDEX('Methodology &amp; Sources'!$B$332:$J$336,0,7+2)),IF($AN40="DE",SUMPRODUCT(($AZ40&gt;INDEX('Methodology &amp; Sources'!$B$341:$J$348,0,1))*($AZ40-INDEX('Methodology &amp; Sources'!$B$341:$J$348,0,1))*INDEX('Methodology &amp; Sources'!$B$341:$J$348,0,1+2)),IF($AN40="HI",IF($AU40="Married",SUMPRODUCT(($AZ40&gt;INDEX('Methodology &amp; Sources'!$B$341:$J$348,0,7))*($AZ40-INDEX('Methodology &amp; Sources'!$B$341:$J$348,0,7))*INDEX('Methodology &amp; Sources'!$B$341:$J$348,0,7+2)),SUMPRODUCT(($AZ40&gt;INDEX('Methodology &amp; Sources'!$B$341:$J$348,0,4))*($AZ40-INDEX('Methodology &amp; Sources'!$B$341:$J$348,0,4))*INDEX('Methodology &amp; Sources'!$B$341:$J$348,0,4+2))),IF($AN40="SC",SUMPRODUCT(($AZ40&gt;INDEX('Methodology &amp; Sources'!$B$469:$J$473,0,1))*($AZ40-INDEX('Methodology &amp; Sources'!$B$469:$J$473,0,1))*INDEX('Methodology &amp; Sources'!$B$469:$J$473,0,1+2)),IF($AN40="VA",SUMPRODUCT(($AZ40&gt;INDEX('Methodology &amp; Sources'!$B$469:$J$473,0,4))*($AZ40-INDEX('Methodology &amp; Sources'!$B$469:$J$473,0,4))*INDEX('Methodology &amp; Sources'!$B$469:$J$473,0,4+2)),IF($AN40="WI",SUMPRODUCT(($AZ40&gt;INDEX('Methodology &amp; Sources'!$B$478:$J$482,0,4))*($AZ40-INDEX('Methodology &amp; Sources'!$B$478:$J$482,0,4))*INDEX('Methodology &amp; Sources'!$B$478:$J$482,0,4+2)),"")))))))</f>
      </c>
      <c r="BZ40" s="24">
        <f>IF($B40="","",IF($AN40="NJ",IF(Inputs!$C$77="B",SUMPRODUCT(($AZ40&gt;=INDEX('Methodology &amp; Sources'!$B$405:$J$412,0,4))*INDEX('Methodology &amp; Sources'!$B$405:$J$412,0,4+2)),IF(Inputs!$C$77="C",SUMPRODUCT(($AZ40&gt;=INDEX('Methodology &amp; Sources'!$B$405:$J$412,0,7))*INDEX('Methodology &amp; Sources'!$B$405:$J$412,0,7+2)),IF(Inputs!$C$77="D",SUMPRODUCT(($AZ40&gt;=INDEX('Methodology &amp; Sources'!$B$417:$J$429,0,1))*INDEX('Methodology &amp; Sources'!$B$417:$J$429,0,1+2)),IF(Inputs!$C$77="E",SUMPRODUCT(($AZ40&gt;=INDEX('Methodology &amp; Sources'!$B$417:$J$429,0,4))*INDEX('Methodology &amp; Sources'!$B$417:$J$429,0,4+2)),SUMPRODUCT(($AZ40&gt;=INDEX('Methodology &amp; Sources'!$B$405:$J$412,0,1))*INDEX('Methodology &amp; Sources'!$B$405:$J$412,0,1+2)))))),IF($AN40="OR",IF(OR($AU40="Married",AND($AU40="Single",$AS40&gt;=3)),SUMPRODUCT((MAX(0,$AY40-MIN(($P40-'Methodology &amp; Sources'!$C$260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Sources'!$B$461:$J$464,0,4))*INDEX('Methodology &amp; Sources'!$B$461:$J$464,0,4+2)),SUMPRODUCT((MAX(0,$AY40-MIN(($P40-'Methodology &amp; Sources'!$C$260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Sources'!$B$461:$J$464,0,1))*INDEX('Methodology &amp; Sources'!$B$461:$J$464,0,1+2)))*IF(($P40-'Methodology &amp; Sources'!$C$260*$D40)*Inputs!$C$8&gt;=IF(OR($AU40="Married",AND($AU40="Single",$AS40&gt;=3)),IF($AY40&lt;250000,8750,IF($AY40&lt;260000,7000,IF($AY40&lt;270000,5250,IF($AY40&lt;280000,3500,IF($AY40&lt;290000,1750,0))))),IF($AY40&lt;125000,8750,IF($AY40&lt;130000,7000,IF($AY40&lt;135000,5250,IF($AY40&lt;140000,3500,IF($AY40&lt;145000,1750,0)))))),1,1-IF(Inputs!$C$13,SUMPRODUCT(($AH40&gt;=INDEX('Methodology &amp; Sources'!$B$279:$J$286,0,IF(Inputs!$C$12="MFJ",1,IF(Inputs!$C$12="HoH",7,4))))*INDEX('Methodology &amp; Sources'!$B$279:$J$286,0,IF(Inputs!$C$12="MFJ",1,IF(Inputs!$C$12="HoH",7,4))+2)),SUMPRODUCT(($AH40&gt;=INDEX('Methodology &amp; Sources'!$B$269:$J$276,0,IF(Inputs!$C$12="MFJ",1,IF(Inputs!$C$12="HoH",7,4))))*INDEX('Methodology &amp; Sources'!$B$269:$J$276,0,IF(Inputs!$C$12="MFJ",1,IF(Inputs!$C$12="HoH",7,4))+2)))),IF($AN40="MI",IF($AY40&gt;5900*$AS40,0.0425,0),""))))</f>
      </c>
      <c r="CA40" s="24">
        <f>IF($B40="","",IF($AN40="AL",IF(OR($AU40="Married",$AU40="Head of household"),SUMPRODUCT(($AZ40&gt;=INDEX('Methodology &amp; Sources'!$B$332:$J$336,0,4))*INDEX('Methodology &amp; Sources'!$B$332:$J$336,0,4+2)),SUMPRODUCT(($AZ40&gt;=INDEX('Methodology &amp; Sources'!$B$332:$J$336,0,1))*INDEX('Methodology &amp; Sources'!$B$332:$J$336,0,1+2)))*(1-IF(Inputs!$C$13,SUMPRODUCT(($AH40&gt;=INDEX('Methodology &amp; Sources'!$B$279:$J$286,0,IF(Inputs!$C$12="MFJ",1,IF(Inputs!$C$12="HoH",7,4))))*INDEX('Methodology &amp; Sources'!$B$279:$J$286,0,IF(Inputs!$C$12="MFJ",1,IF(Inputs!$C$12="HoH",7,4))+2)),SUMPRODUCT(($AH40&gt;=INDEX('Methodology &amp; Sources'!$B$269:$J$276,0,IF(Inputs!$C$12="MFJ",1,IF(Inputs!$C$12="HoH",7,4))))*INDEX('Methodology &amp; Sources'!$B$269:$J$276,0,IF(Inputs!$C$12="MFJ",1,IF(Inputs!$C$12="HoH",7,4))+2)))),IF($AN40="KS",IF($AU40="Married",SUMPRODUCT(($AZ40&gt;=INDEX('Methodology &amp; Sources'!$B$353:$J$359,0,4))*INDEX('Methodology &amp; Sources'!$B$353:$J$359,0,4+2)),SUMPRODUCT(($AZ40&gt;=INDEX('Methodology &amp; Sources'!$B$353:$J$359,0,1))*INDEX('Methodology &amp; Sources'!$B$353:$J$359,0,1+2))),IF($AN40="MD",IF(OR($AU40="Married",$AU40="Head of household"),SUMPRODUCT(($AZ40&gt;=INDEX('Methodology &amp; Sources'!$B$364:$J$370,0,1))*INDEX('Methodology &amp; Sources'!$B$364:$J$370,0,1+2)),SUMPRODUCT(($AZ40&gt;=INDEX('Methodology &amp; Sources'!$B$353:$J$359,0,7))*INDEX('Methodology &amp; Sources'!$B$353:$J$359,0,7+2)))+Inputs!$C$74,IF($AN40="MT",IF($AU40="Head of household",SUMPRODUCT(($AZ40&gt;=INDEX('Methodology &amp; Sources'!$B$387:$J$389,0,1))*INDEX('Methodology &amp; Sources'!$B$387:$J$389,0,1+2)),IF($AU40="Married",SUMPRODUCT(($AZ40&gt;=INDEX('Methodology &amp; Sources'!$B$375:$J$382,0,7))*INDEX('Methodology &amp; Sources'!$B$375:$J$382,0,7+2)),SUMPRODUCT(($AZ40&gt;=INDEX('Methodology &amp; Sources'!$B$375:$J$382,0,4))*INDEX('Methodology &amp; Sources'!$B$375:$J$382,0,4+2)))),IF($AN40="ND",IF($AU40="Head of household",SUMPRODUCT(($AZ40&gt;=INDEX('Methodology &amp; Sources'!$B$394:$J$400,0,1))*INDEX('Methodology &amp; Sources'!$B$394:$J$400,0,1+2)),IF($AU40="Married",SUMPRODUCT(($AZ40&gt;=INDEX('Methodology &amp; Sources'!$B$387:$J$389,0,7))*INDEX('Methodology &amp; Sources'!$B$387:$J$389,0,7+2)),SUMPRODUCT(($AZ40&gt;=INDEX('Methodology &amp; Sources'!$B$387:$J$389,0,4))*INDEX('Methodology &amp; Sources'!$B$387:$J$389,0,4+2)))),IF($AN40="NY",IF($AU40="Married",IF($AZ40&gt;=2155350,IF($AZ40&gt;25000000,0.117,IF($AZ40&gt;5000000,0.111,0.1045)),SUMPRODUCT(($AZ40&gt;=INDEX('Methodology &amp; Sources'!$B$434:$J$448,0,1))*INDEX('Methodology &amp; Sources'!$B$434:$J$448,0,1+2))),IF($AZ40&gt;=1077550,IF($AZ40&gt;25000000,0.117,IF($AZ40&gt;5000000,0.111,0.1045)),SUMPRODUCT(($AZ40&gt;=INDEX('Methodology &amp; Sources'!$B$417:$J$429,0,7))*INDEX('Methodology &amp; Sources'!$B$417:$J$429,0,7+2)))),"")))))))</f>
      </c>
      <c r="CB40" s="24">
        <f>IF($B40="","",IF($AN40="CA",SUMPRODUCT(($AJ40&gt;=INDEX('Methodology &amp; Sources'!$B$289:$J$298,0,IF($AU40="Married",4,IF($AU40="Head of household",7,1))))*INDEX('Methodology &amp; Sources'!$B$289:$J$298,0,IF($AU40="Married",4,IF($AU40="Head of household",7,1))+2)),IF($AN40="HI",IF($AU40="Married",SUMPRODUCT(($AZ40&gt;=INDEX('Methodology &amp; Sources'!$B$341:$J$348,0,7))*INDEX('Methodology &amp; Sources'!$B$341:$J$348,0,7+2)),SUMPRODUCT(($AZ40&gt;=INDEX('Methodology &amp; Sources'!$B$341:$J$348,0,4))*INDEX('Methodology &amp; Sources'!$B$341:$J$348,0,4+2))),IF($AN40="MN",IF($AU40="Married",SUMPRODUCT(($AZ40&gt;=INDEX('Methodology &amp; Sources'!$B$364:$J$370,0,7))*INDEX('Methodology &amp; Sources'!$B$364:$J$370,0,7+2)),SUMPRODUCT(($AZ40&gt;=INDEX('Methodology &amp; Sources'!$B$364:$J$370,0,4))*INDEX('Methodology &amp; Sources'!$B$364:$J$370,0,4+2))),IF($AN40="MO",SUMPRODUCT(($AZ40&gt;=INDEX('Methodology &amp; Sources'!$B$375:$J$382,0,1))*INDEX('Methodology &amp; Sources'!$B$375:$J$382,0,1+2)),IF($AN40="NE",MAX(IF($AU40="Married",SUMPRODUCT(($AZ40&gt;=INDEX('Methodology &amp; Sources'!$B$394:$J$400,0,7))*INDEX('Methodology &amp; Sources'!$B$394:$J$400,0,7+2)),SUMPRODUCT(($AZ40&gt;=INDEX('Methodology &amp; Sources'!$B$394:$J$400,0,4))*INDEX('Methodology &amp; Sources'!$B$394:$J$400,0,4+2))),0.015),IF($AN40="OH",IF($B40&gt;=DATE(2026,8,1),SUMPRODUCT(($AZ40&gt;=INDEX('Methodology &amp; Sources'!$B$453:$J$456,0,1))*INDEX('Methodology &amp; Sources'!$B$453:$J$456,0,1+2)),SUMPRODUCT(($AZ40&gt;=INDEX('Methodology &amp; Sources'!$B$434:$J$448,0,7))*INDEX('Methodology &amp; Sources'!$B$434:$J$448,0,7+2))),IF($AN40="OK",IF($AU40="Married",SUMPRODUCT(($AZ40&gt;=INDEX('Methodology &amp; Sources'!$B$453:$J$456,0,7))*INDEX('Methodology &amp; Sources'!$B$453:$J$456,0,7+2)),SUMPRODUCT(($AZ40&gt;=INDEX('Methodology &amp; Sources'!$B$453:$J$456,0,4))*INDEX('Methodology &amp; Sources'!$B$453:$J$456,0,4+2))),IF($AN40="RI",SUMPRODUCT(($AZ40&gt;=INDEX('Methodology &amp; Sources'!$B$461:$J$464,0,7))*INDEX('Methodology &amp; Sources'!$B$461:$J$464,0,7+2)),IF($AN40="SC",SUMPRODUCT(($AZ40&gt;=INDEX('Methodology &amp; Sources'!$B$469:$J$473,0,1))*INDEX('Methodology &amp; Sources'!$B$469:$J$473,0,1+2)),IF($AN40="VT",IF($AU40="Married",SUMPRODUCT(($AZ40&gt;=INDEX('Methodology &amp; Sources'!$B$478:$J$482,0,1))*INDEX('Methodology &amp; Sources'!$B$478:$J$482,0,1+2)),SUMPRODUCT(($AZ40&gt;=INDEX('Methodology &amp; Sources'!$B$469:$J$473,0,7))*INDEX('Methodology &amp; Sources'!$B$469:$J$473,0,7+2))),IF($AN40="WV",IF($AU40="Married",SUMPRODUCT(($AZ40&gt;=INDEX('Methodology &amp; Sources'!$B$487:$J$491,0,7))*INDEX('Methodology &amp; Sources'!$B$487:$J$491,0,7+2)),SUMPRODUCT(($AZ40&gt;=INDEX('Methodology &amp; Sources'!$B$478:$J$482,0,7))*INDEX('Methodology &amp; Sources'!$B$478:$J$482,0,7+2))),IF($AN40="IN",(0.0295+Inputs!$C$76),"")))))))))))))</f>
      </c>
      <c r="CC40" s="24">
        <f>IF($B40="","",IF($AN40="AR",SUMPRODUCT(($AZ40&gt;=INDEX('Methodology &amp; Sources'!$B$332:$J$336,0,7))*INDEX('Methodology &amp; Sources'!$B$332:$J$336,0,7+2)),IF($AN40="DE",SUMPRODUCT(($AZ40&gt;=INDEX('Methodology &amp; Sources'!$B$341:$J$348,0,1))*INDEX('Methodology &amp; Sources'!$B$341:$J$348,0,1+2)),IF($AN40="VA",SUMPRODUCT(($AZ40&gt;=INDEX('Methodology &amp; Sources'!$B$469:$J$473,0,4))*INDEX('Methodology &amp; Sources'!$B$469:$J$473,0,4+2)),IF($AN40="WI",SUMPRODUCT(($AZ40&gt;=INDEX('Methodology &amp; Sources'!$B$478:$J$482,0,4))*INDEX('Methodology &amp; Sources'!$B$478:$J$482,0,4+2)),IF($AN40="AZ",Inputs!$C$82,IF($AN40="CO",IF($AY40&gt;IF($AU40="Married",10000,5000),0.044,0),IF($AN40="IA",IF($AY40&gt;IF($AU40="Head of household",19500,IF($AU40="Married",26000,13000)),0.038,0),IF($AN40="ID",IF($AY40&gt;IF($AU40="Married",32000,16094),0.053,0),IF($AN40="IL",IF($AY40&gt;(2925*$AS40+1000*$AT40),0.0495,0),IF($AN40="KY",IF($AI40&gt;3360,0.035,0),IF($AN40="LA",0.0309,IF($AN40="MA",IF(MAX(0,$AY40-MIN(($BD39+$Q40+$R40+$S40),2000)-IF($AS40=0,0,IF($AS40=1,4400,1000*$AS40+3400)))&gt;=1107750,0.09,0.05),IF($AN40="MS",IF($AI40-IF($AU40="Head of household",3400,IF($AU40="Married",4600,2300))-Inputs!$C$85&gt;10000,0.04,0),IF($AN40="PA",0.0307,"")))))))))))))))</f>
      </c>
      <c r="CD40" s="21">
        <f>IF(YEAR(IF(Inputs!$C$7="Weekly",Inputs!$C$9+7*(($BE39+1)-1),IF(Inputs!$C$7="Biweekly",Inputs!$C$9+14*(($BE39+1)-1),IF(Inputs!$C$7="Semimonthly",DATE(YEAR(Inputs!$C$9),MONTH(Inputs!$C$9)+INT((($BE39+1)-1)/2),MIN(DAY(Inputs!$C$9),DAY(EOMONTH(DATE(YEAR(Inputs!$C$9),MONTH(Inputs!$C$9)+INT((($BE39+1)-1)/2),1),0))))+IF(MOD(($BE39+1)-1,2)=1,15,0),EDATE(Inputs!$C$9,($BE39+1)-1)))))&lt;&gt;2026,"",IF(Inputs!$C$7="Weekly",Inputs!$C$9+7*(($BE39+1)-1),IF(Inputs!$C$7="Biweekly",Inputs!$C$9+14*(($BE39+1)-1),IF(Inputs!$C$7="Semimonthly",DATE(YEAR(Inputs!$C$9),MONTH(Inputs!$C$9)+INT((($BE39+1)-1)/2),MIN(DAY(Inputs!$C$9),DAY(EOMONTH(DATE(YEAR(Inputs!$C$9),MONTH(Inputs!$C$9)+INT((($BE39+1)-1)/2),1),0))))+IF(MOD(($BE39+1)-1,2)=1,15,0),EDATE(Inputs!$C$9,($BE39+1)-1)))))</f>
      </c>
      <c r="CE40" s="21">
        <f>IF(SUMPRODUCT(MIN(IF((Inputs!$C$58:$C$67&gt;MAX($B$6:$B39))*(Inputs!$C$58:$C$67&gt;=DATE(2026,1,1))*(Inputs!$C$58:$C$67&lt;=DATE(2026,12,31)),Inputs!$C$58:$C$67,999999)))=999999,"",SUMPRODUCT(MIN(IF((Inputs!$C$58:$C$67&gt;MAX($B$6:$B39))*(Inputs!$C$58:$C$67&gt;=DATE(2026,1,1))*(Inputs!$C$58:$C$67&lt;=DATE(2026,12,31)),Inputs!$C$58:$C$67,999999))))</f>
      </c>
    </row>
    <row r="41">
      <c r="A41" t="n">
        <v>36</v>
      </c>
      <c r="B41" s="21">
        <f>IF(AND($CD41="",$CE41=""),"",IF($CE41="",$CD41,IF($CD41="",$CE41,MIN($CD41,$CE41))))</f>
      </c>
      <c r="C41" s="7">
        <f>IF($B41="","",IF($BF41=0,0,IF(Inputs!$C$4="Annual salary",ROUND($AK41/IF(AND(Inputs!$C$88="Actual paydays",MONTH(Inputs!$C$9)=1),MAX(1,MAX($BE$6:$BE$68)),Inputs!$C$8),2),$AK41)))</f>
      </c>
      <c r="D41" s="7">
        <f>IF($B41="","",SUMIF(Inputs!$C$58:$C$67,$B41,Inputs!$D$58:$D$67))</f>
      </c>
      <c r="E41" s="7">
        <f>IF($B41="","",ROUND(MAX(0,MIN(IF($AL41="Percent",$AM41*($C41+$D41),$AM41),MAX(0,Inputs!$C$91-$AC40))),2))</f>
      </c>
      <c r="F41" s="7">
        <f>IF($B41="","",ROUND(MAX(0,MIN(IF(Inputs!$C$32="Percent",Inputs!$D$32*($C41+$D41),Inputs!$D$32),MAX(0,Inputs!$C$91-$AC40-$E41))),2))</f>
      </c>
      <c r="G41" s="7">
        <f>IF($B41="","",IF($BF41=0,0,ROUND(MAX(0,MIN($BL41,Inputs!$C$92-Inputs!$C$54-$BI40)),2)))</f>
      </c>
      <c r="H41" s="7">
        <f>IF($B41="","",IF(OR($BF41=0,$BQ41=1),0,ROUND(MAX(0,MIN(IF($BS41=1,ROUND(MAX(0,MIN($BJ41,'Methodology &amp; Sources'!$C$263)-$BG40)/MAX(1,MAX($BE$6:$BE$68)-($BE40)),2),ROUND(MIN($BJ41,'Methodology &amp; Sources'!$C$263)/Inputs!$C$8,2)),MIN($BJ41,'Methodology &amp; Sources'!$C$263)-$BG40)),2)))</f>
      </c>
      <c r="I41" s="7">
        <f>IF($B41="","",IF(OR($BF41=0,$BR41=1),0,ROUND(MAX(0,MIN(IF($BT41=1,ROUND(MAX(0,MIN($BK41,IF(Inputs!$C$12="MFJ",'Methodology &amp; Sources'!$C$264,'Methodology &amp; Sources'!$C$265))-$BH40)/MAX(1,MAX($BE$6:$BE$68)-($BE40)),2),ROUND(MIN($BK41,IF(Inputs!$C$12="MFJ",'Methodology &amp; Sources'!$C$264,'Methodology &amp; Sources'!$C$265))/Inputs!$C$8,2)),MIN($BK41,IF(Inputs!$C$12="MFJ",'Methodology &amp; Sources'!$C$264,'Methodology &amp; Sources'!$C$265))-$BH40)),2)))</f>
      </c>
      <c r="J41" s="7">
        <f>IF($B41="","",IF($BF41=0,0,$BM41))</f>
      </c>
      <c r="K41" s="7">
        <f>IF($B41="","",IF($BF41=0,0,$BN41+$BO41))</f>
      </c>
      <c r="L41" s="7">
        <f>IF($B41="","",IF($BF41=0,0,Inputs!$D$46))</f>
      </c>
      <c r="M41" s="7">
        <f>IF($B41="","",$C41+$D41+$L41-$E41-$G41-$H41-$I41-$J41-$K41)</f>
      </c>
      <c r="N41" s="7">
        <f>IF($B41="","",$C41+$D41+$L41-$G41-$H41-$I41-$J41-$K41)</f>
      </c>
      <c r="O41" s="7">
        <f>IF($B41="","",$C41+$D41+$L41-$E41-$H41-$I41-$J41-$K41-IF(OR($AN41="CA",$AN41="NJ"),0,$G41))</f>
      </c>
      <c r="P41" s="7">
        <f>IF($B41="","",IF(Inputs!$C$18,0,ROUND(MAX(0,IF(Inputs!$C$13,SUMPRODUCT(($AH41&gt;INDEX('Methodology &amp; Sources'!$B$279:$J$286,0,IF(Inputs!$C$12="MFJ",1,IF(Inputs!$C$12="HoH",7,4))))*($AH41-INDEX('Methodology &amp; Sources'!$B$279:$J$286,0,IF(Inputs!$C$12="MFJ",1,IF(Inputs!$C$12="HoH",7,4))))*INDEX('Methodology &amp; Sources'!$B$279:$J$286,0,IF(Inputs!$C$12="MFJ",1,IF(Inputs!$C$12="HoH",7,4))+2)),SUMPRODUCT(($AH41&gt;INDEX('Methodology &amp; Sources'!$B$269:$J$276,0,IF(Inputs!$C$12="MFJ",1,IF(Inputs!$C$12="HoH",7,4))))*($AH41-INDEX('Methodology &amp; Sources'!$B$269:$J$276,0,IF(Inputs!$C$12="MFJ",1,IF(Inputs!$C$12="HoH",7,4))))*INDEX('Methodology &amp; Sources'!$B$269:$J$276,0,IF(Inputs!$C$12="MFJ",1,IF(Inputs!$C$12="HoH",7,4))+2)))/Inputs!$C$8-$AO41/Inputs!$C$8)+$AR41+IF(Inputs!$C$89="Aggregate",MAX(0,IF(Inputs!$C$13,SUMPRODUCT((($AH41+$D41)&gt;INDEX('Methodology &amp; Sources'!$B$279:$J$286,0,IF(Inputs!$C$12="MFJ",1,IF(Inputs!$C$12="HoH",7,4))))*(($AH41+$D41)-INDEX('Methodology &amp; Sources'!$B$279:$J$286,0,IF(Inputs!$C$12="MFJ",1,IF(Inputs!$C$12="HoH",7,4))))*INDEX('Methodology &amp; Sources'!$B$279:$J$286,0,IF(Inputs!$C$12="MFJ",1,IF(Inputs!$C$12="HoH",7,4))+2)),SUMPRODUCT((($AH41+$D41)&gt;INDEX('Methodology &amp; Sources'!$B$269:$J$276,0,IF(Inputs!$C$12="MFJ",1,IF(Inputs!$C$12="HoH",7,4))))*(($AH41+$D41)-INDEX('Methodology &amp; Sources'!$B$269:$J$276,0,IF(Inputs!$C$12="MFJ",1,IF(Inputs!$C$12="HoH",7,4))))*INDEX('Methodology &amp; Sources'!$B$269:$J$276,0,IF(Inputs!$C$12="MFJ",1,IF(Inputs!$C$12="HoH",7,4))+2)))-IF(Inputs!$C$13,SUMPRODUCT(($AH41&gt;INDEX('Methodology &amp; Sources'!$B$279:$J$286,0,IF(Inputs!$C$12="MFJ",1,IF(Inputs!$C$12="HoH",7,4))))*($AH41-INDEX('Methodology &amp; Sources'!$B$279:$J$286,0,IF(Inputs!$C$12="MFJ",1,IF(Inputs!$C$12="HoH",7,4))))*INDEX('Methodology &amp; Sources'!$B$279:$J$286,0,IF(Inputs!$C$12="MFJ",1,IF(Inputs!$C$12="HoH",7,4))+2)),SUMPRODUCT(($AH41&gt;INDEX('Methodology &amp; Sources'!$B$269:$J$276,0,IF(Inputs!$C$12="MFJ",1,IF(Inputs!$C$12="HoH",7,4))))*($AH41-INDEX('Methodology &amp; Sources'!$B$269:$J$276,0,IF(Inputs!$C$12="MFJ",1,IF(Inputs!$C$12="HoH",7,4))))*INDEX('Methodology &amp; Sources'!$B$269:$J$276,0,IF(Inputs!$C$12="MFJ",1,IF(Inputs!$C$12="HoH",7,4))+2)))),'Methodology &amp; Sources'!$C$260*$D41),2)))</f>
      </c>
      <c r="Q41" s="7">
        <f>IF($B41="","",ROUND('Methodology &amp; Sources'!$C$254*MIN($N41,MAX(0,'Methodology &amp; Sources'!$C$253-($AX41+$AB40-$AW41))),2))</f>
      </c>
      <c r="R41" s="7">
        <f>IF($B41="","",ROUND('Methodology &amp; Sources'!$C$255*$N41,2))</f>
      </c>
      <c r="S41" s="7">
        <f>IF($B41="","",ROUND('Methodology &amp; Sources'!$C$256*MAX(0,MIN($N41,$AG40+$N41-'Methodology &amp; Sources'!$C$257)),2))</f>
      </c>
      <c r="T41" s="7">
        <f>IF($B41="","",IF(Inputs!$C$26,0,IF($AN41="CA",ROUND(IF($AI41&lt;=IF(($AS41+$AT41)&gt;=2,VLOOKUP($AN41,'StateTables 2026'!$A$6:$AB$56,10,FALSE),VLOOKUP($AN41,'StateTables 2026'!$A$6:$AB$56,9,FALSE)),0,MAX(0,SUMPRODUCT(($AJ41&gt;INDEX('Methodology &amp; Sources'!$B$289:$J$298,0,IF($AU41="Married",4,IF($AU41="Head of household",7,1))))*($AJ41-INDEX('Methodology &amp; Sources'!$B$289:$J$298,0,IF($AU41="Married",4,IF($AU41="Head of household",7,1))))*INDEX('Methodology &amp; Sources'!$B$289:$J$298,0,IF($AU41="Married",4,IF($AU41="Head of household",7,1))+2))-VLOOKUP($AN41,'StateTables 2026'!$A$6:$AB$56,11,FALSE)*$AS41)/Inputs!$C$8)+Inputs!$C$25+VLOOKUP($AN41,'StateTables 2026'!$A$6:$AB$56,13,FALSE)*$D41,2),IF(VLOOKUP($AN41,'StateTables 2026'!$A$6:$AB$56,4,FALSE)="None",0,IF(ISNUMBER(SEARCH("MANUAL",VLOOKUP($AN41,'StateTables 2026'!$A$6:$AB$56,5,FALSE))),Inputs!$C$28,ROUND(MAX(0,$BA41+$BB41)/Inputs!$C$8+Inputs!$C$25+$BC41,2))))))</f>
      </c>
      <c r="U41" s="7">
        <f>IF($B41="","",IF(VLOOKUP($AN41,'StateTables 2026'!$A$6:$AB$56,24,FALSE)="flatq",IF(OR(MONTH($B41)=1,MONTH($B41)=4,MONTH($B41)=7,MONTH($B41)=10),VLOOKUP($AN41,'StateTables 2026'!$A$6:$AB$56,25,FALSE),0),IF(VLOOKUP($AN41,'StateTables 2026'!$A$6:$AB$56,24,FALSE)="dbl",MIN(ROUND(0.005*$N41,2),ROUND(0.6*52/Inputs!$C$8,2)),IF(OR(VLOOKUP($AN41,'StateTables 2026'!$A$6:$AB$56,15,FALSE)="",VLOOKUP($AN41,'StateTables 2026'!$A$6:$AB$56,15,FALSE)=0),0,ROUND(VLOOKUP($AN41,'StateTables 2026'!$A$6:$AB$56,15,FALSE)*IF(OR(VLOOKUP($AN41,'StateTables 2026'!$A$6:$AB$56,16,FALSE)="",VLOOKUP($AN41,'StateTables 2026'!$A$6:$AB$56,16,FALSE)=0),$N41,MIN($N41,MAX(0,VLOOKUP($AN41,'StateTables 2026'!$A$6:$AB$56,16,FALSE)-($AX41+$AB40-$AW41)))),2))))+IF(VLOOKUP($AN41,'StateTables 2026'!$A$6:$AB$56,27,FALSE)="flatq",IF(OR(MONTH($B41)=1,MONTH($B41)=4,MONTH($B41)=7,MONTH($B41)=10),VLOOKUP($AN41,'StateTables 2026'!$A$6:$AB$56,28,FALSE),0),IF(VLOOKUP($AN41,'StateTables 2026'!$A$6:$AB$56,27,FALSE)="dbl",MIN(ROUND(0.005*$N41,2),ROUND(0.6*52/Inputs!$C$8,2)),IF(OR(VLOOKUP($AN41,'StateTables 2026'!$A$6:$AB$56,18,FALSE)="",VLOOKUP($AN41,'StateTables 2026'!$A$6:$AB$56,18,FALSE)=0),0,ROUND(VLOOKUP($AN41,'StateTables 2026'!$A$6:$AB$56,18,FALSE)*IF(OR(VLOOKUP($AN41,'StateTables 2026'!$A$6:$AB$56,19,FALSE)="",VLOOKUP($AN41,'StateTables 2026'!$A$6:$AB$56,19,FALSE)=0),$N41,MIN($N41,MAX(0,VLOOKUP($AN41,'StateTables 2026'!$A$6:$AB$56,19,FALSE)-($AX41+$AB40-$AW41)))),2)))))</f>
      </c>
      <c r="V41" s="7">
        <f>IF($B41="","",IF($AN41="NY",IF(Inputs!$C$78,ROUND(SUMPRODUCT((MAX(0,($O41-$D41)*Inputs!$C$8-(IF($AU41="Married",5500,5000)+1000*$AS41))&gt;INDEX('Methodology &amp; Sources'!$B$434:$J$448,0,4))*(MAX(0,($O41-$D41)*Inputs!$C$8-(IF($AU41="Married",5500,5000)+1000*$AS41))-INDEX('Methodology &amp; Sources'!$B$434:$J$448,0,4))*INDEX('Methodology &amp; Sources'!$B$434:$J$448,0,4+2))/Inputs!$C$8+0.0425*$D41,2),0)+IF(Inputs!$C$79="Resident",ROUND(0.1675*$T41,2),IF(Inputs!$C$79="Nonresident",ROUND(0.005*MAX(0,($O41-$D41)-(IF($AU41="Married",7950,7400)+1000*$AS41)/Inputs!$C$8),2),0)),IF($AN41="PA",IF(Inputs!$C$80="None",Inputs!$C$27+ROUND(Inputs!$C$81*($C41+$D41),2),ROUND(IF(Inputs!$C$80="Resident",IF($B41&lt;DATE(2026,7,1),0.0374,0.03735),IF($B41&lt;DATE(2026,7,1),0.0343,0.03425))*($C41+$D41),2)),IF($BF41=0,ROUND(Inputs!$C$81*($C41+$D41),2),Inputs!$C$27+ROUND(Inputs!$C$81*($C41+$D41),2)))))</f>
      </c>
      <c r="W41" s="7">
        <f>IF($B41="","",IF($BF41=0,0,$BP41))</f>
      </c>
      <c r="X41" s="7">
        <f>IF($B41="","",SUM($E41:$K41)+$P41+$Q41+$R41+$S41+$T41+$U41+$V41+$W41)</f>
      </c>
      <c r="Y41" s="22">
        <f>IF($B41="","",$C41+$D41-$X41)</f>
      </c>
      <c r="Z41" s="7">
        <f>IF($B41="","",$Z40+$C41+$D41)</f>
      </c>
      <c r="AA41" s="7">
        <f>IF($B41="","",$AA40+$Y41)</f>
      </c>
      <c r="AB41" s="7">
        <f>IF($B41="","",$AB40+MIN($N41,MAX(0,'Methodology &amp; Sources'!$C$253-($AX41+$AB40-$AW41))))</f>
      </c>
      <c r="AC41" s="7">
        <f>IF($B41="","",$AC40+$E41+$F41)</f>
      </c>
      <c r="AD41" s="3">
        <f>IF($B41="","",IF(AND($AB40&lt;'Methodology &amp; Sources'!$C$253,$AB41&gt;='Methodology &amp; Sources'!$C$253),"★ Social Security maxed on this check — from the next check your net rises by about $"&amp;TEXT(ROUND('Methodology &amp; Sources'!$C$254*$N41,2),"#,##0.00")&amp;". ","")&amp;IF(AND($AC40&lt;Inputs!$C$91,$AC41&gt;=Inputs!$C$91),"★ 401(k) reaches the $"&amp;TEXT(Inputs!$C$91,"#,##0")&amp;" cap on this check — deferrals stop and net pay rises. ","")&amp;IF(AND($AG40&lt;'Methodology &amp; Sources'!$C$257,$AG41&gt;='Methodology &amp; Sources'!$C$257),"★ Wages pass $200,000 — the 0.9% Additional Medicare Tax starts here. ","")&amp;IF(AND($BJ41&gt;0,$H41&gt;0,$BG40&lt;MIN($BJ41,'Methodology &amp; Sources'!$C$263),$BG40+$H41&gt;=MIN($BJ41,'Methodology &amp; Sources'!$C$263)),"★ Health FSA election is now fully deferred for the year. ",""))</f>
      </c>
      <c r="AE41" s="41" t="n"/>
      <c r="AF41" s="7">
        <f>IF(OR($B41="",$AE41=""),"",$AE41-$Y41)</f>
      </c>
      <c r="AG41" s="7">
        <f>IF($B41="","",$AG40+$N41)</f>
      </c>
      <c r="AH41" s="7">
        <f>IF($B41="","",MAX(0,($M41-$D41)*Inputs!$C$8+$AP41-$AQ41-IF(Inputs!$C$13,0,IF(Inputs!$C$12="MFJ",'Methodology &amp; Sources'!$C$258,'Methodology &amp; Sources'!$C$259))))</f>
      </c>
      <c r="AI41" s="7">
        <f>IF($B41="","",$O41*Inputs!$C$8)</f>
      </c>
      <c r="AJ41" s="7">
        <f>IF($B41="","",MAX(0,$AI41-VLOOKUP($AN41,'StateTables 2026'!$A$6:$AB$56,12,FALSE)*$AT41-IF(($AS41+$AT41)&gt;=2,VLOOKUP($AN41,'StateTables 2026'!$A$6:$AB$56,8,FALSE),VLOOKUP($AN41,'StateTables 2026'!$A$6:$AB$56,7,FALSE))))</f>
      </c>
      <c r="AK41" s="7">
        <f>IF($B41="","",IFERROR(LOOKUP(2,1/((Events!$C$6:$C$17="Salary change")*(Events!$B$6:$B$17&lt;=$B41)*(Events!$B$6:$B$17&lt;&gt;"")),Events!$D$6:$D$17),IF(Inputs!$C$4="Annual salary",Inputs!$C$5,Inputs!$C$6)))</f>
      </c>
      <c r="AL41">
        <f>IF($B41="","",IFERROR(LOOKUP(2,1/((Events!$C$6:$C$17="401(k) change")*(Events!$B$6:$B$17&lt;=$B41)*(Events!$B$6:$B$17&lt;&gt;"")),Events!$D$6:$D$17),Inputs!$C$30))</f>
      </c>
      <c r="AM41" s="7">
        <f>IF($B41="","",IFERROR(LOOKUP(2,1/((Events!$C$6:$C$17="401(k) change")*(Events!$B$6:$B$17&lt;=$B41)*(Events!$B$6:$B$17&lt;&gt;"")),Events!$E$6:$E$17),Inputs!$D$30))</f>
      </c>
      <c r="AN41">
        <f>IF($B41="","",IFERROR(LOOKUP(2,1/((Events!$C$6:$C$17="State move")*(Events!$B$6:$B$17&lt;=$B41)*(Events!$B$6:$B$17&lt;&gt;"")),Events!$D$6:$D$17),Inputs!$C$21))</f>
      </c>
      <c r="AO41" s="7">
        <f>IF($B41="","",IFERROR(LOOKUP(2,1/((Events!$C$6:$C$17="W-4 change")*(Events!$B$6:$B$17&lt;=$B41)*(Events!$B$6:$B$17&lt;&gt;"")),Events!$D$6:$D$17),Inputs!$C$14))</f>
      </c>
      <c r="AP41" s="7">
        <f>IF($B41="","",IFERROR(LOOKUP(2,1/((Events!$C$6:$C$17="W-4 change")*(Events!$B$6:$B$17&lt;=$B41)*(Events!$B$6:$B$17&lt;&gt;"")),Events!$E$6:$E$17),Inputs!$C$15))</f>
      </c>
      <c r="AQ41" s="7">
        <f>IF($B41="","",IFERROR(LOOKUP(2,1/((Events!$C$6:$C$17="W-4 change")*(Events!$B$6:$B$17&lt;=$B41)*(Events!$B$6:$B$17&lt;&gt;"")),Events!$F$6:$F$17),Inputs!$C$16))</f>
      </c>
      <c r="AR41" s="7">
        <f>IF($B41="","",IFERROR(LOOKUP(2,1/((Events!$C$6:$C$17="W-4 change")*(Events!$B$6:$B$17&lt;=$B41)*(Events!$B$6:$B$17&lt;&gt;"")),Events!$G$6:$G$17),Inputs!$C$17))</f>
      </c>
      <c r="AS41" s="6">
        <f>IF($B41="","",IFERROR(LOOKUP(2,1/(((Events!$C$6:$C$17="State move")+(Events!$C$6:$C$17="State cert change"))*(Events!$B$6:$B$17&lt;=$B41)*(Events!$B$6:$B$17&lt;&gt;"")),Events!$F$6:$F$17),Inputs!$C$23))</f>
      </c>
      <c r="AT41" s="6">
        <f>IF($B41="","",IFERROR(LOOKUP(2,1/(((Events!$C$6:$C$17="State move")+(Events!$C$6:$C$17="State cert change"))*(Events!$B$6:$B$17&lt;=$B41)*(Events!$B$6:$B$17&lt;&gt;"")),Events!$G$6:$G$17),Inputs!$C$24))</f>
      </c>
      <c r="AU41">
        <f>IF($B41="","",IFERROR(LOOKUP(2,1/((Events!$C$6:$C$17="State move")*(Events!$B$6:$B$17&lt;=$B41)*(Events!$B$6:$B$17&lt;&gt;"")),Events!$E$6:$E$17),Inputs!$C$22))</f>
      </c>
      <c r="AV41" s="6">
        <f>IF($B41="","",1+COUNTIFS(Events!$C$6:$C$17,"Employer change",Events!$B$6:$B$17,"&lt;="&amp;$B41,Events!$B$6:$B$17,"&lt;&gt;"))</f>
      </c>
      <c r="AW41" s="7">
        <f>IF($B41="","",IF($AV41=1,Inputs!$C$49,IF(IFERROR(MATCH(IFERROR(LOOKUP(2,1/((Events!$C$6:$C$17="Employer change")*(Events!$B$6:$B$17&lt;=$B41)*(Events!$B$6:$B$17&lt;&gt;"")),Events!$B$6:$B$17),""),$B$6:$B$68,1),1)&lt;=1,Inputs!$C$49,INDEX($AB$6:$AB$68,MATCH(IFERROR(LOOKUP(2,1/((Events!$C$6:$C$17="Employer change")*(Events!$B$6:$B$17&lt;=$B41)*(Events!$B$6:$B$17&lt;&gt;"")),Events!$B$6:$B$17),""),$B$6:$B$68,1)-1))))</f>
      </c>
      <c r="AX41" s="7">
        <f>IF($B41="","",IF($AV41=1,Inputs!$C$49,IFERROR(LOOKUP(2,1/((Events!$C$6:$C$17="Employer change")*(Events!$B$6:$B$17&lt;=$B41)*(Events!$B$6:$B$17&lt;&gt;"")),Events!$D$6:$D$17),0)))</f>
      </c>
      <c r="AY41" s="7">
        <f>IF($B41="","",($O41-$D41)*Inputs!$C$8)</f>
      </c>
      <c r="AZ41" s="7">
        <f>IF($B41="","",IF($AN41="AL",MAX(0,$AY41-IF($AU41="Married",IF($AY41&lt;=25999,8500,MAX(5000,8500-175*CEILING(($AY41-25999)/500,1))),IF($AU41="Head of household",IF($AY41&lt;=25999,5200,MAX(2500,5200-135*CEILING(($AY41-25999)/500,1))),IF($AY41&lt;=25999,3000,MAX(2500,3000-25*CEILING(($AY41-25999)/500,1)))))-($P41-'Methodology &amp; Sources'!$C$260*$D41)*Inputs!$C$8-IF(OR($AU41="Married",$AU41="Head of household"),3000,1500)-$AT41*IF($AY41&lt;=50000,1000,IF($AY41&lt;=100000,500,300))),IF($AN41="AR",IF(MAX(0,$AY41-2470)&lt;97701,INT(MAX(0,$AY41-2470)/100)*100+50,MAX(0,$AY41-2470)),IF($AN41="DE",MAX(0,$AI41-3250),IF($AN41="HI",MAX(0,$AI41-1144*$AS41-4350),IF($AN41="KS",MAX(0,$AI41-(9160*IF($AU41="Married",2,1)+2320*$AT41+IF($AU41="Head of household",2320,0))),IF($AN41="MD",MAX(0,$AI41-3400-3200*$AS41),IF($AN41="MN",MAX(0,$AY41-5300*$AS41),IF($AN41="MO",MAX(0,$AI41-IF($AU41="Head of household",24150,IF($AU41="Married",IF(Inputs!$C$83,16100,32200),16100))),IF($AN41="MT",$AY41,IF($AN41="ND",($C41+$L41)*Inputs!$C$8,IF($AN41="NE",MAX(0,$AY41-2440*$AS41),IF($AN41="NJ",MAX(0,$AY41-1000*$AS41),IF($AN41="NY",MAX(0,$AY41-(IF($AU41="Married",7950,7400)+1000*$AS41)),IF($AN41="OH",MAX(0,$AY41-650*$AS41),IF($AN41="OK",MAX(0,$AY41-1000*$AS41),IF($AN41="RI",MAX(0,$AI41-1000*$AS41),IF($AN41="SC",MAX(0,$AI41-5000*$AS41-IF($AS41=0,0,MIN(0.1*$AI41,7500))),IF($AN41="VA",MAX(0,$AI41-IF($AU41="Married",17500,8750)-930*$AS41-800*$AT41),IF($AN41="VT",MAX(0,$AI41-5400*$AS41),IF($AN41="WI",MAX(0,$AI41-MAX(0,IF($AU41="Married",9461-0.2*MAX(0,$AI41-25727),6702-0.12*MAX(0,$AI41-17780)))-400*$AS41),IF($AN41="WV",MAX(0,$AI41-2000*$AS41),$AI41))))))))))))))))))))))</f>
      </c>
      <c r="BA41" s="7">
        <f>IF($B41="","",IF($BW41&lt;&gt;"",$BW41,IF($BX41&lt;&gt;"",$BX41,IF($BY41&lt;&gt;"",$BY41,0))))</f>
      </c>
      <c r="BB41" s="7">
        <f>IF($B41="","",IF($AN41="AR",-29*$AS41,IF($AN41="DE",-110*$AS41,IF($AN41="MD",$AZ41*Inputs!$C$74,IF($AN41="AZ",Inputs!$C$82*($M41-$D41)*Inputs!$C$8,IF($AN41="CO",0.044*MAX(0,$AY41-IF($AU41="Married",10000,5000)),IF($AN41="IA",MAX(0,0.038*MAX(0,$AY41-IF($AU41="Head of household",19500,IF($AU41="Married",26000,13000)))-40*$AS41),IF($AN41="ID",0.053*MAX(0,$AY41-IF($AU41="Married",32000,16094)),IF($AN41="IL",0.0495*MAX(0,$AY41-(2925*$AS41+1000*$AT41)),IF($AN41="IN",(0.0295+Inputs!$C$76)*MAX(0,$AY41-(1000*$AS41+1500*$AT41+3000*Inputs!$C$86)),IF($AN41="KY",0.035*MAX(0,$AI41-3360),IF($AN41="LA",IF(Inputs!$C$84="0",0.0309*$AI41,0.0309*MAX(0,$AI41-IF(Inputs!$C$84="2",25750,12875))),IF($AN41="MA",0.05*MIN(MAX(0,$AY41-MIN(($BD40+$Q41+$R41+$S41),2000)-IF($AS41=0,0,IF($AS41=1,4400,1000*$AS41+3400))),1107750)+0.09*MAX(0,MAX(0,$AY41-MIN(($BD40+$Q41+$R41+$S41),2000)-IF($AS41=0,0,IF($AS41=1,4400,1000*$AS41+3400)))-1107750)-IF($AU41="Head of household",120,0)-110*Inputs!$C$75,IF($AN41="MI",0.0425*MAX(0,$AY41-5900*$AS41),IF($AN41="MS",0.04*MAX(0,$AI41-IF($AU41="Head of household",3400,IF($AU41="Married",4600,2300))-Inputs!$C$85-10000),IF($AN41="OR",IF(OR($AU41="Married",AND($AU41="Single",$AS41&gt;=3)),SUMPRODUCT((MAX(0,$AY41-MIN(($P41-'Methodology &amp; Sources'!$C$260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Sources'!$B$461:$J$464,0,4))*(MAX(0,$AY41-MIN(($P41-'Methodology &amp; Sources'!$C$260*$D41)*Inputs!$C$8,IF(OR($AU41="Married",AND($AU41="Single",$AS41&gt;=3)),IF($AY41&lt;250000,8750,IF($AY41&lt;260000,7000,IF($AY41&lt;270000,5250,IF($AY41&lt;280000,3500,IF($AY41&lt;290000,1750,0))))),IF($AY41&lt;125000,8750,IF($AY41&lt;130000,7000,IF($AY41&lt;135000,5250,IF($AY41&lt;140000,3500,IF($AY41&lt;145000,1750,0)))))))-IF(OR($AU41="Married",AND($AU41="Single",$AS41&gt;=3)),5820,2910))-INDEX('Methodology &amp; Sources'!$B$461:$J$464,0,4))*INDEX('Methodology &amp; Sources'!$B$461:$J$464,0,4+2)),SUMPRODUCT((MAX(0,$AY41-MIN(($P41-'Methodology &amp; Sources'!$C$260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Sources'!$B$461:$J$464,0,1))*(MAX(0,$AY41-MIN(($P41-'Methodology &amp; Sources'!$C$260*$D41)*Inputs!$C$8,IF(OR($AU41="Married",AND($AU41="Single",$AS41&gt;=3)),IF($AY41&lt;250000,8750,IF($AY41&lt;260000,7000,IF($AY41&lt;270000,5250,IF($AY41&lt;280000,3500,IF($AY41&lt;290000,1750,0))))),IF($AY41&lt;125000,8750,IF($AY41&lt;130000,7000,IF($AY41&lt;135000,5250,IF($AY41&lt;140000,3500,IF($AY41&lt;145000,1750,0)))))))-IF(OR($AU41="Married",AND($AU41="Single",$AS41&gt;=3)),5820,2910))-INDEX('Methodology &amp; Sources'!$B$461:$J$464,0,1))*INDEX('Methodology &amp; Sources'!$B$461:$J$464,0,1+2)))+263-263*IF(IF($AU41="Married",$AY41&gt;200000,$AY41&gt;100000),0,$AS41),IF($AN41="PA",0.0307*(($O41+$E41+$G41)*Inputs!$C$8),IF($AN41="NY",IF($AU41="Married",IF($AZ41&gt;=2155350,0,IF($AZ41&gt;=1077550,0.48,IF($AZ41&gt;=373200,1.21,IF($AZ41&gt;=323200,0.21,IF($AZ41&gt;=211550,-0.19,IF($AZ41&gt;=157650,-2.8,IF($AZ41&gt;=107650,-0.8,IF($AZ41&gt;=96800,0.05,IF($AZ41&gt;=80650,-0.1,IF($AZ41&gt;=13900,0.4,IF($AZ41&gt;=11700,-0.3,IF($AZ41&gt;=8500,0.5,0)))))))))))),IF($AZ41&gt;=1077550,0,IF($AZ41&gt;=265400,4.29,IF($AZ41&gt;=215400,2.29,IF($AZ41&gt;=157650,2.29,IF($AZ41&gt;=107650,0.29,IF($AZ41&gt;=96800,0.05,IF($AZ41&gt;=80650,-0.1,IF($AZ41&gt;=13900,0.4,IF($AZ41&gt;=11700,-0.3,IF($AZ41&gt;=8500,0.5,0))))))))))),0))))))))))))))))))</f>
      </c>
      <c r="BC41" s="7">
        <f>IF($B41="","",IF($AN41="AL",0.05*$D41,IF($AN41="AR",0.039*$D41,IF($AN41="ID",0.053*$D41,IF($AN41="IN",(0.0295+Inputs!$C$76)*$D41,IF($AN41="KS",0.05*$D41,IF($AN41="MA",0.09*MIN($D41,MAX(0,MAX(0,$AY41-MIN(($BD40+$Q41+$R41+$S41),2000)-IF($AS41=0,0,IF($AS41=1,4400,1000*$AS41+3400)))+$D41-1107750))+0.05*($D41-MIN($D41,MAX(0,MAX(0,$AY41-MIN(($BD40+$Q41+$R41+$S41),2000)-IF($AS41=0,0,IF($AS41=1,4400,1000*$AS41+3400)))+$D41-1107750))),IF($AN41="MD",(0.065+Inputs!$C$74)*$D41,IF($AN41="MI",0.0425*$D41,IF($AN41="MN",0.0625*$D41,IF($AN41="MO",0.047*$D41,IF($AN41="MT",0.05*$D41,IF($AN41="ND",0.015*$D41,IF($AN41="NE",0.035*$D41,IF($AN41="NJ",IF(Inputs!$C$77="B",SUMPRODUCT(($D41*Inputs!$C$8&gt;INDEX('Methodology &amp; Sources'!$B$405:$J$412,0,4))*($D41*Inputs!$C$8-INDEX('Methodology &amp; Sources'!$B$405:$J$412,0,4))*INDEX('Methodology &amp; Sources'!$B$405:$J$412,0,4+2)),IF(Inputs!$C$77="C",SUMPRODUCT(($D41*Inputs!$C$8&gt;INDEX('Methodology &amp; Sources'!$B$405:$J$412,0,7))*($D41*Inputs!$C$8-INDEX('Methodology &amp; Sources'!$B$405:$J$412,0,7))*INDEX('Methodology &amp; Sources'!$B$405:$J$412,0,7+2)),IF(Inputs!$C$77="D",SUMPRODUCT(($D41*Inputs!$C$8&gt;INDEX('Methodology &amp; Sources'!$B$417:$J$429,0,1))*($D41*Inputs!$C$8-INDEX('Methodology &amp; Sources'!$B$417:$J$429,0,1))*INDEX('Methodology &amp; Sources'!$B$417:$J$429,0,1+2)),IF(Inputs!$C$77="E",SUMPRODUCT(($D41*Inputs!$C$8&gt;INDEX('Methodology &amp; Sources'!$B$417:$J$429,0,4))*($D41*Inputs!$C$8-INDEX('Methodology &amp; Sources'!$B$417:$J$429,0,4))*INDEX('Methodology &amp; Sources'!$B$417:$J$429,0,4+2)),SUMPRODUCT(($D41*Inputs!$C$8&gt;INDEX('Methodology &amp; Sources'!$B$405:$J$412,0,1))*($D41*Inputs!$C$8-INDEX('Methodology &amp; Sources'!$B$405:$J$412,0,1))*INDEX('Methodology &amp; Sources'!$B$405:$J$412,0,1+2))))))/Inputs!$C$8,IF($AN41="NY",0.117*$D41,IF($AN41="OH",0.0275*$D41,IF($AN41="OK",0.045*$D41,IF($AN41="OR",0.08*$D41,IF($AN41="WI",IF($AY41&lt;12760,0.0354,IF($AY41&lt;25520,0.0465,IF($AY41&lt;280950,0.053,0.0765)))*$D41,0))))))))))))))))))))</f>
      </c>
      <c r="BD41" s="7">
        <f>IF($B41="","",$BD40+$Q41+$R41+$S41)</f>
      </c>
      <c r="BE41" s="6">
        <f>IF($B41="",$BE40,$BE40+$BF41)</f>
      </c>
      <c r="BF41" s="6">
        <f>IF($B41="","",IF(AND(IF(YEAR(IF(Inputs!$C$7="Weekly",Inputs!$C$9+7*(($BE40+1)-1),IF(Inputs!$C$7="Biweekly",Inputs!$C$9+14*(($BE40+1)-1),IF(Inputs!$C$7="Semimonthly",DATE(YEAR(Inputs!$C$9),MONTH(Inputs!$C$9)+INT((($BE40+1)-1)/2),MIN(DAY(Inputs!$C$9),DAY(EOMONTH(DATE(YEAR(Inputs!$C$9),MONTH(Inputs!$C$9)+INT((($BE40+1)-1)/2),1),0))))+IF(MOD(($BE40+1)-1,2)=1,15,0),EDATE(Inputs!$C$9,($BE40+1)-1)))))&lt;&gt;2026,"",IF(Inputs!$C$7="Weekly",Inputs!$C$9+7*(($BE40+1)-1),IF(Inputs!$C$7="Biweekly",Inputs!$C$9+14*(($BE40+1)-1),IF(Inputs!$C$7="Semimonthly",DATE(YEAR(Inputs!$C$9),MONTH(Inputs!$C$9)+INT((($BE40+1)-1)/2),MIN(DAY(Inputs!$C$9),DAY(EOMONTH(DATE(YEAR(Inputs!$C$9),MONTH(Inputs!$C$9)+INT((($BE40+1)-1)/2),1),0))))+IF(MOD(($BE40+1)-1,2)=1,15,0),EDATE(Inputs!$C$9,($BE40+1)-1)))))&lt;&gt;"",$B41=IF(YEAR(IF(Inputs!$C$7="Weekly",Inputs!$C$9+7*(($BE40+1)-1),IF(Inputs!$C$7="Biweekly",Inputs!$C$9+14*(($BE40+1)-1),IF(Inputs!$C$7="Semimonthly",DATE(YEAR(Inputs!$C$9),MONTH(Inputs!$C$9)+INT((($BE40+1)-1)/2),MIN(DAY(Inputs!$C$9),DAY(EOMONTH(DATE(YEAR(Inputs!$C$9),MONTH(Inputs!$C$9)+INT((($BE40+1)-1)/2),1),0))))+IF(MOD(($BE40+1)-1,2)=1,15,0),EDATE(Inputs!$C$9,($BE40+1)-1)))))&lt;&gt;2026,"",IF(Inputs!$C$7="Weekly",Inputs!$C$9+7*(($BE40+1)-1),IF(Inputs!$C$7="Biweekly",Inputs!$C$9+14*(($BE40+1)-1),IF(Inputs!$C$7="Semimonthly",DATE(YEAR(Inputs!$C$9),MONTH(Inputs!$C$9)+INT((($BE40+1)-1)/2),MIN(DAY(Inputs!$C$9),DAY(EOMONTH(DATE(YEAR(Inputs!$C$9),MONTH(Inputs!$C$9)+INT((($BE40+1)-1)/2),1),0))))+IF(MOD(($BE40+1)-1,2)=1,15,0),EDATE(Inputs!$C$9,($BE40+1)-1)))))),1,0))</f>
      </c>
      <c r="BG41" s="7">
        <f>IF($B41="","",$BG40+$H41)</f>
      </c>
      <c r="BH41" s="7">
        <f>IF($B41="","",$BH40+$I41)</f>
      </c>
      <c r="BI41" s="7">
        <f>IF($B41="","",$BI40+$G41)</f>
      </c>
      <c r="BJ41" s="7">
        <f>IF($B41="","",IFERROR(LOOKUP(2,1/((((Events!$C$6:$C$17="Deduction start"))*(Events!$D$6:$D$17="Health FSA"))*(Events!$B$6:$B$17&lt;=$B41)*(Events!$B$6:$B$17&lt;&gt;"")),Events!$E$6:$E$17),Inputs!$D$38))</f>
      </c>
      <c r="BK41" s="7">
        <f>IF($B41="","",IFERROR(LOOKUP(2,1/((((Events!$C$6:$C$17="Deduction start"))*(Events!$D$6:$D$17="Dependent-care FSA"))*(Events!$B$6:$B$17&lt;=$B41)*(Events!$B$6:$B$17&lt;&gt;"")),Events!$E$6:$E$17),Inputs!$D$39))</f>
      </c>
      <c r="BL41" s="7">
        <f>IF($B41="","",IFERROR(LOOKUP(2,1/((((Events!$C$6:$C$17="Deduction start")+(Events!$C$6:$C$17="Deduction stop"))*(Events!$D$6:$D$17="HSA"))*(Events!$B$6:$B$17&lt;=$B41)*(Events!$B$6:$B$17&lt;&gt;"")),Events!$I$6:$I$17),Inputs!$D$35))</f>
      </c>
      <c r="BM41" s="7">
        <f>IF($B41="","",IFERROR(LOOKUP(2,1/((((Events!$C$6:$C$17="Deduction start")+(Events!$C$6:$C$17="Deduction stop"))*(Events!$D$6:$D$17="Premiums"))*(Events!$B$6:$B$17&lt;=$B41)*(Events!$B$6:$B$17&lt;&gt;"")),Events!$I$6:$I$17),Inputs!$D$40+Inputs!$D$41+Inputs!$D$42))</f>
      </c>
      <c r="BN41" s="7">
        <f>IF($B41="","",IFERROR(LOOKUP(2,1/((((Events!$C$6:$C$17="Deduction start")+(Events!$C$6:$C$17="Deduction stop"))*(Events!$D$6:$D$17="Commuter"))*(Events!$B$6:$B$17&lt;=$B41)*(Events!$B$6:$B$17&lt;&gt;"")),Events!$I$6:$I$17),Inputs!$D$43))</f>
      </c>
      <c r="BO41" s="7">
        <f>IF($B41="","",IFERROR(LOOKUP(2,1/((((Events!$C$6:$C$17="Deduction start")+(Events!$C$6:$C$17="Deduction stop"))*(Events!$D$6:$D$17="Other pre-tax"))*(Events!$B$6:$B$17&lt;=$B41)*(Events!$B$6:$B$17&lt;&gt;"")),Events!$I$6:$I$17),Inputs!$D$44))</f>
      </c>
      <c r="BP41" s="7">
        <f>IF($B41="","",IFERROR(LOOKUP(2,1/((((Events!$C$6:$C$17="Deduction start")+(Events!$C$6:$C$17="Deduction stop"))*(Events!$D$6:$D$17="Other post-tax"))*(Events!$B$6:$B$17&lt;=$B41)*(Events!$B$6:$B$17&lt;&gt;"")),Events!$I$6:$I$17),Inputs!$D$45))</f>
      </c>
      <c r="BQ41" s="6">
        <f>IF($B41="","",IFERROR(LOOKUP(2,1/((((Events!$C$6:$C$17="Deduction start")+(Events!$C$6:$C$17="Deduction stop"))*(Events!$D$6:$D$17="Health FSA"))*(Events!$B$6:$B$17&lt;=$B41)*(Events!$B$6:$B$17&lt;&gt;"")),Events!$J$6:$J$17),0))</f>
      </c>
      <c r="BR41" s="6">
        <f>IF($B41="","",IFERROR(LOOKUP(2,1/((((Events!$C$6:$C$17="Deduction start")+(Events!$C$6:$C$17="Deduction stop"))*(Events!$D$6:$D$17="Dependent-care FSA"))*(Events!$B$6:$B$17&lt;=$B41)*(Events!$B$6:$B$17&lt;&gt;"")),Events!$J$6:$J$17),0))</f>
      </c>
      <c r="BS41" s="6">
        <f>IF($B41="","",IF(SUMPRODUCT((Events!$C$6:$C$17="Deduction start")*(Events!$B$6:$B$17&lt;=$B41)*(Events!$B$6:$B$17&lt;&gt;"")*(Events!$D$6:$D$17="Health FSA"))&gt;0,1,0))</f>
      </c>
      <c r="BT41" s="6">
        <f>IF($B41="","",IF(SUMPRODUCT((Events!$C$6:$C$17="Deduction start")*(Events!$B$6:$B$17&lt;=$B41)*(Events!$B$6:$B$17&lt;&gt;"")*(Events!$D$6:$D$17="Dependent-care FSA"))&gt;0,1,0))</f>
      </c>
      <c r="BU41" s="24">
        <f>IF($B41="","",IF(Inputs!$C$13,SUMPRODUCT(($AH41&gt;=INDEX('Methodology &amp; Sources'!$B$279:$J$286,0,IF(Inputs!$C$12="MFJ",1,IF(Inputs!$C$12="HoH",7,4))))*INDEX('Methodology &amp; Sources'!$B$279:$J$286,0,IF(Inputs!$C$12="MFJ",1,IF(Inputs!$C$12="HoH",7,4))+2)),SUMPRODUCT(($AH41&gt;=INDEX('Methodology &amp; Sources'!$B$269:$J$276,0,IF(Inputs!$C$12="MFJ",1,IF(Inputs!$C$12="HoH",7,4))))*INDEX('Methodology &amp; Sources'!$B$269:$J$276,0,IF(Inputs!$C$12="MFJ",1,IF(Inputs!$C$12="HoH",7,4))+2))))</f>
      </c>
      <c r="BV41" s="24">
        <f>IF($B41="","",IF($BZ41&lt;&gt;"",$BZ41,IF($CA41&lt;&gt;"",$CA41,IF($CB41&lt;&gt;"",$CB41,IF($CC41&lt;&gt;"",$CC41,0)))))</f>
      </c>
      <c r="BW41" s="7">
        <f>IF($B41="","",IF($AN41="MD",IF(OR($AU41="Married",$AU41="Head of household"),SUMPRODUCT(($AZ41&gt;INDEX('Methodology &amp; Sources'!$B$364:$J$370,0,1))*($AZ41-INDEX('Methodology &amp; Sources'!$B$364:$J$370,0,1))*INDEX('Methodology &amp; Sources'!$B$364:$J$370,0,1+2)),SUMPRODUCT(($AZ41&gt;INDEX('Methodology &amp; Sources'!$B$353:$J$359,0,7))*($AZ41-INDEX('Methodology &amp; Sources'!$B$353:$J$359,0,7))*INDEX('Methodology &amp; Sources'!$B$353:$J$359,0,7+2))),IF($AN41="MO",SUMPRODUCT(($AZ41&gt;INDEX('Methodology &amp; Sources'!$B$375:$J$382,0,1))*($AZ41-INDEX('Methodology &amp; Sources'!$B$375:$J$382,0,1))*INDEX('Methodology &amp; Sources'!$B$375:$J$382,0,1+2)),IF($AN41="MT",IF($AU41="Head of household",SUMPRODUCT(($AZ41&gt;INDEX('Methodology &amp; Sources'!$B$387:$J$389,0,1))*($AZ41-INDEX('Methodology &amp; Sources'!$B$387:$J$389,0,1))*INDEX('Methodology &amp; Sources'!$B$387:$J$389,0,1+2)),IF($AU41="Married",SUMPRODUCT(($AZ41&gt;INDEX('Methodology &amp; Sources'!$B$375:$J$382,0,7))*($AZ41-INDEX('Methodology &amp; Sources'!$B$375:$J$382,0,7))*INDEX('Methodology &amp; Sources'!$B$375:$J$382,0,7+2)),SUMPRODUCT(($AZ41&gt;INDEX('Methodology &amp; Sources'!$B$375:$J$382,0,4))*($AZ41-INDEX('Methodology &amp; Sources'!$B$375:$J$382,0,4))*INDEX('Methodology &amp; Sources'!$B$375:$J$382,0,4+2)))),IF($AN41="ND",IF($AU41="Head of household",SUMPRODUCT(($AZ41&gt;INDEX('Methodology &amp; Sources'!$B$394:$J$400,0,1))*($AZ41-INDEX('Methodology &amp; Sources'!$B$394:$J$400,0,1))*INDEX('Methodology &amp; Sources'!$B$394:$J$400,0,1+2)),IF($AU41="Married",SUMPRODUCT(($AZ41&gt;INDEX('Methodology &amp; Sources'!$B$387:$J$389,0,7))*($AZ41-INDEX('Methodology &amp; Sources'!$B$387:$J$389,0,7))*INDEX('Methodology &amp; Sources'!$B$387:$J$389,0,7+2)),SUMPRODUCT(($AZ41&gt;INDEX('Methodology &amp; Sources'!$B$387:$J$389,0,4))*($AZ41-INDEX('Methodology &amp; Sources'!$B$387:$J$389,0,4))*INDEX('Methodology &amp; Sources'!$B$387:$J$389,0,4+2)))),IF($AN41="NJ",IF(Inputs!$C$77="B",SUMPRODUCT(($AZ41&gt;INDEX('Methodology &amp; Sources'!$B$405:$J$412,0,4))*($AZ41-INDEX('Methodology &amp; Sources'!$B$405:$J$412,0,4))*INDEX('Methodology &amp; Sources'!$B$405:$J$412,0,4+2)),IF(Inputs!$C$77="C",SUMPRODUCT(($AZ41&gt;INDEX('Methodology &amp; Sources'!$B$405:$J$412,0,7))*($AZ41-INDEX('Methodology &amp; Sources'!$B$405:$J$412,0,7))*INDEX('Methodology &amp; Sources'!$B$405:$J$412,0,7+2)),IF(Inputs!$C$77="D",SUMPRODUCT(($AZ41&gt;INDEX('Methodology &amp; Sources'!$B$417:$J$429,0,1))*($AZ41-INDEX('Methodology &amp; Sources'!$B$417:$J$429,0,1))*INDEX('Methodology &amp; Sources'!$B$417:$J$429,0,1+2)),IF(Inputs!$C$77="E",SUMPRODUCT(($AZ41&gt;INDEX('Methodology &amp; Sources'!$B$417:$J$429,0,4))*($AZ41-INDEX('Methodology &amp; Sources'!$B$417:$J$429,0,4))*INDEX('Methodology &amp; Sources'!$B$417:$J$429,0,4+2)),SUMPRODUCT(($AZ41&gt;INDEX('Methodology &amp; Sources'!$B$405:$J$412,0,1))*($AZ41-INDEX('Methodology &amp; Sources'!$B$405:$J$412,0,1))*INDEX('Methodology &amp; Sources'!$B$405:$J$412,0,1+2)))))),IF($AN41="NY",IF($AU41="Married",IF($AZ41&gt;=2155350,$AZ41*IF($AZ41&gt;25000000,0.117,IF($AZ41&gt;5000000,0.111,0.1045)),SUMPRODUCT(($AZ41&gt;INDEX('Methodology &amp; Sources'!$B$434:$J$448,0,1))*($AZ41-INDEX('Methodology &amp; Sources'!$B$434:$J$448,0,1))*INDEX('Methodology &amp; Sources'!$B$434:$J$448,0,1+2))),IF($AZ41&gt;=1077550,$AZ41*IF($AZ41&gt;25000000,0.117,IF($AZ41&gt;5000000,0.111,0.1045)),SUMPRODUCT(($AZ41&gt;INDEX('Methodology &amp; Sources'!$B$417:$J$429,0,7))*($AZ41-INDEX('Methodology &amp; Sources'!$B$417:$J$429,0,7))*INDEX('Methodology &amp; Sources'!$B$417:$J$429,0,7+2)))),"")))))))</f>
      </c>
      <c r="BX41" s="7">
        <f>IF($B41="","",IF($AN41="AL",IF(OR($AU41="Married",$AU41="Head of household"),SUMPRODUCT(($AZ41&gt;INDEX('Methodology &amp; Sources'!$B$332:$J$336,0,4))*($AZ41-INDEX('Methodology &amp; Sources'!$B$332:$J$336,0,4))*INDEX('Methodology &amp; Sources'!$B$332:$J$336,0,4+2)),SUMPRODUCT(($AZ41&gt;INDEX('Methodology &amp; Sources'!$B$332:$J$336,0,1))*($AZ41-INDEX('Methodology &amp; Sources'!$B$332:$J$336,0,1))*INDEX('Methodology &amp; Sources'!$B$332:$J$336,0,1+2))),IF($AN41="KS",IF($AU41="Married",SUMPRODUCT(($AZ41&gt;INDEX('Methodology &amp; Sources'!$B$353:$J$359,0,4))*($AZ41-INDEX('Methodology &amp; Sources'!$B$353:$J$359,0,4))*INDEX('Methodology &amp; Sources'!$B$353:$J$359,0,4+2)),SUMPRODUCT(($AZ41&gt;INDEX('Methodology &amp; Sources'!$B$353:$J$359,0,1))*($AZ41-INDEX('Methodology &amp; Sources'!$B$353:$J$359,0,1))*INDEX('Methodology &amp; Sources'!$B$353:$J$359,0,1+2))),IF($AN41="MN",IF($AU41="Married",SUMPRODUCT(($AZ41&gt;INDEX('Methodology &amp; Sources'!$B$364:$J$370,0,7))*($AZ41-INDEX('Methodology &amp; Sources'!$B$364:$J$370,0,7))*INDEX('Methodology &amp; Sources'!$B$364:$J$370,0,7+2)),SUMPRODUCT(($AZ41&gt;INDEX('Methodology &amp; Sources'!$B$364:$J$370,0,4))*($AZ41-INDEX('Methodology &amp; Sources'!$B$364:$J$370,0,4))*INDEX('Methodology &amp; Sources'!$B$364:$J$370,0,4+2))),IF($AN41="NE",MAX(IF($AU41="Married",SUMPRODUCT(($AZ41&gt;INDEX('Methodology &amp; Sources'!$B$394:$J$400,0,7))*($AZ41-INDEX('Methodology &amp; Sources'!$B$394:$J$400,0,7))*INDEX('Methodology &amp; Sources'!$B$394:$J$400,0,7+2)),SUMPRODUCT(($AZ41&gt;INDEX('Methodology &amp; Sources'!$B$394:$J$400,0,4))*($AZ41-INDEX('Methodology &amp; Sources'!$B$394:$J$400,0,4))*INDEX('Methodology &amp; Sources'!$B$394:$J$400,0,4+2))),0.015*$AZ41),IF($AN41="OH",IF($B41&gt;=DATE(2026,8,1),SUMPRODUCT(($AZ41&gt;INDEX('Methodology &amp; Sources'!$B$453:$J$456,0,1))*($AZ41-INDEX('Methodology &amp; Sources'!$B$453:$J$456,0,1))*INDEX('Methodology &amp; Sources'!$B$453:$J$456,0,1+2)),SUMPRODUCT(($AZ41&gt;INDEX('Methodology &amp; Sources'!$B$434:$J$448,0,7))*($AZ41-INDEX('Methodology &amp; Sources'!$B$434:$J$448,0,7))*INDEX('Methodology &amp; Sources'!$B$434:$J$448,0,7+2))),IF($AN41="OK",IF($AU41="Married",SUMPRODUCT(($AZ41&gt;INDEX('Methodology &amp; Sources'!$B$453:$J$456,0,7))*($AZ41-INDEX('Methodology &amp; Sources'!$B$453:$J$456,0,7))*INDEX('Methodology &amp; Sources'!$B$453:$J$456,0,7+2)),SUMPRODUCT(($AZ41&gt;INDEX('Methodology &amp; Sources'!$B$453:$J$456,0,4))*($AZ41-INDEX('Methodology &amp; Sources'!$B$453:$J$456,0,4))*INDEX('Methodology &amp; Sources'!$B$453:$J$456,0,4+2))),IF($AN41="RI",SUMPRODUCT(($AZ41&gt;INDEX('Methodology &amp; Sources'!$B$461:$J$464,0,7))*($AZ41-INDEX('Methodology &amp; Sources'!$B$461:$J$464,0,7))*INDEX('Methodology &amp; Sources'!$B$461:$J$464,0,7+2)),IF($AN41="VT",IF($AU41="Married",SUMPRODUCT(($AZ41&gt;INDEX('Methodology &amp; Sources'!$B$478:$J$482,0,1))*($AZ41-INDEX('Methodology &amp; Sources'!$B$478:$J$482,0,1))*INDEX('Methodology &amp; Sources'!$B$478:$J$482,0,1+2)),SUMPRODUCT(($AZ41&gt;INDEX('Methodology &amp; Sources'!$B$469:$J$473,0,7))*($AZ41-INDEX('Methodology &amp; Sources'!$B$469:$J$473,0,7))*INDEX('Methodology &amp; Sources'!$B$469:$J$473,0,7+2))),IF($AN41="WV",IF($AU41="Married",SUMPRODUCT(($AZ41&gt;INDEX('Methodology &amp; Sources'!$B$487:$J$491,0,7))*($AZ41-INDEX('Methodology &amp; Sources'!$B$487:$J$491,0,7))*INDEX('Methodology &amp; Sources'!$B$487:$J$491,0,7+2)),SUMPRODUCT(($AZ41&gt;INDEX('Methodology &amp; Sources'!$B$478:$J$482,0,7))*($AZ41-INDEX('Methodology &amp; Sources'!$B$478:$J$482,0,7))*INDEX('Methodology &amp; Sources'!$B$478:$J$482,0,7+2))),""))))))))))</f>
      </c>
      <c r="BY41" s="7">
        <f>IF($B41="","",IF($AN41="AR",SUMPRODUCT(($AZ41&gt;INDEX('Methodology &amp; Sources'!$B$332:$J$336,0,7))*($AZ41-INDEX('Methodology &amp; Sources'!$B$332:$J$336,0,7))*INDEX('Methodology &amp; Sources'!$B$332:$J$336,0,7+2)),IF($AN41="DE",SUMPRODUCT(($AZ41&gt;INDEX('Methodology &amp; Sources'!$B$341:$J$348,0,1))*($AZ41-INDEX('Methodology &amp; Sources'!$B$341:$J$348,0,1))*INDEX('Methodology &amp; Sources'!$B$341:$J$348,0,1+2)),IF($AN41="HI",IF($AU41="Married",SUMPRODUCT(($AZ41&gt;INDEX('Methodology &amp; Sources'!$B$341:$J$348,0,7))*($AZ41-INDEX('Methodology &amp; Sources'!$B$341:$J$348,0,7))*INDEX('Methodology &amp; Sources'!$B$341:$J$348,0,7+2)),SUMPRODUCT(($AZ41&gt;INDEX('Methodology &amp; Sources'!$B$341:$J$348,0,4))*($AZ41-INDEX('Methodology &amp; Sources'!$B$341:$J$348,0,4))*INDEX('Methodology &amp; Sources'!$B$341:$J$348,0,4+2))),IF($AN41="SC",SUMPRODUCT(($AZ41&gt;INDEX('Methodology &amp; Sources'!$B$469:$J$473,0,1))*($AZ41-INDEX('Methodology &amp; Sources'!$B$469:$J$473,0,1))*INDEX('Methodology &amp; Sources'!$B$469:$J$473,0,1+2)),IF($AN41="VA",SUMPRODUCT(($AZ41&gt;INDEX('Methodology &amp; Sources'!$B$469:$J$473,0,4))*($AZ41-INDEX('Methodology &amp; Sources'!$B$469:$J$473,0,4))*INDEX('Methodology &amp; Sources'!$B$469:$J$473,0,4+2)),IF($AN41="WI",SUMPRODUCT(($AZ41&gt;INDEX('Methodology &amp; Sources'!$B$478:$J$482,0,4))*($AZ41-INDEX('Methodology &amp; Sources'!$B$478:$J$482,0,4))*INDEX('Methodology &amp; Sources'!$B$478:$J$482,0,4+2)),"")))))))</f>
      </c>
      <c r="BZ41" s="24">
        <f>IF($B41="","",IF($AN41="NJ",IF(Inputs!$C$77="B",SUMPRODUCT(($AZ41&gt;=INDEX('Methodology &amp; Sources'!$B$405:$J$412,0,4))*INDEX('Methodology &amp; Sources'!$B$405:$J$412,0,4+2)),IF(Inputs!$C$77="C",SUMPRODUCT(($AZ41&gt;=INDEX('Methodology &amp; Sources'!$B$405:$J$412,0,7))*INDEX('Methodology &amp; Sources'!$B$405:$J$412,0,7+2)),IF(Inputs!$C$77="D",SUMPRODUCT(($AZ41&gt;=INDEX('Methodology &amp; Sources'!$B$417:$J$429,0,1))*INDEX('Methodology &amp; Sources'!$B$417:$J$429,0,1+2)),IF(Inputs!$C$77="E",SUMPRODUCT(($AZ41&gt;=INDEX('Methodology &amp; Sources'!$B$417:$J$429,0,4))*INDEX('Methodology &amp; Sources'!$B$417:$J$429,0,4+2)),SUMPRODUCT(($AZ41&gt;=INDEX('Methodology &amp; Sources'!$B$405:$J$412,0,1))*INDEX('Methodology &amp; Sources'!$B$405:$J$412,0,1+2)))))),IF($AN41="OR",IF(OR($AU41="Married",AND($AU41="Single",$AS41&gt;=3)),SUMPRODUCT((MAX(0,$AY41-MIN(($P41-'Methodology &amp; Sources'!$C$260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Sources'!$B$461:$J$464,0,4))*INDEX('Methodology &amp; Sources'!$B$461:$J$464,0,4+2)),SUMPRODUCT((MAX(0,$AY41-MIN(($P41-'Methodology &amp; Sources'!$C$260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Sources'!$B$461:$J$464,0,1))*INDEX('Methodology &amp; Sources'!$B$461:$J$464,0,1+2)))*IF(($P41-'Methodology &amp; Sources'!$C$260*$D41)*Inputs!$C$8&gt;=IF(OR($AU41="Married",AND($AU41="Single",$AS41&gt;=3)),IF($AY41&lt;250000,8750,IF($AY41&lt;260000,7000,IF($AY41&lt;270000,5250,IF($AY41&lt;280000,3500,IF($AY41&lt;290000,1750,0))))),IF($AY41&lt;125000,8750,IF($AY41&lt;130000,7000,IF($AY41&lt;135000,5250,IF($AY41&lt;140000,3500,IF($AY41&lt;145000,1750,0)))))),1,1-IF(Inputs!$C$13,SUMPRODUCT(($AH41&gt;=INDEX('Methodology &amp; Sources'!$B$279:$J$286,0,IF(Inputs!$C$12="MFJ",1,IF(Inputs!$C$12="HoH",7,4))))*INDEX('Methodology &amp; Sources'!$B$279:$J$286,0,IF(Inputs!$C$12="MFJ",1,IF(Inputs!$C$12="HoH",7,4))+2)),SUMPRODUCT(($AH41&gt;=INDEX('Methodology &amp; Sources'!$B$269:$J$276,0,IF(Inputs!$C$12="MFJ",1,IF(Inputs!$C$12="HoH",7,4))))*INDEX('Methodology &amp; Sources'!$B$269:$J$276,0,IF(Inputs!$C$12="MFJ",1,IF(Inputs!$C$12="HoH",7,4))+2)))),IF($AN41="MI",IF($AY41&gt;5900*$AS41,0.0425,0),""))))</f>
      </c>
      <c r="CA41" s="24">
        <f>IF($B41="","",IF($AN41="AL",IF(OR($AU41="Married",$AU41="Head of household"),SUMPRODUCT(($AZ41&gt;=INDEX('Methodology &amp; Sources'!$B$332:$J$336,0,4))*INDEX('Methodology &amp; Sources'!$B$332:$J$336,0,4+2)),SUMPRODUCT(($AZ41&gt;=INDEX('Methodology &amp; Sources'!$B$332:$J$336,0,1))*INDEX('Methodology &amp; Sources'!$B$332:$J$336,0,1+2)))*(1-IF(Inputs!$C$13,SUMPRODUCT(($AH41&gt;=INDEX('Methodology &amp; Sources'!$B$279:$J$286,0,IF(Inputs!$C$12="MFJ",1,IF(Inputs!$C$12="HoH",7,4))))*INDEX('Methodology &amp; Sources'!$B$279:$J$286,0,IF(Inputs!$C$12="MFJ",1,IF(Inputs!$C$12="HoH",7,4))+2)),SUMPRODUCT(($AH41&gt;=INDEX('Methodology &amp; Sources'!$B$269:$J$276,0,IF(Inputs!$C$12="MFJ",1,IF(Inputs!$C$12="HoH",7,4))))*INDEX('Methodology &amp; Sources'!$B$269:$J$276,0,IF(Inputs!$C$12="MFJ",1,IF(Inputs!$C$12="HoH",7,4))+2)))),IF($AN41="KS",IF($AU41="Married",SUMPRODUCT(($AZ41&gt;=INDEX('Methodology &amp; Sources'!$B$353:$J$359,0,4))*INDEX('Methodology &amp; Sources'!$B$353:$J$359,0,4+2)),SUMPRODUCT(($AZ41&gt;=INDEX('Methodology &amp; Sources'!$B$353:$J$359,0,1))*INDEX('Methodology &amp; Sources'!$B$353:$J$359,0,1+2))),IF($AN41="MD",IF(OR($AU41="Married",$AU41="Head of household"),SUMPRODUCT(($AZ41&gt;=INDEX('Methodology &amp; Sources'!$B$364:$J$370,0,1))*INDEX('Methodology &amp; Sources'!$B$364:$J$370,0,1+2)),SUMPRODUCT(($AZ41&gt;=INDEX('Methodology &amp; Sources'!$B$353:$J$359,0,7))*INDEX('Methodology &amp; Sources'!$B$353:$J$359,0,7+2)))+Inputs!$C$74,IF($AN41="MT",IF($AU41="Head of household",SUMPRODUCT(($AZ41&gt;=INDEX('Methodology &amp; Sources'!$B$387:$J$389,0,1))*INDEX('Methodology &amp; Sources'!$B$387:$J$389,0,1+2)),IF($AU41="Married",SUMPRODUCT(($AZ41&gt;=INDEX('Methodology &amp; Sources'!$B$375:$J$382,0,7))*INDEX('Methodology &amp; Sources'!$B$375:$J$382,0,7+2)),SUMPRODUCT(($AZ41&gt;=INDEX('Methodology &amp; Sources'!$B$375:$J$382,0,4))*INDEX('Methodology &amp; Sources'!$B$375:$J$382,0,4+2)))),IF($AN41="ND",IF($AU41="Head of household",SUMPRODUCT(($AZ41&gt;=INDEX('Methodology &amp; Sources'!$B$394:$J$400,0,1))*INDEX('Methodology &amp; Sources'!$B$394:$J$400,0,1+2)),IF($AU41="Married",SUMPRODUCT(($AZ41&gt;=INDEX('Methodology &amp; Sources'!$B$387:$J$389,0,7))*INDEX('Methodology &amp; Sources'!$B$387:$J$389,0,7+2)),SUMPRODUCT(($AZ41&gt;=INDEX('Methodology &amp; Sources'!$B$387:$J$389,0,4))*INDEX('Methodology &amp; Sources'!$B$387:$J$389,0,4+2)))),IF($AN41="NY",IF($AU41="Married",IF($AZ41&gt;=2155350,IF($AZ41&gt;25000000,0.117,IF($AZ41&gt;5000000,0.111,0.1045)),SUMPRODUCT(($AZ41&gt;=INDEX('Methodology &amp; Sources'!$B$434:$J$448,0,1))*INDEX('Methodology &amp; Sources'!$B$434:$J$448,0,1+2))),IF($AZ41&gt;=1077550,IF($AZ41&gt;25000000,0.117,IF($AZ41&gt;5000000,0.111,0.1045)),SUMPRODUCT(($AZ41&gt;=INDEX('Methodology &amp; Sources'!$B$417:$J$429,0,7))*INDEX('Methodology &amp; Sources'!$B$417:$J$429,0,7+2)))),"")))))))</f>
      </c>
      <c r="CB41" s="24">
        <f>IF($B41="","",IF($AN41="CA",SUMPRODUCT(($AJ41&gt;=INDEX('Methodology &amp; Sources'!$B$289:$J$298,0,IF($AU41="Married",4,IF($AU41="Head of household",7,1))))*INDEX('Methodology &amp; Sources'!$B$289:$J$298,0,IF($AU41="Married",4,IF($AU41="Head of household",7,1))+2)),IF($AN41="HI",IF($AU41="Married",SUMPRODUCT(($AZ41&gt;=INDEX('Methodology &amp; Sources'!$B$341:$J$348,0,7))*INDEX('Methodology &amp; Sources'!$B$341:$J$348,0,7+2)),SUMPRODUCT(($AZ41&gt;=INDEX('Methodology &amp; Sources'!$B$341:$J$348,0,4))*INDEX('Methodology &amp; Sources'!$B$341:$J$348,0,4+2))),IF($AN41="MN",IF($AU41="Married",SUMPRODUCT(($AZ41&gt;=INDEX('Methodology &amp; Sources'!$B$364:$J$370,0,7))*INDEX('Methodology &amp; Sources'!$B$364:$J$370,0,7+2)),SUMPRODUCT(($AZ41&gt;=INDEX('Methodology &amp; Sources'!$B$364:$J$370,0,4))*INDEX('Methodology &amp; Sources'!$B$364:$J$370,0,4+2))),IF($AN41="MO",SUMPRODUCT(($AZ41&gt;=INDEX('Methodology &amp; Sources'!$B$375:$J$382,0,1))*INDEX('Methodology &amp; Sources'!$B$375:$J$382,0,1+2)),IF($AN41="NE",MAX(IF($AU41="Married",SUMPRODUCT(($AZ41&gt;=INDEX('Methodology &amp; Sources'!$B$394:$J$400,0,7))*INDEX('Methodology &amp; Sources'!$B$394:$J$400,0,7+2)),SUMPRODUCT(($AZ41&gt;=INDEX('Methodology &amp; Sources'!$B$394:$J$400,0,4))*INDEX('Methodology &amp; Sources'!$B$394:$J$400,0,4+2))),0.015),IF($AN41="OH",IF($B41&gt;=DATE(2026,8,1),SUMPRODUCT(($AZ41&gt;=INDEX('Methodology &amp; Sources'!$B$453:$J$456,0,1))*INDEX('Methodology &amp; Sources'!$B$453:$J$456,0,1+2)),SUMPRODUCT(($AZ41&gt;=INDEX('Methodology &amp; Sources'!$B$434:$J$448,0,7))*INDEX('Methodology &amp; Sources'!$B$434:$J$448,0,7+2))),IF($AN41="OK",IF($AU41="Married",SUMPRODUCT(($AZ41&gt;=INDEX('Methodology &amp; Sources'!$B$453:$J$456,0,7))*INDEX('Methodology &amp; Sources'!$B$453:$J$456,0,7+2)),SUMPRODUCT(($AZ41&gt;=INDEX('Methodology &amp; Sources'!$B$453:$J$456,0,4))*INDEX('Methodology &amp; Sources'!$B$453:$J$456,0,4+2))),IF($AN41="RI",SUMPRODUCT(($AZ41&gt;=INDEX('Methodology &amp; Sources'!$B$461:$J$464,0,7))*INDEX('Methodology &amp; Sources'!$B$461:$J$464,0,7+2)),IF($AN41="SC",SUMPRODUCT(($AZ41&gt;=INDEX('Methodology &amp; Sources'!$B$469:$J$473,0,1))*INDEX('Methodology &amp; Sources'!$B$469:$J$473,0,1+2)),IF($AN41="VT",IF($AU41="Married",SUMPRODUCT(($AZ41&gt;=INDEX('Methodology &amp; Sources'!$B$478:$J$482,0,1))*INDEX('Methodology &amp; Sources'!$B$478:$J$482,0,1+2)),SUMPRODUCT(($AZ41&gt;=INDEX('Methodology &amp; Sources'!$B$469:$J$473,0,7))*INDEX('Methodology &amp; Sources'!$B$469:$J$473,0,7+2))),IF($AN41="WV",IF($AU41="Married",SUMPRODUCT(($AZ41&gt;=INDEX('Methodology &amp; Sources'!$B$487:$J$491,0,7))*INDEX('Methodology &amp; Sources'!$B$487:$J$491,0,7+2)),SUMPRODUCT(($AZ41&gt;=INDEX('Methodology &amp; Sources'!$B$478:$J$482,0,7))*INDEX('Methodology &amp; Sources'!$B$478:$J$482,0,7+2))),IF($AN41="IN",(0.0295+Inputs!$C$76),"")))))))))))))</f>
      </c>
      <c r="CC41" s="24">
        <f>IF($B41="","",IF($AN41="AR",SUMPRODUCT(($AZ41&gt;=INDEX('Methodology &amp; Sources'!$B$332:$J$336,0,7))*INDEX('Methodology &amp; Sources'!$B$332:$J$336,0,7+2)),IF($AN41="DE",SUMPRODUCT(($AZ41&gt;=INDEX('Methodology &amp; Sources'!$B$341:$J$348,0,1))*INDEX('Methodology &amp; Sources'!$B$341:$J$348,0,1+2)),IF($AN41="VA",SUMPRODUCT(($AZ41&gt;=INDEX('Methodology &amp; Sources'!$B$469:$J$473,0,4))*INDEX('Methodology &amp; Sources'!$B$469:$J$473,0,4+2)),IF($AN41="WI",SUMPRODUCT(($AZ41&gt;=INDEX('Methodology &amp; Sources'!$B$478:$J$482,0,4))*INDEX('Methodology &amp; Sources'!$B$478:$J$482,0,4+2)),IF($AN41="AZ",Inputs!$C$82,IF($AN41="CO",IF($AY41&gt;IF($AU41="Married",10000,5000),0.044,0),IF($AN41="IA",IF($AY41&gt;IF($AU41="Head of household",19500,IF($AU41="Married",26000,13000)),0.038,0),IF($AN41="ID",IF($AY41&gt;IF($AU41="Married",32000,16094),0.053,0),IF($AN41="IL",IF($AY41&gt;(2925*$AS41+1000*$AT41),0.0495,0),IF($AN41="KY",IF($AI41&gt;3360,0.035,0),IF($AN41="LA",0.0309,IF($AN41="MA",IF(MAX(0,$AY41-MIN(($BD40+$Q41+$R41+$S41),2000)-IF($AS41=0,0,IF($AS41=1,4400,1000*$AS41+3400)))&gt;=1107750,0.09,0.05),IF($AN41="MS",IF($AI41-IF($AU41="Head of household",3400,IF($AU41="Married",4600,2300))-Inputs!$C$85&gt;10000,0.04,0),IF($AN41="PA",0.0307,"")))))))))))))))</f>
      </c>
      <c r="CD41" s="21">
        <f>IF(YEAR(IF(Inputs!$C$7="Weekly",Inputs!$C$9+7*(($BE40+1)-1),IF(Inputs!$C$7="Biweekly",Inputs!$C$9+14*(($BE40+1)-1),IF(Inputs!$C$7="Semimonthly",DATE(YEAR(Inputs!$C$9),MONTH(Inputs!$C$9)+INT((($BE40+1)-1)/2),MIN(DAY(Inputs!$C$9),DAY(EOMONTH(DATE(YEAR(Inputs!$C$9),MONTH(Inputs!$C$9)+INT((($BE40+1)-1)/2),1),0))))+IF(MOD(($BE40+1)-1,2)=1,15,0),EDATE(Inputs!$C$9,($BE40+1)-1)))))&lt;&gt;2026,"",IF(Inputs!$C$7="Weekly",Inputs!$C$9+7*(($BE40+1)-1),IF(Inputs!$C$7="Biweekly",Inputs!$C$9+14*(($BE40+1)-1),IF(Inputs!$C$7="Semimonthly",DATE(YEAR(Inputs!$C$9),MONTH(Inputs!$C$9)+INT((($BE40+1)-1)/2),MIN(DAY(Inputs!$C$9),DAY(EOMONTH(DATE(YEAR(Inputs!$C$9),MONTH(Inputs!$C$9)+INT((($BE40+1)-1)/2),1),0))))+IF(MOD(($BE40+1)-1,2)=1,15,0),EDATE(Inputs!$C$9,($BE40+1)-1)))))</f>
      </c>
      <c r="CE41" s="21">
        <f>IF(SUMPRODUCT(MIN(IF((Inputs!$C$58:$C$67&gt;MAX($B$6:$B40))*(Inputs!$C$58:$C$67&gt;=DATE(2026,1,1))*(Inputs!$C$58:$C$67&lt;=DATE(2026,12,31)),Inputs!$C$58:$C$67,999999)))=999999,"",SUMPRODUCT(MIN(IF((Inputs!$C$58:$C$67&gt;MAX($B$6:$B40))*(Inputs!$C$58:$C$67&gt;=DATE(2026,1,1))*(Inputs!$C$58:$C$67&lt;=DATE(2026,12,31)),Inputs!$C$58:$C$67,999999))))</f>
      </c>
    </row>
    <row r="42">
      <c r="A42" t="n">
        <v>37</v>
      </c>
      <c r="B42" s="21">
        <f>IF(AND($CD42="",$CE42=""),"",IF($CE42="",$CD42,IF($CD42="",$CE42,MIN($CD42,$CE42))))</f>
      </c>
      <c r="C42" s="7">
        <f>IF($B42="","",IF($BF42=0,0,IF(Inputs!$C$4="Annual salary",ROUND($AK42/IF(AND(Inputs!$C$88="Actual paydays",MONTH(Inputs!$C$9)=1),MAX(1,MAX($BE$6:$BE$68)),Inputs!$C$8),2),$AK42)))</f>
      </c>
      <c r="D42" s="7">
        <f>IF($B42="","",SUMIF(Inputs!$C$58:$C$67,$B42,Inputs!$D$58:$D$67))</f>
      </c>
      <c r="E42" s="7">
        <f>IF($B42="","",ROUND(MAX(0,MIN(IF($AL42="Percent",$AM42*($C42+$D42),$AM42),MAX(0,Inputs!$C$91-$AC41))),2))</f>
      </c>
      <c r="F42" s="7">
        <f>IF($B42="","",ROUND(MAX(0,MIN(IF(Inputs!$C$32="Percent",Inputs!$D$32*($C42+$D42),Inputs!$D$32),MAX(0,Inputs!$C$91-$AC41-$E42))),2))</f>
      </c>
      <c r="G42" s="7">
        <f>IF($B42="","",IF($BF42=0,0,ROUND(MAX(0,MIN($BL42,Inputs!$C$92-Inputs!$C$54-$BI41)),2)))</f>
      </c>
      <c r="H42" s="7">
        <f>IF($B42="","",IF(OR($BF42=0,$BQ42=1),0,ROUND(MAX(0,MIN(IF($BS42=1,ROUND(MAX(0,MIN($BJ42,'Methodology &amp; Sources'!$C$263)-$BG41)/MAX(1,MAX($BE$6:$BE$68)-($BE41)),2),ROUND(MIN($BJ42,'Methodology &amp; Sources'!$C$263)/Inputs!$C$8,2)),MIN($BJ42,'Methodology &amp; Sources'!$C$263)-$BG41)),2)))</f>
      </c>
      <c r="I42" s="7">
        <f>IF($B42="","",IF(OR($BF42=0,$BR42=1),0,ROUND(MAX(0,MIN(IF($BT42=1,ROUND(MAX(0,MIN($BK42,IF(Inputs!$C$12="MFJ",'Methodology &amp; Sources'!$C$264,'Methodology &amp; Sources'!$C$265))-$BH41)/MAX(1,MAX($BE$6:$BE$68)-($BE41)),2),ROUND(MIN($BK42,IF(Inputs!$C$12="MFJ",'Methodology &amp; Sources'!$C$264,'Methodology &amp; Sources'!$C$265))/Inputs!$C$8,2)),MIN($BK42,IF(Inputs!$C$12="MFJ",'Methodology &amp; Sources'!$C$264,'Methodology &amp; Sources'!$C$265))-$BH41)),2)))</f>
      </c>
      <c r="J42" s="7">
        <f>IF($B42="","",IF($BF42=0,0,$BM42))</f>
      </c>
      <c r="K42" s="7">
        <f>IF($B42="","",IF($BF42=0,0,$BN42+$BO42))</f>
      </c>
      <c r="L42" s="7">
        <f>IF($B42="","",IF($BF42=0,0,Inputs!$D$46))</f>
      </c>
      <c r="M42" s="7">
        <f>IF($B42="","",$C42+$D42+$L42-$E42-$G42-$H42-$I42-$J42-$K42)</f>
      </c>
      <c r="N42" s="7">
        <f>IF($B42="","",$C42+$D42+$L42-$G42-$H42-$I42-$J42-$K42)</f>
      </c>
      <c r="O42" s="7">
        <f>IF($B42="","",$C42+$D42+$L42-$E42-$H42-$I42-$J42-$K42-IF(OR($AN42="CA",$AN42="NJ"),0,$G42))</f>
      </c>
      <c r="P42" s="7">
        <f>IF($B42="","",IF(Inputs!$C$18,0,ROUND(MAX(0,IF(Inputs!$C$13,SUMPRODUCT(($AH42&gt;INDEX('Methodology &amp; Sources'!$B$279:$J$286,0,IF(Inputs!$C$12="MFJ",1,IF(Inputs!$C$12="HoH",7,4))))*($AH42-INDEX('Methodology &amp; Sources'!$B$279:$J$286,0,IF(Inputs!$C$12="MFJ",1,IF(Inputs!$C$12="HoH",7,4))))*INDEX('Methodology &amp; Sources'!$B$279:$J$286,0,IF(Inputs!$C$12="MFJ",1,IF(Inputs!$C$12="HoH",7,4))+2)),SUMPRODUCT(($AH42&gt;INDEX('Methodology &amp; Sources'!$B$269:$J$276,0,IF(Inputs!$C$12="MFJ",1,IF(Inputs!$C$12="HoH",7,4))))*($AH42-INDEX('Methodology &amp; Sources'!$B$269:$J$276,0,IF(Inputs!$C$12="MFJ",1,IF(Inputs!$C$12="HoH",7,4))))*INDEX('Methodology &amp; Sources'!$B$269:$J$276,0,IF(Inputs!$C$12="MFJ",1,IF(Inputs!$C$12="HoH",7,4))+2)))/Inputs!$C$8-$AO42/Inputs!$C$8)+$AR42+IF(Inputs!$C$89="Aggregate",MAX(0,IF(Inputs!$C$13,SUMPRODUCT((($AH42+$D42)&gt;INDEX('Methodology &amp; Sources'!$B$279:$J$286,0,IF(Inputs!$C$12="MFJ",1,IF(Inputs!$C$12="HoH",7,4))))*(($AH42+$D42)-INDEX('Methodology &amp; Sources'!$B$279:$J$286,0,IF(Inputs!$C$12="MFJ",1,IF(Inputs!$C$12="HoH",7,4))))*INDEX('Methodology &amp; Sources'!$B$279:$J$286,0,IF(Inputs!$C$12="MFJ",1,IF(Inputs!$C$12="HoH",7,4))+2)),SUMPRODUCT((($AH42+$D42)&gt;INDEX('Methodology &amp; Sources'!$B$269:$J$276,0,IF(Inputs!$C$12="MFJ",1,IF(Inputs!$C$12="HoH",7,4))))*(($AH42+$D42)-INDEX('Methodology &amp; Sources'!$B$269:$J$276,0,IF(Inputs!$C$12="MFJ",1,IF(Inputs!$C$12="HoH",7,4))))*INDEX('Methodology &amp; Sources'!$B$269:$J$276,0,IF(Inputs!$C$12="MFJ",1,IF(Inputs!$C$12="HoH",7,4))+2)))-IF(Inputs!$C$13,SUMPRODUCT(($AH42&gt;INDEX('Methodology &amp; Sources'!$B$279:$J$286,0,IF(Inputs!$C$12="MFJ",1,IF(Inputs!$C$12="HoH",7,4))))*($AH42-INDEX('Methodology &amp; Sources'!$B$279:$J$286,0,IF(Inputs!$C$12="MFJ",1,IF(Inputs!$C$12="HoH",7,4))))*INDEX('Methodology &amp; Sources'!$B$279:$J$286,0,IF(Inputs!$C$12="MFJ",1,IF(Inputs!$C$12="HoH",7,4))+2)),SUMPRODUCT(($AH42&gt;INDEX('Methodology &amp; Sources'!$B$269:$J$276,0,IF(Inputs!$C$12="MFJ",1,IF(Inputs!$C$12="HoH",7,4))))*($AH42-INDEX('Methodology &amp; Sources'!$B$269:$J$276,0,IF(Inputs!$C$12="MFJ",1,IF(Inputs!$C$12="HoH",7,4))))*INDEX('Methodology &amp; Sources'!$B$269:$J$276,0,IF(Inputs!$C$12="MFJ",1,IF(Inputs!$C$12="HoH",7,4))+2)))),'Methodology &amp; Sources'!$C$260*$D42),2)))</f>
      </c>
      <c r="Q42" s="7">
        <f>IF($B42="","",ROUND('Methodology &amp; Sources'!$C$254*MIN($N42,MAX(0,'Methodology &amp; Sources'!$C$253-($AX42+$AB41-$AW42))),2))</f>
      </c>
      <c r="R42" s="7">
        <f>IF($B42="","",ROUND('Methodology &amp; Sources'!$C$255*$N42,2))</f>
      </c>
      <c r="S42" s="7">
        <f>IF($B42="","",ROUND('Methodology &amp; Sources'!$C$256*MAX(0,MIN($N42,$AG41+$N42-'Methodology &amp; Sources'!$C$257)),2))</f>
      </c>
      <c r="T42" s="7">
        <f>IF($B42="","",IF(Inputs!$C$26,0,IF($AN42="CA",ROUND(IF($AI42&lt;=IF(($AS42+$AT42)&gt;=2,VLOOKUP($AN42,'StateTables 2026'!$A$6:$AB$56,10,FALSE),VLOOKUP($AN42,'StateTables 2026'!$A$6:$AB$56,9,FALSE)),0,MAX(0,SUMPRODUCT(($AJ42&gt;INDEX('Methodology &amp; Sources'!$B$289:$J$298,0,IF($AU42="Married",4,IF($AU42="Head of household",7,1))))*($AJ42-INDEX('Methodology &amp; Sources'!$B$289:$J$298,0,IF($AU42="Married",4,IF($AU42="Head of household",7,1))))*INDEX('Methodology &amp; Sources'!$B$289:$J$298,0,IF($AU42="Married",4,IF($AU42="Head of household",7,1))+2))-VLOOKUP($AN42,'StateTables 2026'!$A$6:$AB$56,11,FALSE)*$AS42)/Inputs!$C$8)+Inputs!$C$25+VLOOKUP($AN42,'StateTables 2026'!$A$6:$AB$56,13,FALSE)*$D42,2),IF(VLOOKUP($AN42,'StateTables 2026'!$A$6:$AB$56,4,FALSE)="None",0,IF(ISNUMBER(SEARCH("MANUAL",VLOOKUP($AN42,'StateTables 2026'!$A$6:$AB$56,5,FALSE))),Inputs!$C$28,ROUND(MAX(0,$BA42+$BB42)/Inputs!$C$8+Inputs!$C$25+$BC42,2))))))</f>
      </c>
      <c r="U42" s="7">
        <f>IF($B42="","",IF(VLOOKUP($AN42,'StateTables 2026'!$A$6:$AB$56,24,FALSE)="flatq",IF(OR(MONTH($B42)=1,MONTH($B42)=4,MONTH($B42)=7,MONTH($B42)=10),VLOOKUP($AN42,'StateTables 2026'!$A$6:$AB$56,25,FALSE),0),IF(VLOOKUP($AN42,'StateTables 2026'!$A$6:$AB$56,24,FALSE)="dbl",MIN(ROUND(0.005*$N42,2),ROUND(0.6*52/Inputs!$C$8,2)),IF(OR(VLOOKUP($AN42,'StateTables 2026'!$A$6:$AB$56,15,FALSE)="",VLOOKUP($AN42,'StateTables 2026'!$A$6:$AB$56,15,FALSE)=0),0,ROUND(VLOOKUP($AN42,'StateTables 2026'!$A$6:$AB$56,15,FALSE)*IF(OR(VLOOKUP($AN42,'StateTables 2026'!$A$6:$AB$56,16,FALSE)="",VLOOKUP($AN42,'StateTables 2026'!$A$6:$AB$56,16,FALSE)=0),$N42,MIN($N42,MAX(0,VLOOKUP($AN42,'StateTables 2026'!$A$6:$AB$56,16,FALSE)-($AX42+$AB41-$AW42)))),2))))+IF(VLOOKUP($AN42,'StateTables 2026'!$A$6:$AB$56,27,FALSE)="flatq",IF(OR(MONTH($B42)=1,MONTH($B42)=4,MONTH($B42)=7,MONTH($B42)=10),VLOOKUP($AN42,'StateTables 2026'!$A$6:$AB$56,28,FALSE),0),IF(VLOOKUP($AN42,'StateTables 2026'!$A$6:$AB$56,27,FALSE)="dbl",MIN(ROUND(0.005*$N42,2),ROUND(0.6*52/Inputs!$C$8,2)),IF(OR(VLOOKUP($AN42,'StateTables 2026'!$A$6:$AB$56,18,FALSE)="",VLOOKUP($AN42,'StateTables 2026'!$A$6:$AB$56,18,FALSE)=0),0,ROUND(VLOOKUP($AN42,'StateTables 2026'!$A$6:$AB$56,18,FALSE)*IF(OR(VLOOKUP($AN42,'StateTables 2026'!$A$6:$AB$56,19,FALSE)="",VLOOKUP($AN42,'StateTables 2026'!$A$6:$AB$56,19,FALSE)=0),$N42,MIN($N42,MAX(0,VLOOKUP($AN42,'StateTables 2026'!$A$6:$AB$56,19,FALSE)-($AX42+$AB41-$AW42)))),2)))))</f>
      </c>
      <c r="V42" s="7">
        <f>IF($B42="","",IF($AN42="NY",IF(Inputs!$C$78,ROUND(SUMPRODUCT((MAX(0,($O42-$D42)*Inputs!$C$8-(IF($AU42="Married",5500,5000)+1000*$AS42))&gt;INDEX('Methodology &amp; Sources'!$B$434:$J$448,0,4))*(MAX(0,($O42-$D42)*Inputs!$C$8-(IF($AU42="Married",5500,5000)+1000*$AS42))-INDEX('Methodology &amp; Sources'!$B$434:$J$448,0,4))*INDEX('Methodology &amp; Sources'!$B$434:$J$448,0,4+2))/Inputs!$C$8+0.0425*$D42,2),0)+IF(Inputs!$C$79="Resident",ROUND(0.1675*$T42,2),IF(Inputs!$C$79="Nonresident",ROUND(0.005*MAX(0,($O42-$D42)-(IF($AU42="Married",7950,7400)+1000*$AS42)/Inputs!$C$8),2),0)),IF($AN42="PA",IF(Inputs!$C$80="None",Inputs!$C$27+ROUND(Inputs!$C$81*($C42+$D42),2),ROUND(IF(Inputs!$C$80="Resident",IF($B42&lt;DATE(2026,7,1),0.0374,0.03735),IF($B42&lt;DATE(2026,7,1),0.0343,0.03425))*($C42+$D42),2)),IF($BF42=0,ROUND(Inputs!$C$81*($C42+$D42),2),Inputs!$C$27+ROUND(Inputs!$C$81*($C42+$D42),2)))))</f>
      </c>
      <c r="W42" s="7">
        <f>IF($B42="","",IF($BF42=0,0,$BP42))</f>
      </c>
      <c r="X42" s="7">
        <f>IF($B42="","",SUM($E42:$K42)+$P42+$Q42+$R42+$S42+$T42+$U42+$V42+$W42)</f>
      </c>
      <c r="Y42" s="22">
        <f>IF($B42="","",$C42+$D42-$X42)</f>
      </c>
      <c r="Z42" s="7">
        <f>IF($B42="","",$Z41+$C42+$D42)</f>
      </c>
      <c r="AA42" s="7">
        <f>IF($B42="","",$AA41+$Y42)</f>
      </c>
      <c r="AB42" s="7">
        <f>IF($B42="","",$AB41+MIN($N42,MAX(0,'Methodology &amp; Sources'!$C$253-($AX42+$AB41-$AW42))))</f>
      </c>
      <c r="AC42" s="7">
        <f>IF($B42="","",$AC41+$E42+$F42)</f>
      </c>
      <c r="AD42" s="3">
        <f>IF($B42="","",IF(AND($AB41&lt;'Methodology &amp; Sources'!$C$253,$AB42&gt;='Methodology &amp; Sources'!$C$253),"★ Social Security maxed on this check — from the next check your net rises by about $"&amp;TEXT(ROUND('Methodology &amp; Sources'!$C$254*$N42,2),"#,##0.00")&amp;". ","")&amp;IF(AND($AC41&lt;Inputs!$C$91,$AC42&gt;=Inputs!$C$91),"★ 401(k) reaches the $"&amp;TEXT(Inputs!$C$91,"#,##0")&amp;" cap on this check — deferrals stop and net pay rises. ","")&amp;IF(AND($AG41&lt;'Methodology &amp; Sources'!$C$257,$AG42&gt;='Methodology &amp; Sources'!$C$257),"★ Wages pass $200,000 — the 0.9% Additional Medicare Tax starts here. ","")&amp;IF(AND($BJ42&gt;0,$H42&gt;0,$BG41&lt;MIN($BJ42,'Methodology &amp; Sources'!$C$263),$BG41+$H42&gt;=MIN($BJ42,'Methodology &amp; Sources'!$C$263)),"★ Health FSA election is now fully deferred for the year. ",""))</f>
      </c>
      <c r="AE42" s="41" t="n"/>
      <c r="AF42" s="7">
        <f>IF(OR($B42="",$AE42=""),"",$AE42-$Y42)</f>
      </c>
      <c r="AG42" s="7">
        <f>IF($B42="","",$AG41+$N42)</f>
      </c>
      <c r="AH42" s="7">
        <f>IF($B42="","",MAX(0,($M42-$D42)*Inputs!$C$8+$AP42-$AQ42-IF(Inputs!$C$13,0,IF(Inputs!$C$12="MFJ",'Methodology &amp; Sources'!$C$258,'Methodology &amp; Sources'!$C$259))))</f>
      </c>
      <c r="AI42" s="7">
        <f>IF($B42="","",$O42*Inputs!$C$8)</f>
      </c>
      <c r="AJ42" s="7">
        <f>IF($B42="","",MAX(0,$AI42-VLOOKUP($AN42,'StateTables 2026'!$A$6:$AB$56,12,FALSE)*$AT42-IF(($AS42+$AT42)&gt;=2,VLOOKUP($AN42,'StateTables 2026'!$A$6:$AB$56,8,FALSE),VLOOKUP($AN42,'StateTables 2026'!$A$6:$AB$56,7,FALSE))))</f>
      </c>
      <c r="AK42" s="7">
        <f>IF($B42="","",IFERROR(LOOKUP(2,1/((Events!$C$6:$C$17="Salary change")*(Events!$B$6:$B$17&lt;=$B42)*(Events!$B$6:$B$17&lt;&gt;"")),Events!$D$6:$D$17),IF(Inputs!$C$4="Annual salary",Inputs!$C$5,Inputs!$C$6)))</f>
      </c>
      <c r="AL42">
        <f>IF($B42="","",IFERROR(LOOKUP(2,1/((Events!$C$6:$C$17="401(k) change")*(Events!$B$6:$B$17&lt;=$B42)*(Events!$B$6:$B$17&lt;&gt;"")),Events!$D$6:$D$17),Inputs!$C$30))</f>
      </c>
      <c r="AM42" s="7">
        <f>IF($B42="","",IFERROR(LOOKUP(2,1/((Events!$C$6:$C$17="401(k) change")*(Events!$B$6:$B$17&lt;=$B42)*(Events!$B$6:$B$17&lt;&gt;"")),Events!$E$6:$E$17),Inputs!$D$30))</f>
      </c>
      <c r="AN42">
        <f>IF($B42="","",IFERROR(LOOKUP(2,1/((Events!$C$6:$C$17="State move")*(Events!$B$6:$B$17&lt;=$B42)*(Events!$B$6:$B$17&lt;&gt;"")),Events!$D$6:$D$17),Inputs!$C$21))</f>
      </c>
      <c r="AO42" s="7">
        <f>IF($B42="","",IFERROR(LOOKUP(2,1/((Events!$C$6:$C$17="W-4 change")*(Events!$B$6:$B$17&lt;=$B42)*(Events!$B$6:$B$17&lt;&gt;"")),Events!$D$6:$D$17),Inputs!$C$14))</f>
      </c>
      <c r="AP42" s="7">
        <f>IF($B42="","",IFERROR(LOOKUP(2,1/((Events!$C$6:$C$17="W-4 change")*(Events!$B$6:$B$17&lt;=$B42)*(Events!$B$6:$B$17&lt;&gt;"")),Events!$E$6:$E$17),Inputs!$C$15))</f>
      </c>
      <c r="AQ42" s="7">
        <f>IF($B42="","",IFERROR(LOOKUP(2,1/((Events!$C$6:$C$17="W-4 change")*(Events!$B$6:$B$17&lt;=$B42)*(Events!$B$6:$B$17&lt;&gt;"")),Events!$F$6:$F$17),Inputs!$C$16))</f>
      </c>
      <c r="AR42" s="7">
        <f>IF($B42="","",IFERROR(LOOKUP(2,1/((Events!$C$6:$C$17="W-4 change")*(Events!$B$6:$B$17&lt;=$B42)*(Events!$B$6:$B$17&lt;&gt;"")),Events!$G$6:$G$17),Inputs!$C$17))</f>
      </c>
      <c r="AS42" s="6">
        <f>IF($B42="","",IFERROR(LOOKUP(2,1/(((Events!$C$6:$C$17="State move")+(Events!$C$6:$C$17="State cert change"))*(Events!$B$6:$B$17&lt;=$B42)*(Events!$B$6:$B$17&lt;&gt;"")),Events!$F$6:$F$17),Inputs!$C$23))</f>
      </c>
      <c r="AT42" s="6">
        <f>IF($B42="","",IFERROR(LOOKUP(2,1/(((Events!$C$6:$C$17="State move")+(Events!$C$6:$C$17="State cert change"))*(Events!$B$6:$B$17&lt;=$B42)*(Events!$B$6:$B$17&lt;&gt;"")),Events!$G$6:$G$17),Inputs!$C$24))</f>
      </c>
      <c r="AU42">
        <f>IF($B42="","",IFERROR(LOOKUP(2,1/((Events!$C$6:$C$17="State move")*(Events!$B$6:$B$17&lt;=$B42)*(Events!$B$6:$B$17&lt;&gt;"")),Events!$E$6:$E$17),Inputs!$C$22))</f>
      </c>
      <c r="AV42" s="6">
        <f>IF($B42="","",1+COUNTIFS(Events!$C$6:$C$17,"Employer change",Events!$B$6:$B$17,"&lt;="&amp;$B42,Events!$B$6:$B$17,"&lt;&gt;"))</f>
      </c>
      <c r="AW42" s="7">
        <f>IF($B42="","",IF($AV42=1,Inputs!$C$49,IF(IFERROR(MATCH(IFERROR(LOOKUP(2,1/((Events!$C$6:$C$17="Employer change")*(Events!$B$6:$B$17&lt;=$B42)*(Events!$B$6:$B$17&lt;&gt;"")),Events!$B$6:$B$17),""),$B$6:$B$68,1),1)&lt;=1,Inputs!$C$49,INDEX($AB$6:$AB$68,MATCH(IFERROR(LOOKUP(2,1/((Events!$C$6:$C$17="Employer change")*(Events!$B$6:$B$17&lt;=$B42)*(Events!$B$6:$B$17&lt;&gt;"")),Events!$B$6:$B$17),""),$B$6:$B$68,1)-1))))</f>
      </c>
      <c r="AX42" s="7">
        <f>IF($B42="","",IF($AV42=1,Inputs!$C$49,IFERROR(LOOKUP(2,1/((Events!$C$6:$C$17="Employer change")*(Events!$B$6:$B$17&lt;=$B42)*(Events!$B$6:$B$17&lt;&gt;"")),Events!$D$6:$D$17),0)))</f>
      </c>
      <c r="AY42" s="7">
        <f>IF($B42="","",($O42-$D42)*Inputs!$C$8)</f>
      </c>
      <c r="AZ42" s="7">
        <f>IF($B42="","",IF($AN42="AL",MAX(0,$AY42-IF($AU42="Married",IF($AY42&lt;=25999,8500,MAX(5000,8500-175*CEILING(($AY42-25999)/500,1))),IF($AU42="Head of household",IF($AY42&lt;=25999,5200,MAX(2500,5200-135*CEILING(($AY42-25999)/500,1))),IF($AY42&lt;=25999,3000,MAX(2500,3000-25*CEILING(($AY42-25999)/500,1)))))-($P42-'Methodology &amp; Sources'!$C$260*$D42)*Inputs!$C$8-IF(OR($AU42="Married",$AU42="Head of household"),3000,1500)-$AT42*IF($AY42&lt;=50000,1000,IF($AY42&lt;=100000,500,300))),IF($AN42="AR",IF(MAX(0,$AY42-2470)&lt;97701,INT(MAX(0,$AY42-2470)/100)*100+50,MAX(0,$AY42-2470)),IF($AN42="DE",MAX(0,$AI42-3250),IF($AN42="HI",MAX(0,$AI42-1144*$AS42-4350),IF($AN42="KS",MAX(0,$AI42-(9160*IF($AU42="Married",2,1)+2320*$AT42+IF($AU42="Head of household",2320,0))),IF($AN42="MD",MAX(0,$AI42-3400-3200*$AS42),IF($AN42="MN",MAX(0,$AY42-5300*$AS42),IF($AN42="MO",MAX(0,$AI42-IF($AU42="Head of household",24150,IF($AU42="Married",IF(Inputs!$C$83,16100,32200),16100))),IF($AN42="MT",$AY42,IF($AN42="ND",($C42+$L42)*Inputs!$C$8,IF($AN42="NE",MAX(0,$AY42-2440*$AS42),IF($AN42="NJ",MAX(0,$AY42-1000*$AS42),IF($AN42="NY",MAX(0,$AY42-(IF($AU42="Married",7950,7400)+1000*$AS42)),IF($AN42="OH",MAX(0,$AY42-650*$AS42),IF($AN42="OK",MAX(0,$AY42-1000*$AS42),IF($AN42="RI",MAX(0,$AI42-1000*$AS42),IF($AN42="SC",MAX(0,$AI42-5000*$AS42-IF($AS42=0,0,MIN(0.1*$AI42,7500))),IF($AN42="VA",MAX(0,$AI42-IF($AU42="Married",17500,8750)-930*$AS42-800*$AT42),IF($AN42="VT",MAX(0,$AI42-5400*$AS42),IF($AN42="WI",MAX(0,$AI42-MAX(0,IF($AU42="Married",9461-0.2*MAX(0,$AI42-25727),6702-0.12*MAX(0,$AI42-17780)))-400*$AS42),IF($AN42="WV",MAX(0,$AI42-2000*$AS42),$AI42))))))))))))))))))))))</f>
      </c>
      <c r="BA42" s="7">
        <f>IF($B42="","",IF($BW42&lt;&gt;"",$BW42,IF($BX42&lt;&gt;"",$BX42,IF($BY42&lt;&gt;"",$BY42,0))))</f>
      </c>
      <c r="BB42" s="7">
        <f>IF($B42="","",IF($AN42="AR",-29*$AS42,IF($AN42="DE",-110*$AS42,IF($AN42="MD",$AZ42*Inputs!$C$74,IF($AN42="AZ",Inputs!$C$82*($M42-$D42)*Inputs!$C$8,IF($AN42="CO",0.044*MAX(0,$AY42-IF($AU42="Married",10000,5000)),IF($AN42="IA",MAX(0,0.038*MAX(0,$AY42-IF($AU42="Head of household",19500,IF($AU42="Married",26000,13000)))-40*$AS42),IF($AN42="ID",0.053*MAX(0,$AY42-IF($AU42="Married",32000,16094)),IF($AN42="IL",0.0495*MAX(0,$AY42-(2925*$AS42+1000*$AT42)),IF($AN42="IN",(0.0295+Inputs!$C$76)*MAX(0,$AY42-(1000*$AS42+1500*$AT42+3000*Inputs!$C$86)),IF($AN42="KY",0.035*MAX(0,$AI42-3360),IF($AN42="LA",IF(Inputs!$C$84="0",0.0309*$AI42,0.0309*MAX(0,$AI42-IF(Inputs!$C$84="2",25750,12875))),IF($AN42="MA",0.05*MIN(MAX(0,$AY42-MIN(($BD41+$Q42+$R42+$S42),2000)-IF($AS42=0,0,IF($AS42=1,4400,1000*$AS42+3400))),1107750)+0.09*MAX(0,MAX(0,$AY42-MIN(($BD41+$Q42+$R42+$S42),2000)-IF($AS42=0,0,IF($AS42=1,4400,1000*$AS42+3400)))-1107750)-IF($AU42="Head of household",120,0)-110*Inputs!$C$75,IF($AN42="MI",0.0425*MAX(0,$AY42-5900*$AS42),IF($AN42="MS",0.04*MAX(0,$AI42-IF($AU42="Head of household",3400,IF($AU42="Married",4600,2300))-Inputs!$C$85-10000),IF($AN42="OR",IF(OR($AU42="Married",AND($AU42="Single",$AS42&gt;=3)),SUMPRODUCT((MAX(0,$AY42-MIN(($P42-'Methodology &amp; Sources'!$C$260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Sources'!$B$461:$J$464,0,4))*(MAX(0,$AY42-MIN(($P42-'Methodology &amp; Sources'!$C$260*$D42)*Inputs!$C$8,IF(OR($AU42="Married",AND($AU42="Single",$AS42&gt;=3)),IF($AY42&lt;250000,8750,IF($AY42&lt;260000,7000,IF($AY42&lt;270000,5250,IF($AY42&lt;280000,3500,IF($AY42&lt;290000,1750,0))))),IF($AY42&lt;125000,8750,IF($AY42&lt;130000,7000,IF($AY42&lt;135000,5250,IF($AY42&lt;140000,3500,IF($AY42&lt;145000,1750,0)))))))-IF(OR($AU42="Married",AND($AU42="Single",$AS42&gt;=3)),5820,2910))-INDEX('Methodology &amp; Sources'!$B$461:$J$464,0,4))*INDEX('Methodology &amp; Sources'!$B$461:$J$464,0,4+2)),SUMPRODUCT((MAX(0,$AY42-MIN(($P42-'Methodology &amp; Sources'!$C$260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Sources'!$B$461:$J$464,0,1))*(MAX(0,$AY42-MIN(($P42-'Methodology &amp; Sources'!$C$260*$D42)*Inputs!$C$8,IF(OR($AU42="Married",AND($AU42="Single",$AS42&gt;=3)),IF($AY42&lt;250000,8750,IF($AY42&lt;260000,7000,IF($AY42&lt;270000,5250,IF($AY42&lt;280000,3500,IF($AY42&lt;290000,1750,0))))),IF($AY42&lt;125000,8750,IF($AY42&lt;130000,7000,IF($AY42&lt;135000,5250,IF($AY42&lt;140000,3500,IF($AY42&lt;145000,1750,0)))))))-IF(OR($AU42="Married",AND($AU42="Single",$AS42&gt;=3)),5820,2910))-INDEX('Methodology &amp; Sources'!$B$461:$J$464,0,1))*INDEX('Methodology &amp; Sources'!$B$461:$J$464,0,1+2)))+263-263*IF(IF($AU42="Married",$AY42&gt;200000,$AY42&gt;100000),0,$AS42),IF($AN42="PA",0.0307*(($O42+$E42+$G42)*Inputs!$C$8),IF($AN42="NY",IF($AU42="Married",IF($AZ42&gt;=2155350,0,IF($AZ42&gt;=1077550,0.48,IF($AZ42&gt;=373200,1.21,IF($AZ42&gt;=323200,0.21,IF($AZ42&gt;=211550,-0.19,IF($AZ42&gt;=157650,-2.8,IF($AZ42&gt;=107650,-0.8,IF($AZ42&gt;=96800,0.05,IF($AZ42&gt;=80650,-0.1,IF($AZ42&gt;=13900,0.4,IF($AZ42&gt;=11700,-0.3,IF($AZ42&gt;=8500,0.5,0)))))))))))),IF($AZ42&gt;=1077550,0,IF($AZ42&gt;=265400,4.29,IF($AZ42&gt;=215400,2.29,IF($AZ42&gt;=157650,2.29,IF($AZ42&gt;=107650,0.29,IF($AZ42&gt;=96800,0.05,IF($AZ42&gt;=80650,-0.1,IF($AZ42&gt;=13900,0.4,IF($AZ42&gt;=11700,-0.3,IF($AZ42&gt;=8500,0.5,0))))))))))),0))))))))))))))))))</f>
      </c>
      <c r="BC42" s="7">
        <f>IF($B42="","",IF($AN42="AL",0.05*$D42,IF($AN42="AR",0.039*$D42,IF($AN42="ID",0.053*$D42,IF($AN42="IN",(0.0295+Inputs!$C$76)*$D42,IF($AN42="KS",0.05*$D42,IF($AN42="MA",0.09*MIN($D42,MAX(0,MAX(0,$AY42-MIN(($BD41+$Q42+$R42+$S42),2000)-IF($AS42=0,0,IF($AS42=1,4400,1000*$AS42+3400)))+$D42-1107750))+0.05*($D42-MIN($D42,MAX(0,MAX(0,$AY42-MIN(($BD41+$Q42+$R42+$S42),2000)-IF($AS42=0,0,IF($AS42=1,4400,1000*$AS42+3400)))+$D42-1107750))),IF($AN42="MD",(0.065+Inputs!$C$74)*$D42,IF($AN42="MI",0.0425*$D42,IF($AN42="MN",0.0625*$D42,IF($AN42="MO",0.047*$D42,IF($AN42="MT",0.05*$D42,IF($AN42="ND",0.015*$D42,IF($AN42="NE",0.035*$D42,IF($AN42="NJ",IF(Inputs!$C$77="B",SUMPRODUCT(($D42*Inputs!$C$8&gt;INDEX('Methodology &amp; Sources'!$B$405:$J$412,0,4))*($D42*Inputs!$C$8-INDEX('Methodology &amp; Sources'!$B$405:$J$412,0,4))*INDEX('Methodology &amp; Sources'!$B$405:$J$412,0,4+2)),IF(Inputs!$C$77="C",SUMPRODUCT(($D42*Inputs!$C$8&gt;INDEX('Methodology &amp; Sources'!$B$405:$J$412,0,7))*($D42*Inputs!$C$8-INDEX('Methodology &amp; Sources'!$B$405:$J$412,0,7))*INDEX('Methodology &amp; Sources'!$B$405:$J$412,0,7+2)),IF(Inputs!$C$77="D",SUMPRODUCT(($D42*Inputs!$C$8&gt;INDEX('Methodology &amp; Sources'!$B$417:$J$429,0,1))*($D42*Inputs!$C$8-INDEX('Methodology &amp; Sources'!$B$417:$J$429,0,1))*INDEX('Methodology &amp; Sources'!$B$417:$J$429,0,1+2)),IF(Inputs!$C$77="E",SUMPRODUCT(($D42*Inputs!$C$8&gt;INDEX('Methodology &amp; Sources'!$B$417:$J$429,0,4))*($D42*Inputs!$C$8-INDEX('Methodology &amp; Sources'!$B$417:$J$429,0,4))*INDEX('Methodology &amp; Sources'!$B$417:$J$429,0,4+2)),SUMPRODUCT(($D42*Inputs!$C$8&gt;INDEX('Methodology &amp; Sources'!$B$405:$J$412,0,1))*($D42*Inputs!$C$8-INDEX('Methodology &amp; Sources'!$B$405:$J$412,0,1))*INDEX('Methodology &amp; Sources'!$B$405:$J$412,0,1+2))))))/Inputs!$C$8,IF($AN42="NY",0.117*$D42,IF($AN42="OH",0.0275*$D42,IF($AN42="OK",0.045*$D42,IF($AN42="OR",0.08*$D42,IF($AN42="WI",IF($AY42&lt;12760,0.0354,IF($AY42&lt;25520,0.0465,IF($AY42&lt;280950,0.053,0.0765)))*$D42,0))))))))))))))))))))</f>
      </c>
      <c r="BD42" s="7">
        <f>IF($B42="","",$BD41+$Q42+$R42+$S42)</f>
      </c>
      <c r="BE42" s="6">
        <f>IF($B42="",$BE41,$BE41+$BF42)</f>
      </c>
      <c r="BF42" s="6">
        <f>IF($B42="","",IF(AND(IF(YEAR(IF(Inputs!$C$7="Weekly",Inputs!$C$9+7*(($BE41+1)-1),IF(Inputs!$C$7="Biweekly",Inputs!$C$9+14*(($BE41+1)-1),IF(Inputs!$C$7="Semimonthly",DATE(YEAR(Inputs!$C$9),MONTH(Inputs!$C$9)+INT((($BE41+1)-1)/2),MIN(DAY(Inputs!$C$9),DAY(EOMONTH(DATE(YEAR(Inputs!$C$9),MONTH(Inputs!$C$9)+INT((($BE41+1)-1)/2),1),0))))+IF(MOD(($BE41+1)-1,2)=1,15,0),EDATE(Inputs!$C$9,($BE41+1)-1)))))&lt;&gt;2026,"",IF(Inputs!$C$7="Weekly",Inputs!$C$9+7*(($BE41+1)-1),IF(Inputs!$C$7="Biweekly",Inputs!$C$9+14*(($BE41+1)-1),IF(Inputs!$C$7="Semimonthly",DATE(YEAR(Inputs!$C$9),MONTH(Inputs!$C$9)+INT((($BE41+1)-1)/2),MIN(DAY(Inputs!$C$9),DAY(EOMONTH(DATE(YEAR(Inputs!$C$9),MONTH(Inputs!$C$9)+INT((($BE41+1)-1)/2),1),0))))+IF(MOD(($BE41+1)-1,2)=1,15,0),EDATE(Inputs!$C$9,($BE41+1)-1)))))&lt;&gt;"",$B42=IF(YEAR(IF(Inputs!$C$7="Weekly",Inputs!$C$9+7*(($BE41+1)-1),IF(Inputs!$C$7="Biweekly",Inputs!$C$9+14*(($BE41+1)-1),IF(Inputs!$C$7="Semimonthly",DATE(YEAR(Inputs!$C$9),MONTH(Inputs!$C$9)+INT((($BE41+1)-1)/2),MIN(DAY(Inputs!$C$9),DAY(EOMONTH(DATE(YEAR(Inputs!$C$9),MONTH(Inputs!$C$9)+INT((($BE41+1)-1)/2),1),0))))+IF(MOD(($BE41+1)-1,2)=1,15,0),EDATE(Inputs!$C$9,($BE41+1)-1)))))&lt;&gt;2026,"",IF(Inputs!$C$7="Weekly",Inputs!$C$9+7*(($BE41+1)-1),IF(Inputs!$C$7="Biweekly",Inputs!$C$9+14*(($BE41+1)-1),IF(Inputs!$C$7="Semimonthly",DATE(YEAR(Inputs!$C$9),MONTH(Inputs!$C$9)+INT((($BE41+1)-1)/2),MIN(DAY(Inputs!$C$9),DAY(EOMONTH(DATE(YEAR(Inputs!$C$9),MONTH(Inputs!$C$9)+INT((($BE41+1)-1)/2),1),0))))+IF(MOD(($BE41+1)-1,2)=1,15,0),EDATE(Inputs!$C$9,($BE41+1)-1)))))),1,0))</f>
      </c>
      <c r="BG42" s="7">
        <f>IF($B42="","",$BG41+$H42)</f>
      </c>
      <c r="BH42" s="7">
        <f>IF($B42="","",$BH41+$I42)</f>
      </c>
      <c r="BI42" s="7">
        <f>IF($B42="","",$BI41+$G42)</f>
      </c>
      <c r="BJ42" s="7">
        <f>IF($B42="","",IFERROR(LOOKUP(2,1/((((Events!$C$6:$C$17="Deduction start"))*(Events!$D$6:$D$17="Health FSA"))*(Events!$B$6:$B$17&lt;=$B42)*(Events!$B$6:$B$17&lt;&gt;"")),Events!$E$6:$E$17),Inputs!$D$38))</f>
      </c>
      <c r="BK42" s="7">
        <f>IF($B42="","",IFERROR(LOOKUP(2,1/((((Events!$C$6:$C$17="Deduction start"))*(Events!$D$6:$D$17="Dependent-care FSA"))*(Events!$B$6:$B$17&lt;=$B42)*(Events!$B$6:$B$17&lt;&gt;"")),Events!$E$6:$E$17),Inputs!$D$39))</f>
      </c>
      <c r="BL42" s="7">
        <f>IF($B42="","",IFERROR(LOOKUP(2,1/((((Events!$C$6:$C$17="Deduction start")+(Events!$C$6:$C$17="Deduction stop"))*(Events!$D$6:$D$17="HSA"))*(Events!$B$6:$B$17&lt;=$B42)*(Events!$B$6:$B$17&lt;&gt;"")),Events!$I$6:$I$17),Inputs!$D$35))</f>
      </c>
      <c r="BM42" s="7">
        <f>IF($B42="","",IFERROR(LOOKUP(2,1/((((Events!$C$6:$C$17="Deduction start")+(Events!$C$6:$C$17="Deduction stop"))*(Events!$D$6:$D$17="Premiums"))*(Events!$B$6:$B$17&lt;=$B42)*(Events!$B$6:$B$17&lt;&gt;"")),Events!$I$6:$I$17),Inputs!$D$40+Inputs!$D$41+Inputs!$D$42))</f>
      </c>
      <c r="BN42" s="7">
        <f>IF($B42="","",IFERROR(LOOKUP(2,1/((((Events!$C$6:$C$17="Deduction start")+(Events!$C$6:$C$17="Deduction stop"))*(Events!$D$6:$D$17="Commuter"))*(Events!$B$6:$B$17&lt;=$B42)*(Events!$B$6:$B$17&lt;&gt;"")),Events!$I$6:$I$17),Inputs!$D$43))</f>
      </c>
      <c r="BO42" s="7">
        <f>IF($B42="","",IFERROR(LOOKUP(2,1/((((Events!$C$6:$C$17="Deduction start")+(Events!$C$6:$C$17="Deduction stop"))*(Events!$D$6:$D$17="Other pre-tax"))*(Events!$B$6:$B$17&lt;=$B42)*(Events!$B$6:$B$17&lt;&gt;"")),Events!$I$6:$I$17),Inputs!$D$44))</f>
      </c>
      <c r="BP42" s="7">
        <f>IF($B42="","",IFERROR(LOOKUP(2,1/((((Events!$C$6:$C$17="Deduction start")+(Events!$C$6:$C$17="Deduction stop"))*(Events!$D$6:$D$17="Other post-tax"))*(Events!$B$6:$B$17&lt;=$B42)*(Events!$B$6:$B$17&lt;&gt;"")),Events!$I$6:$I$17),Inputs!$D$45))</f>
      </c>
      <c r="BQ42" s="6">
        <f>IF($B42="","",IFERROR(LOOKUP(2,1/((((Events!$C$6:$C$17="Deduction start")+(Events!$C$6:$C$17="Deduction stop"))*(Events!$D$6:$D$17="Health FSA"))*(Events!$B$6:$B$17&lt;=$B42)*(Events!$B$6:$B$17&lt;&gt;"")),Events!$J$6:$J$17),0))</f>
      </c>
      <c r="BR42" s="6">
        <f>IF($B42="","",IFERROR(LOOKUP(2,1/((((Events!$C$6:$C$17="Deduction start")+(Events!$C$6:$C$17="Deduction stop"))*(Events!$D$6:$D$17="Dependent-care FSA"))*(Events!$B$6:$B$17&lt;=$B42)*(Events!$B$6:$B$17&lt;&gt;"")),Events!$J$6:$J$17),0))</f>
      </c>
      <c r="BS42" s="6">
        <f>IF($B42="","",IF(SUMPRODUCT((Events!$C$6:$C$17="Deduction start")*(Events!$B$6:$B$17&lt;=$B42)*(Events!$B$6:$B$17&lt;&gt;"")*(Events!$D$6:$D$17="Health FSA"))&gt;0,1,0))</f>
      </c>
      <c r="BT42" s="6">
        <f>IF($B42="","",IF(SUMPRODUCT((Events!$C$6:$C$17="Deduction start")*(Events!$B$6:$B$17&lt;=$B42)*(Events!$B$6:$B$17&lt;&gt;"")*(Events!$D$6:$D$17="Dependent-care FSA"))&gt;0,1,0))</f>
      </c>
      <c r="BU42" s="24">
        <f>IF($B42="","",IF(Inputs!$C$13,SUMPRODUCT(($AH42&gt;=INDEX('Methodology &amp; Sources'!$B$279:$J$286,0,IF(Inputs!$C$12="MFJ",1,IF(Inputs!$C$12="HoH",7,4))))*INDEX('Methodology &amp; Sources'!$B$279:$J$286,0,IF(Inputs!$C$12="MFJ",1,IF(Inputs!$C$12="HoH",7,4))+2)),SUMPRODUCT(($AH42&gt;=INDEX('Methodology &amp; Sources'!$B$269:$J$276,0,IF(Inputs!$C$12="MFJ",1,IF(Inputs!$C$12="HoH",7,4))))*INDEX('Methodology &amp; Sources'!$B$269:$J$276,0,IF(Inputs!$C$12="MFJ",1,IF(Inputs!$C$12="HoH",7,4))+2))))</f>
      </c>
      <c r="BV42" s="24">
        <f>IF($B42="","",IF($BZ42&lt;&gt;"",$BZ42,IF($CA42&lt;&gt;"",$CA42,IF($CB42&lt;&gt;"",$CB42,IF($CC42&lt;&gt;"",$CC42,0)))))</f>
      </c>
      <c r="BW42" s="7">
        <f>IF($B42="","",IF($AN42="MD",IF(OR($AU42="Married",$AU42="Head of household"),SUMPRODUCT(($AZ42&gt;INDEX('Methodology &amp; Sources'!$B$364:$J$370,0,1))*($AZ42-INDEX('Methodology &amp; Sources'!$B$364:$J$370,0,1))*INDEX('Methodology &amp; Sources'!$B$364:$J$370,0,1+2)),SUMPRODUCT(($AZ42&gt;INDEX('Methodology &amp; Sources'!$B$353:$J$359,0,7))*($AZ42-INDEX('Methodology &amp; Sources'!$B$353:$J$359,0,7))*INDEX('Methodology &amp; Sources'!$B$353:$J$359,0,7+2))),IF($AN42="MO",SUMPRODUCT(($AZ42&gt;INDEX('Methodology &amp; Sources'!$B$375:$J$382,0,1))*($AZ42-INDEX('Methodology &amp; Sources'!$B$375:$J$382,0,1))*INDEX('Methodology &amp; Sources'!$B$375:$J$382,0,1+2)),IF($AN42="MT",IF($AU42="Head of household",SUMPRODUCT(($AZ42&gt;INDEX('Methodology &amp; Sources'!$B$387:$J$389,0,1))*($AZ42-INDEX('Methodology &amp; Sources'!$B$387:$J$389,0,1))*INDEX('Methodology &amp; Sources'!$B$387:$J$389,0,1+2)),IF($AU42="Married",SUMPRODUCT(($AZ42&gt;INDEX('Methodology &amp; Sources'!$B$375:$J$382,0,7))*($AZ42-INDEX('Methodology &amp; Sources'!$B$375:$J$382,0,7))*INDEX('Methodology &amp; Sources'!$B$375:$J$382,0,7+2)),SUMPRODUCT(($AZ42&gt;INDEX('Methodology &amp; Sources'!$B$375:$J$382,0,4))*($AZ42-INDEX('Methodology &amp; Sources'!$B$375:$J$382,0,4))*INDEX('Methodology &amp; Sources'!$B$375:$J$382,0,4+2)))),IF($AN42="ND",IF($AU42="Head of household",SUMPRODUCT(($AZ42&gt;INDEX('Methodology &amp; Sources'!$B$394:$J$400,0,1))*($AZ42-INDEX('Methodology &amp; Sources'!$B$394:$J$400,0,1))*INDEX('Methodology &amp; Sources'!$B$394:$J$400,0,1+2)),IF($AU42="Married",SUMPRODUCT(($AZ42&gt;INDEX('Methodology &amp; Sources'!$B$387:$J$389,0,7))*($AZ42-INDEX('Methodology &amp; Sources'!$B$387:$J$389,0,7))*INDEX('Methodology &amp; Sources'!$B$387:$J$389,0,7+2)),SUMPRODUCT(($AZ42&gt;INDEX('Methodology &amp; Sources'!$B$387:$J$389,0,4))*($AZ42-INDEX('Methodology &amp; Sources'!$B$387:$J$389,0,4))*INDEX('Methodology &amp; Sources'!$B$387:$J$389,0,4+2)))),IF($AN42="NJ",IF(Inputs!$C$77="B",SUMPRODUCT(($AZ42&gt;INDEX('Methodology &amp; Sources'!$B$405:$J$412,0,4))*($AZ42-INDEX('Methodology &amp; Sources'!$B$405:$J$412,0,4))*INDEX('Methodology &amp; Sources'!$B$405:$J$412,0,4+2)),IF(Inputs!$C$77="C",SUMPRODUCT(($AZ42&gt;INDEX('Methodology &amp; Sources'!$B$405:$J$412,0,7))*($AZ42-INDEX('Methodology &amp; Sources'!$B$405:$J$412,0,7))*INDEX('Methodology &amp; Sources'!$B$405:$J$412,0,7+2)),IF(Inputs!$C$77="D",SUMPRODUCT(($AZ42&gt;INDEX('Methodology &amp; Sources'!$B$417:$J$429,0,1))*($AZ42-INDEX('Methodology &amp; Sources'!$B$417:$J$429,0,1))*INDEX('Methodology &amp; Sources'!$B$417:$J$429,0,1+2)),IF(Inputs!$C$77="E",SUMPRODUCT(($AZ42&gt;INDEX('Methodology &amp; Sources'!$B$417:$J$429,0,4))*($AZ42-INDEX('Methodology &amp; Sources'!$B$417:$J$429,0,4))*INDEX('Methodology &amp; Sources'!$B$417:$J$429,0,4+2)),SUMPRODUCT(($AZ42&gt;INDEX('Methodology &amp; Sources'!$B$405:$J$412,0,1))*($AZ42-INDEX('Methodology &amp; Sources'!$B$405:$J$412,0,1))*INDEX('Methodology &amp; Sources'!$B$405:$J$412,0,1+2)))))),IF($AN42="NY",IF($AU42="Married",IF($AZ42&gt;=2155350,$AZ42*IF($AZ42&gt;25000000,0.117,IF($AZ42&gt;5000000,0.111,0.1045)),SUMPRODUCT(($AZ42&gt;INDEX('Methodology &amp; Sources'!$B$434:$J$448,0,1))*($AZ42-INDEX('Methodology &amp; Sources'!$B$434:$J$448,0,1))*INDEX('Methodology &amp; Sources'!$B$434:$J$448,0,1+2))),IF($AZ42&gt;=1077550,$AZ42*IF($AZ42&gt;25000000,0.117,IF($AZ42&gt;5000000,0.111,0.1045)),SUMPRODUCT(($AZ42&gt;INDEX('Methodology &amp; Sources'!$B$417:$J$429,0,7))*($AZ42-INDEX('Methodology &amp; Sources'!$B$417:$J$429,0,7))*INDEX('Methodology &amp; Sources'!$B$417:$J$429,0,7+2)))),"")))))))</f>
      </c>
      <c r="BX42" s="7">
        <f>IF($B42="","",IF($AN42="AL",IF(OR($AU42="Married",$AU42="Head of household"),SUMPRODUCT(($AZ42&gt;INDEX('Methodology &amp; Sources'!$B$332:$J$336,0,4))*($AZ42-INDEX('Methodology &amp; Sources'!$B$332:$J$336,0,4))*INDEX('Methodology &amp; Sources'!$B$332:$J$336,0,4+2)),SUMPRODUCT(($AZ42&gt;INDEX('Methodology &amp; Sources'!$B$332:$J$336,0,1))*($AZ42-INDEX('Methodology &amp; Sources'!$B$332:$J$336,0,1))*INDEX('Methodology &amp; Sources'!$B$332:$J$336,0,1+2))),IF($AN42="KS",IF($AU42="Married",SUMPRODUCT(($AZ42&gt;INDEX('Methodology &amp; Sources'!$B$353:$J$359,0,4))*($AZ42-INDEX('Methodology &amp; Sources'!$B$353:$J$359,0,4))*INDEX('Methodology &amp; Sources'!$B$353:$J$359,0,4+2)),SUMPRODUCT(($AZ42&gt;INDEX('Methodology &amp; Sources'!$B$353:$J$359,0,1))*($AZ42-INDEX('Methodology &amp; Sources'!$B$353:$J$359,0,1))*INDEX('Methodology &amp; Sources'!$B$353:$J$359,0,1+2))),IF($AN42="MN",IF($AU42="Married",SUMPRODUCT(($AZ42&gt;INDEX('Methodology &amp; Sources'!$B$364:$J$370,0,7))*($AZ42-INDEX('Methodology &amp; Sources'!$B$364:$J$370,0,7))*INDEX('Methodology &amp; Sources'!$B$364:$J$370,0,7+2)),SUMPRODUCT(($AZ42&gt;INDEX('Methodology &amp; Sources'!$B$364:$J$370,0,4))*($AZ42-INDEX('Methodology &amp; Sources'!$B$364:$J$370,0,4))*INDEX('Methodology &amp; Sources'!$B$364:$J$370,0,4+2))),IF($AN42="NE",MAX(IF($AU42="Married",SUMPRODUCT(($AZ42&gt;INDEX('Methodology &amp; Sources'!$B$394:$J$400,0,7))*($AZ42-INDEX('Methodology &amp; Sources'!$B$394:$J$400,0,7))*INDEX('Methodology &amp; Sources'!$B$394:$J$400,0,7+2)),SUMPRODUCT(($AZ42&gt;INDEX('Methodology &amp; Sources'!$B$394:$J$400,0,4))*($AZ42-INDEX('Methodology &amp; Sources'!$B$394:$J$400,0,4))*INDEX('Methodology &amp; Sources'!$B$394:$J$400,0,4+2))),0.015*$AZ42),IF($AN42="OH",IF($B42&gt;=DATE(2026,8,1),SUMPRODUCT(($AZ42&gt;INDEX('Methodology &amp; Sources'!$B$453:$J$456,0,1))*($AZ42-INDEX('Methodology &amp; Sources'!$B$453:$J$456,0,1))*INDEX('Methodology &amp; Sources'!$B$453:$J$456,0,1+2)),SUMPRODUCT(($AZ42&gt;INDEX('Methodology &amp; Sources'!$B$434:$J$448,0,7))*($AZ42-INDEX('Methodology &amp; Sources'!$B$434:$J$448,0,7))*INDEX('Methodology &amp; Sources'!$B$434:$J$448,0,7+2))),IF($AN42="OK",IF($AU42="Married",SUMPRODUCT(($AZ42&gt;INDEX('Methodology &amp; Sources'!$B$453:$J$456,0,7))*($AZ42-INDEX('Methodology &amp; Sources'!$B$453:$J$456,0,7))*INDEX('Methodology &amp; Sources'!$B$453:$J$456,0,7+2)),SUMPRODUCT(($AZ42&gt;INDEX('Methodology &amp; Sources'!$B$453:$J$456,0,4))*($AZ42-INDEX('Methodology &amp; Sources'!$B$453:$J$456,0,4))*INDEX('Methodology &amp; Sources'!$B$453:$J$456,0,4+2))),IF($AN42="RI",SUMPRODUCT(($AZ42&gt;INDEX('Methodology &amp; Sources'!$B$461:$J$464,0,7))*($AZ42-INDEX('Methodology &amp; Sources'!$B$461:$J$464,0,7))*INDEX('Methodology &amp; Sources'!$B$461:$J$464,0,7+2)),IF($AN42="VT",IF($AU42="Married",SUMPRODUCT(($AZ42&gt;INDEX('Methodology &amp; Sources'!$B$478:$J$482,0,1))*($AZ42-INDEX('Methodology &amp; Sources'!$B$478:$J$482,0,1))*INDEX('Methodology &amp; Sources'!$B$478:$J$482,0,1+2)),SUMPRODUCT(($AZ42&gt;INDEX('Methodology &amp; Sources'!$B$469:$J$473,0,7))*($AZ42-INDEX('Methodology &amp; Sources'!$B$469:$J$473,0,7))*INDEX('Methodology &amp; Sources'!$B$469:$J$473,0,7+2))),IF($AN42="WV",IF($AU42="Married",SUMPRODUCT(($AZ42&gt;INDEX('Methodology &amp; Sources'!$B$487:$J$491,0,7))*($AZ42-INDEX('Methodology &amp; Sources'!$B$487:$J$491,0,7))*INDEX('Methodology &amp; Sources'!$B$487:$J$491,0,7+2)),SUMPRODUCT(($AZ42&gt;INDEX('Methodology &amp; Sources'!$B$478:$J$482,0,7))*($AZ42-INDEX('Methodology &amp; Sources'!$B$478:$J$482,0,7))*INDEX('Methodology &amp; Sources'!$B$478:$J$482,0,7+2))),""))))))))))</f>
      </c>
      <c r="BY42" s="7">
        <f>IF($B42="","",IF($AN42="AR",SUMPRODUCT(($AZ42&gt;INDEX('Methodology &amp; Sources'!$B$332:$J$336,0,7))*($AZ42-INDEX('Methodology &amp; Sources'!$B$332:$J$336,0,7))*INDEX('Methodology &amp; Sources'!$B$332:$J$336,0,7+2)),IF($AN42="DE",SUMPRODUCT(($AZ42&gt;INDEX('Methodology &amp; Sources'!$B$341:$J$348,0,1))*($AZ42-INDEX('Methodology &amp; Sources'!$B$341:$J$348,0,1))*INDEX('Methodology &amp; Sources'!$B$341:$J$348,0,1+2)),IF($AN42="HI",IF($AU42="Married",SUMPRODUCT(($AZ42&gt;INDEX('Methodology &amp; Sources'!$B$341:$J$348,0,7))*($AZ42-INDEX('Methodology &amp; Sources'!$B$341:$J$348,0,7))*INDEX('Methodology &amp; Sources'!$B$341:$J$348,0,7+2)),SUMPRODUCT(($AZ42&gt;INDEX('Methodology &amp; Sources'!$B$341:$J$348,0,4))*($AZ42-INDEX('Methodology &amp; Sources'!$B$341:$J$348,0,4))*INDEX('Methodology &amp; Sources'!$B$341:$J$348,0,4+2))),IF($AN42="SC",SUMPRODUCT(($AZ42&gt;INDEX('Methodology &amp; Sources'!$B$469:$J$473,0,1))*($AZ42-INDEX('Methodology &amp; Sources'!$B$469:$J$473,0,1))*INDEX('Methodology &amp; Sources'!$B$469:$J$473,0,1+2)),IF($AN42="VA",SUMPRODUCT(($AZ42&gt;INDEX('Methodology &amp; Sources'!$B$469:$J$473,0,4))*($AZ42-INDEX('Methodology &amp; Sources'!$B$469:$J$473,0,4))*INDEX('Methodology &amp; Sources'!$B$469:$J$473,0,4+2)),IF($AN42="WI",SUMPRODUCT(($AZ42&gt;INDEX('Methodology &amp; Sources'!$B$478:$J$482,0,4))*($AZ42-INDEX('Methodology &amp; Sources'!$B$478:$J$482,0,4))*INDEX('Methodology &amp; Sources'!$B$478:$J$482,0,4+2)),"")))))))</f>
      </c>
      <c r="BZ42" s="24">
        <f>IF($B42="","",IF($AN42="NJ",IF(Inputs!$C$77="B",SUMPRODUCT(($AZ42&gt;=INDEX('Methodology &amp; Sources'!$B$405:$J$412,0,4))*INDEX('Methodology &amp; Sources'!$B$405:$J$412,0,4+2)),IF(Inputs!$C$77="C",SUMPRODUCT(($AZ42&gt;=INDEX('Methodology &amp; Sources'!$B$405:$J$412,0,7))*INDEX('Methodology &amp; Sources'!$B$405:$J$412,0,7+2)),IF(Inputs!$C$77="D",SUMPRODUCT(($AZ42&gt;=INDEX('Methodology &amp; Sources'!$B$417:$J$429,0,1))*INDEX('Methodology &amp; Sources'!$B$417:$J$429,0,1+2)),IF(Inputs!$C$77="E",SUMPRODUCT(($AZ42&gt;=INDEX('Methodology &amp; Sources'!$B$417:$J$429,0,4))*INDEX('Methodology &amp; Sources'!$B$417:$J$429,0,4+2)),SUMPRODUCT(($AZ42&gt;=INDEX('Methodology &amp; Sources'!$B$405:$J$412,0,1))*INDEX('Methodology &amp; Sources'!$B$405:$J$412,0,1+2)))))),IF($AN42="OR",IF(OR($AU42="Married",AND($AU42="Single",$AS42&gt;=3)),SUMPRODUCT((MAX(0,$AY42-MIN(($P42-'Methodology &amp; Sources'!$C$260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Sources'!$B$461:$J$464,0,4))*INDEX('Methodology &amp; Sources'!$B$461:$J$464,0,4+2)),SUMPRODUCT((MAX(0,$AY42-MIN(($P42-'Methodology &amp; Sources'!$C$260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Sources'!$B$461:$J$464,0,1))*INDEX('Methodology &amp; Sources'!$B$461:$J$464,0,1+2)))*IF(($P42-'Methodology &amp; Sources'!$C$260*$D42)*Inputs!$C$8&gt;=IF(OR($AU42="Married",AND($AU42="Single",$AS42&gt;=3)),IF($AY42&lt;250000,8750,IF($AY42&lt;260000,7000,IF($AY42&lt;270000,5250,IF($AY42&lt;280000,3500,IF($AY42&lt;290000,1750,0))))),IF($AY42&lt;125000,8750,IF($AY42&lt;130000,7000,IF($AY42&lt;135000,5250,IF($AY42&lt;140000,3500,IF($AY42&lt;145000,1750,0)))))),1,1-IF(Inputs!$C$13,SUMPRODUCT(($AH42&gt;=INDEX('Methodology &amp; Sources'!$B$279:$J$286,0,IF(Inputs!$C$12="MFJ",1,IF(Inputs!$C$12="HoH",7,4))))*INDEX('Methodology &amp; Sources'!$B$279:$J$286,0,IF(Inputs!$C$12="MFJ",1,IF(Inputs!$C$12="HoH",7,4))+2)),SUMPRODUCT(($AH42&gt;=INDEX('Methodology &amp; Sources'!$B$269:$J$276,0,IF(Inputs!$C$12="MFJ",1,IF(Inputs!$C$12="HoH",7,4))))*INDEX('Methodology &amp; Sources'!$B$269:$J$276,0,IF(Inputs!$C$12="MFJ",1,IF(Inputs!$C$12="HoH",7,4))+2)))),IF($AN42="MI",IF($AY42&gt;5900*$AS42,0.0425,0),""))))</f>
      </c>
      <c r="CA42" s="24">
        <f>IF($B42="","",IF($AN42="AL",IF(OR($AU42="Married",$AU42="Head of household"),SUMPRODUCT(($AZ42&gt;=INDEX('Methodology &amp; Sources'!$B$332:$J$336,0,4))*INDEX('Methodology &amp; Sources'!$B$332:$J$336,0,4+2)),SUMPRODUCT(($AZ42&gt;=INDEX('Methodology &amp; Sources'!$B$332:$J$336,0,1))*INDEX('Methodology &amp; Sources'!$B$332:$J$336,0,1+2)))*(1-IF(Inputs!$C$13,SUMPRODUCT(($AH42&gt;=INDEX('Methodology &amp; Sources'!$B$279:$J$286,0,IF(Inputs!$C$12="MFJ",1,IF(Inputs!$C$12="HoH",7,4))))*INDEX('Methodology &amp; Sources'!$B$279:$J$286,0,IF(Inputs!$C$12="MFJ",1,IF(Inputs!$C$12="HoH",7,4))+2)),SUMPRODUCT(($AH42&gt;=INDEX('Methodology &amp; Sources'!$B$269:$J$276,0,IF(Inputs!$C$12="MFJ",1,IF(Inputs!$C$12="HoH",7,4))))*INDEX('Methodology &amp; Sources'!$B$269:$J$276,0,IF(Inputs!$C$12="MFJ",1,IF(Inputs!$C$12="HoH",7,4))+2)))),IF($AN42="KS",IF($AU42="Married",SUMPRODUCT(($AZ42&gt;=INDEX('Methodology &amp; Sources'!$B$353:$J$359,0,4))*INDEX('Methodology &amp; Sources'!$B$353:$J$359,0,4+2)),SUMPRODUCT(($AZ42&gt;=INDEX('Methodology &amp; Sources'!$B$353:$J$359,0,1))*INDEX('Methodology &amp; Sources'!$B$353:$J$359,0,1+2))),IF($AN42="MD",IF(OR($AU42="Married",$AU42="Head of household"),SUMPRODUCT(($AZ42&gt;=INDEX('Methodology &amp; Sources'!$B$364:$J$370,0,1))*INDEX('Methodology &amp; Sources'!$B$364:$J$370,0,1+2)),SUMPRODUCT(($AZ42&gt;=INDEX('Methodology &amp; Sources'!$B$353:$J$359,0,7))*INDEX('Methodology &amp; Sources'!$B$353:$J$359,0,7+2)))+Inputs!$C$74,IF($AN42="MT",IF($AU42="Head of household",SUMPRODUCT(($AZ42&gt;=INDEX('Methodology &amp; Sources'!$B$387:$J$389,0,1))*INDEX('Methodology &amp; Sources'!$B$387:$J$389,0,1+2)),IF($AU42="Married",SUMPRODUCT(($AZ42&gt;=INDEX('Methodology &amp; Sources'!$B$375:$J$382,0,7))*INDEX('Methodology &amp; Sources'!$B$375:$J$382,0,7+2)),SUMPRODUCT(($AZ42&gt;=INDEX('Methodology &amp; Sources'!$B$375:$J$382,0,4))*INDEX('Methodology &amp; Sources'!$B$375:$J$382,0,4+2)))),IF($AN42="ND",IF($AU42="Head of household",SUMPRODUCT(($AZ42&gt;=INDEX('Methodology &amp; Sources'!$B$394:$J$400,0,1))*INDEX('Methodology &amp; Sources'!$B$394:$J$400,0,1+2)),IF($AU42="Married",SUMPRODUCT(($AZ42&gt;=INDEX('Methodology &amp; Sources'!$B$387:$J$389,0,7))*INDEX('Methodology &amp; Sources'!$B$387:$J$389,0,7+2)),SUMPRODUCT(($AZ42&gt;=INDEX('Methodology &amp; Sources'!$B$387:$J$389,0,4))*INDEX('Methodology &amp; Sources'!$B$387:$J$389,0,4+2)))),IF($AN42="NY",IF($AU42="Married",IF($AZ42&gt;=2155350,IF($AZ42&gt;25000000,0.117,IF($AZ42&gt;5000000,0.111,0.1045)),SUMPRODUCT(($AZ42&gt;=INDEX('Methodology &amp; Sources'!$B$434:$J$448,0,1))*INDEX('Methodology &amp; Sources'!$B$434:$J$448,0,1+2))),IF($AZ42&gt;=1077550,IF($AZ42&gt;25000000,0.117,IF($AZ42&gt;5000000,0.111,0.1045)),SUMPRODUCT(($AZ42&gt;=INDEX('Methodology &amp; Sources'!$B$417:$J$429,0,7))*INDEX('Methodology &amp; Sources'!$B$417:$J$429,0,7+2)))),"")))))))</f>
      </c>
      <c r="CB42" s="24">
        <f>IF($B42="","",IF($AN42="CA",SUMPRODUCT(($AJ42&gt;=INDEX('Methodology &amp; Sources'!$B$289:$J$298,0,IF($AU42="Married",4,IF($AU42="Head of household",7,1))))*INDEX('Methodology &amp; Sources'!$B$289:$J$298,0,IF($AU42="Married",4,IF($AU42="Head of household",7,1))+2)),IF($AN42="HI",IF($AU42="Married",SUMPRODUCT(($AZ42&gt;=INDEX('Methodology &amp; Sources'!$B$341:$J$348,0,7))*INDEX('Methodology &amp; Sources'!$B$341:$J$348,0,7+2)),SUMPRODUCT(($AZ42&gt;=INDEX('Methodology &amp; Sources'!$B$341:$J$348,0,4))*INDEX('Methodology &amp; Sources'!$B$341:$J$348,0,4+2))),IF($AN42="MN",IF($AU42="Married",SUMPRODUCT(($AZ42&gt;=INDEX('Methodology &amp; Sources'!$B$364:$J$370,0,7))*INDEX('Methodology &amp; Sources'!$B$364:$J$370,0,7+2)),SUMPRODUCT(($AZ42&gt;=INDEX('Methodology &amp; Sources'!$B$364:$J$370,0,4))*INDEX('Methodology &amp; Sources'!$B$364:$J$370,0,4+2))),IF($AN42="MO",SUMPRODUCT(($AZ42&gt;=INDEX('Methodology &amp; Sources'!$B$375:$J$382,0,1))*INDEX('Methodology &amp; Sources'!$B$375:$J$382,0,1+2)),IF($AN42="NE",MAX(IF($AU42="Married",SUMPRODUCT(($AZ42&gt;=INDEX('Methodology &amp; Sources'!$B$394:$J$400,0,7))*INDEX('Methodology &amp; Sources'!$B$394:$J$400,0,7+2)),SUMPRODUCT(($AZ42&gt;=INDEX('Methodology &amp; Sources'!$B$394:$J$400,0,4))*INDEX('Methodology &amp; Sources'!$B$394:$J$400,0,4+2))),0.015),IF($AN42="OH",IF($B42&gt;=DATE(2026,8,1),SUMPRODUCT(($AZ42&gt;=INDEX('Methodology &amp; Sources'!$B$453:$J$456,0,1))*INDEX('Methodology &amp; Sources'!$B$453:$J$456,0,1+2)),SUMPRODUCT(($AZ42&gt;=INDEX('Methodology &amp; Sources'!$B$434:$J$448,0,7))*INDEX('Methodology &amp; Sources'!$B$434:$J$448,0,7+2))),IF($AN42="OK",IF($AU42="Married",SUMPRODUCT(($AZ42&gt;=INDEX('Methodology &amp; Sources'!$B$453:$J$456,0,7))*INDEX('Methodology &amp; Sources'!$B$453:$J$456,0,7+2)),SUMPRODUCT(($AZ42&gt;=INDEX('Methodology &amp; Sources'!$B$453:$J$456,0,4))*INDEX('Methodology &amp; Sources'!$B$453:$J$456,0,4+2))),IF($AN42="RI",SUMPRODUCT(($AZ42&gt;=INDEX('Methodology &amp; Sources'!$B$461:$J$464,0,7))*INDEX('Methodology &amp; Sources'!$B$461:$J$464,0,7+2)),IF($AN42="SC",SUMPRODUCT(($AZ42&gt;=INDEX('Methodology &amp; Sources'!$B$469:$J$473,0,1))*INDEX('Methodology &amp; Sources'!$B$469:$J$473,0,1+2)),IF($AN42="VT",IF($AU42="Married",SUMPRODUCT(($AZ42&gt;=INDEX('Methodology &amp; Sources'!$B$478:$J$482,0,1))*INDEX('Methodology &amp; Sources'!$B$478:$J$482,0,1+2)),SUMPRODUCT(($AZ42&gt;=INDEX('Methodology &amp; Sources'!$B$469:$J$473,0,7))*INDEX('Methodology &amp; Sources'!$B$469:$J$473,0,7+2))),IF($AN42="WV",IF($AU42="Married",SUMPRODUCT(($AZ42&gt;=INDEX('Methodology &amp; Sources'!$B$487:$J$491,0,7))*INDEX('Methodology &amp; Sources'!$B$487:$J$491,0,7+2)),SUMPRODUCT(($AZ42&gt;=INDEX('Methodology &amp; Sources'!$B$478:$J$482,0,7))*INDEX('Methodology &amp; Sources'!$B$478:$J$482,0,7+2))),IF($AN42="IN",(0.0295+Inputs!$C$76),"")))))))))))))</f>
      </c>
      <c r="CC42" s="24">
        <f>IF($B42="","",IF($AN42="AR",SUMPRODUCT(($AZ42&gt;=INDEX('Methodology &amp; Sources'!$B$332:$J$336,0,7))*INDEX('Methodology &amp; Sources'!$B$332:$J$336,0,7+2)),IF($AN42="DE",SUMPRODUCT(($AZ42&gt;=INDEX('Methodology &amp; Sources'!$B$341:$J$348,0,1))*INDEX('Methodology &amp; Sources'!$B$341:$J$348,0,1+2)),IF($AN42="VA",SUMPRODUCT(($AZ42&gt;=INDEX('Methodology &amp; Sources'!$B$469:$J$473,0,4))*INDEX('Methodology &amp; Sources'!$B$469:$J$473,0,4+2)),IF($AN42="WI",SUMPRODUCT(($AZ42&gt;=INDEX('Methodology &amp; Sources'!$B$478:$J$482,0,4))*INDEX('Methodology &amp; Sources'!$B$478:$J$482,0,4+2)),IF($AN42="AZ",Inputs!$C$82,IF($AN42="CO",IF($AY42&gt;IF($AU42="Married",10000,5000),0.044,0),IF($AN42="IA",IF($AY42&gt;IF($AU42="Head of household",19500,IF($AU42="Married",26000,13000)),0.038,0),IF($AN42="ID",IF($AY42&gt;IF($AU42="Married",32000,16094),0.053,0),IF($AN42="IL",IF($AY42&gt;(2925*$AS42+1000*$AT42),0.0495,0),IF($AN42="KY",IF($AI42&gt;3360,0.035,0),IF($AN42="LA",0.0309,IF($AN42="MA",IF(MAX(0,$AY42-MIN(($BD41+$Q42+$R42+$S42),2000)-IF($AS42=0,0,IF($AS42=1,4400,1000*$AS42+3400)))&gt;=1107750,0.09,0.05),IF($AN42="MS",IF($AI42-IF($AU42="Head of household",3400,IF($AU42="Married",4600,2300))-Inputs!$C$85&gt;10000,0.04,0),IF($AN42="PA",0.0307,"")))))))))))))))</f>
      </c>
      <c r="CD42" s="21">
        <f>IF(YEAR(IF(Inputs!$C$7="Weekly",Inputs!$C$9+7*(($BE41+1)-1),IF(Inputs!$C$7="Biweekly",Inputs!$C$9+14*(($BE41+1)-1),IF(Inputs!$C$7="Semimonthly",DATE(YEAR(Inputs!$C$9),MONTH(Inputs!$C$9)+INT((($BE41+1)-1)/2),MIN(DAY(Inputs!$C$9),DAY(EOMONTH(DATE(YEAR(Inputs!$C$9),MONTH(Inputs!$C$9)+INT((($BE41+1)-1)/2),1),0))))+IF(MOD(($BE41+1)-1,2)=1,15,0),EDATE(Inputs!$C$9,($BE41+1)-1)))))&lt;&gt;2026,"",IF(Inputs!$C$7="Weekly",Inputs!$C$9+7*(($BE41+1)-1),IF(Inputs!$C$7="Biweekly",Inputs!$C$9+14*(($BE41+1)-1),IF(Inputs!$C$7="Semimonthly",DATE(YEAR(Inputs!$C$9),MONTH(Inputs!$C$9)+INT((($BE41+1)-1)/2),MIN(DAY(Inputs!$C$9),DAY(EOMONTH(DATE(YEAR(Inputs!$C$9),MONTH(Inputs!$C$9)+INT((($BE41+1)-1)/2),1),0))))+IF(MOD(($BE41+1)-1,2)=1,15,0),EDATE(Inputs!$C$9,($BE41+1)-1)))))</f>
      </c>
      <c r="CE42" s="21">
        <f>IF(SUMPRODUCT(MIN(IF((Inputs!$C$58:$C$67&gt;MAX($B$6:$B41))*(Inputs!$C$58:$C$67&gt;=DATE(2026,1,1))*(Inputs!$C$58:$C$67&lt;=DATE(2026,12,31)),Inputs!$C$58:$C$67,999999)))=999999,"",SUMPRODUCT(MIN(IF((Inputs!$C$58:$C$67&gt;MAX($B$6:$B41))*(Inputs!$C$58:$C$67&gt;=DATE(2026,1,1))*(Inputs!$C$58:$C$67&lt;=DATE(2026,12,31)),Inputs!$C$58:$C$67,999999))))</f>
      </c>
    </row>
    <row r="43">
      <c r="A43" t="n">
        <v>38</v>
      </c>
      <c r="B43" s="21">
        <f>IF(AND($CD43="",$CE43=""),"",IF($CE43="",$CD43,IF($CD43="",$CE43,MIN($CD43,$CE43))))</f>
      </c>
      <c r="C43" s="7">
        <f>IF($B43="","",IF($BF43=0,0,IF(Inputs!$C$4="Annual salary",ROUND($AK43/IF(AND(Inputs!$C$88="Actual paydays",MONTH(Inputs!$C$9)=1),MAX(1,MAX($BE$6:$BE$68)),Inputs!$C$8),2),$AK43)))</f>
      </c>
      <c r="D43" s="7">
        <f>IF($B43="","",SUMIF(Inputs!$C$58:$C$67,$B43,Inputs!$D$58:$D$67))</f>
      </c>
      <c r="E43" s="7">
        <f>IF($B43="","",ROUND(MAX(0,MIN(IF($AL43="Percent",$AM43*($C43+$D43),$AM43),MAX(0,Inputs!$C$91-$AC42))),2))</f>
      </c>
      <c r="F43" s="7">
        <f>IF($B43="","",ROUND(MAX(0,MIN(IF(Inputs!$C$32="Percent",Inputs!$D$32*($C43+$D43),Inputs!$D$32),MAX(0,Inputs!$C$91-$AC42-$E43))),2))</f>
      </c>
      <c r="G43" s="7">
        <f>IF($B43="","",IF($BF43=0,0,ROUND(MAX(0,MIN($BL43,Inputs!$C$92-Inputs!$C$54-$BI42)),2)))</f>
      </c>
      <c r="H43" s="7">
        <f>IF($B43="","",IF(OR($BF43=0,$BQ43=1),0,ROUND(MAX(0,MIN(IF($BS43=1,ROUND(MAX(0,MIN($BJ43,'Methodology &amp; Sources'!$C$263)-$BG42)/MAX(1,MAX($BE$6:$BE$68)-($BE42)),2),ROUND(MIN($BJ43,'Methodology &amp; Sources'!$C$263)/Inputs!$C$8,2)),MIN($BJ43,'Methodology &amp; Sources'!$C$263)-$BG42)),2)))</f>
      </c>
      <c r="I43" s="7">
        <f>IF($B43="","",IF(OR($BF43=0,$BR43=1),0,ROUND(MAX(0,MIN(IF($BT43=1,ROUND(MAX(0,MIN($BK43,IF(Inputs!$C$12="MFJ",'Methodology &amp; Sources'!$C$264,'Methodology &amp; Sources'!$C$265))-$BH42)/MAX(1,MAX($BE$6:$BE$68)-($BE42)),2),ROUND(MIN($BK43,IF(Inputs!$C$12="MFJ",'Methodology &amp; Sources'!$C$264,'Methodology &amp; Sources'!$C$265))/Inputs!$C$8,2)),MIN($BK43,IF(Inputs!$C$12="MFJ",'Methodology &amp; Sources'!$C$264,'Methodology &amp; Sources'!$C$265))-$BH42)),2)))</f>
      </c>
      <c r="J43" s="7">
        <f>IF($B43="","",IF($BF43=0,0,$BM43))</f>
      </c>
      <c r="K43" s="7">
        <f>IF($B43="","",IF($BF43=0,0,$BN43+$BO43))</f>
      </c>
      <c r="L43" s="7">
        <f>IF($B43="","",IF($BF43=0,0,Inputs!$D$46))</f>
      </c>
      <c r="M43" s="7">
        <f>IF($B43="","",$C43+$D43+$L43-$E43-$G43-$H43-$I43-$J43-$K43)</f>
      </c>
      <c r="N43" s="7">
        <f>IF($B43="","",$C43+$D43+$L43-$G43-$H43-$I43-$J43-$K43)</f>
      </c>
      <c r="O43" s="7">
        <f>IF($B43="","",$C43+$D43+$L43-$E43-$H43-$I43-$J43-$K43-IF(OR($AN43="CA",$AN43="NJ"),0,$G43))</f>
      </c>
      <c r="P43" s="7">
        <f>IF($B43="","",IF(Inputs!$C$18,0,ROUND(MAX(0,IF(Inputs!$C$13,SUMPRODUCT(($AH43&gt;INDEX('Methodology &amp; Sources'!$B$279:$J$286,0,IF(Inputs!$C$12="MFJ",1,IF(Inputs!$C$12="HoH",7,4))))*($AH43-INDEX('Methodology &amp; Sources'!$B$279:$J$286,0,IF(Inputs!$C$12="MFJ",1,IF(Inputs!$C$12="HoH",7,4))))*INDEX('Methodology &amp; Sources'!$B$279:$J$286,0,IF(Inputs!$C$12="MFJ",1,IF(Inputs!$C$12="HoH",7,4))+2)),SUMPRODUCT(($AH43&gt;INDEX('Methodology &amp; Sources'!$B$269:$J$276,0,IF(Inputs!$C$12="MFJ",1,IF(Inputs!$C$12="HoH",7,4))))*($AH43-INDEX('Methodology &amp; Sources'!$B$269:$J$276,0,IF(Inputs!$C$12="MFJ",1,IF(Inputs!$C$12="HoH",7,4))))*INDEX('Methodology &amp; Sources'!$B$269:$J$276,0,IF(Inputs!$C$12="MFJ",1,IF(Inputs!$C$12="HoH",7,4))+2)))/Inputs!$C$8-$AO43/Inputs!$C$8)+$AR43+IF(Inputs!$C$89="Aggregate",MAX(0,IF(Inputs!$C$13,SUMPRODUCT((($AH43+$D43)&gt;INDEX('Methodology &amp; Sources'!$B$279:$J$286,0,IF(Inputs!$C$12="MFJ",1,IF(Inputs!$C$12="HoH",7,4))))*(($AH43+$D43)-INDEX('Methodology &amp; Sources'!$B$279:$J$286,0,IF(Inputs!$C$12="MFJ",1,IF(Inputs!$C$12="HoH",7,4))))*INDEX('Methodology &amp; Sources'!$B$279:$J$286,0,IF(Inputs!$C$12="MFJ",1,IF(Inputs!$C$12="HoH",7,4))+2)),SUMPRODUCT((($AH43+$D43)&gt;INDEX('Methodology &amp; Sources'!$B$269:$J$276,0,IF(Inputs!$C$12="MFJ",1,IF(Inputs!$C$12="HoH",7,4))))*(($AH43+$D43)-INDEX('Methodology &amp; Sources'!$B$269:$J$276,0,IF(Inputs!$C$12="MFJ",1,IF(Inputs!$C$12="HoH",7,4))))*INDEX('Methodology &amp; Sources'!$B$269:$J$276,0,IF(Inputs!$C$12="MFJ",1,IF(Inputs!$C$12="HoH",7,4))+2)))-IF(Inputs!$C$13,SUMPRODUCT(($AH43&gt;INDEX('Methodology &amp; Sources'!$B$279:$J$286,0,IF(Inputs!$C$12="MFJ",1,IF(Inputs!$C$12="HoH",7,4))))*($AH43-INDEX('Methodology &amp; Sources'!$B$279:$J$286,0,IF(Inputs!$C$12="MFJ",1,IF(Inputs!$C$12="HoH",7,4))))*INDEX('Methodology &amp; Sources'!$B$279:$J$286,0,IF(Inputs!$C$12="MFJ",1,IF(Inputs!$C$12="HoH",7,4))+2)),SUMPRODUCT(($AH43&gt;INDEX('Methodology &amp; Sources'!$B$269:$J$276,0,IF(Inputs!$C$12="MFJ",1,IF(Inputs!$C$12="HoH",7,4))))*($AH43-INDEX('Methodology &amp; Sources'!$B$269:$J$276,0,IF(Inputs!$C$12="MFJ",1,IF(Inputs!$C$12="HoH",7,4))))*INDEX('Methodology &amp; Sources'!$B$269:$J$276,0,IF(Inputs!$C$12="MFJ",1,IF(Inputs!$C$12="HoH",7,4))+2)))),'Methodology &amp; Sources'!$C$260*$D43),2)))</f>
      </c>
      <c r="Q43" s="7">
        <f>IF($B43="","",ROUND('Methodology &amp; Sources'!$C$254*MIN($N43,MAX(0,'Methodology &amp; Sources'!$C$253-($AX43+$AB42-$AW43))),2))</f>
      </c>
      <c r="R43" s="7">
        <f>IF($B43="","",ROUND('Methodology &amp; Sources'!$C$255*$N43,2))</f>
      </c>
      <c r="S43" s="7">
        <f>IF($B43="","",ROUND('Methodology &amp; Sources'!$C$256*MAX(0,MIN($N43,$AG42+$N43-'Methodology &amp; Sources'!$C$257)),2))</f>
      </c>
      <c r="T43" s="7">
        <f>IF($B43="","",IF(Inputs!$C$26,0,IF($AN43="CA",ROUND(IF($AI43&lt;=IF(($AS43+$AT43)&gt;=2,VLOOKUP($AN43,'StateTables 2026'!$A$6:$AB$56,10,FALSE),VLOOKUP($AN43,'StateTables 2026'!$A$6:$AB$56,9,FALSE)),0,MAX(0,SUMPRODUCT(($AJ43&gt;INDEX('Methodology &amp; Sources'!$B$289:$J$298,0,IF($AU43="Married",4,IF($AU43="Head of household",7,1))))*($AJ43-INDEX('Methodology &amp; Sources'!$B$289:$J$298,0,IF($AU43="Married",4,IF($AU43="Head of household",7,1))))*INDEX('Methodology &amp; Sources'!$B$289:$J$298,0,IF($AU43="Married",4,IF($AU43="Head of household",7,1))+2))-VLOOKUP($AN43,'StateTables 2026'!$A$6:$AB$56,11,FALSE)*$AS43)/Inputs!$C$8)+Inputs!$C$25+VLOOKUP($AN43,'StateTables 2026'!$A$6:$AB$56,13,FALSE)*$D43,2),IF(VLOOKUP($AN43,'StateTables 2026'!$A$6:$AB$56,4,FALSE)="None",0,IF(ISNUMBER(SEARCH("MANUAL",VLOOKUP($AN43,'StateTables 2026'!$A$6:$AB$56,5,FALSE))),Inputs!$C$28,ROUND(MAX(0,$BA43+$BB43)/Inputs!$C$8+Inputs!$C$25+$BC43,2))))))</f>
      </c>
      <c r="U43" s="7">
        <f>IF($B43="","",IF(VLOOKUP($AN43,'StateTables 2026'!$A$6:$AB$56,24,FALSE)="flatq",IF(OR(MONTH($B43)=1,MONTH($B43)=4,MONTH($B43)=7,MONTH($B43)=10),VLOOKUP($AN43,'StateTables 2026'!$A$6:$AB$56,25,FALSE),0),IF(VLOOKUP($AN43,'StateTables 2026'!$A$6:$AB$56,24,FALSE)="dbl",MIN(ROUND(0.005*$N43,2),ROUND(0.6*52/Inputs!$C$8,2)),IF(OR(VLOOKUP($AN43,'StateTables 2026'!$A$6:$AB$56,15,FALSE)="",VLOOKUP($AN43,'StateTables 2026'!$A$6:$AB$56,15,FALSE)=0),0,ROUND(VLOOKUP($AN43,'StateTables 2026'!$A$6:$AB$56,15,FALSE)*IF(OR(VLOOKUP($AN43,'StateTables 2026'!$A$6:$AB$56,16,FALSE)="",VLOOKUP($AN43,'StateTables 2026'!$A$6:$AB$56,16,FALSE)=0),$N43,MIN($N43,MAX(0,VLOOKUP($AN43,'StateTables 2026'!$A$6:$AB$56,16,FALSE)-($AX43+$AB42-$AW43)))),2))))+IF(VLOOKUP($AN43,'StateTables 2026'!$A$6:$AB$56,27,FALSE)="flatq",IF(OR(MONTH($B43)=1,MONTH($B43)=4,MONTH($B43)=7,MONTH($B43)=10),VLOOKUP($AN43,'StateTables 2026'!$A$6:$AB$56,28,FALSE),0),IF(VLOOKUP($AN43,'StateTables 2026'!$A$6:$AB$56,27,FALSE)="dbl",MIN(ROUND(0.005*$N43,2),ROUND(0.6*52/Inputs!$C$8,2)),IF(OR(VLOOKUP($AN43,'StateTables 2026'!$A$6:$AB$56,18,FALSE)="",VLOOKUP($AN43,'StateTables 2026'!$A$6:$AB$56,18,FALSE)=0),0,ROUND(VLOOKUP($AN43,'StateTables 2026'!$A$6:$AB$56,18,FALSE)*IF(OR(VLOOKUP($AN43,'StateTables 2026'!$A$6:$AB$56,19,FALSE)="",VLOOKUP($AN43,'StateTables 2026'!$A$6:$AB$56,19,FALSE)=0),$N43,MIN($N43,MAX(0,VLOOKUP($AN43,'StateTables 2026'!$A$6:$AB$56,19,FALSE)-($AX43+$AB42-$AW43)))),2)))))</f>
      </c>
      <c r="V43" s="7">
        <f>IF($B43="","",IF($AN43="NY",IF(Inputs!$C$78,ROUND(SUMPRODUCT((MAX(0,($O43-$D43)*Inputs!$C$8-(IF($AU43="Married",5500,5000)+1000*$AS43))&gt;INDEX('Methodology &amp; Sources'!$B$434:$J$448,0,4))*(MAX(0,($O43-$D43)*Inputs!$C$8-(IF($AU43="Married",5500,5000)+1000*$AS43))-INDEX('Methodology &amp; Sources'!$B$434:$J$448,0,4))*INDEX('Methodology &amp; Sources'!$B$434:$J$448,0,4+2))/Inputs!$C$8+0.0425*$D43,2),0)+IF(Inputs!$C$79="Resident",ROUND(0.1675*$T43,2),IF(Inputs!$C$79="Nonresident",ROUND(0.005*MAX(0,($O43-$D43)-(IF($AU43="Married",7950,7400)+1000*$AS43)/Inputs!$C$8),2),0)),IF($AN43="PA",IF(Inputs!$C$80="None",Inputs!$C$27+ROUND(Inputs!$C$81*($C43+$D43),2),ROUND(IF(Inputs!$C$80="Resident",IF($B43&lt;DATE(2026,7,1),0.0374,0.03735),IF($B43&lt;DATE(2026,7,1),0.0343,0.03425))*($C43+$D43),2)),IF($BF43=0,ROUND(Inputs!$C$81*($C43+$D43),2),Inputs!$C$27+ROUND(Inputs!$C$81*($C43+$D43),2)))))</f>
      </c>
      <c r="W43" s="7">
        <f>IF($B43="","",IF($BF43=0,0,$BP43))</f>
      </c>
      <c r="X43" s="7">
        <f>IF($B43="","",SUM($E43:$K43)+$P43+$Q43+$R43+$S43+$T43+$U43+$V43+$W43)</f>
      </c>
      <c r="Y43" s="22">
        <f>IF($B43="","",$C43+$D43-$X43)</f>
      </c>
      <c r="Z43" s="7">
        <f>IF($B43="","",$Z42+$C43+$D43)</f>
      </c>
      <c r="AA43" s="7">
        <f>IF($B43="","",$AA42+$Y43)</f>
      </c>
      <c r="AB43" s="7">
        <f>IF($B43="","",$AB42+MIN($N43,MAX(0,'Methodology &amp; Sources'!$C$253-($AX43+$AB42-$AW43))))</f>
      </c>
      <c r="AC43" s="7">
        <f>IF($B43="","",$AC42+$E43+$F43)</f>
      </c>
      <c r="AD43" s="3">
        <f>IF($B43="","",IF(AND($AB42&lt;'Methodology &amp; Sources'!$C$253,$AB43&gt;='Methodology &amp; Sources'!$C$253),"★ Social Security maxed on this check — from the next check your net rises by about $"&amp;TEXT(ROUND('Methodology &amp; Sources'!$C$254*$N43,2),"#,##0.00")&amp;". ","")&amp;IF(AND($AC42&lt;Inputs!$C$91,$AC43&gt;=Inputs!$C$91),"★ 401(k) reaches the $"&amp;TEXT(Inputs!$C$91,"#,##0")&amp;" cap on this check — deferrals stop and net pay rises. ","")&amp;IF(AND($AG42&lt;'Methodology &amp; Sources'!$C$257,$AG43&gt;='Methodology &amp; Sources'!$C$257),"★ Wages pass $200,000 — the 0.9% Additional Medicare Tax starts here. ","")&amp;IF(AND($BJ43&gt;0,$H43&gt;0,$BG42&lt;MIN($BJ43,'Methodology &amp; Sources'!$C$263),$BG42+$H43&gt;=MIN($BJ43,'Methodology &amp; Sources'!$C$263)),"★ Health FSA election is now fully deferred for the year. ",""))</f>
      </c>
      <c r="AE43" s="41" t="n"/>
      <c r="AF43" s="7">
        <f>IF(OR($B43="",$AE43=""),"",$AE43-$Y43)</f>
      </c>
      <c r="AG43" s="7">
        <f>IF($B43="","",$AG42+$N43)</f>
      </c>
      <c r="AH43" s="7">
        <f>IF($B43="","",MAX(0,($M43-$D43)*Inputs!$C$8+$AP43-$AQ43-IF(Inputs!$C$13,0,IF(Inputs!$C$12="MFJ",'Methodology &amp; Sources'!$C$258,'Methodology &amp; Sources'!$C$259))))</f>
      </c>
      <c r="AI43" s="7">
        <f>IF($B43="","",$O43*Inputs!$C$8)</f>
      </c>
      <c r="AJ43" s="7">
        <f>IF($B43="","",MAX(0,$AI43-VLOOKUP($AN43,'StateTables 2026'!$A$6:$AB$56,12,FALSE)*$AT43-IF(($AS43+$AT43)&gt;=2,VLOOKUP($AN43,'StateTables 2026'!$A$6:$AB$56,8,FALSE),VLOOKUP($AN43,'StateTables 2026'!$A$6:$AB$56,7,FALSE))))</f>
      </c>
      <c r="AK43" s="7">
        <f>IF($B43="","",IFERROR(LOOKUP(2,1/((Events!$C$6:$C$17="Salary change")*(Events!$B$6:$B$17&lt;=$B43)*(Events!$B$6:$B$17&lt;&gt;"")),Events!$D$6:$D$17),IF(Inputs!$C$4="Annual salary",Inputs!$C$5,Inputs!$C$6)))</f>
      </c>
      <c r="AL43">
        <f>IF($B43="","",IFERROR(LOOKUP(2,1/((Events!$C$6:$C$17="401(k) change")*(Events!$B$6:$B$17&lt;=$B43)*(Events!$B$6:$B$17&lt;&gt;"")),Events!$D$6:$D$17),Inputs!$C$30))</f>
      </c>
      <c r="AM43" s="7">
        <f>IF($B43="","",IFERROR(LOOKUP(2,1/((Events!$C$6:$C$17="401(k) change")*(Events!$B$6:$B$17&lt;=$B43)*(Events!$B$6:$B$17&lt;&gt;"")),Events!$E$6:$E$17),Inputs!$D$30))</f>
      </c>
      <c r="AN43">
        <f>IF($B43="","",IFERROR(LOOKUP(2,1/((Events!$C$6:$C$17="State move")*(Events!$B$6:$B$17&lt;=$B43)*(Events!$B$6:$B$17&lt;&gt;"")),Events!$D$6:$D$17),Inputs!$C$21))</f>
      </c>
      <c r="AO43" s="7">
        <f>IF($B43="","",IFERROR(LOOKUP(2,1/((Events!$C$6:$C$17="W-4 change")*(Events!$B$6:$B$17&lt;=$B43)*(Events!$B$6:$B$17&lt;&gt;"")),Events!$D$6:$D$17),Inputs!$C$14))</f>
      </c>
      <c r="AP43" s="7">
        <f>IF($B43="","",IFERROR(LOOKUP(2,1/((Events!$C$6:$C$17="W-4 change")*(Events!$B$6:$B$17&lt;=$B43)*(Events!$B$6:$B$17&lt;&gt;"")),Events!$E$6:$E$17),Inputs!$C$15))</f>
      </c>
      <c r="AQ43" s="7">
        <f>IF($B43="","",IFERROR(LOOKUP(2,1/((Events!$C$6:$C$17="W-4 change")*(Events!$B$6:$B$17&lt;=$B43)*(Events!$B$6:$B$17&lt;&gt;"")),Events!$F$6:$F$17),Inputs!$C$16))</f>
      </c>
      <c r="AR43" s="7">
        <f>IF($B43="","",IFERROR(LOOKUP(2,1/((Events!$C$6:$C$17="W-4 change")*(Events!$B$6:$B$17&lt;=$B43)*(Events!$B$6:$B$17&lt;&gt;"")),Events!$G$6:$G$17),Inputs!$C$17))</f>
      </c>
      <c r="AS43" s="6">
        <f>IF($B43="","",IFERROR(LOOKUP(2,1/(((Events!$C$6:$C$17="State move")+(Events!$C$6:$C$17="State cert change"))*(Events!$B$6:$B$17&lt;=$B43)*(Events!$B$6:$B$17&lt;&gt;"")),Events!$F$6:$F$17),Inputs!$C$23))</f>
      </c>
      <c r="AT43" s="6">
        <f>IF($B43="","",IFERROR(LOOKUP(2,1/(((Events!$C$6:$C$17="State move")+(Events!$C$6:$C$17="State cert change"))*(Events!$B$6:$B$17&lt;=$B43)*(Events!$B$6:$B$17&lt;&gt;"")),Events!$G$6:$G$17),Inputs!$C$24))</f>
      </c>
      <c r="AU43">
        <f>IF($B43="","",IFERROR(LOOKUP(2,1/((Events!$C$6:$C$17="State move")*(Events!$B$6:$B$17&lt;=$B43)*(Events!$B$6:$B$17&lt;&gt;"")),Events!$E$6:$E$17),Inputs!$C$22))</f>
      </c>
      <c r="AV43" s="6">
        <f>IF($B43="","",1+COUNTIFS(Events!$C$6:$C$17,"Employer change",Events!$B$6:$B$17,"&lt;="&amp;$B43,Events!$B$6:$B$17,"&lt;&gt;"))</f>
      </c>
      <c r="AW43" s="7">
        <f>IF($B43="","",IF($AV43=1,Inputs!$C$49,IF(IFERROR(MATCH(IFERROR(LOOKUP(2,1/((Events!$C$6:$C$17="Employer change")*(Events!$B$6:$B$17&lt;=$B43)*(Events!$B$6:$B$17&lt;&gt;"")),Events!$B$6:$B$17),""),$B$6:$B$68,1),1)&lt;=1,Inputs!$C$49,INDEX($AB$6:$AB$68,MATCH(IFERROR(LOOKUP(2,1/((Events!$C$6:$C$17="Employer change")*(Events!$B$6:$B$17&lt;=$B43)*(Events!$B$6:$B$17&lt;&gt;"")),Events!$B$6:$B$17),""),$B$6:$B$68,1)-1))))</f>
      </c>
      <c r="AX43" s="7">
        <f>IF($B43="","",IF($AV43=1,Inputs!$C$49,IFERROR(LOOKUP(2,1/((Events!$C$6:$C$17="Employer change")*(Events!$B$6:$B$17&lt;=$B43)*(Events!$B$6:$B$17&lt;&gt;"")),Events!$D$6:$D$17),0)))</f>
      </c>
      <c r="AY43" s="7">
        <f>IF($B43="","",($O43-$D43)*Inputs!$C$8)</f>
      </c>
      <c r="AZ43" s="7">
        <f>IF($B43="","",IF($AN43="AL",MAX(0,$AY43-IF($AU43="Married",IF($AY43&lt;=25999,8500,MAX(5000,8500-175*CEILING(($AY43-25999)/500,1))),IF($AU43="Head of household",IF($AY43&lt;=25999,5200,MAX(2500,5200-135*CEILING(($AY43-25999)/500,1))),IF($AY43&lt;=25999,3000,MAX(2500,3000-25*CEILING(($AY43-25999)/500,1)))))-($P43-'Methodology &amp; Sources'!$C$260*$D43)*Inputs!$C$8-IF(OR($AU43="Married",$AU43="Head of household"),3000,1500)-$AT43*IF($AY43&lt;=50000,1000,IF($AY43&lt;=100000,500,300))),IF($AN43="AR",IF(MAX(0,$AY43-2470)&lt;97701,INT(MAX(0,$AY43-2470)/100)*100+50,MAX(0,$AY43-2470)),IF($AN43="DE",MAX(0,$AI43-3250),IF($AN43="HI",MAX(0,$AI43-1144*$AS43-4350),IF($AN43="KS",MAX(0,$AI43-(9160*IF($AU43="Married",2,1)+2320*$AT43+IF($AU43="Head of household",2320,0))),IF($AN43="MD",MAX(0,$AI43-3400-3200*$AS43),IF($AN43="MN",MAX(0,$AY43-5300*$AS43),IF($AN43="MO",MAX(0,$AI43-IF($AU43="Head of household",24150,IF($AU43="Married",IF(Inputs!$C$83,16100,32200),16100))),IF($AN43="MT",$AY43,IF($AN43="ND",($C43+$L43)*Inputs!$C$8,IF($AN43="NE",MAX(0,$AY43-2440*$AS43),IF($AN43="NJ",MAX(0,$AY43-1000*$AS43),IF($AN43="NY",MAX(0,$AY43-(IF($AU43="Married",7950,7400)+1000*$AS43)),IF($AN43="OH",MAX(0,$AY43-650*$AS43),IF($AN43="OK",MAX(0,$AY43-1000*$AS43),IF($AN43="RI",MAX(0,$AI43-1000*$AS43),IF($AN43="SC",MAX(0,$AI43-5000*$AS43-IF($AS43=0,0,MIN(0.1*$AI43,7500))),IF($AN43="VA",MAX(0,$AI43-IF($AU43="Married",17500,8750)-930*$AS43-800*$AT43),IF($AN43="VT",MAX(0,$AI43-5400*$AS43),IF($AN43="WI",MAX(0,$AI43-MAX(0,IF($AU43="Married",9461-0.2*MAX(0,$AI43-25727),6702-0.12*MAX(0,$AI43-17780)))-400*$AS43),IF($AN43="WV",MAX(0,$AI43-2000*$AS43),$AI43))))))))))))))))))))))</f>
      </c>
      <c r="BA43" s="7">
        <f>IF($B43="","",IF($BW43&lt;&gt;"",$BW43,IF($BX43&lt;&gt;"",$BX43,IF($BY43&lt;&gt;"",$BY43,0))))</f>
      </c>
      <c r="BB43" s="7">
        <f>IF($B43="","",IF($AN43="AR",-29*$AS43,IF($AN43="DE",-110*$AS43,IF($AN43="MD",$AZ43*Inputs!$C$74,IF($AN43="AZ",Inputs!$C$82*($M43-$D43)*Inputs!$C$8,IF($AN43="CO",0.044*MAX(0,$AY43-IF($AU43="Married",10000,5000)),IF($AN43="IA",MAX(0,0.038*MAX(0,$AY43-IF($AU43="Head of household",19500,IF($AU43="Married",26000,13000)))-40*$AS43),IF($AN43="ID",0.053*MAX(0,$AY43-IF($AU43="Married",32000,16094)),IF($AN43="IL",0.0495*MAX(0,$AY43-(2925*$AS43+1000*$AT43)),IF($AN43="IN",(0.0295+Inputs!$C$76)*MAX(0,$AY43-(1000*$AS43+1500*$AT43+3000*Inputs!$C$86)),IF($AN43="KY",0.035*MAX(0,$AI43-3360),IF($AN43="LA",IF(Inputs!$C$84="0",0.0309*$AI43,0.0309*MAX(0,$AI43-IF(Inputs!$C$84="2",25750,12875))),IF($AN43="MA",0.05*MIN(MAX(0,$AY43-MIN(($BD42+$Q43+$R43+$S43),2000)-IF($AS43=0,0,IF($AS43=1,4400,1000*$AS43+3400))),1107750)+0.09*MAX(0,MAX(0,$AY43-MIN(($BD42+$Q43+$R43+$S43),2000)-IF($AS43=0,0,IF($AS43=1,4400,1000*$AS43+3400)))-1107750)-IF($AU43="Head of household",120,0)-110*Inputs!$C$75,IF($AN43="MI",0.0425*MAX(0,$AY43-5900*$AS43),IF($AN43="MS",0.04*MAX(0,$AI43-IF($AU43="Head of household",3400,IF($AU43="Married",4600,2300))-Inputs!$C$85-10000),IF($AN43="OR",IF(OR($AU43="Married",AND($AU43="Single",$AS43&gt;=3)),SUMPRODUCT((MAX(0,$AY43-MIN(($P43-'Methodology &amp; Sources'!$C$260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Sources'!$B$461:$J$464,0,4))*(MAX(0,$AY43-MIN(($P43-'Methodology &amp; Sources'!$C$260*$D43)*Inputs!$C$8,IF(OR($AU43="Married",AND($AU43="Single",$AS43&gt;=3)),IF($AY43&lt;250000,8750,IF($AY43&lt;260000,7000,IF($AY43&lt;270000,5250,IF($AY43&lt;280000,3500,IF($AY43&lt;290000,1750,0))))),IF($AY43&lt;125000,8750,IF($AY43&lt;130000,7000,IF($AY43&lt;135000,5250,IF($AY43&lt;140000,3500,IF($AY43&lt;145000,1750,0)))))))-IF(OR($AU43="Married",AND($AU43="Single",$AS43&gt;=3)),5820,2910))-INDEX('Methodology &amp; Sources'!$B$461:$J$464,0,4))*INDEX('Methodology &amp; Sources'!$B$461:$J$464,0,4+2)),SUMPRODUCT((MAX(0,$AY43-MIN(($P43-'Methodology &amp; Sources'!$C$260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Sources'!$B$461:$J$464,0,1))*(MAX(0,$AY43-MIN(($P43-'Methodology &amp; Sources'!$C$260*$D43)*Inputs!$C$8,IF(OR($AU43="Married",AND($AU43="Single",$AS43&gt;=3)),IF($AY43&lt;250000,8750,IF($AY43&lt;260000,7000,IF($AY43&lt;270000,5250,IF($AY43&lt;280000,3500,IF($AY43&lt;290000,1750,0))))),IF($AY43&lt;125000,8750,IF($AY43&lt;130000,7000,IF($AY43&lt;135000,5250,IF($AY43&lt;140000,3500,IF($AY43&lt;145000,1750,0)))))))-IF(OR($AU43="Married",AND($AU43="Single",$AS43&gt;=3)),5820,2910))-INDEX('Methodology &amp; Sources'!$B$461:$J$464,0,1))*INDEX('Methodology &amp; Sources'!$B$461:$J$464,0,1+2)))+263-263*IF(IF($AU43="Married",$AY43&gt;200000,$AY43&gt;100000),0,$AS43),IF($AN43="PA",0.0307*(($O43+$E43+$G43)*Inputs!$C$8),IF($AN43="NY",IF($AU43="Married",IF($AZ43&gt;=2155350,0,IF($AZ43&gt;=1077550,0.48,IF($AZ43&gt;=373200,1.21,IF($AZ43&gt;=323200,0.21,IF($AZ43&gt;=211550,-0.19,IF($AZ43&gt;=157650,-2.8,IF($AZ43&gt;=107650,-0.8,IF($AZ43&gt;=96800,0.05,IF($AZ43&gt;=80650,-0.1,IF($AZ43&gt;=13900,0.4,IF($AZ43&gt;=11700,-0.3,IF($AZ43&gt;=8500,0.5,0)))))))))))),IF($AZ43&gt;=1077550,0,IF($AZ43&gt;=265400,4.29,IF($AZ43&gt;=215400,2.29,IF($AZ43&gt;=157650,2.29,IF($AZ43&gt;=107650,0.29,IF($AZ43&gt;=96800,0.05,IF($AZ43&gt;=80650,-0.1,IF($AZ43&gt;=13900,0.4,IF($AZ43&gt;=11700,-0.3,IF($AZ43&gt;=8500,0.5,0))))))))))),0))))))))))))))))))</f>
      </c>
      <c r="BC43" s="7">
        <f>IF($B43="","",IF($AN43="AL",0.05*$D43,IF($AN43="AR",0.039*$D43,IF($AN43="ID",0.053*$D43,IF($AN43="IN",(0.0295+Inputs!$C$76)*$D43,IF($AN43="KS",0.05*$D43,IF($AN43="MA",0.09*MIN($D43,MAX(0,MAX(0,$AY43-MIN(($BD42+$Q43+$R43+$S43),2000)-IF($AS43=0,0,IF($AS43=1,4400,1000*$AS43+3400)))+$D43-1107750))+0.05*($D43-MIN($D43,MAX(0,MAX(0,$AY43-MIN(($BD42+$Q43+$R43+$S43),2000)-IF($AS43=0,0,IF($AS43=1,4400,1000*$AS43+3400)))+$D43-1107750))),IF($AN43="MD",(0.065+Inputs!$C$74)*$D43,IF($AN43="MI",0.0425*$D43,IF($AN43="MN",0.0625*$D43,IF($AN43="MO",0.047*$D43,IF($AN43="MT",0.05*$D43,IF($AN43="ND",0.015*$D43,IF($AN43="NE",0.035*$D43,IF($AN43="NJ",IF(Inputs!$C$77="B",SUMPRODUCT(($D43*Inputs!$C$8&gt;INDEX('Methodology &amp; Sources'!$B$405:$J$412,0,4))*($D43*Inputs!$C$8-INDEX('Methodology &amp; Sources'!$B$405:$J$412,0,4))*INDEX('Methodology &amp; Sources'!$B$405:$J$412,0,4+2)),IF(Inputs!$C$77="C",SUMPRODUCT(($D43*Inputs!$C$8&gt;INDEX('Methodology &amp; Sources'!$B$405:$J$412,0,7))*($D43*Inputs!$C$8-INDEX('Methodology &amp; Sources'!$B$405:$J$412,0,7))*INDEX('Methodology &amp; Sources'!$B$405:$J$412,0,7+2)),IF(Inputs!$C$77="D",SUMPRODUCT(($D43*Inputs!$C$8&gt;INDEX('Methodology &amp; Sources'!$B$417:$J$429,0,1))*($D43*Inputs!$C$8-INDEX('Methodology &amp; Sources'!$B$417:$J$429,0,1))*INDEX('Methodology &amp; Sources'!$B$417:$J$429,0,1+2)),IF(Inputs!$C$77="E",SUMPRODUCT(($D43*Inputs!$C$8&gt;INDEX('Methodology &amp; Sources'!$B$417:$J$429,0,4))*($D43*Inputs!$C$8-INDEX('Methodology &amp; Sources'!$B$417:$J$429,0,4))*INDEX('Methodology &amp; Sources'!$B$417:$J$429,0,4+2)),SUMPRODUCT(($D43*Inputs!$C$8&gt;INDEX('Methodology &amp; Sources'!$B$405:$J$412,0,1))*($D43*Inputs!$C$8-INDEX('Methodology &amp; Sources'!$B$405:$J$412,0,1))*INDEX('Methodology &amp; Sources'!$B$405:$J$412,0,1+2))))))/Inputs!$C$8,IF($AN43="NY",0.117*$D43,IF($AN43="OH",0.0275*$D43,IF($AN43="OK",0.045*$D43,IF($AN43="OR",0.08*$D43,IF($AN43="WI",IF($AY43&lt;12760,0.0354,IF($AY43&lt;25520,0.0465,IF($AY43&lt;280950,0.053,0.0765)))*$D43,0))))))))))))))))))))</f>
      </c>
      <c r="BD43" s="7">
        <f>IF($B43="","",$BD42+$Q43+$R43+$S43)</f>
      </c>
      <c r="BE43" s="6">
        <f>IF($B43="",$BE42,$BE42+$BF43)</f>
      </c>
      <c r="BF43" s="6">
        <f>IF($B43="","",IF(AND(IF(YEAR(IF(Inputs!$C$7="Weekly",Inputs!$C$9+7*(($BE42+1)-1),IF(Inputs!$C$7="Biweekly",Inputs!$C$9+14*(($BE42+1)-1),IF(Inputs!$C$7="Semimonthly",DATE(YEAR(Inputs!$C$9),MONTH(Inputs!$C$9)+INT((($BE42+1)-1)/2),MIN(DAY(Inputs!$C$9),DAY(EOMONTH(DATE(YEAR(Inputs!$C$9),MONTH(Inputs!$C$9)+INT((($BE42+1)-1)/2),1),0))))+IF(MOD(($BE42+1)-1,2)=1,15,0),EDATE(Inputs!$C$9,($BE42+1)-1)))))&lt;&gt;2026,"",IF(Inputs!$C$7="Weekly",Inputs!$C$9+7*(($BE42+1)-1),IF(Inputs!$C$7="Biweekly",Inputs!$C$9+14*(($BE42+1)-1),IF(Inputs!$C$7="Semimonthly",DATE(YEAR(Inputs!$C$9),MONTH(Inputs!$C$9)+INT((($BE42+1)-1)/2),MIN(DAY(Inputs!$C$9),DAY(EOMONTH(DATE(YEAR(Inputs!$C$9),MONTH(Inputs!$C$9)+INT((($BE42+1)-1)/2),1),0))))+IF(MOD(($BE42+1)-1,2)=1,15,0),EDATE(Inputs!$C$9,($BE42+1)-1)))))&lt;&gt;"",$B43=IF(YEAR(IF(Inputs!$C$7="Weekly",Inputs!$C$9+7*(($BE42+1)-1),IF(Inputs!$C$7="Biweekly",Inputs!$C$9+14*(($BE42+1)-1),IF(Inputs!$C$7="Semimonthly",DATE(YEAR(Inputs!$C$9),MONTH(Inputs!$C$9)+INT((($BE42+1)-1)/2),MIN(DAY(Inputs!$C$9),DAY(EOMONTH(DATE(YEAR(Inputs!$C$9),MONTH(Inputs!$C$9)+INT((($BE42+1)-1)/2),1),0))))+IF(MOD(($BE42+1)-1,2)=1,15,0),EDATE(Inputs!$C$9,($BE42+1)-1)))))&lt;&gt;2026,"",IF(Inputs!$C$7="Weekly",Inputs!$C$9+7*(($BE42+1)-1),IF(Inputs!$C$7="Biweekly",Inputs!$C$9+14*(($BE42+1)-1),IF(Inputs!$C$7="Semimonthly",DATE(YEAR(Inputs!$C$9),MONTH(Inputs!$C$9)+INT((($BE42+1)-1)/2),MIN(DAY(Inputs!$C$9),DAY(EOMONTH(DATE(YEAR(Inputs!$C$9),MONTH(Inputs!$C$9)+INT((($BE42+1)-1)/2),1),0))))+IF(MOD(($BE42+1)-1,2)=1,15,0),EDATE(Inputs!$C$9,($BE42+1)-1)))))),1,0))</f>
      </c>
      <c r="BG43" s="7">
        <f>IF($B43="","",$BG42+$H43)</f>
      </c>
      <c r="BH43" s="7">
        <f>IF($B43="","",$BH42+$I43)</f>
      </c>
      <c r="BI43" s="7">
        <f>IF($B43="","",$BI42+$G43)</f>
      </c>
      <c r="BJ43" s="7">
        <f>IF($B43="","",IFERROR(LOOKUP(2,1/((((Events!$C$6:$C$17="Deduction start"))*(Events!$D$6:$D$17="Health FSA"))*(Events!$B$6:$B$17&lt;=$B43)*(Events!$B$6:$B$17&lt;&gt;"")),Events!$E$6:$E$17),Inputs!$D$38))</f>
      </c>
      <c r="BK43" s="7">
        <f>IF($B43="","",IFERROR(LOOKUP(2,1/((((Events!$C$6:$C$17="Deduction start"))*(Events!$D$6:$D$17="Dependent-care FSA"))*(Events!$B$6:$B$17&lt;=$B43)*(Events!$B$6:$B$17&lt;&gt;"")),Events!$E$6:$E$17),Inputs!$D$39))</f>
      </c>
      <c r="BL43" s="7">
        <f>IF($B43="","",IFERROR(LOOKUP(2,1/((((Events!$C$6:$C$17="Deduction start")+(Events!$C$6:$C$17="Deduction stop"))*(Events!$D$6:$D$17="HSA"))*(Events!$B$6:$B$17&lt;=$B43)*(Events!$B$6:$B$17&lt;&gt;"")),Events!$I$6:$I$17),Inputs!$D$35))</f>
      </c>
      <c r="BM43" s="7">
        <f>IF($B43="","",IFERROR(LOOKUP(2,1/((((Events!$C$6:$C$17="Deduction start")+(Events!$C$6:$C$17="Deduction stop"))*(Events!$D$6:$D$17="Premiums"))*(Events!$B$6:$B$17&lt;=$B43)*(Events!$B$6:$B$17&lt;&gt;"")),Events!$I$6:$I$17),Inputs!$D$40+Inputs!$D$41+Inputs!$D$42))</f>
      </c>
      <c r="BN43" s="7">
        <f>IF($B43="","",IFERROR(LOOKUP(2,1/((((Events!$C$6:$C$17="Deduction start")+(Events!$C$6:$C$17="Deduction stop"))*(Events!$D$6:$D$17="Commuter"))*(Events!$B$6:$B$17&lt;=$B43)*(Events!$B$6:$B$17&lt;&gt;"")),Events!$I$6:$I$17),Inputs!$D$43))</f>
      </c>
      <c r="BO43" s="7">
        <f>IF($B43="","",IFERROR(LOOKUP(2,1/((((Events!$C$6:$C$17="Deduction start")+(Events!$C$6:$C$17="Deduction stop"))*(Events!$D$6:$D$17="Other pre-tax"))*(Events!$B$6:$B$17&lt;=$B43)*(Events!$B$6:$B$17&lt;&gt;"")),Events!$I$6:$I$17),Inputs!$D$44))</f>
      </c>
      <c r="BP43" s="7">
        <f>IF($B43="","",IFERROR(LOOKUP(2,1/((((Events!$C$6:$C$17="Deduction start")+(Events!$C$6:$C$17="Deduction stop"))*(Events!$D$6:$D$17="Other post-tax"))*(Events!$B$6:$B$17&lt;=$B43)*(Events!$B$6:$B$17&lt;&gt;"")),Events!$I$6:$I$17),Inputs!$D$45))</f>
      </c>
      <c r="BQ43" s="6">
        <f>IF($B43="","",IFERROR(LOOKUP(2,1/((((Events!$C$6:$C$17="Deduction start")+(Events!$C$6:$C$17="Deduction stop"))*(Events!$D$6:$D$17="Health FSA"))*(Events!$B$6:$B$17&lt;=$B43)*(Events!$B$6:$B$17&lt;&gt;"")),Events!$J$6:$J$17),0))</f>
      </c>
      <c r="BR43" s="6">
        <f>IF($B43="","",IFERROR(LOOKUP(2,1/((((Events!$C$6:$C$17="Deduction start")+(Events!$C$6:$C$17="Deduction stop"))*(Events!$D$6:$D$17="Dependent-care FSA"))*(Events!$B$6:$B$17&lt;=$B43)*(Events!$B$6:$B$17&lt;&gt;"")),Events!$J$6:$J$17),0))</f>
      </c>
      <c r="BS43" s="6">
        <f>IF($B43="","",IF(SUMPRODUCT((Events!$C$6:$C$17="Deduction start")*(Events!$B$6:$B$17&lt;=$B43)*(Events!$B$6:$B$17&lt;&gt;"")*(Events!$D$6:$D$17="Health FSA"))&gt;0,1,0))</f>
      </c>
      <c r="BT43" s="6">
        <f>IF($B43="","",IF(SUMPRODUCT((Events!$C$6:$C$17="Deduction start")*(Events!$B$6:$B$17&lt;=$B43)*(Events!$B$6:$B$17&lt;&gt;"")*(Events!$D$6:$D$17="Dependent-care FSA"))&gt;0,1,0))</f>
      </c>
      <c r="BU43" s="24">
        <f>IF($B43="","",IF(Inputs!$C$13,SUMPRODUCT(($AH43&gt;=INDEX('Methodology &amp; Sources'!$B$279:$J$286,0,IF(Inputs!$C$12="MFJ",1,IF(Inputs!$C$12="HoH",7,4))))*INDEX('Methodology &amp; Sources'!$B$279:$J$286,0,IF(Inputs!$C$12="MFJ",1,IF(Inputs!$C$12="HoH",7,4))+2)),SUMPRODUCT(($AH43&gt;=INDEX('Methodology &amp; Sources'!$B$269:$J$276,0,IF(Inputs!$C$12="MFJ",1,IF(Inputs!$C$12="HoH",7,4))))*INDEX('Methodology &amp; Sources'!$B$269:$J$276,0,IF(Inputs!$C$12="MFJ",1,IF(Inputs!$C$12="HoH",7,4))+2))))</f>
      </c>
      <c r="BV43" s="24">
        <f>IF($B43="","",IF($BZ43&lt;&gt;"",$BZ43,IF($CA43&lt;&gt;"",$CA43,IF($CB43&lt;&gt;"",$CB43,IF($CC43&lt;&gt;"",$CC43,0)))))</f>
      </c>
      <c r="BW43" s="7">
        <f>IF($B43="","",IF($AN43="MD",IF(OR($AU43="Married",$AU43="Head of household"),SUMPRODUCT(($AZ43&gt;INDEX('Methodology &amp; Sources'!$B$364:$J$370,0,1))*($AZ43-INDEX('Methodology &amp; Sources'!$B$364:$J$370,0,1))*INDEX('Methodology &amp; Sources'!$B$364:$J$370,0,1+2)),SUMPRODUCT(($AZ43&gt;INDEX('Methodology &amp; Sources'!$B$353:$J$359,0,7))*($AZ43-INDEX('Methodology &amp; Sources'!$B$353:$J$359,0,7))*INDEX('Methodology &amp; Sources'!$B$353:$J$359,0,7+2))),IF($AN43="MO",SUMPRODUCT(($AZ43&gt;INDEX('Methodology &amp; Sources'!$B$375:$J$382,0,1))*($AZ43-INDEX('Methodology &amp; Sources'!$B$375:$J$382,0,1))*INDEX('Methodology &amp; Sources'!$B$375:$J$382,0,1+2)),IF($AN43="MT",IF($AU43="Head of household",SUMPRODUCT(($AZ43&gt;INDEX('Methodology &amp; Sources'!$B$387:$J$389,0,1))*($AZ43-INDEX('Methodology &amp; Sources'!$B$387:$J$389,0,1))*INDEX('Methodology &amp; Sources'!$B$387:$J$389,0,1+2)),IF($AU43="Married",SUMPRODUCT(($AZ43&gt;INDEX('Methodology &amp; Sources'!$B$375:$J$382,0,7))*($AZ43-INDEX('Methodology &amp; Sources'!$B$375:$J$382,0,7))*INDEX('Methodology &amp; Sources'!$B$375:$J$382,0,7+2)),SUMPRODUCT(($AZ43&gt;INDEX('Methodology &amp; Sources'!$B$375:$J$382,0,4))*($AZ43-INDEX('Methodology &amp; Sources'!$B$375:$J$382,0,4))*INDEX('Methodology &amp; Sources'!$B$375:$J$382,0,4+2)))),IF($AN43="ND",IF($AU43="Head of household",SUMPRODUCT(($AZ43&gt;INDEX('Methodology &amp; Sources'!$B$394:$J$400,0,1))*($AZ43-INDEX('Methodology &amp; Sources'!$B$394:$J$400,0,1))*INDEX('Methodology &amp; Sources'!$B$394:$J$400,0,1+2)),IF($AU43="Married",SUMPRODUCT(($AZ43&gt;INDEX('Methodology &amp; Sources'!$B$387:$J$389,0,7))*($AZ43-INDEX('Methodology &amp; Sources'!$B$387:$J$389,0,7))*INDEX('Methodology &amp; Sources'!$B$387:$J$389,0,7+2)),SUMPRODUCT(($AZ43&gt;INDEX('Methodology &amp; Sources'!$B$387:$J$389,0,4))*($AZ43-INDEX('Methodology &amp; Sources'!$B$387:$J$389,0,4))*INDEX('Methodology &amp; Sources'!$B$387:$J$389,0,4+2)))),IF($AN43="NJ",IF(Inputs!$C$77="B",SUMPRODUCT(($AZ43&gt;INDEX('Methodology &amp; Sources'!$B$405:$J$412,0,4))*($AZ43-INDEX('Methodology &amp; Sources'!$B$405:$J$412,0,4))*INDEX('Methodology &amp; Sources'!$B$405:$J$412,0,4+2)),IF(Inputs!$C$77="C",SUMPRODUCT(($AZ43&gt;INDEX('Methodology &amp; Sources'!$B$405:$J$412,0,7))*($AZ43-INDEX('Methodology &amp; Sources'!$B$405:$J$412,0,7))*INDEX('Methodology &amp; Sources'!$B$405:$J$412,0,7+2)),IF(Inputs!$C$77="D",SUMPRODUCT(($AZ43&gt;INDEX('Methodology &amp; Sources'!$B$417:$J$429,0,1))*($AZ43-INDEX('Methodology &amp; Sources'!$B$417:$J$429,0,1))*INDEX('Methodology &amp; Sources'!$B$417:$J$429,0,1+2)),IF(Inputs!$C$77="E",SUMPRODUCT(($AZ43&gt;INDEX('Methodology &amp; Sources'!$B$417:$J$429,0,4))*($AZ43-INDEX('Methodology &amp; Sources'!$B$417:$J$429,0,4))*INDEX('Methodology &amp; Sources'!$B$417:$J$429,0,4+2)),SUMPRODUCT(($AZ43&gt;INDEX('Methodology &amp; Sources'!$B$405:$J$412,0,1))*($AZ43-INDEX('Methodology &amp; Sources'!$B$405:$J$412,0,1))*INDEX('Methodology &amp; Sources'!$B$405:$J$412,0,1+2)))))),IF($AN43="NY",IF($AU43="Married",IF($AZ43&gt;=2155350,$AZ43*IF($AZ43&gt;25000000,0.117,IF($AZ43&gt;5000000,0.111,0.1045)),SUMPRODUCT(($AZ43&gt;INDEX('Methodology &amp; Sources'!$B$434:$J$448,0,1))*($AZ43-INDEX('Methodology &amp; Sources'!$B$434:$J$448,0,1))*INDEX('Methodology &amp; Sources'!$B$434:$J$448,0,1+2))),IF($AZ43&gt;=1077550,$AZ43*IF($AZ43&gt;25000000,0.117,IF($AZ43&gt;5000000,0.111,0.1045)),SUMPRODUCT(($AZ43&gt;INDEX('Methodology &amp; Sources'!$B$417:$J$429,0,7))*($AZ43-INDEX('Methodology &amp; Sources'!$B$417:$J$429,0,7))*INDEX('Methodology &amp; Sources'!$B$417:$J$429,0,7+2)))),"")))))))</f>
      </c>
      <c r="BX43" s="7">
        <f>IF($B43="","",IF($AN43="AL",IF(OR($AU43="Married",$AU43="Head of household"),SUMPRODUCT(($AZ43&gt;INDEX('Methodology &amp; Sources'!$B$332:$J$336,0,4))*($AZ43-INDEX('Methodology &amp; Sources'!$B$332:$J$336,0,4))*INDEX('Methodology &amp; Sources'!$B$332:$J$336,0,4+2)),SUMPRODUCT(($AZ43&gt;INDEX('Methodology &amp; Sources'!$B$332:$J$336,0,1))*($AZ43-INDEX('Methodology &amp; Sources'!$B$332:$J$336,0,1))*INDEX('Methodology &amp; Sources'!$B$332:$J$336,0,1+2))),IF($AN43="KS",IF($AU43="Married",SUMPRODUCT(($AZ43&gt;INDEX('Methodology &amp; Sources'!$B$353:$J$359,0,4))*($AZ43-INDEX('Methodology &amp; Sources'!$B$353:$J$359,0,4))*INDEX('Methodology &amp; Sources'!$B$353:$J$359,0,4+2)),SUMPRODUCT(($AZ43&gt;INDEX('Methodology &amp; Sources'!$B$353:$J$359,0,1))*($AZ43-INDEX('Methodology &amp; Sources'!$B$353:$J$359,0,1))*INDEX('Methodology &amp; Sources'!$B$353:$J$359,0,1+2))),IF($AN43="MN",IF($AU43="Married",SUMPRODUCT(($AZ43&gt;INDEX('Methodology &amp; Sources'!$B$364:$J$370,0,7))*($AZ43-INDEX('Methodology &amp; Sources'!$B$364:$J$370,0,7))*INDEX('Methodology &amp; Sources'!$B$364:$J$370,0,7+2)),SUMPRODUCT(($AZ43&gt;INDEX('Methodology &amp; Sources'!$B$364:$J$370,0,4))*($AZ43-INDEX('Methodology &amp; Sources'!$B$364:$J$370,0,4))*INDEX('Methodology &amp; Sources'!$B$364:$J$370,0,4+2))),IF($AN43="NE",MAX(IF($AU43="Married",SUMPRODUCT(($AZ43&gt;INDEX('Methodology &amp; Sources'!$B$394:$J$400,0,7))*($AZ43-INDEX('Methodology &amp; Sources'!$B$394:$J$400,0,7))*INDEX('Methodology &amp; Sources'!$B$394:$J$400,0,7+2)),SUMPRODUCT(($AZ43&gt;INDEX('Methodology &amp; Sources'!$B$394:$J$400,0,4))*($AZ43-INDEX('Methodology &amp; Sources'!$B$394:$J$400,0,4))*INDEX('Methodology &amp; Sources'!$B$394:$J$400,0,4+2))),0.015*$AZ43),IF($AN43="OH",IF($B43&gt;=DATE(2026,8,1),SUMPRODUCT(($AZ43&gt;INDEX('Methodology &amp; Sources'!$B$453:$J$456,0,1))*($AZ43-INDEX('Methodology &amp; Sources'!$B$453:$J$456,0,1))*INDEX('Methodology &amp; Sources'!$B$453:$J$456,0,1+2)),SUMPRODUCT(($AZ43&gt;INDEX('Methodology &amp; Sources'!$B$434:$J$448,0,7))*($AZ43-INDEX('Methodology &amp; Sources'!$B$434:$J$448,0,7))*INDEX('Methodology &amp; Sources'!$B$434:$J$448,0,7+2))),IF($AN43="OK",IF($AU43="Married",SUMPRODUCT(($AZ43&gt;INDEX('Methodology &amp; Sources'!$B$453:$J$456,0,7))*($AZ43-INDEX('Methodology &amp; Sources'!$B$453:$J$456,0,7))*INDEX('Methodology &amp; Sources'!$B$453:$J$456,0,7+2)),SUMPRODUCT(($AZ43&gt;INDEX('Methodology &amp; Sources'!$B$453:$J$456,0,4))*($AZ43-INDEX('Methodology &amp; Sources'!$B$453:$J$456,0,4))*INDEX('Methodology &amp; Sources'!$B$453:$J$456,0,4+2))),IF($AN43="RI",SUMPRODUCT(($AZ43&gt;INDEX('Methodology &amp; Sources'!$B$461:$J$464,0,7))*($AZ43-INDEX('Methodology &amp; Sources'!$B$461:$J$464,0,7))*INDEX('Methodology &amp; Sources'!$B$461:$J$464,0,7+2)),IF($AN43="VT",IF($AU43="Married",SUMPRODUCT(($AZ43&gt;INDEX('Methodology &amp; Sources'!$B$478:$J$482,0,1))*($AZ43-INDEX('Methodology &amp; Sources'!$B$478:$J$482,0,1))*INDEX('Methodology &amp; Sources'!$B$478:$J$482,0,1+2)),SUMPRODUCT(($AZ43&gt;INDEX('Methodology &amp; Sources'!$B$469:$J$473,0,7))*($AZ43-INDEX('Methodology &amp; Sources'!$B$469:$J$473,0,7))*INDEX('Methodology &amp; Sources'!$B$469:$J$473,0,7+2))),IF($AN43="WV",IF($AU43="Married",SUMPRODUCT(($AZ43&gt;INDEX('Methodology &amp; Sources'!$B$487:$J$491,0,7))*($AZ43-INDEX('Methodology &amp; Sources'!$B$487:$J$491,0,7))*INDEX('Methodology &amp; Sources'!$B$487:$J$491,0,7+2)),SUMPRODUCT(($AZ43&gt;INDEX('Methodology &amp; Sources'!$B$478:$J$482,0,7))*($AZ43-INDEX('Methodology &amp; Sources'!$B$478:$J$482,0,7))*INDEX('Methodology &amp; Sources'!$B$478:$J$482,0,7+2))),""))))))))))</f>
      </c>
      <c r="BY43" s="7">
        <f>IF($B43="","",IF($AN43="AR",SUMPRODUCT(($AZ43&gt;INDEX('Methodology &amp; Sources'!$B$332:$J$336,0,7))*($AZ43-INDEX('Methodology &amp; Sources'!$B$332:$J$336,0,7))*INDEX('Methodology &amp; Sources'!$B$332:$J$336,0,7+2)),IF($AN43="DE",SUMPRODUCT(($AZ43&gt;INDEX('Methodology &amp; Sources'!$B$341:$J$348,0,1))*($AZ43-INDEX('Methodology &amp; Sources'!$B$341:$J$348,0,1))*INDEX('Methodology &amp; Sources'!$B$341:$J$348,0,1+2)),IF($AN43="HI",IF($AU43="Married",SUMPRODUCT(($AZ43&gt;INDEX('Methodology &amp; Sources'!$B$341:$J$348,0,7))*($AZ43-INDEX('Methodology &amp; Sources'!$B$341:$J$348,0,7))*INDEX('Methodology &amp; Sources'!$B$341:$J$348,0,7+2)),SUMPRODUCT(($AZ43&gt;INDEX('Methodology &amp; Sources'!$B$341:$J$348,0,4))*($AZ43-INDEX('Methodology &amp; Sources'!$B$341:$J$348,0,4))*INDEX('Methodology &amp; Sources'!$B$341:$J$348,0,4+2))),IF($AN43="SC",SUMPRODUCT(($AZ43&gt;INDEX('Methodology &amp; Sources'!$B$469:$J$473,0,1))*($AZ43-INDEX('Methodology &amp; Sources'!$B$469:$J$473,0,1))*INDEX('Methodology &amp; Sources'!$B$469:$J$473,0,1+2)),IF($AN43="VA",SUMPRODUCT(($AZ43&gt;INDEX('Methodology &amp; Sources'!$B$469:$J$473,0,4))*($AZ43-INDEX('Methodology &amp; Sources'!$B$469:$J$473,0,4))*INDEX('Methodology &amp; Sources'!$B$469:$J$473,0,4+2)),IF($AN43="WI",SUMPRODUCT(($AZ43&gt;INDEX('Methodology &amp; Sources'!$B$478:$J$482,0,4))*($AZ43-INDEX('Methodology &amp; Sources'!$B$478:$J$482,0,4))*INDEX('Methodology &amp; Sources'!$B$478:$J$482,0,4+2)),"")))))))</f>
      </c>
      <c r="BZ43" s="24">
        <f>IF($B43="","",IF($AN43="NJ",IF(Inputs!$C$77="B",SUMPRODUCT(($AZ43&gt;=INDEX('Methodology &amp; Sources'!$B$405:$J$412,0,4))*INDEX('Methodology &amp; Sources'!$B$405:$J$412,0,4+2)),IF(Inputs!$C$77="C",SUMPRODUCT(($AZ43&gt;=INDEX('Methodology &amp; Sources'!$B$405:$J$412,0,7))*INDEX('Methodology &amp; Sources'!$B$405:$J$412,0,7+2)),IF(Inputs!$C$77="D",SUMPRODUCT(($AZ43&gt;=INDEX('Methodology &amp; Sources'!$B$417:$J$429,0,1))*INDEX('Methodology &amp; Sources'!$B$417:$J$429,0,1+2)),IF(Inputs!$C$77="E",SUMPRODUCT(($AZ43&gt;=INDEX('Methodology &amp; Sources'!$B$417:$J$429,0,4))*INDEX('Methodology &amp; Sources'!$B$417:$J$429,0,4+2)),SUMPRODUCT(($AZ43&gt;=INDEX('Methodology &amp; Sources'!$B$405:$J$412,0,1))*INDEX('Methodology &amp; Sources'!$B$405:$J$412,0,1+2)))))),IF($AN43="OR",IF(OR($AU43="Married",AND($AU43="Single",$AS43&gt;=3)),SUMPRODUCT((MAX(0,$AY43-MIN(($P43-'Methodology &amp; Sources'!$C$260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Sources'!$B$461:$J$464,0,4))*INDEX('Methodology &amp; Sources'!$B$461:$J$464,0,4+2)),SUMPRODUCT((MAX(0,$AY43-MIN(($P43-'Methodology &amp; Sources'!$C$260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Sources'!$B$461:$J$464,0,1))*INDEX('Methodology &amp; Sources'!$B$461:$J$464,0,1+2)))*IF(($P43-'Methodology &amp; Sources'!$C$260*$D43)*Inputs!$C$8&gt;=IF(OR($AU43="Married",AND($AU43="Single",$AS43&gt;=3)),IF($AY43&lt;250000,8750,IF($AY43&lt;260000,7000,IF($AY43&lt;270000,5250,IF($AY43&lt;280000,3500,IF($AY43&lt;290000,1750,0))))),IF($AY43&lt;125000,8750,IF($AY43&lt;130000,7000,IF($AY43&lt;135000,5250,IF($AY43&lt;140000,3500,IF($AY43&lt;145000,1750,0)))))),1,1-IF(Inputs!$C$13,SUMPRODUCT(($AH43&gt;=INDEX('Methodology &amp; Sources'!$B$279:$J$286,0,IF(Inputs!$C$12="MFJ",1,IF(Inputs!$C$12="HoH",7,4))))*INDEX('Methodology &amp; Sources'!$B$279:$J$286,0,IF(Inputs!$C$12="MFJ",1,IF(Inputs!$C$12="HoH",7,4))+2)),SUMPRODUCT(($AH43&gt;=INDEX('Methodology &amp; Sources'!$B$269:$J$276,0,IF(Inputs!$C$12="MFJ",1,IF(Inputs!$C$12="HoH",7,4))))*INDEX('Methodology &amp; Sources'!$B$269:$J$276,0,IF(Inputs!$C$12="MFJ",1,IF(Inputs!$C$12="HoH",7,4))+2)))),IF($AN43="MI",IF($AY43&gt;5900*$AS43,0.0425,0),""))))</f>
      </c>
      <c r="CA43" s="24">
        <f>IF($B43="","",IF($AN43="AL",IF(OR($AU43="Married",$AU43="Head of household"),SUMPRODUCT(($AZ43&gt;=INDEX('Methodology &amp; Sources'!$B$332:$J$336,0,4))*INDEX('Methodology &amp; Sources'!$B$332:$J$336,0,4+2)),SUMPRODUCT(($AZ43&gt;=INDEX('Methodology &amp; Sources'!$B$332:$J$336,0,1))*INDEX('Methodology &amp; Sources'!$B$332:$J$336,0,1+2)))*(1-IF(Inputs!$C$13,SUMPRODUCT(($AH43&gt;=INDEX('Methodology &amp; Sources'!$B$279:$J$286,0,IF(Inputs!$C$12="MFJ",1,IF(Inputs!$C$12="HoH",7,4))))*INDEX('Methodology &amp; Sources'!$B$279:$J$286,0,IF(Inputs!$C$12="MFJ",1,IF(Inputs!$C$12="HoH",7,4))+2)),SUMPRODUCT(($AH43&gt;=INDEX('Methodology &amp; Sources'!$B$269:$J$276,0,IF(Inputs!$C$12="MFJ",1,IF(Inputs!$C$12="HoH",7,4))))*INDEX('Methodology &amp; Sources'!$B$269:$J$276,0,IF(Inputs!$C$12="MFJ",1,IF(Inputs!$C$12="HoH",7,4))+2)))),IF($AN43="KS",IF($AU43="Married",SUMPRODUCT(($AZ43&gt;=INDEX('Methodology &amp; Sources'!$B$353:$J$359,0,4))*INDEX('Methodology &amp; Sources'!$B$353:$J$359,0,4+2)),SUMPRODUCT(($AZ43&gt;=INDEX('Methodology &amp; Sources'!$B$353:$J$359,0,1))*INDEX('Methodology &amp; Sources'!$B$353:$J$359,0,1+2))),IF($AN43="MD",IF(OR($AU43="Married",$AU43="Head of household"),SUMPRODUCT(($AZ43&gt;=INDEX('Methodology &amp; Sources'!$B$364:$J$370,0,1))*INDEX('Methodology &amp; Sources'!$B$364:$J$370,0,1+2)),SUMPRODUCT(($AZ43&gt;=INDEX('Methodology &amp; Sources'!$B$353:$J$359,0,7))*INDEX('Methodology &amp; Sources'!$B$353:$J$359,0,7+2)))+Inputs!$C$74,IF($AN43="MT",IF($AU43="Head of household",SUMPRODUCT(($AZ43&gt;=INDEX('Methodology &amp; Sources'!$B$387:$J$389,0,1))*INDEX('Methodology &amp; Sources'!$B$387:$J$389,0,1+2)),IF($AU43="Married",SUMPRODUCT(($AZ43&gt;=INDEX('Methodology &amp; Sources'!$B$375:$J$382,0,7))*INDEX('Methodology &amp; Sources'!$B$375:$J$382,0,7+2)),SUMPRODUCT(($AZ43&gt;=INDEX('Methodology &amp; Sources'!$B$375:$J$382,0,4))*INDEX('Methodology &amp; Sources'!$B$375:$J$382,0,4+2)))),IF($AN43="ND",IF($AU43="Head of household",SUMPRODUCT(($AZ43&gt;=INDEX('Methodology &amp; Sources'!$B$394:$J$400,0,1))*INDEX('Methodology &amp; Sources'!$B$394:$J$400,0,1+2)),IF($AU43="Married",SUMPRODUCT(($AZ43&gt;=INDEX('Methodology &amp; Sources'!$B$387:$J$389,0,7))*INDEX('Methodology &amp; Sources'!$B$387:$J$389,0,7+2)),SUMPRODUCT(($AZ43&gt;=INDEX('Methodology &amp; Sources'!$B$387:$J$389,0,4))*INDEX('Methodology &amp; Sources'!$B$387:$J$389,0,4+2)))),IF($AN43="NY",IF($AU43="Married",IF($AZ43&gt;=2155350,IF($AZ43&gt;25000000,0.117,IF($AZ43&gt;5000000,0.111,0.1045)),SUMPRODUCT(($AZ43&gt;=INDEX('Methodology &amp; Sources'!$B$434:$J$448,0,1))*INDEX('Methodology &amp; Sources'!$B$434:$J$448,0,1+2))),IF($AZ43&gt;=1077550,IF($AZ43&gt;25000000,0.117,IF($AZ43&gt;5000000,0.111,0.1045)),SUMPRODUCT(($AZ43&gt;=INDEX('Methodology &amp; Sources'!$B$417:$J$429,0,7))*INDEX('Methodology &amp; Sources'!$B$417:$J$429,0,7+2)))),"")))))))</f>
      </c>
      <c r="CB43" s="24">
        <f>IF($B43="","",IF($AN43="CA",SUMPRODUCT(($AJ43&gt;=INDEX('Methodology &amp; Sources'!$B$289:$J$298,0,IF($AU43="Married",4,IF($AU43="Head of household",7,1))))*INDEX('Methodology &amp; Sources'!$B$289:$J$298,0,IF($AU43="Married",4,IF($AU43="Head of household",7,1))+2)),IF($AN43="HI",IF($AU43="Married",SUMPRODUCT(($AZ43&gt;=INDEX('Methodology &amp; Sources'!$B$341:$J$348,0,7))*INDEX('Methodology &amp; Sources'!$B$341:$J$348,0,7+2)),SUMPRODUCT(($AZ43&gt;=INDEX('Methodology &amp; Sources'!$B$341:$J$348,0,4))*INDEX('Methodology &amp; Sources'!$B$341:$J$348,0,4+2))),IF($AN43="MN",IF($AU43="Married",SUMPRODUCT(($AZ43&gt;=INDEX('Methodology &amp; Sources'!$B$364:$J$370,0,7))*INDEX('Methodology &amp; Sources'!$B$364:$J$370,0,7+2)),SUMPRODUCT(($AZ43&gt;=INDEX('Methodology &amp; Sources'!$B$364:$J$370,0,4))*INDEX('Methodology &amp; Sources'!$B$364:$J$370,0,4+2))),IF($AN43="MO",SUMPRODUCT(($AZ43&gt;=INDEX('Methodology &amp; Sources'!$B$375:$J$382,0,1))*INDEX('Methodology &amp; Sources'!$B$375:$J$382,0,1+2)),IF($AN43="NE",MAX(IF($AU43="Married",SUMPRODUCT(($AZ43&gt;=INDEX('Methodology &amp; Sources'!$B$394:$J$400,0,7))*INDEX('Methodology &amp; Sources'!$B$394:$J$400,0,7+2)),SUMPRODUCT(($AZ43&gt;=INDEX('Methodology &amp; Sources'!$B$394:$J$400,0,4))*INDEX('Methodology &amp; Sources'!$B$394:$J$400,0,4+2))),0.015),IF($AN43="OH",IF($B43&gt;=DATE(2026,8,1),SUMPRODUCT(($AZ43&gt;=INDEX('Methodology &amp; Sources'!$B$453:$J$456,0,1))*INDEX('Methodology &amp; Sources'!$B$453:$J$456,0,1+2)),SUMPRODUCT(($AZ43&gt;=INDEX('Methodology &amp; Sources'!$B$434:$J$448,0,7))*INDEX('Methodology &amp; Sources'!$B$434:$J$448,0,7+2))),IF($AN43="OK",IF($AU43="Married",SUMPRODUCT(($AZ43&gt;=INDEX('Methodology &amp; Sources'!$B$453:$J$456,0,7))*INDEX('Methodology &amp; Sources'!$B$453:$J$456,0,7+2)),SUMPRODUCT(($AZ43&gt;=INDEX('Methodology &amp; Sources'!$B$453:$J$456,0,4))*INDEX('Methodology &amp; Sources'!$B$453:$J$456,0,4+2))),IF($AN43="RI",SUMPRODUCT(($AZ43&gt;=INDEX('Methodology &amp; Sources'!$B$461:$J$464,0,7))*INDEX('Methodology &amp; Sources'!$B$461:$J$464,0,7+2)),IF($AN43="SC",SUMPRODUCT(($AZ43&gt;=INDEX('Methodology &amp; Sources'!$B$469:$J$473,0,1))*INDEX('Methodology &amp; Sources'!$B$469:$J$473,0,1+2)),IF($AN43="VT",IF($AU43="Married",SUMPRODUCT(($AZ43&gt;=INDEX('Methodology &amp; Sources'!$B$478:$J$482,0,1))*INDEX('Methodology &amp; Sources'!$B$478:$J$482,0,1+2)),SUMPRODUCT(($AZ43&gt;=INDEX('Methodology &amp; Sources'!$B$469:$J$473,0,7))*INDEX('Methodology &amp; Sources'!$B$469:$J$473,0,7+2))),IF($AN43="WV",IF($AU43="Married",SUMPRODUCT(($AZ43&gt;=INDEX('Methodology &amp; Sources'!$B$487:$J$491,0,7))*INDEX('Methodology &amp; Sources'!$B$487:$J$491,0,7+2)),SUMPRODUCT(($AZ43&gt;=INDEX('Methodology &amp; Sources'!$B$478:$J$482,0,7))*INDEX('Methodology &amp; Sources'!$B$478:$J$482,0,7+2))),IF($AN43="IN",(0.0295+Inputs!$C$76),"")))))))))))))</f>
      </c>
      <c r="CC43" s="24">
        <f>IF($B43="","",IF($AN43="AR",SUMPRODUCT(($AZ43&gt;=INDEX('Methodology &amp; Sources'!$B$332:$J$336,0,7))*INDEX('Methodology &amp; Sources'!$B$332:$J$336,0,7+2)),IF($AN43="DE",SUMPRODUCT(($AZ43&gt;=INDEX('Methodology &amp; Sources'!$B$341:$J$348,0,1))*INDEX('Methodology &amp; Sources'!$B$341:$J$348,0,1+2)),IF($AN43="VA",SUMPRODUCT(($AZ43&gt;=INDEX('Methodology &amp; Sources'!$B$469:$J$473,0,4))*INDEX('Methodology &amp; Sources'!$B$469:$J$473,0,4+2)),IF($AN43="WI",SUMPRODUCT(($AZ43&gt;=INDEX('Methodology &amp; Sources'!$B$478:$J$482,0,4))*INDEX('Methodology &amp; Sources'!$B$478:$J$482,0,4+2)),IF($AN43="AZ",Inputs!$C$82,IF($AN43="CO",IF($AY43&gt;IF($AU43="Married",10000,5000),0.044,0),IF($AN43="IA",IF($AY43&gt;IF($AU43="Head of household",19500,IF($AU43="Married",26000,13000)),0.038,0),IF($AN43="ID",IF($AY43&gt;IF($AU43="Married",32000,16094),0.053,0),IF($AN43="IL",IF($AY43&gt;(2925*$AS43+1000*$AT43),0.0495,0),IF($AN43="KY",IF($AI43&gt;3360,0.035,0),IF($AN43="LA",0.0309,IF($AN43="MA",IF(MAX(0,$AY43-MIN(($BD42+$Q43+$R43+$S43),2000)-IF($AS43=0,0,IF($AS43=1,4400,1000*$AS43+3400)))&gt;=1107750,0.09,0.05),IF($AN43="MS",IF($AI43-IF($AU43="Head of household",3400,IF($AU43="Married",4600,2300))-Inputs!$C$85&gt;10000,0.04,0),IF($AN43="PA",0.0307,"")))))))))))))))</f>
      </c>
      <c r="CD43" s="21">
        <f>IF(YEAR(IF(Inputs!$C$7="Weekly",Inputs!$C$9+7*(($BE42+1)-1),IF(Inputs!$C$7="Biweekly",Inputs!$C$9+14*(($BE42+1)-1),IF(Inputs!$C$7="Semimonthly",DATE(YEAR(Inputs!$C$9),MONTH(Inputs!$C$9)+INT((($BE42+1)-1)/2),MIN(DAY(Inputs!$C$9),DAY(EOMONTH(DATE(YEAR(Inputs!$C$9),MONTH(Inputs!$C$9)+INT((($BE42+1)-1)/2),1),0))))+IF(MOD(($BE42+1)-1,2)=1,15,0),EDATE(Inputs!$C$9,($BE42+1)-1)))))&lt;&gt;2026,"",IF(Inputs!$C$7="Weekly",Inputs!$C$9+7*(($BE42+1)-1),IF(Inputs!$C$7="Biweekly",Inputs!$C$9+14*(($BE42+1)-1),IF(Inputs!$C$7="Semimonthly",DATE(YEAR(Inputs!$C$9),MONTH(Inputs!$C$9)+INT((($BE42+1)-1)/2),MIN(DAY(Inputs!$C$9),DAY(EOMONTH(DATE(YEAR(Inputs!$C$9),MONTH(Inputs!$C$9)+INT((($BE42+1)-1)/2),1),0))))+IF(MOD(($BE42+1)-1,2)=1,15,0),EDATE(Inputs!$C$9,($BE42+1)-1)))))</f>
      </c>
      <c r="CE43" s="21">
        <f>IF(SUMPRODUCT(MIN(IF((Inputs!$C$58:$C$67&gt;MAX($B$6:$B42))*(Inputs!$C$58:$C$67&gt;=DATE(2026,1,1))*(Inputs!$C$58:$C$67&lt;=DATE(2026,12,31)),Inputs!$C$58:$C$67,999999)))=999999,"",SUMPRODUCT(MIN(IF((Inputs!$C$58:$C$67&gt;MAX($B$6:$B42))*(Inputs!$C$58:$C$67&gt;=DATE(2026,1,1))*(Inputs!$C$58:$C$67&lt;=DATE(2026,12,31)),Inputs!$C$58:$C$67,999999))))</f>
      </c>
    </row>
    <row r="44">
      <c r="A44" t="n">
        <v>39</v>
      </c>
      <c r="B44" s="21">
        <f>IF(AND($CD44="",$CE44=""),"",IF($CE44="",$CD44,IF($CD44="",$CE44,MIN($CD44,$CE44))))</f>
      </c>
      <c r="C44" s="7">
        <f>IF($B44="","",IF($BF44=0,0,IF(Inputs!$C$4="Annual salary",ROUND($AK44/IF(AND(Inputs!$C$88="Actual paydays",MONTH(Inputs!$C$9)=1),MAX(1,MAX($BE$6:$BE$68)),Inputs!$C$8),2),$AK44)))</f>
      </c>
      <c r="D44" s="7">
        <f>IF($B44="","",SUMIF(Inputs!$C$58:$C$67,$B44,Inputs!$D$58:$D$67))</f>
      </c>
      <c r="E44" s="7">
        <f>IF($B44="","",ROUND(MAX(0,MIN(IF($AL44="Percent",$AM44*($C44+$D44),$AM44),MAX(0,Inputs!$C$91-$AC43))),2))</f>
      </c>
      <c r="F44" s="7">
        <f>IF($B44="","",ROUND(MAX(0,MIN(IF(Inputs!$C$32="Percent",Inputs!$D$32*($C44+$D44),Inputs!$D$32),MAX(0,Inputs!$C$91-$AC43-$E44))),2))</f>
      </c>
      <c r="G44" s="7">
        <f>IF($B44="","",IF($BF44=0,0,ROUND(MAX(0,MIN($BL44,Inputs!$C$92-Inputs!$C$54-$BI43)),2)))</f>
      </c>
      <c r="H44" s="7">
        <f>IF($B44="","",IF(OR($BF44=0,$BQ44=1),0,ROUND(MAX(0,MIN(IF($BS44=1,ROUND(MAX(0,MIN($BJ44,'Methodology &amp; Sources'!$C$263)-$BG43)/MAX(1,MAX($BE$6:$BE$68)-($BE43)),2),ROUND(MIN($BJ44,'Methodology &amp; Sources'!$C$263)/Inputs!$C$8,2)),MIN($BJ44,'Methodology &amp; Sources'!$C$263)-$BG43)),2)))</f>
      </c>
      <c r="I44" s="7">
        <f>IF($B44="","",IF(OR($BF44=0,$BR44=1),0,ROUND(MAX(0,MIN(IF($BT44=1,ROUND(MAX(0,MIN($BK44,IF(Inputs!$C$12="MFJ",'Methodology &amp; Sources'!$C$264,'Methodology &amp; Sources'!$C$265))-$BH43)/MAX(1,MAX($BE$6:$BE$68)-($BE43)),2),ROUND(MIN($BK44,IF(Inputs!$C$12="MFJ",'Methodology &amp; Sources'!$C$264,'Methodology &amp; Sources'!$C$265))/Inputs!$C$8,2)),MIN($BK44,IF(Inputs!$C$12="MFJ",'Methodology &amp; Sources'!$C$264,'Methodology &amp; Sources'!$C$265))-$BH43)),2)))</f>
      </c>
      <c r="J44" s="7">
        <f>IF($B44="","",IF($BF44=0,0,$BM44))</f>
      </c>
      <c r="K44" s="7">
        <f>IF($B44="","",IF($BF44=0,0,$BN44+$BO44))</f>
      </c>
      <c r="L44" s="7">
        <f>IF($B44="","",IF($BF44=0,0,Inputs!$D$46))</f>
      </c>
      <c r="M44" s="7">
        <f>IF($B44="","",$C44+$D44+$L44-$E44-$G44-$H44-$I44-$J44-$K44)</f>
      </c>
      <c r="N44" s="7">
        <f>IF($B44="","",$C44+$D44+$L44-$G44-$H44-$I44-$J44-$K44)</f>
      </c>
      <c r="O44" s="7">
        <f>IF($B44="","",$C44+$D44+$L44-$E44-$H44-$I44-$J44-$K44-IF(OR($AN44="CA",$AN44="NJ"),0,$G44))</f>
      </c>
      <c r="P44" s="7">
        <f>IF($B44="","",IF(Inputs!$C$18,0,ROUND(MAX(0,IF(Inputs!$C$13,SUMPRODUCT(($AH44&gt;INDEX('Methodology &amp; Sources'!$B$279:$J$286,0,IF(Inputs!$C$12="MFJ",1,IF(Inputs!$C$12="HoH",7,4))))*($AH44-INDEX('Methodology &amp; Sources'!$B$279:$J$286,0,IF(Inputs!$C$12="MFJ",1,IF(Inputs!$C$12="HoH",7,4))))*INDEX('Methodology &amp; Sources'!$B$279:$J$286,0,IF(Inputs!$C$12="MFJ",1,IF(Inputs!$C$12="HoH",7,4))+2)),SUMPRODUCT(($AH44&gt;INDEX('Methodology &amp; Sources'!$B$269:$J$276,0,IF(Inputs!$C$12="MFJ",1,IF(Inputs!$C$12="HoH",7,4))))*($AH44-INDEX('Methodology &amp; Sources'!$B$269:$J$276,0,IF(Inputs!$C$12="MFJ",1,IF(Inputs!$C$12="HoH",7,4))))*INDEX('Methodology &amp; Sources'!$B$269:$J$276,0,IF(Inputs!$C$12="MFJ",1,IF(Inputs!$C$12="HoH",7,4))+2)))/Inputs!$C$8-$AO44/Inputs!$C$8)+$AR44+IF(Inputs!$C$89="Aggregate",MAX(0,IF(Inputs!$C$13,SUMPRODUCT((($AH44+$D44)&gt;INDEX('Methodology &amp; Sources'!$B$279:$J$286,0,IF(Inputs!$C$12="MFJ",1,IF(Inputs!$C$12="HoH",7,4))))*(($AH44+$D44)-INDEX('Methodology &amp; Sources'!$B$279:$J$286,0,IF(Inputs!$C$12="MFJ",1,IF(Inputs!$C$12="HoH",7,4))))*INDEX('Methodology &amp; Sources'!$B$279:$J$286,0,IF(Inputs!$C$12="MFJ",1,IF(Inputs!$C$12="HoH",7,4))+2)),SUMPRODUCT((($AH44+$D44)&gt;INDEX('Methodology &amp; Sources'!$B$269:$J$276,0,IF(Inputs!$C$12="MFJ",1,IF(Inputs!$C$12="HoH",7,4))))*(($AH44+$D44)-INDEX('Methodology &amp; Sources'!$B$269:$J$276,0,IF(Inputs!$C$12="MFJ",1,IF(Inputs!$C$12="HoH",7,4))))*INDEX('Methodology &amp; Sources'!$B$269:$J$276,0,IF(Inputs!$C$12="MFJ",1,IF(Inputs!$C$12="HoH",7,4))+2)))-IF(Inputs!$C$13,SUMPRODUCT(($AH44&gt;INDEX('Methodology &amp; Sources'!$B$279:$J$286,0,IF(Inputs!$C$12="MFJ",1,IF(Inputs!$C$12="HoH",7,4))))*($AH44-INDEX('Methodology &amp; Sources'!$B$279:$J$286,0,IF(Inputs!$C$12="MFJ",1,IF(Inputs!$C$12="HoH",7,4))))*INDEX('Methodology &amp; Sources'!$B$279:$J$286,0,IF(Inputs!$C$12="MFJ",1,IF(Inputs!$C$12="HoH",7,4))+2)),SUMPRODUCT(($AH44&gt;INDEX('Methodology &amp; Sources'!$B$269:$J$276,0,IF(Inputs!$C$12="MFJ",1,IF(Inputs!$C$12="HoH",7,4))))*($AH44-INDEX('Methodology &amp; Sources'!$B$269:$J$276,0,IF(Inputs!$C$12="MFJ",1,IF(Inputs!$C$12="HoH",7,4))))*INDEX('Methodology &amp; Sources'!$B$269:$J$276,0,IF(Inputs!$C$12="MFJ",1,IF(Inputs!$C$12="HoH",7,4))+2)))),'Methodology &amp; Sources'!$C$260*$D44),2)))</f>
      </c>
      <c r="Q44" s="7">
        <f>IF($B44="","",ROUND('Methodology &amp; Sources'!$C$254*MIN($N44,MAX(0,'Methodology &amp; Sources'!$C$253-($AX44+$AB43-$AW44))),2))</f>
      </c>
      <c r="R44" s="7">
        <f>IF($B44="","",ROUND('Methodology &amp; Sources'!$C$255*$N44,2))</f>
      </c>
      <c r="S44" s="7">
        <f>IF($B44="","",ROUND('Methodology &amp; Sources'!$C$256*MAX(0,MIN($N44,$AG43+$N44-'Methodology &amp; Sources'!$C$257)),2))</f>
      </c>
      <c r="T44" s="7">
        <f>IF($B44="","",IF(Inputs!$C$26,0,IF($AN44="CA",ROUND(IF($AI44&lt;=IF(($AS44+$AT44)&gt;=2,VLOOKUP($AN44,'StateTables 2026'!$A$6:$AB$56,10,FALSE),VLOOKUP($AN44,'StateTables 2026'!$A$6:$AB$56,9,FALSE)),0,MAX(0,SUMPRODUCT(($AJ44&gt;INDEX('Methodology &amp; Sources'!$B$289:$J$298,0,IF($AU44="Married",4,IF($AU44="Head of household",7,1))))*($AJ44-INDEX('Methodology &amp; Sources'!$B$289:$J$298,0,IF($AU44="Married",4,IF($AU44="Head of household",7,1))))*INDEX('Methodology &amp; Sources'!$B$289:$J$298,0,IF($AU44="Married",4,IF($AU44="Head of household",7,1))+2))-VLOOKUP($AN44,'StateTables 2026'!$A$6:$AB$56,11,FALSE)*$AS44)/Inputs!$C$8)+Inputs!$C$25+VLOOKUP($AN44,'StateTables 2026'!$A$6:$AB$56,13,FALSE)*$D44,2),IF(VLOOKUP($AN44,'StateTables 2026'!$A$6:$AB$56,4,FALSE)="None",0,IF(ISNUMBER(SEARCH("MANUAL",VLOOKUP($AN44,'StateTables 2026'!$A$6:$AB$56,5,FALSE))),Inputs!$C$28,ROUND(MAX(0,$BA44+$BB44)/Inputs!$C$8+Inputs!$C$25+$BC44,2))))))</f>
      </c>
      <c r="U44" s="7">
        <f>IF($B44="","",IF(VLOOKUP($AN44,'StateTables 2026'!$A$6:$AB$56,24,FALSE)="flatq",IF(OR(MONTH($B44)=1,MONTH($B44)=4,MONTH($B44)=7,MONTH($B44)=10),VLOOKUP($AN44,'StateTables 2026'!$A$6:$AB$56,25,FALSE),0),IF(VLOOKUP($AN44,'StateTables 2026'!$A$6:$AB$56,24,FALSE)="dbl",MIN(ROUND(0.005*$N44,2),ROUND(0.6*52/Inputs!$C$8,2)),IF(OR(VLOOKUP($AN44,'StateTables 2026'!$A$6:$AB$56,15,FALSE)="",VLOOKUP($AN44,'StateTables 2026'!$A$6:$AB$56,15,FALSE)=0),0,ROUND(VLOOKUP($AN44,'StateTables 2026'!$A$6:$AB$56,15,FALSE)*IF(OR(VLOOKUP($AN44,'StateTables 2026'!$A$6:$AB$56,16,FALSE)="",VLOOKUP($AN44,'StateTables 2026'!$A$6:$AB$56,16,FALSE)=0),$N44,MIN($N44,MAX(0,VLOOKUP($AN44,'StateTables 2026'!$A$6:$AB$56,16,FALSE)-($AX44+$AB43-$AW44)))),2))))+IF(VLOOKUP($AN44,'StateTables 2026'!$A$6:$AB$56,27,FALSE)="flatq",IF(OR(MONTH($B44)=1,MONTH($B44)=4,MONTH($B44)=7,MONTH($B44)=10),VLOOKUP($AN44,'StateTables 2026'!$A$6:$AB$56,28,FALSE),0),IF(VLOOKUP($AN44,'StateTables 2026'!$A$6:$AB$56,27,FALSE)="dbl",MIN(ROUND(0.005*$N44,2),ROUND(0.6*52/Inputs!$C$8,2)),IF(OR(VLOOKUP($AN44,'StateTables 2026'!$A$6:$AB$56,18,FALSE)="",VLOOKUP($AN44,'StateTables 2026'!$A$6:$AB$56,18,FALSE)=0),0,ROUND(VLOOKUP($AN44,'StateTables 2026'!$A$6:$AB$56,18,FALSE)*IF(OR(VLOOKUP($AN44,'StateTables 2026'!$A$6:$AB$56,19,FALSE)="",VLOOKUP($AN44,'StateTables 2026'!$A$6:$AB$56,19,FALSE)=0),$N44,MIN($N44,MAX(0,VLOOKUP($AN44,'StateTables 2026'!$A$6:$AB$56,19,FALSE)-($AX44+$AB43-$AW44)))),2)))))</f>
      </c>
      <c r="V44" s="7">
        <f>IF($B44="","",IF($AN44="NY",IF(Inputs!$C$78,ROUND(SUMPRODUCT((MAX(0,($O44-$D44)*Inputs!$C$8-(IF($AU44="Married",5500,5000)+1000*$AS44))&gt;INDEX('Methodology &amp; Sources'!$B$434:$J$448,0,4))*(MAX(0,($O44-$D44)*Inputs!$C$8-(IF($AU44="Married",5500,5000)+1000*$AS44))-INDEX('Methodology &amp; Sources'!$B$434:$J$448,0,4))*INDEX('Methodology &amp; Sources'!$B$434:$J$448,0,4+2))/Inputs!$C$8+0.0425*$D44,2),0)+IF(Inputs!$C$79="Resident",ROUND(0.1675*$T44,2),IF(Inputs!$C$79="Nonresident",ROUND(0.005*MAX(0,($O44-$D44)-(IF($AU44="Married",7950,7400)+1000*$AS44)/Inputs!$C$8),2),0)),IF($AN44="PA",IF(Inputs!$C$80="None",Inputs!$C$27+ROUND(Inputs!$C$81*($C44+$D44),2),ROUND(IF(Inputs!$C$80="Resident",IF($B44&lt;DATE(2026,7,1),0.0374,0.03735),IF($B44&lt;DATE(2026,7,1),0.0343,0.03425))*($C44+$D44),2)),IF($BF44=0,ROUND(Inputs!$C$81*($C44+$D44),2),Inputs!$C$27+ROUND(Inputs!$C$81*($C44+$D44),2)))))</f>
      </c>
      <c r="W44" s="7">
        <f>IF($B44="","",IF($BF44=0,0,$BP44))</f>
      </c>
      <c r="X44" s="7">
        <f>IF($B44="","",SUM($E44:$K44)+$P44+$Q44+$R44+$S44+$T44+$U44+$V44+$W44)</f>
      </c>
      <c r="Y44" s="22">
        <f>IF($B44="","",$C44+$D44-$X44)</f>
      </c>
      <c r="Z44" s="7">
        <f>IF($B44="","",$Z43+$C44+$D44)</f>
      </c>
      <c r="AA44" s="7">
        <f>IF($B44="","",$AA43+$Y44)</f>
      </c>
      <c r="AB44" s="7">
        <f>IF($B44="","",$AB43+MIN($N44,MAX(0,'Methodology &amp; Sources'!$C$253-($AX44+$AB43-$AW44))))</f>
      </c>
      <c r="AC44" s="7">
        <f>IF($B44="","",$AC43+$E44+$F44)</f>
      </c>
      <c r="AD44" s="3">
        <f>IF($B44="","",IF(AND($AB43&lt;'Methodology &amp; Sources'!$C$253,$AB44&gt;='Methodology &amp; Sources'!$C$253),"★ Social Security maxed on this check — from the next check your net rises by about $"&amp;TEXT(ROUND('Methodology &amp; Sources'!$C$254*$N44,2),"#,##0.00")&amp;". ","")&amp;IF(AND($AC43&lt;Inputs!$C$91,$AC44&gt;=Inputs!$C$91),"★ 401(k) reaches the $"&amp;TEXT(Inputs!$C$91,"#,##0")&amp;" cap on this check — deferrals stop and net pay rises. ","")&amp;IF(AND($AG43&lt;'Methodology &amp; Sources'!$C$257,$AG44&gt;='Methodology &amp; Sources'!$C$257),"★ Wages pass $200,000 — the 0.9% Additional Medicare Tax starts here. ","")&amp;IF(AND($BJ44&gt;0,$H44&gt;0,$BG43&lt;MIN($BJ44,'Methodology &amp; Sources'!$C$263),$BG43+$H44&gt;=MIN($BJ44,'Methodology &amp; Sources'!$C$263)),"★ Health FSA election is now fully deferred for the year. ",""))</f>
      </c>
      <c r="AE44" s="41" t="n"/>
      <c r="AF44" s="7">
        <f>IF(OR($B44="",$AE44=""),"",$AE44-$Y44)</f>
      </c>
      <c r="AG44" s="7">
        <f>IF($B44="","",$AG43+$N44)</f>
      </c>
      <c r="AH44" s="7">
        <f>IF($B44="","",MAX(0,($M44-$D44)*Inputs!$C$8+$AP44-$AQ44-IF(Inputs!$C$13,0,IF(Inputs!$C$12="MFJ",'Methodology &amp; Sources'!$C$258,'Methodology &amp; Sources'!$C$259))))</f>
      </c>
      <c r="AI44" s="7">
        <f>IF($B44="","",$O44*Inputs!$C$8)</f>
      </c>
      <c r="AJ44" s="7">
        <f>IF($B44="","",MAX(0,$AI44-VLOOKUP($AN44,'StateTables 2026'!$A$6:$AB$56,12,FALSE)*$AT44-IF(($AS44+$AT44)&gt;=2,VLOOKUP($AN44,'StateTables 2026'!$A$6:$AB$56,8,FALSE),VLOOKUP($AN44,'StateTables 2026'!$A$6:$AB$56,7,FALSE))))</f>
      </c>
      <c r="AK44" s="7">
        <f>IF($B44="","",IFERROR(LOOKUP(2,1/((Events!$C$6:$C$17="Salary change")*(Events!$B$6:$B$17&lt;=$B44)*(Events!$B$6:$B$17&lt;&gt;"")),Events!$D$6:$D$17),IF(Inputs!$C$4="Annual salary",Inputs!$C$5,Inputs!$C$6)))</f>
      </c>
      <c r="AL44">
        <f>IF($B44="","",IFERROR(LOOKUP(2,1/((Events!$C$6:$C$17="401(k) change")*(Events!$B$6:$B$17&lt;=$B44)*(Events!$B$6:$B$17&lt;&gt;"")),Events!$D$6:$D$17),Inputs!$C$30))</f>
      </c>
      <c r="AM44" s="7">
        <f>IF($B44="","",IFERROR(LOOKUP(2,1/((Events!$C$6:$C$17="401(k) change")*(Events!$B$6:$B$17&lt;=$B44)*(Events!$B$6:$B$17&lt;&gt;"")),Events!$E$6:$E$17),Inputs!$D$30))</f>
      </c>
      <c r="AN44">
        <f>IF($B44="","",IFERROR(LOOKUP(2,1/((Events!$C$6:$C$17="State move")*(Events!$B$6:$B$17&lt;=$B44)*(Events!$B$6:$B$17&lt;&gt;"")),Events!$D$6:$D$17),Inputs!$C$21))</f>
      </c>
      <c r="AO44" s="7">
        <f>IF($B44="","",IFERROR(LOOKUP(2,1/((Events!$C$6:$C$17="W-4 change")*(Events!$B$6:$B$17&lt;=$B44)*(Events!$B$6:$B$17&lt;&gt;"")),Events!$D$6:$D$17),Inputs!$C$14))</f>
      </c>
      <c r="AP44" s="7">
        <f>IF($B44="","",IFERROR(LOOKUP(2,1/((Events!$C$6:$C$17="W-4 change")*(Events!$B$6:$B$17&lt;=$B44)*(Events!$B$6:$B$17&lt;&gt;"")),Events!$E$6:$E$17),Inputs!$C$15))</f>
      </c>
      <c r="AQ44" s="7">
        <f>IF($B44="","",IFERROR(LOOKUP(2,1/((Events!$C$6:$C$17="W-4 change")*(Events!$B$6:$B$17&lt;=$B44)*(Events!$B$6:$B$17&lt;&gt;"")),Events!$F$6:$F$17),Inputs!$C$16))</f>
      </c>
      <c r="AR44" s="7">
        <f>IF($B44="","",IFERROR(LOOKUP(2,1/((Events!$C$6:$C$17="W-4 change")*(Events!$B$6:$B$17&lt;=$B44)*(Events!$B$6:$B$17&lt;&gt;"")),Events!$G$6:$G$17),Inputs!$C$17))</f>
      </c>
      <c r="AS44" s="6">
        <f>IF($B44="","",IFERROR(LOOKUP(2,1/(((Events!$C$6:$C$17="State move")+(Events!$C$6:$C$17="State cert change"))*(Events!$B$6:$B$17&lt;=$B44)*(Events!$B$6:$B$17&lt;&gt;"")),Events!$F$6:$F$17),Inputs!$C$23))</f>
      </c>
      <c r="AT44" s="6">
        <f>IF($B44="","",IFERROR(LOOKUP(2,1/(((Events!$C$6:$C$17="State move")+(Events!$C$6:$C$17="State cert change"))*(Events!$B$6:$B$17&lt;=$B44)*(Events!$B$6:$B$17&lt;&gt;"")),Events!$G$6:$G$17),Inputs!$C$24))</f>
      </c>
      <c r="AU44">
        <f>IF($B44="","",IFERROR(LOOKUP(2,1/((Events!$C$6:$C$17="State move")*(Events!$B$6:$B$17&lt;=$B44)*(Events!$B$6:$B$17&lt;&gt;"")),Events!$E$6:$E$17),Inputs!$C$22))</f>
      </c>
      <c r="AV44" s="6">
        <f>IF($B44="","",1+COUNTIFS(Events!$C$6:$C$17,"Employer change",Events!$B$6:$B$17,"&lt;="&amp;$B44,Events!$B$6:$B$17,"&lt;&gt;"))</f>
      </c>
      <c r="AW44" s="7">
        <f>IF($B44="","",IF($AV44=1,Inputs!$C$49,IF(IFERROR(MATCH(IFERROR(LOOKUP(2,1/((Events!$C$6:$C$17="Employer change")*(Events!$B$6:$B$17&lt;=$B44)*(Events!$B$6:$B$17&lt;&gt;"")),Events!$B$6:$B$17),""),$B$6:$B$68,1),1)&lt;=1,Inputs!$C$49,INDEX($AB$6:$AB$68,MATCH(IFERROR(LOOKUP(2,1/((Events!$C$6:$C$17="Employer change")*(Events!$B$6:$B$17&lt;=$B44)*(Events!$B$6:$B$17&lt;&gt;"")),Events!$B$6:$B$17),""),$B$6:$B$68,1)-1))))</f>
      </c>
      <c r="AX44" s="7">
        <f>IF($B44="","",IF($AV44=1,Inputs!$C$49,IFERROR(LOOKUP(2,1/((Events!$C$6:$C$17="Employer change")*(Events!$B$6:$B$17&lt;=$B44)*(Events!$B$6:$B$17&lt;&gt;"")),Events!$D$6:$D$17),0)))</f>
      </c>
      <c r="AY44" s="7">
        <f>IF($B44="","",($O44-$D44)*Inputs!$C$8)</f>
      </c>
      <c r="AZ44" s="7">
        <f>IF($B44="","",IF($AN44="AL",MAX(0,$AY44-IF($AU44="Married",IF($AY44&lt;=25999,8500,MAX(5000,8500-175*CEILING(($AY44-25999)/500,1))),IF($AU44="Head of household",IF($AY44&lt;=25999,5200,MAX(2500,5200-135*CEILING(($AY44-25999)/500,1))),IF($AY44&lt;=25999,3000,MAX(2500,3000-25*CEILING(($AY44-25999)/500,1)))))-($P44-'Methodology &amp; Sources'!$C$260*$D44)*Inputs!$C$8-IF(OR($AU44="Married",$AU44="Head of household"),3000,1500)-$AT44*IF($AY44&lt;=50000,1000,IF($AY44&lt;=100000,500,300))),IF($AN44="AR",IF(MAX(0,$AY44-2470)&lt;97701,INT(MAX(0,$AY44-2470)/100)*100+50,MAX(0,$AY44-2470)),IF($AN44="DE",MAX(0,$AI44-3250),IF($AN44="HI",MAX(0,$AI44-1144*$AS44-4350),IF($AN44="KS",MAX(0,$AI44-(9160*IF($AU44="Married",2,1)+2320*$AT44+IF($AU44="Head of household",2320,0))),IF($AN44="MD",MAX(0,$AI44-3400-3200*$AS44),IF($AN44="MN",MAX(0,$AY44-5300*$AS44),IF($AN44="MO",MAX(0,$AI44-IF($AU44="Head of household",24150,IF($AU44="Married",IF(Inputs!$C$83,16100,32200),16100))),IF($AN44="MT",$AY44,IF($AN44="ND",($C44+$L44)*Inputs!$C$8,IF($AN44="NE",MAX(0,$AY44-2440*$AS44),IF($AN44="NJ",MAX(0,$AY44-1000*$AS44),IF($AN44="NY",MAX(0,$AY44-(IF($AU44="Married",7950,7400)+1000*$AS44)),IF($AN44="OH",MAX(0,$AY44-650*$AS44),IF($AN44="OK",MAX(0,$AY44-1000*$AS44),IF($AN44="RI",MAX(0,$AI44-1000*$AS44),IF($AN44="SC",MAX(0,$AI44-5000*$AS44-IF($AS44=0,0,MIN(0.1*$AI44,7500))),IF($AN44="VA",MAX(0,$AI44-IF($AU44="Married",17500,8750)-930*$AS44-800*$AT44),IF($AN44="VT",MAX(0,$AI44-5400*$AS44),IF($AN44="WI",MAX(0,$AI44-MAX(0,IF($AU44="Married",9461-0.2*MAX(0,$AI44-25727),6702-0.12*MAX(0,$AI44-17780)))-400*$AS44),IF($AN44="WV",MAX(0,$AI44-2000*$AS44),$AI44))))))))))))))))))))))</f>
      </c>
      <c r="BA44" s="7">
        <f>IF($B44="","",IF($BW44&lt;&gt;"",$BW44,IF($BX44&lt;&gt;"",$BX44,IF($BY44&lt;&gt;"",$BY44,0))))</f>
      </c>
      <c r="BB44" s="7">
        <f>IF($B44="","",IF($AN44="AR",-29*$AS44,IF($AN44="DE",-110*$AS44,IF($AN44="MD",$AZ44*Inputs!$C$74,IF($AN44="AZ",Inputs!$C$82*($M44-$D44)*Inputs!$C$8,IF($AN44="CO",0.044*MAX(0,$AY44-IF($AU44="Married",10000,5000)),IF($AN44="IA",MAX(0,0.038*MAX(0,$AY44-IF($AU44="Head of household",19500,IF($AU44="Married",26000,13000)))-40*$AS44),IF($AN44="ID",0.053*MAX(0,$AY44-IF($AU44="Married",32000,16094)),IF($AN44="IL",0.0495*MAX(0,$AY44-(2925*$AS44+1000*$AT44)),IF($AN44="IN",(0.0295+Inputs!$C$76)*MAX(0,$AY44-(1000*$AS44+1500*$AT44+3000*Inputs!$C$86)),IF($AN44="KY",0.035*MAX(0,$AI44-3360),IF($AN44="LA",IF(Inputs!$C$84="0",0.0309*$AI44,0.0309*MAX(0,$AI44-IF(Inputs!$C$84="2",25750,12875))),IF($AN44="MA",0.05*MIN(MAX(0,$AY44-MIN(($BD43+$Q44+$R44+$S44),2000)-IF($AS44=0,0,IF($AS44=1,4400,1000*$AS44+3400))),1107750)+0.09*MAX(0,MAX(0,$AY44-MIN(($BD43+$Q44+$R44+$S44),2000)-IF($AS44=0,0,IF($AS44=1,4400,1000*$AS44+3400)))-1107750)-IF($AU44="Head of household",120,0)-110*Inputs!$C$75,IF($AN44="MI",0.0425*MAX(0,$AY44-5900*$AS44),IF($AN44="MS",0.04*MAX(0,$AI44-IF($AU44="Head of household",3400,IF($AU44="Married",4600,2300))-Inputs!$C$85-10000),IF($AN44="OR",IF(OR($AU44="Married",AND($AU44="Single",$AS44&gt;=3)),SUMPRODUCT((MAX(0,$AY44-MIN(($P44-'Methodology &amp; Sources'!$C$260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Sources'!$B$461:$J$464,0,4))*(MAX(0,$AY44-MIN(($P44-'Methodology &amp; Sources'!$C$260*$D44)*Inputs!$C$8,IF(OR($AU44="Married",AND($AU44="Single",$AS44&gt;=3)),IF($AY44&lt;250000,8750,IF($AY44&lt;260000,7000,IF($AY44&lt;270000,5250,IF($AY44&lt;280000,3500,IF($AY44&lt;290000,1750,0))))),IF($AY44&lt;125000,8750,IF($AY44&lt;130000,7000,IF($AY44&lt;135000,5250,IF($AY44&lt;140000,3500,IF($AY44&lt;145000,1750,0)))))))-IF(OR($AU44="Married",AND($AU44="Single",$AS44&gt;=3)),5820,2910))-INDEX('Methodology &amp; Sources'!$B$461:$J$464,0,4))*INDEX('Methodology &amp; Sources'!$B$461:$J$464,0,4+2)),SUMPRODUCT((MAX(0,$AY44-MIN(($P44-'Methodology &amp; Sources'!$C$260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Sources'!$B$461:$J$464,0,1))*(MAX(0,$AY44-MIN(($P44-'Methodology &amp; Sources'!$C$260*$D44)*Inputs!$C$8,IF(OR($AU44="Married",AND($AU44="Single",$AS44&gt;=3)),IF($AY44&lt;250000,8750,IF($AY44&lt;260000,7000,IF($AY44&lt;270000,5250,IF($AY44&lt;280000,3500,IF($AY44&lt;290000,1750,0))))),IF($AY44&lt;125000,8750,IF($AY44&lt;130000,7000,IF($AY44&lt;135000,5250,IF($AY44&lt;140000,3500,IF($AY44&lt;145000,1750,0)))))))-IF(OR($AU44="Married",AND($AU44="Single",$AS44&gt;=3)),5820,2910))-INDEX('Methodology &amp; Sources'!$B$461:$J$464,0,1))*INDEX('Methodology &amp; Sources'!$B$461:$J$464,0,1+2)))+263-263*IF(IF($AU44="Married",$AY44&gt;200000,$AY44&gt;100000),0,$AS44),IF($AN44="PA",0.0307*(($O44+$E44+$G44)*Inputs!$C$8),IF($AN44="NY",IF($AU44="Married",IF($AZ44&gt;=2155350,0,IF($AZ44&gt;=1077550,0.48,IF($AZ44&gt;=373200,1.21,IF($AZ44&gt;=323200,0.21,IF($AZ44&gt;=211550,-0.19,IF($AZ44&gt;=157650,-2.8,IF($AZ44&gt;=107650,-0.8,IF($AZ44&gt;=96800,0.05,IF($AZ44&gt;=80650,-0.1,IF($AZ44&gt;=13900,0.4,IF($AZ44&gt;=11700,-0.3,IF($AZ44&gt;=8500,0.5,0)))))))))))),IF($AZ44&gt;=1077550,0,IF($AZ44&gt;=265400,4.29,IF($AZ44&gt;=215400,2.29,IF($AZ44&gt;=157650,2.29,IF($AZ44&gt;=107650,0.29,IF($AZ44&gt;=96800,0.05,IF($AZ44&gt;=80650,-0.1,IF($AZ44&gt;=13900,0.4,IF($AZ44&gt;=11700,-0.3,IF($AZ44&gt;=8500,0.5,0))))))))))),0))))))))))))))))))</f>
      </c>
      <c r="BC44" s="7">
        <f>IF($B44="","",IF($AN44="AL",0.05*$D44,IF($AN44="AR",0.039*$D44,IF($AN44="ID",0.053*$D44,IF($AN44="IN",(0.0295+Inputs!$C$76)*$D44,IF($AN44="KS",0.05*$D44,IF($AN44="MA",0.09*MIN($D44,MAX(0,MAX(0,$AY44-MIN(($BD43+$Q44+$R44+$S44),2000)-IF($AS44=0,0,IF($AS44=1,4400,1000*$AS44+3400)))+$D44-1107750))+0.05*($D44-MIN($D44,MAX(0,MAX(0,$AY44-MIN(($BD43+$Q44+$R44+$S44),2000)-IF($AS44=0,0,IF($AS44=1,4400,1000*$AS44+3400)))+$D44-1107750))),IF($AN44="MD",(0.065+Inputs!$C$74)*$D44,IF($AN44="MI",0.0425*$D44,IF($AN44="MN",0.0625*$D44,IF($AN44="MO",0.047*$D44,IF($AN44="MT",0.05*$D44,IF($AN44="ND",0.015*$D44,IF($AN44="NE",0.035*$D44,IF($AN44="NJ",IF(Inputs!$C$77="B",SUMPRODUCT(($D44*Inputs!$C$8&gt;INDEX('Methodology &amp; Sources'!$B$405:$J$412,0,4))*($D44*Inputs!$C$8-INDEX('Methodology &amp; Sources'!$B$405:$J$412,0,4))*INDEX('Methodology &amp; Sources'!$B$405:$J$412,0,4+2)),IF(Inputs!$C$77="C",SUMPRODUCT(($D44*Inputs!$C$8&gt;INDEX('Methodology &amp; Sources'!$B$405:$J$412,0,7))*($D44*Inputs!$C$8-INDEX('Methodology &amp; Sources'!$B$405:$J$412,0,7))*INDEX('Methodology &amp; Sources'!$B$405:$J$412,0,7+2)),IF(Inputs!$C$77="D",SUMPRODUCT(($D44*Inputs!$C$8&gt;INDEX('Methodology &amp; Sources'!$B$417:$J$429,0,1))*($D44*Inputs!$C$8-INDEX('Methodology &amp; Sources'!$B$417:$J$429,0,1))*INDEX('Methodology &amp; Sources'!$B$417:$J$429,0,1+2)),IF(Inputs!$C$77="E",SUMPRODUCT(($D44*Inputs!$C$8&gt;INDEX('Methodology &amp; Sources'!$B$417:$J$429,0,4))*($D44*Inputs!$C$8-INDEX('Methodology &amp; Sources'!$B$417:$J$429,0,4))*INDEX('Methodology &amp; Sources'!$B$417:$J$429,0,4+2)),SUMPRODUCT(($D44*Inputs!$C$8&gt;INDEX('Methodology &amp; Sources'!$B$405:$J$412,0,1))*($D44*Inputs!$C$8-INDEX('Methodology &amp; Sources'!$B$405:$J$412,0,1))*INDEX('Methodology &amp; Sources'!$B$405:$J$412,0,1+2))))))/Inputs!$C$8,IF($AN44="NY",0.117*$D44,IF($AN44="OH",0.0275*$D44,IF($AN44="OK",0.045*$D44,IF($AN44="OR",0.08*$D44,IF($AN44="WI",IF($AY44&lt;12760,0.0354,IF($AY44&lt;25520,0.0465,IF($AY44&lt;280950,0.053,0.0765)))*$D44,0))))))))))))))))))))</f>
      </c>
      <c r="BD44" s="7">
        <f>IF($B44="","",$BD43+$Q44+$R44+$S44)</f>
      </c>
      <c r="BE44" s="6">
        <f>IF($B44="",$BE43,$BE43+$BF44)</f>
      </c>
      <c r="BF44" s="6">
        <f>IF($B44="","",IF(AND(IF(YEAR(IF(Inputs!$C$7="Weekly",Inputs!$C$9+7*(($BE43+1)-1),IF(Inputs!$C$7="Biweekly",Inputs!$C$9+14*(($BE43+1)-1),IF(Inputs!$C$7="Semimonthly",DATE(YEAR(Inputs!$C$9),MONTH(Inputs!$C$9)+INT((($BE43+1)-1)/2),MIN(DAY(Inputs!$C$9),DAY(EOMONTH(DATE(YEAR(Inputs!$C$9),MONTH(Inputs!$C$9)+INT((($BE43+1)-1)/2),1),0))))+IF(MOD(($BE43+1)-1,2)=1,15,0),EDATE(Inputs!$C$9,($BE43+1)-1)))))&lt;&gt;2026,"",IF(Inputs!$C$7="Weekly",Inputs!$C$9+7*(($BE43+1)-1),IF(Inputs!$C$7="Biweekly",Inputs!$C$9+14*(($BE43+1)-1),IF(Inputs!$C$7="Semimonthly",DATE(YEAR(Inputs!$C$9),MONTH(Inputs!$C$9)+INT((($BE43+1)-1)/2),MIN(DAY(Inputs!$C$9),DAY(EOMONTH(DATE(YEAR(Inputs!$C$9),MONTH(Inputs!$C$9)+INT((($BE43+1)-1)/2),1),0))))+IF(MOD(($BE43+1)-1,2)=1,15,0),EDATE(Inputs!$C$9,($BE43+1)-1)))))&lt;&gt;"",$B44=IF(YEAR(IF(Inputs!$C$7="Weekly",Inputs!$C$9+7*(($BE43+1)-1),IF(Inputs!$C$7="Biweekly",Inputs!$C$9+14*(($BE43+1)-1),IF(Inputs!$C$7="Semimonthly",DATE(YEAR(Inputs!$C$9),MONTH(Inputs!$C$9)+INT((($BE43+1)-1)/2),MIN(DAY(Inputs!$C$9),DAY(EOMONTH(DATE(YEAR(Inputs!$C$9),MONTH(Inputs!$C$9)+INT((($BE43+1)-1)/2),1),0))))+IF(MOD(($BE43+1)-1,2)=1,15,0),EDATE(Inputs!$C$9,($BE43+1)-1)))))&lt;&gt;2026,"",IF(Inputs!$C$7="Weekly",Inputs!$C$9+7*(($BE43+1)-1),IF(Inputs!$C$7="Biweekly",Inputs!$C$9+14*(($BE43+1)-1),IF(Inputs!$C$7="Semimonthly",DATE(YEAR(Inputs!$C$9),MONTH(Inputs!$C$9)+INT((($BE43+1)-1)/2),MIN(DAY(Inputs!$C$9),DAY(EOMONTH(DATE(YEAR(Inputs!$C$9),MONTH(Inputs!$C$9)+INT((($BE43+1)-1)/2),1),0))))+IF(MOD(($BE43+1)-1,2)=1,15,0),EDATE(Inputs!$C$9,($BE43+1)-1)))))),1,0))</f>
      </c>
      <c r="BG44" s="7">
        <f>IF($B44="","",$BG43+$H44)</f>
      </c>
      <c r="BH44" s="7">
        <f>IF($B44="","",$BH43+$I44)</f>
      </c>
      <c r="BI44" s="7">
        <f>IF($B44="","",$BI43+$G44)</f>
      </c>
      <c r="BJ44" s="7">
        <f>IF($B44="","",IFERROR(LOOKUP(2,1/((((Events!$C$6:$C$17="Deduction start"))*(Events!$D$6:$D$17="Health FSA"))*(Events!$B$6:$B$17&lt;=$B44)*(Events!$B$6:$B$17&lt;&gt;"")),Events!$E$6:$E$17),Inputs!$D$38))</f>
      </c>
      <c r="BK44" s="7">
        <f>IF($B44="","",IFERROR(LOOKUP(2,1/((((Events!$C$6:$C$17="Deduction start"))*(Events!$D$6:$D$17="Dependent-care FSA"))*(Events!$B$6:$B$17&lt;=$B44)*(Events!$B$6:$B$17&lt;&gt;"")),Events!$E$6:$E$17),Inputs!$D$39))</f>
      </c>
      <c r="BL44" s="7">
        <f>IF($B44="","",IFERROR(LOOKUP(2,1/((((Events!$C$6:$C$17="Deduction start")+(Events!$C$6:$C$17="Deduction stop"))*(Events!$D$6:$D$17="HSA"))*(Events!$B$6:$B$17&lt;=$B44)*(Events!$B$6:$B$17&lt;&gt;"")),Events!$I$6:$I$17),Inputs!$D$35))</f>
      </c>
      <c r="BM44" s="7">
        <f>IF($B44="","",IFERROR(LOOKUP(2,1/((((Events!$C$6:$C$17="Deduction start")+(Events!$C$6:$C$17="Deduction stop"))*(Events!$D$6:$D$17="Premiums"))*(Events!$B$6:$B$17&lt;=$B44)*(Events!$B$6:$B$17&lt;&gt;"")),Events!$I$6:$I$17),Inputs!$D$40+Inputs!$D$41+Inputs!$D$42))</f>
      </c>
      <c r="BN44" s="7">
        <f>IF($B44="","",IFERROR(LOOKUP(2,1/((((Events!$C$6:$C$17="Deduction start")+(Events!$C$6:$C$17="Deduction stop"))*(Events!$D$6:$D$17="Commuter"))*(Events!$B$6:$B$17&lt;=$B44)*(Events!$B$6:$B$17&lt;&gt;"")),Events!$I$6:$I$17),Inputs!$D$43))</f>
      </c>
      <c r="BO44" s="7">
        <f>IF($B44="","",IFERROR(LOOKUP(2,1/((((Events!$C$6:$C$17="Deduction start")+(Events!$C$6:$C$17="Deduction stop"))*(Events!$D$6:$D$17="Other pre-tax"))*(Events!$B$6:$B$17&lt;=$B44)*(Events!$B$6:$B$17&lt;&gt;"")),Events!$I$6:$I$17),Inputs!$D$44))</f>
      </c>
      <c r="BP44" s="7">
        <f>IF($B44="","",IFERROR(LOOKUP(2,1/((((Events!$C$6:$C$17="Deduction start")+(Events!$C$6:$C$17="Deduction stop"))*(Events!$D$6:$D$17="Other post-tax"))*(Events!$B$6:$B$17&lt;=$B44)*(Events!$B$6:$B$17&lt;&gt;"")),Events!$I$6:$I$17),Inputs!$D$45))</f>
      </c>
      <c r="BQ44" s="6">
        <f>IF($B44="","",IFERROR(LOOKUP(2,1/((((Events!$C$6:$C$17="Deduction start")+(Events!$C$6:$C$17="Deduction stop"))*(Events!$D$6:$D$17="Health FSA"))*(Events!$B$6:$B$17&lt;=$B44)*(Events!$B$6:$B$17&lt;&gt;"")),Events!$J$6:$J$17),0))</f>
      </c>
      <c r="BR44" s="6">
        <f>IF($B44="","",IFERROR(LOOKUP(2,1/((((Events!$C$6:$C$17="Deduction start")+(Events!$C$6:$C$17="Deduction stop"))*(Events!$D$6:$D$17="Dependent-care FSA"))*(Events!$B$6:$B$17&lt;=$B44)*(Events!$B$6:$B$17&lt;&gt;"")),Events!$J$6:$J$17),0))</f>
      </c>
      <c r="BS44" s="6">
        <f>IF($B44="","",IF(SUMPRODUCT((Events!$C$6:$C$17="Deduction start")*(Events!$B$6:$B$17&lt;=$B44)*(Events!$B$6:$B$17&lt;&gt;"")*(Events!$D$6:$D$17="Health FSA"))&gt;0,1,0))</f>
      </c>
      <c r="BT44" s="6">
        <f>IF($B44="","",IF(SUMPRODUCT((Events!$C$6:$C$17="Deduction start")*(Events!$B$6:$B$17&lt;=$B44)*(Events!$B$6:$B$17&lt;&gt;"")*(Events!$D$6:$D$17="Dependent-care FSA"))&gt;0,1,0))</f>
      </c>
      <c r="BU44" s="24">
        <f>IF($B44="","",IF(Inputs!$C$13,SUMPRODUCT(($AH44&gt;=INDEX('Methodology &amp; Sources'!$B$279:$J$286,0,IF(Inputs!$C$12="MFJ",1,IF(Inputs!$C$12="HoH",7,4))))*INDEX('Methodology &amp; Sources'!$B$279:$J$286,0,IF(Inputs!$C$12="MFJ",1,IF(Inputs!$C$12="HoH",7,4))+2)),SUMPRODUCT(($AH44&gt;=INDEX('Methodology &amp; Sources'!$B$269:$J$276,0,IF(Inputs!$C$12="MFJ",1,IF(Inputs!$C$12="HoH",7,4))))*INDEX('Methodology &amp; Sources'!$B$269:$J$276,0,IF(Inputs!$C$12="MFJ",1,IF(Inputs!$C$12="HoH",7,4))+2))))</f>
      </c>
      <c r="BV44" s="24">
        <f>IF($B44="","",IF($BZ44&lt;&gt;"",$BZ44,IF($CA44&lt;&gt;"",$CA44,IF($CB44&lt;&gt;"",$CB44,IF($CC44&lt;&gt;"",$CC44,0)))))</f>
      </c>
      <c r="BW44" s="7">
        <f>IF($B44="","",IF($AN44="MD",IF(OR($AU44="Married",$AU44="Head of household"),SUMPRODUCT(($AZ44&gt;INDEX('Methodology &amp; Sources'!$B$364:$J$370,0,1))*($AZ44-INDEX('Methodology &amp; Sources'!$B$364:$J$370,0,1))*INDEX('Methodology &amp; Sources'!$B$364:$J$370,0,1+2)),SUMPRODUCT(($AZ44&gt;INDEX('Methodology &amp; Sources'!$B$353:$J$359,0,7))*($AZ44-INDEX('Methodology &amp; Sources'!$B$353:$J$359,0,7))*INDEX('Methodology &amp; Sources'!$B$353:$J$359,0,7+2))),IF($AN44="MO",SUMPRODUCT(($AZ44&gt;INDEX('Methodology &amp; Sources'!$B$375:$J$382,0,1))*($AZ44-INDEX('Methodology &amp; Sources'!$B$375:$J$382,0,1))*INDEX('Methodology &amp; Sources'!$B$375:$J$382,0,1+2)),IF($AN44="MT",IF($AU44="Head of household",SUMPRODUCT(($AZ44&gt;INDEX('Methodology &amp; Sources'!$B$387:$J$389,0,1))*($AZ44-INDEX('Methodology &amp; Sources'!$B$387:$J$389,0,1))*INDEX('Methodology &amp; Sources'!$B$387:$J$389,0,1+2)),IF($AU44="Married",SUMPRODUCT(($AZ44&gt;INDEX('Methodology &amp; Sources'!$B$375:$J$382,0,7))*($AZ44-INDEX('Methodology &amp; Sources'!$B$375:$J$382,0,7))*INDEX('Methodology &amp; Sources'!$B$375:$J$382,0,7+2)),SUMPRODUCT(($AZ44&gt;INDEX('Methodology &amp; Sources'!$B$375:$J$382,0,4))*($AZ44-INDEX('Methodology &amp; Sources'!$B$375:$J$382,0,4))*INDEX('Methodology &amp; Sources'!$B$375:$J$382,0,4+2)))),IF($AN44="ND",IF($AU44="Head of household",SUMPRODUCT(($AZ44&gt;INDEX('Methodology &amp; Sources'!$B$394:$J$400,0,1))*($AZ44-INDEX('Methodology &amp; Sources'!$B$394:$J$400,0,1))*INDEX('Methodology &amp; Sources'!$B$394:$J$400,0,1+2)),IF($AU44="Married",SUMPRODUCT(($AZ44&gt;INDEX('Methodology &amp; Sources'!$B$387:$J$389,0,7))*($AZ44-INDEX('Methodology &amp; Sources'!$B$387:$J$389,0,7))*INDEX('Methodology &amp; Sources'!$B$387:$J$389,0,7+2)),SUMPRODUCT(($AZ44&gt;INDEX('Methodology &amp; Sources'!$B$387:$J$389,0,4))*($AZ44-INDEX('Methodology &amp; Sources'!$B$387:$J$389,0,4))*INDEX('Methodology &amp; Sources'!$B$387:$J$389,0,4+2)))),IF($AN44="NJ",IF(Inputs!$C$77="B",SUMPRODUCT(($AZ44&gt;INDEX('Methodology &amp; Sources'!$B$405:$J$412,0,4))*($AZ44-INDEX('Methodology &amp; Sources'!$B$405:$J$412,0,4))*INDEX('Methodology &amp; Sources'!$B$405:$J$412,0,4+2)),IF(Inputs!$C$77="C",SUMPRODUCT(($AZ44&gt;INDEX('Methodology &amp; Sources'!$B$405:$J$412,0,7))*($AZ44-INDEX('Methodology &amp; Sources'!$B$405:$J$412,0,7))*INDEX('Methodology &amp; Sources'!$B$405:$J$412,0,7+2)),IF(Inputs!$C$77="D",SUMPRODUCT(($AZ44&gt;INDEX('Methodology &amp; Sources'!$B$417:$J$429,0,1))*($AZ44-INDEX('Methodology &amp; Sources'!$B$417:$J$429,0,1))*INDEX('Methodology &amp; Sources'!$B$417:$J$429,0,1+2)),IF(Inputs!$C$77="E",SUMPRODUCT(($AZ44&gt;INDEX('Methodology &amp; Sources'!$B$417:$J$429,0,4))*($AZ44-INDEX('Methodology &amp; Sources'!$B$417:$J$429,0,4))*INDEX('Methodology &amp; Sources'!$B$417:$J$429,0,4+2)),SUMPRODUCT(($AZ44&gt;INDEX('Methodology &amp; Sources'!$B$405:$J$412,0,1))*($AZ44-INDEX('Methodology &amp; Sources'!$B$405:$J$412,0,1))*INDEX('Methodology &amp; Sources'!$B$405:$J$412,0,1+2)))))),IF($AN44="NY",IF($AU44="Married",IF($AZ44&gt;=2155350,$AZ44*IF($AZ44&gt;25000000,0.117,IF($AZ44&gt;5000000,0.111,0.1045)),SUMPRODUCT(($AZ44&gt;INDEX('Methodology &amp; Sources'!$B$434:$J$448,0,1))*($AZ44-INDEX('Methodology &amp; Sources'!$B$434:$J$448,0,1))*INDEX('Methodology &amp; Sources'!$B$434:$J$448,0,1+2))),IF($AZ44&gt;=1077550,$AZ44*IF($AZ44&gt;25000000,0.117,IF($AZ44&gt;5000000,0.111,0.1045)),SUMPRODUCT(($AZ44&gt;INDEX('Methodology &amp; Sources'!$B$417:$J$429,0,7))*($AZ44-INDEX('Methodology &amp; Sources'!$B$417:$J$429,0,7))*INDEX('Methodology &amp; Sources'!$B$417:$J$429,0,7+2)))),"")))))))</f>
      </c>
      <c r="BX44" s="7">
        <f>IF($B44="","",IF($AN44="AL",IF(OR($AU44="Married",$AU44="Head of household"),SUMPRODUCT(($AZ44&gt;INDEX('Methodology &amp; Sources'!$B$332:$J$336,0,4))*($AZ44-INDEX('Methodology &amp; Sources'!$B$332:$J$336,0,4))*INDEX('Methodology &amp; Sources'!$B$332:$J$336,0,4+2)),SUMPRODUCT(($AZ44&gt;INDEX('Methodology &amp; Sources'!$B$332:$J$336,0,1))*($AZ44-INDEX('Methodology &amp; Sources'!$B$332:$J$336,0,1))*INDEX('Methodology &amp; Sources'!$B$332:$J$336,0,1+2))),IF($AN44="KS",IF($AU44="Married",SUMPRODUCT(($AZ44&gt;INDEX('Methodology &amp; Sources'!$B$353:$J$359,0,4))*($AZ44-INDEX('Methodology &amp; Sources'!$B$353:$J$359,0,4))*INDEX('Methodology &amp; Sources'!$B$353:$J$359,0,4+2)),SUMPRODUCT(($AZ44&gt;INDEX('Methodology &amp; Sources'!$B$353:$J$359,0,1))*($AZ44-INDEX('Methodology &amp; Sources'!$B$353:$J$359,0,1))*INDEX('Methodology &amp; Sources'!$B$353:$J$359,0,1+2))),IF($AN44="MN",IF($AU44="Married",SUMPRODUCT(($AZ44&gt;INDEX('Methodology &amp; Sources'!$B$364:$J$370,0,7))*($AZ44-INDEX('Methodology &amp; Sources'!$B$364:$J$370,0,7))*INDEX('Methodology &amp; Sources'!$B$364:$J$370,0,7+2)),SUMPRODUCT(($AZ44&gt;INDEX('Methodology &amp; Sources'!$B$364:$J$370,0,4))*($AZ44-INDEX('Methodology &amp; Sources'!$B$364:$J$370,0,4))*INDEX('Methodology &amp; Sources'!$B$364:$J$370,0,4+2))),IF($AN44="NE",MAX(IF($AU44="Married",SUMPRODUCT(($AZ44&gt;INDEX('Methodology &amp; Sources'!$B$394:$J$400,0,7))*($AZ44-INDEX('Methodology &amp; Sources'!$B$394:$J$400,0,7))*INDEX('Methodology &amp; Sources'!$B$394:$J$400,0,7+2)),SUMPRODUCT(($AZ44&gt;INDEX('Methodology &amp; Sources'!$B$394:$J$400,0,4))*($AZ44-INDEX('Methodology &amp; Sources'!$B$394:$J$400,0,4))*INDEX('Methodology &amp; Sources'!$B$394:$J$400,0,4+2))),0.015*$AZ44),IF($AN44="OH",IF($B44&gt;=DATE(2026,8,1),SUMPRODUCT(($AZ44&gt;INDEX('Methodology &amp; Sources'!$B$453:$J$456,0,1))*($AZ44-INDEX('Methodology &amp; Sources'!$B$453:$J$456,0,1))*INDEX('Methodology &amp; Sources'!$B$453:$J$456,0,1+2)),SUMPRODUCT(($AZ44&gt;INDEX('Methodology &amp; Sources'!$B$434:$J$448,0,7))*($AZ44-INDEX('Methodology &amp; Sources'!$B$434:$J$448,0,7))*INDEX('Methodology &amp; Sources'!$B$434:$J$448,0,7+2))),IF($AN44="OK",IF($AU44="Married",SUMPRODUCT(($AZ44&gt;INDEX('Methodology &amp; Sources'!$B$453:$J$456,0,7))*($AZ44-INDEX('Methodology &amp; Sources'!$B$453:$J$456,0,7))*INDEX('Methodology &amp; Sources'!$B$453:$J$456,0,7+2)),SUMPRODUCT(($AZ44&gt;INDEX('Methodology &amp; Sources'!$B$453:$J$456,0,4))*($AZ44-INDEX('Methodology &amp; Sources'!$B$453:$J$456,0,4))*INDEX('Methodology &amp; Sources'!$B$453:$J$456,0,4+2))),IF($AN44="RI",SUMPRODUCT(($AZ44&gt;INDEX('Methodology &amp; Sources'!$B$461:$J$464,0,7))*($AZ44-INDEX('Methodology &amp; Sources'!$B$461:$J$464,0,7))*INDEX('Methodology &amp; Sources'!$B$461:$J$464,0,7+2)),IF($AN44="VT",IF($AU44="Married",SUMPRODUCT(($AZ44&gt;INDEX('Methodology &amp; Sources'!$B$478:$J$482,0,1))*($AZ44-INDEX('Methodology &amp; Sources'!$B$478:$J$482,0,1))*INDEX('Methodology &amp; Sources'!$B$478:$J$482,0,1+2)),SUMPRODUCT(($AZ44&gt;INDEX('Methodology &amp; Sources'!$B$469:$J$473,0,7))*($AZ44-INDEX('Methodology &amp; Sources'!$B$469:$J$473,0,7))*INDEX('Methodology &amp; Sources'!$B$469:$J$473,0,7+2))),IF($AN44="WV",IF($AU44="Married",SUMPRODUCT(($AZ44&gt;INDEX('Methodology &amp; Sources'!$B$487:$J$491,0,7))*($AZ44-INDEX('Methodology &amp; Sources'!$B$487:$J$491,0,7))*INDEX('Methodology &amp; Sources'!$B$487:$J$491,0,7+2)),SUMPRODUCT(($AZ44&gt;INDEX('Methodology &amp; Sources'!$B$478:$J$482,0,7))*($AZ44-INDEX('Methodology &amp; Sources'!$B$478:$J$482,0,7))*INDEX('Methodology &amp; Sources'!$B$478:$J$482,0,7+2))),""))))))))))</f>
      </c>
      <c r="BY44" s="7">
        <f>IF($B44="","",IF($AN44="AR",SUMPRODUCT(($AZ44&gt;INDEX('Methodology &amp; Sources'!$B$332:$J$336,0,7))*($AZ44-INDEX('Methodology &amp; Sources'!$B$332:$J$336,0,7))*INDEX('Methodology &amp; Sources'!$B$332:$J$336,0,7+2)),IF($AN44="DE",SUMPRODUCT(($AZ44&gt;INDEX('Methodology &amp; Sources'!$B$341:$J$348,0,1))*($AZ44-INDEX('Methodology &amp; Sources'!$B$341:$J$348,0,1))*INDEX('Methodology &amp; Sources'!$B$341:$J$348,0,1+2)),IF($AN44="HI",IF($AU44="Married",SUMPRODUCT(($AZ44&gt;INDEX('Methodology &amp; Sources'!$B$341:$J$348,0,7))*($AZ44-INDEX('Methodology &amp; Sources'!$B$341:$J$348,0,7))*INDEX('Methodology &amp; Sources'!$B$341:$J$348,0,7+2)),SUMPRODUCT(($AZ44&gt;INDEX('Methodology &amp; Sources'!$B$341:$J$348,0,4))*($AZ44-INDEX('Methodology &amp; Sources'!$B$341:$J$348,0,4))*INDEX('Methodology &amp; Sources'!$B$341:$J$348,0,4+2))),IF($AN44="SC",SUMPRODUCT(($AZ44&gt;INDEX('Methodology &amp; Sources'!$B$469:$J$473,0,1))*($AZ44-INDEX('Methodology &amp; Sources'!$B$469:$J$473,0,1))*INDEX('Methodology &amp; Sources'!$B$469:$J$473,0,1+2)),IF($AN44="VA",SUMPRODUCT(($AZ44&gt;INDEX('Methodology &amp; Sources'!$B$469:$J$473,0,4))*($AZ44-INDEX('Methodology &amp; Sources'!$B$469:$J$473,0,4))*INDEX('Methodology &amp; Sources'!$B$469:$J$473,0,4+2)),IF($AN44="WI",SUMPRODUCT(($AZ44&gt;INDEX('Methodology &amp; Sources'!$B$478:$J$482,0,4))*($AZ44-INDEX('Methodology &amp; Sources'!$B$478:$J$482,0,4))*INDEX('Methodology &amp; Sources'!$B$478:$J$482,0,4+2)),"")))))))</f>
      </c>
      <c r="BZ44" s="24">
        <f>IF($B44="","",IF($AN44="NJ",IF(Inputs!$C$77="B",SUMPRODUCT(($AZ44&gt;=INDEX('Methodology &amp; Sources'!$B$405:$J$412,0,4))*INDEX('Methodology &amp; Sources'!$B$405:$J$412,0,4+2)),IF(Inputs!$C$77="C",SUMPRODUCT(($AZ44&gt;=INDEX('Methodology &amp; Sources'!$B$405:$J$412,0,7))*INDEX('Methodology &amp; Sources'!$B$405:$J$412,0,7+2)),IF(Inputs!$C$77="D",SUMPRODUCT(($AZ44&gt;=INDEX('Methodology &amp; Sources'!$B$417:$J$429,0,1))*INDEX('Methodology &amp; Sources'!$B$417:$J$429,0,1+2)),IF(Inputs!$C$77="E",SUMPRODUCT(($AZ44&gt;=INDEX('Methodology &amp; Sources'!$B$417:$J$429,0,4))*INDEX('Methodology &amp; Sources'!$B$417:$J$429,0,4+2)),SUMPRODUCT(($AZ44&gt;=INDEX('Methodology &amp; Sources'!$B$405:$J$412,0,1))*INDEX('Methodology &amp; Sources'!$B$405:$J$412,0,1+2)))))),IF($AN44="OR",IF(OR($AU44="Married",AND($AU44="Single",$AS44&gt;=3)),SUMPRODUCT((MAX(0,$AY44-MIN(($P44-'Methodology &amp; Sources'!$C$260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Sources'!$B$461:$J$464,0,4))*INDEX('Methodology &amp; Sources'!$B$461:$J$464,0,4+2)),SUMPRODUCT((MAX(0,$AY44-MIN(($P44-'Methodology &amp; Sources'!$C$260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Sources'!$B$461:$J$464,0,1))*INDEX('Methodology &amp; Sources'!$B$461:$J$464,0,1+2)))*IF(($P44-'Methodology &amp; Sources'!$C$260*$D44)*Inputs!$C$8&gt;=IF(OR($AU44="Married",AND($AU44="Single",$AS44&gt;=3)),IF($AY44&lt;250000,8750,IF($AY44&lt;260000,7000,IF($AY44&lt;270000,5250,IF($AY44&lt;280000,3500,IF($AY44&lt;290000,1750,0))))),IF($AY44&lt;125000,8750,IF($AY44&lt;130000,7000,IF($AY44&lt;135000,5250,IF($AY44&lt;140000,3500,IF($AY44&lt;145000,1750,0)))))),1,1-IF(Inputs!$C$13,SUMPRODUCT(($AH44&gt;=INDEX('Methodology &amp; Sources'!$B$279:$J$286,0,IF(Inputs!$C$12="MFJ",1,IF(Inputs!$C$12="HoH",7,4))))*INDEX('Methodology &amp; Sources'!$B$279:$J$286,0,IF(Inputs!$C$12="MFJ",1,IF(Inputs!$C$12="HoH",7,4))+2)),SUMPRODUCT(($AH44&gt;=INDEX('Methodology &amp; Sources'!$B$269:$J$276,0,IF(Inputs!$C$12="MFJ",1,IF(Inputs!$C$12="HoH",7,4))))*INDEX('Methodology &amp; Sources'!$B$269:$J$276,0,IF(Inputs!$C$12="MFJ",1,IF(Inputs!$C$12="HoH",7,4))+2)))),IF($AN44="MI",IF($AY44&gt;5900*$AS44,0.0425,0),""))))</f>
      </c>
      <c r="CA44" s="24">
        <f>IF($B44="","",IF($AN44="AL",IF(OR($AU44="Married",$AU44="Head of household"),SUMPRODUCT(($AZ44&gt;=INDEX('Methodology &amp; Sources'!$B$332:$J$336,0,4))*INDEX('Methodology &amp; Sources'!$B$332:$J$336,0,4+2)),SUMPRODUCT(($AZ44&gt;=INDEX('Methodology &amp; Sources'!$B$332:$J$336,0,1))*INDEX('Methodology &amp; Sources'!$B$332:$J$336,0,1+2)))*(1-IF(Inputs!$C$13,SUMPRODUCT(($AH44&gt;=INDEX('Methodology &amp; Sources'!$B$279:$J$286,0,IF(Inputs!$C$12="MFJ",1,IF(Inputs!$C$12="HoH",7,4))))*INDEX('Methodology &amp; Sources'!$B$279:$J$286,0,IF(Inputs!$C$12="MFJ",1,IF(Inputs!$C$12="HoH",7,4))+2)),SUMPRODUCT(($AH44&gt;=INDEX('Methodology &amp; Sources'!$B$269:$J$276,0,IF(Inputs!$C$12="MFJ",1,IF(Inputs!$C$12="HoH",7,4))))*INDEX('Methodology &amp; Sources'!$B$269:$J$276,0,IF(Inputs!$C$12="MFJ",1,IF(Inputs!$C$12="HoH",7,4))+2)))),IF($AN44="KS",IF($AU44="Married",SUMPRODUCT(($AZ44&gt;=INDEX('Methodology &amp; Sources'!$B$353:$J$359,0,4))*INDEX('Methodology &amp; Sources'!$B$353:$J$359,0,4+2)),SUMPRODUCT(($AZ44&gt;=INDEX('Methodology &amp; Sources'!$B$353:$J$359,0,1))*INDEX('Methodology &amp; Sources'!$B$353:$J$359,0,1+2))),IF($AN44="MD",IF(OR($AU44="Married",$AU44="Head of household"),SUMPRODUCT(($AZ44&gt;=INDEX('Methodology &amp; Sources'!$B$364:$J$370,0,1))*INDEX('Methodology &amp; Sources'!$B$364:$J$370,0,1+2)),SUMPRODUCT(($AZ44&gt;=INDEX('Methodology &amp; Sources'!$B$353:$J$359,0,7))*INDEX('Methodology &amp; Sources'!$B$353:$J$359,0,7+2)))+Inputs!$C$74,IF($AN44="MT",IF($AU44="Head of household",SUMPRODUCT(($AZ44&gt;=INDEX('Methodology &amp; Sources'!$B$387:$J$389,0,1))*INDEX('Methodology &amp; Sources'!$B$387:$J$389,0,1+2)),IF($AU44="Married",SUMPRODUCT(($AZ44&gt;=INDEX('Methodology &amp; Sources'!$B$375:$J$382,0,7))*INDEX('Methodology &amp; Sources'!$B$375:$J$382,0,7+2)),SUMPRODUCT(($AZ44&gt;=INDEX('Methodology &amp; Sources'!$B$375:$J$382,0,4))*INDEX('Methodology &amp; Sources'!$B$375:$J$382,0,4+2)))),IF($AN44="ND",IF($AU44="Head of household",SUMPRODUCT(($AZ44&gt;=INDEX('Methodology &amp; Sources'!$B$394:$J$400,0,1))*INDEX('Methodology &amp; Sources'!$B$394:$J$400,0,1+2)),IF($AU44="Married",SUMPRODUCT(($AZ44&gt;=INDEX('Methodology &amp; Sources'!$B$387:$J$389,0,7))*INDEX('Methodology &amp; Sources'!$B$387:$J$389,0,7+2)),SUMPRODUCT(($AZ44&gt;=INDEX('Methodology &amp; Sources'!$B$387:$J$389,0,4))*INDEX('Methodology &amp; Sources'!$B$387:$J$389,0,4+2)))),IF($AN44="NY",IF($AU44="Married",IF($AZ44&gt;=2155350,IF($AZ44&gt;25000000,0.117,IF($AZ44&gt;5000000,0.111,0.1045)),SUMPRODUCT(($AZ44&gt;=INDEX('Methodology &amp; Sources'!$B$434:$J$448,0,1))*INDEX('Methodology &amp; Sources'!$B$434:$J$448,0,1+2))),IF($AZ44&gt;=1077550,IF($AZ44&gt;25000000,0.117,IF($AZ44&gt;5000000,0.111,0.1045)),SUMPRODUCT(($AZ44&gt;=INDEX('Methodology &amp; Sources'!$B$417:$J$429,0,7))*INDEX('Methodology &amp; Sources'!$B$417:$J$429,0,7+2)))),"")))))))</f>
      </c>
      <c r="CB44" s="24">
        <f>IF($B44="","",IF($AN44="CA",SUMPRODUCT(($AJ44&gt;=INDEX('Methodology &amp; Sources'!$B$289:$J$298,0,IF($AU44="Married",4,IF($AU44="Head of household",7,1))))*INDEX('Methodology &amp; Sources'!$B$289:$J$298,0,IF($AU44="Married",4,IF($AU44="Head of household",7,1))+2)),IF($AN44="HI",IF($AU44="Married",SUMPRODUCT(($AZ44&gt;=INDEX('Methodology &amp; Sources'!$B$341:$J$348,0,7))*INDEX('Methodology &amp; Sources'!$B$341:$J$348,0,7+2)),SUMPRODUCT(($AZ44&gt;=INDEX('Methodology &amp; Sources'!$B$341:$J$348,0,4))*INDEX('Methodology &amp; Sources'!$B$341:$J$348,0,4+2))),IF($AN44="MN",IF($AU44="Married",SUMPRODUCT(($AZ44&gt;=INDEX('Methodology &amp; Sources'!$B$364:$J$370,0,7))*INDEX('Methodology &amp; Sources'!$B$364:$J$370,0,7+2)),SUMPRODUCT(($AZ44&gt;=INDEX('Methodology &amp; Sources'!$B$364:$J$370,0,4))*INDEX('Methodology &amp; Sources'!$B$364:$J$370,0,4+2))),IF($AN44="MO",SUMPRODUCT(($AZ44&gt;=INDEX('Methodology &amp; Sources'!$B$375:$J$382,0,1))*INDEX('Methodology &amp; Sources'!$B$375:$J$382,0,1+2)),IF($AN44="NE",MAX(IF($AU44="Married",SUMPRODUCT(($AZ44&gt;=INDEX('Methodology &amp; Sources'!$B$394:$J$400,0,7))*INDEX('Methodology &amp; Sources'!$B$394:$J$400,0,7+2)),SUMPRODUCT(($AZ44&gt;=INDEX('Methodology &amp; Sources'!$B$394:$J$400,0,4))*INDEX('Methodology &amp; Sources'!$B$394:$J$400,0,4+2))),0.015),IF($AN44="OH",IF($B44&gt;=DATE(2026,8,1),SUMPRODUCT(($AZ44&gt;=INDEX('Methodology &amp; Sources'!$B$453:$J$456,0,1))*INDEX('Methodology &amp; Sources'!$B$453:$J$456,0,1+2)),SUMPRODUCT(($AZ44&gt;=INDEX('Methodology &amp; Sources'!$B$434:$J$448,0,7))*INDEX('Methodology &amp; Sources'!$B$434:$J$448,0,7+2))),IF($AN44="OK",IF($AU44="Married",SUMPRODUCT(($AZ44&gt;=INDEX('Methodology &amp; Sources'!$B$453:$J$456,0,7))*INDEX('Methodology &amp; Sources'!$B$453:$J$456,0,7+2)),SUMPRODUCT(($AZ44&gt;=INDEX('Methodology &amp; Sources'!$B$453:$J$456,0,4))*INDEX('Methodology &amp; Sources'!$B$453:$J$456,0,4+2))),IF($AN44="RI",SUMPRODUCT(($AZ44&gt;=INDEX('Methodology &amp; Sources'!$B$461:$J$464,0,7))*INDEX('Methodology &amp; Sources'!$B$461:$J$464,0,7+2)),IF($AN44="SC",SUMPRODUCT(($AZ44&gt;=INDEX('Methodology &amp; Sources'!$B$469:$J$473,0,1))*INDEX('Methodology &amp; Sources'!$B$469:$J$473,0,1+2)),IF($AN44="VT",IF($AU44="Married",SUMPRODUCT(($AZ44&gt;=INDEX('Methodology &amp; Sources'!$B$478:$J$482,0,1))*INDEX('Methodology &amp; Sources'!$B$478:$J$482,0,1+2)),SUMPRODUCT(($AZ44&gt;=INDEX('Methodology &amp; Sources'!$B$469:$J$473,0,7))*INDEX('Methodology &amp; Sources'!$B$469:$J$473,0,7+2))),IF($AN44="WV",IF($AU44="Married",SUMPRODUCT(($AZ44&gt;=INDEX('Methodology &amp; Sources'!$B$487:$J$491,0,7))*INDEX('Methodology &amp; Sources'!$B$487:$J$491,0,7+2)),SUMPRODUCT(($AZ44&gt;=INDEX('Methodology &amp; Sources'!$B$478:$J$482,0,7))*INDEX('Methodology &amp; Sources'!$B$478:$J$482,0,7+2))),IF($AN44="IN",(0.0295+Inputs!$C$76),"")))))))))))))</f>
      </c>
      <c r="CC44" s="24">
        <f>IF($B44="","",IF($AN44="AR",SUMPRODUCT(($AZ44&gt;=INDEX('Methodology &amp; Sources'!$B$332:$J$336,0,7))*INDEX('Methodology &amp; Sources'!$B$332:$J$336,0,7+2)),IF($AN44="DE",SUMPRODUCT(($AZ44&gt;=INDEX('Methodology &amp; Sources'!$B$341:$J$348,0,1))*INDEX('Methodology &amp; Sources'!$B$341:$J$348,0,1+2)),IF($AN44="VA",SUMPRODUCT(($AZ44&gt;=INDEX('Methodology &amp; Sources'!$B$469:$J$473,0,4))*INDEX('Methodology &amp; Sources'!$B$469:$J$473,0,4+2)),IF($AN44="WI",SUMPRODUCT(($AZ44&gt;=INDEX('Methodology &amp; Sources'!$B$478:$J$482,0,4))*INDEX('Methodology &amp; Sources'!$B$478:$J$482,0,4+2)),IF($AN44="AZ",Inputs!$C$82,IF($AN44="CO",IF($AY44&gt;IF($AU44="Married",10000,5000),0.044,0),IF($AN44="IA",IF($AY44&gt;IF($AU44="Head of household",19500,IF($AU44="Married",26000,13000)),0.038,0),IF($AN44="ID",IF($AY44&gt;IF($AU44="Married",32000,16094),0.053,0),IF($AN44="IL",IF($AY44&gt;(2925*$AS44+1000*$AT44),0.0495,0),IF($AN44="KY",IF($AI44&gt;3360,0.035,0),IF($AN44="LA",0.0309,IF($AN44="MA",IF(MAX(0,$AY44-MIN(($BD43+$Q44+$R44+$S44),2000)-IF($AS44=0,0,IF($AS44=1,4400,1000*$AS44+3400)))&gt;=1107750,0.09,0.05),IF($AN44="MS",IF($AI44-IF($AU44="Head of household",3400,IF($AU44="Married",4600,2300))-Inputs!$C$85&gt;10000,0.04,0),IF($AN44="PA",0.0307,"")))))))))))))))</f>
      </c>
      <c r="CD44" s="21">
        <f>IF(YEAR(IF(Inputs!$C$7="Weekly",Inputs!$C$9+7*(($BE43+1)-1),IF(Inputs!$C$7="Biweekly",Inputs!$C$9+14*(($BE43+1)-1),IF(Inputs!$C$7="Semimonthly",DATE(YEAR(Inputs!$C$9),MONTH(Inputs!$C$9)+INT((($BE43+1)-1)/2),MIN(DAY(Inputs!$C$9),DAY(EOMONTH(DATE(YEAR(Inputs!$C$9),MONTH(Inputs!$C$9)+INT((($BE43+1)-1)/2),1),0))))+IF(MOD(($BE43+1)-1,2)=1,15,0),EDATE(Inputs!$C$9,($BE43+1)-1)))))&lt;&gt;2026,"",IF(Inputs!$C$7="Weekly",Inputs!$C$9+7*(($BE43+1)-1),IF(Inputs!$C$7="Biweekly",Inputs!$C$9+14*(($BE43+1)-1),IF(Inputs!$C$7="Semimonthly",DATE(YEAR(Inputs!$C$9),MONTH(Inputs!$C$9)+INT((($BE43+1)-1)/2),MIN(DAY(Inputs!$C$9),DAY(EOMONTH(DATE(YEAR(Inputs!$C$9),MONTH(Inputs!$C$9)+INT((($BE43+1)-1)/2),1),0))))+IF(MOD(($BE43+1)-1,2)=1,15,0),EDATE(Inputs!$C$9,($BE43+1)-1)))))</f>
      </c>
      <c r="CE44" s="21">
        <f>IF(SUMPRODUCT(MIN(IF((Inputs!$C$58:$C$67&gt;MAX($B$6:$B43))*(Inputs!$C$58:$C$67&gt;=DATE(2026,1,1))*(Inputs!$C$58:$C$67&lt;=DATE(2026,12,31)),Inputs!$C$58:$C$67,999999)))=999999,"",SUMPRODUCT(MIN(IF((Inputs!$C$58:$C$67&gt;MAX($B$6:$B43))*(Inputs!$C$58:$C$67&gt;=DATE(2026,1,1))*(Inputs!$C$58:$C$67&lt;=DATE(2026,12,31)),Inputs!$C$58:$C$67,999999))))</f>
      </c>
    </row>
    <row r="45">
      <c r="A45" t="n">
        <v>40</v>
      </c>
      <c r="B45" s="21">
        <f>IF(AND($CD45="",$CE45=""),"",IF($CE45="",$CD45,IF($CD45="",$CE45,MIN($CD45,$CE45))))</f>
      </c>
      <c r="C45" s="7">
        <f>IF($B45="","",IF($BF45=0,0,IF(Inputs!$C$4="Annual salary",ROUND($AK45/IF(AND(Inputs!$C$88="Actual paydays",MONTH(Inputs!$C$9)=1),MAX(1,MAX($BE$6:$BE$68)),Inputs!$C$8),2),$AK45)))</f>
      </c>
      <c r="D45" s="7">
        <f>IF($B45="","",SUMIF(Inputs!$C$58:$C$67,$B45,Inputs!$D$58:$D$67))</f>
      </c>
      <c r="E45" s="7">
        <f>IF($B45="","",ROUND(MAX(0,MIN(IF($AL45="Percent",$AM45*($C45+$D45),$AM45),MAX(0,Inputs!$C$91-$AC44))),2))</f>
      </c>
      <c r="F45" s="7">
        <f>IF($B45="","",ROUND(MAX(0,MIN(IF(Inputs!$C$32="Percent",Inputs!$D$32*($C45+$D45),Inputs!$D$32),MAX(0,Inputs!$C$91-$AC44-$E45))),2))</f>
      </c>
      <c r="G45" s="7">
        <f>IF($B45="","",IF($BF45=0,0,ROUND(MAX(0,MIN($BL45,Inputs!$C$92-Inputs!$C$54-$BI44)),2)))</f>
      </c>
      <c r="H45" s="7">
        <f>IF($B45="","",IF(OR($BF45=0,$BQ45=1),0,ROUND(MAX(0,MIN(IF($BS45=1,ROUND(MAX(0,MIN($BJ45,'Methodology &amp; Sources'!$C$263)-$BG44)/MAX(1,MAX($BE$6:$BE$68)-($BE44)),2),ROUND(MIN($BJ45,'Methodology &amp; Sources'!$C$263)/Inputs!$C$8,2)),MIN($BJ45,'Methodology &amp; Sources'!$C$263)-$BG44)),2)))</f>
      </c>
      <c r="I45" s="7">
        <f>IF($B45="","",IF(OR($BF45=0,$BR45=1),0,ROUND(MAX(0,MIN(IF($BT45=1,ROUND(MAX(0,MIN($BK45,IF(Inputs!$C$12="MFJ",'Methodology &amp; Sources'!$C$264,'Methodology &amp; Sources'!$C$265))-$BH44)/MAX(1,MAX($BE$6:$BE$68)-($BE44)),2),ROUND(MIN($BK45,IF(Inputs!$C$12="MFJ",'Methodology &amp; Sources'!$C$264,'Methodology &amp; Sources'!$C$265))/Inputs!$C$8,2)),MIN($BK45,IF(Inputs!$C$12="MFJ",'Methodology &amp; Sources'!$C$264,'Methodology &amp; Sources'!$C$265))-$BH44)),2)))</f>
      </c>
      <c r="J45" s="7">
        <f>IF($B45="","",IF($BF45=0,0,$BM45))</f>
      </c>
      <c r="K45" s="7">
        <f>IF($B45="","",IF($BF45=0,0,$BN45+$BO45))</f>
      </c>
      <c r="L45" s="7">
        <f>IF($B45="","",IF($BF45=0,0,Inputs!$D$46))</f>
      </c>
      <c r="M45" s="7">
        <f>IF($B45="","",$C45+$D45+$L45-$E45-$G45-$H45-$I45-$J45-$K45)</f>
      </c>
      <c r="N45" s="7">
        <f>IF($B45="","",$C45+$D45+$L45-$G45-$H45-$I45-$J45-$K45)</f>
      </c>
      <c r="O45" s="7">
        <f>IF($B45="","",$C45+$D45+$L45-$E45-$H45-$I45-$J45-$K45-IF(OR($AN45="CA",$AN45="NJ"),0,$G45))</f>
      </c>
      <c r="P45" s="7">
        <f>IF($B45="","",IF(Inputs!$C$18,0,ROUND(MAX(0,IF(Inputs!$C$13,SUMPRODUCT(($AH45&gt;INDEX('Methodology &amp; Sources'!$B$279:$J$286,0,IF(Inputs!$C$12="MFJ",1,IF(Inputs!$C$12="HoH",7,4))))*($AH45-INDEX('Methodology &amp; Sources'!$B$279:$J$286,0,IF(Inputs!$C$12="MFJ",1,IF(Inputs!$C$12="HoH",7,4))))*INDEX('Methodology &amp; Sources'!$B$279:$J$286,0,IF(Inputs!$C$12="MFJ",1,IF(Inputs!$C$12="HoH",7,4))+2)),SUMPRODUCT(($AH45&gt;INDEX('Methodology &amp; Sources'!$B$269:$J$276,0,IF(Inputs!$C$12="MFJ",1,IF(Inputs!$C$12="HoH",7,4))))*($AH45-INDEX('Methodology &amp; Sources'!$B$269:$J$276,0,IF(Inputs!$C$12="MFJ",1,IF(Inputs!$C$12="HoH",7,4))))*INDEX('Methodology &amp; Sources'!$B$269:$J$276,0,IF(Inputs!$C$12="MFJ",1,IF(Inputs!$C$12="HoH",7,4))+2)))/Inputs!$C$8-$AO45/Inputs!$C$8)+$AR45+IF(Inputs!$C$89="Aggregate",MAX(0,IF(Inputs!$C$13,SUMPRODUCT((($AH45+$D45)&gt;INDEX('Methodology &amp; Sources'!$B$279:$J$286,0,IF(Inputs!$C$12="MFJ",1,IF(Inputs!$C$12="HoH",7,4))))*(($AH45+$D45)-INDEX('Methodology &amp; Sources'!$B$279:$J$286,0,IF(Inputs!$C$12="MFJ",1,IF(Inputs!$C$12="HoH",7,4))))*INDEX('Methodology &amp; Sources'!$B$279:$J$286,0,IF(Inputs!$C$12="MFJ",1,IF(Inputs!$C$12="HoH",7,4))+2)),SUMPRODUCT((($AH45+$D45)&gt;INDEX('Methodology &amp; Sources'!$B$269:$J$276,0,IF(Inputs!$C$12="MFJ",1,IF(Inputs!$C$12="HoH",7,4))))*(($AH45+$D45)-INDEX('Methodology &amp; Sources'!$B$269:$J$276,0,IF(Inputs!$C$12="MFJ",1,IF(Inputs!$C$12="HoH",7,4))))*INDEX('Methodology &amp; Sources'!$B$269:$J$276,0,IF(Inputs!$C$12="MFJ",1,IF(Inputs!$C$12="HoH",7,4))+2)))-IF(Inputs!$C$13,SUMPRODUCT(($AH45&gt;INDEX('Methodology &amp; Sources'!$B$279:$J$286,0,IF(Inputs!$C$12="MFJ",1,IF(Inputs!$C$12="HoH",7,4))))*($AH45-INDEX('Methodology &amp; Sources'!$B$279:$J$286,0,IF(Inputs!$C$12="MFJ",1,IF(Inputs!$C$12="HoH",7,4))))*INDEX('Methodology &amp; Sources'!$B$279:$J$286,0,IF(Inputs!$C$12="MFJ",1,IF(Inputs!$C$12="HoH",7,4))+2)),SUMPRODUCT(($AH45&gt;INDEX('Methodology &amp; Sources'!$B$269:$J$276,0,IF(Inputs!$C$12="MFJ",1,IF(Inputs!$C$12="HoH",7,4))))*($AH45-INDEX('Methodology &amp; Sources'!$B$269:$J$276,0,IF(Inputs!$C$12="MFJ",1,IF(Inputs!$C$12="HoH",7,4))))*INDEX('Methodology &amp; Sources'!$B$269:$J$276,0,IF(Inputs!$C$12="MFJ",1,IF(Inputs!$C$12="HoH",7,4))+2)))),'Methodology &amp; Sources'!$C$260*$D45),2)))</f>
      </c>
      <c r="Q45" s="7">
        <f>IF($B45="","",ROUND('Methodology &amp; Sources'!$C$254*MIN($N45,MAX(0,'Methodology &amp; Sources'!$C$253-($AX45+$AB44-$AW45))),2))</f>
      </c>
      <c r="R45" s="7">
        <f>IF($B45="","",ROUND('Methodology &amp; Sources'!$C$255*$N45,2))</f>
      </c>
      <c r="S45" s="7">
        <f>IF($B45="","",ROUND('Methodology &amp; Sources'!$C$256*MAX(0,MIN($N45,$AG44+$N45-'Methodology &amp; Sources'!$C$257)),2))</f>
      </c>
      <c r="T45" s="7">
        <f>IF($B45="","",IF(Inputs!$C$26,0,IF($AN45="CA",ROUND(IF($AI45&lt;=IF(($AS45+$AT45)&gt;=2,VLOOKUP($AN45,'StateTables 2026'!$A$6:$AB$56,10,FALSE),VLOOKUP($AN45,'StateTables 2026'!$A$6:$AB$56,9,FALSE)),0,MAX(0,SUMPRODUCT(($AJ45&gt;INDEX('Methodology &amp; Sources'!$B$289:$J$298,0,IF($AU45="Married",4,IF($AU45="Head of household",7,1))))*($AJ45-INDEX('Methodology &amp; Sources'!$B$289:$J$298,0,IF($AU45="Married",4,IF($AU45="Head of household",7,1))))*INDEX('Methodology &amp; Sources'!$B$289:$J$298,0,IF($AU45="Married",4,IF($AU45="Head of household",7,1))+2))-VLOOKUP($AN45,'StateTables 2026'!$A$6:$AB$56,11,FALSE)*$AS45)/Inputs!$C$8)+Inputs!$C$25+VLOOKUP($AN45,'StateTables 2026'!$A$6:$AB$56,13,FALSE)*$D45,2),IF(VLOOKUP($AN45,'StateTables 2026'!$A$6:$AB$56,4,FALSE)="None",0,IF(ISNUMBER(SEARCH("MANUAL",VLOOKUP($AN45,'StateTables 2026'!$A$6:$AB$56,5,FALSE))),Inputs!$C$28,ROUND(MAX(0,$BA45+$BB45)/Inputs!$C$8+Inputs!$C$25+$BC45,2))))))</f>
      </c>
      <c r="U45" s="7">
        <f>IF($B45="","",IF(VLOOKUP($AN45,'StateTables 2026'!$A$6:$AB$56,24,FALSE)="flatq",IF(OR(MONTH($B45)=1,MONTH($B45)=4,MONTH($B45)=7,MONTH($B45)=10),VLOOKUP($AN45,'StateTables 2026'!$A$6:$AB$56,25,FALSE),0),IF(VLOOKUP($AN45,'StateTables 2026'!$A$6:$AB$56,24,FALSE)="dbl",MIN(ROUND(0.005*$N45,2),ROUND(0.6*52/Inputs!$C$8,2)),IF(OR(VLOOKUP($AN45,'StateTables 2026'!$A$6:$AB$56,15,FALSE)="",VLOOKUP($AN45,'StateTables 2026'!$A$6:$AB$56,15,FALSE)=0),0,ROUND(VLOOKUP($AN45,'StateTables 2026'!$A$6:$AB$56,15,FALSE)*IF(OR(VLOOKUP($AN45,'StateTables 2026'!$A$6:$AB$56,16,FALSE)="",VLOOKUP($AN45,'StateTables 2026'!$A$6:$AB$56,16,FALSE)=0),$N45,MIN($N45,MAX(0,VLOOKUP($AN45,'StateTables 2026'!$A$6:$AB$56,16,FALSE)-($AX45+$AB44-$AW45)))),2))))+IF(VLOOKUP($AN45,'StateTables 2026'!$A$6:$AB$56,27,FALSE)="flatq",IF(OR(MONTH($B45)=1,MONTH($B45)=4,MONTH($B45)=7,MONTH($B45)=10),VLOOKUP($AN45,'StateTables 2026'!$A$6:$AB$56,28,FALSE),0),IF(VLOOKUP($AN45,'StateTables 2026'!$A$6:$AB$56,27,FALSE)="dbl",MIN(ROUND(0.005*$N45,2),ROUND(0.6*52/Inputs!$C$8,2)),IF(OR(VLOOKUP($AN45,'StateTables 2026'!$A$6:$AB$56,18,FALSE)="",VLOOKUP($AN45,'StateTables 2026'!$A$6:$AB$56,18,FALSE)=0),0,ROUND(VLOOKUP($AN45,'StateTables 2026'!$A$6:$AB$56,18,FALSE)*IF(OR(VLOOKUP($AN45,'StateTables 2026'!$A$6:$AB$56,19,FALSE)="",VLOOKUP($AN45,'StateTables 2026'!$A$6:$AB$56,19,FALSE)=0),$N45,MIN($N45,MAX(0,VLOOKUP($AN45,'StateTables 2026'!$A$6:$AB$56,19,FALSE)-($AX45+$AB44-$AW45)))),2)))))</f>
      </c>
      <c r="V45" s="7">
        <f>IF($B45="","",IF($AN45="NY",IF(Inputs!$C$78,ROUND(SUMPRODUCT((MAX(0,($O45-$D45)*Inputs!$C$8-(IF($AU45="Married",5500,5000)+1000*$AS45))&gt;INDEX('Methodology &amp; Sources'!$B$434:$J$448,0,4))*(MAX(0,($O45-$D45)*Inputs!$C$8-(IF($AU45="Married",5500,5000)+1000*$AS45))-INDEX('Methodology &amp; Sources'!$B$434:$J$448,0,4))*INDEX('Methodology &amp; Sources'!$B$434:$J$448,0,4+2))/Inputs!$C$8+0.0425*$D45,2),0)+IF(Inputs!$C$79="Resident",ROUND(0.1675*$T45,2),IF(Inputs!$C$79="Nonresident",ROUND(0.005*MAX(0,($O45-$D45)-(IF($AU45="Married",7950,7400)+1000*$AS45)/Inputs!$C$8),2),0)),IF($AN45="PA",IF(Inputs!$C$80="None",Inputs!$C$27+ROUND(Inputs!$C$81*($C45+$D45),2),ROUND(IF(Inputs!$C$80="Resident",IF($B45&lt;DATE(2026,7,1),0.0374,0.03735),IF($B45&lt;DATE(2026,7,1),0.0343,0.03425))*($C45+$D45),2)),IF($BF45=0,ROUND(Inputs!$C$81*($C45+$D45),2),Inputs!$C$27+ROUND(Inputs!$C$81*($C45+$D45),2)))))</f>
      </c>
      <c r="W45" s="7">
        <f>IF($B45="","",IF($BF45=0,0,$BP45))</f>
      </c>
      <c r="X45" s="7">
        <f>IF($B45="","",SUM($E45:$K45)+$P45+$Q45+$R45+$S45+$T45+$U45+$V45+$W45)</f>
      </c>
      <c r="Y45" s="22">
        <f>IF($B45="","",$C45+$D45-$X45)</f>
      </c>
      <c r="Z45" s="7">
        <f>IF($B45="","",$Z44+$C45+$D45)</f>
      </c>
      <c r="AA45" s="7">
        <f>IF($B45="","",$AA44+$Y45)</f>
      </c>
      <c r="AB45" s="7">
        <f>IF($B45="","",$AB44+MIN($N45,MAX(0,'Methodology &amp; Sources'!$C$253-($AX45+$AB44-$AW45))))</f>
      </c>
      <c r="AC45" s="7">
        <f>IF($B45="","",$AC44+$E45+$F45)</f>
      </c>
      <c r="AD45" s="3">
        <f>IF($B45="","",IF(AND($AB44&lt;'Methodology &amp; Sources'!$C$253,$AB45&gt;='Methodology &amp; Sources'!$C$253),"★ Social Security maxed on this check — from the next check your net rises by about $"&amp;TEXT(ROUND('Methodology &amp; Sources'!$C$254*$N45,2),"#,##0.00")&amp;". ","")&amp;IF(AND($AC44&lt;Inputs!$C$91,$AC45&gt;=Inputs!$C$91),"★ 401(k) reaches the $"&amp;TEXT(Inputs!$C$91,"#,##0")&amp;" cap on this check — deferrals stop and net pay rises. ","")&amp;IF(AND($AG44&lt;'Methodology &amp; Sources'!$C$257,$AG45&gt;='Methodology &amp; Sources'!$C$257),"★ Wages pass $200,000 — the 0.9% Additional Medicare Tax starts here. ","")&amp;IF(AND($BJ45&gt;0,$H45&gt;0,$BG44&lt;MIN($BJ45,'Methodology &amp; Sources'!$C$263),$BG44+$H45&gt;=MIN($BJ45,'Methodology &amp; Sources'!$C$263)),"★ Health FSA election is now fully deferred for the year. ",""))</f>
      </c>
      <c r="AE45" s="41" t="n"/>
      <c r="AF45" s="7">
        <f>IF(OR($B45="",$AE45=""),"",$AE45-$Y45)</f>
      </c>
      <c r="AG45" s="7">
        <f>IF($B45="","",$AG44+$N45)</f>
      </c>
      <c r="AH45" s="7">
        <f>IF($B45="","",MAX(0,($M45-$D45)*Inputs!$C$8+$AP45-$AQ45-IF(Inputs!$C$13,0,IF(Inputs!$C$12="MFJ",'Methodology &amp; Sources'!$C$258,'Methodology &amp; Sources'!$C$259))))</f>
      </c>
      <c r="AI45" s="7">
        <f>IF($B45="","",$O45*Inputs!$C$8)</f>
      </c>
      <c r="AJ45" s="7">
        <f>IF($B45="","",MAX(0,$AI45-VLOOKUP($AN45,'StateTables 2026'!$A$6:$AB$56,12,FALSE)*$AT45-IF(($AS45+$AT45)&gt;=2,VLOOKUP($AN45,'StateTables 2026'!$A$6:$AB$56,8,FALSE),VLOOKUP($AN45,'StateTables 2026'!$A$6:$AB$56,7,FALSE))))</f>
      </c>
      <c r="AK45" s="7">
        <f>IF($B45="","",IFERROR(LOOKUP(2,1/((Events!$C$6:$C$17="Salary change")*(Events!$B$6:$B$17&lt;=$B45)*(Events!$B$6:$B$17&lt;&gt;"")),Events!$D$6:$D$17),IF(Inputs!$C$4="Annual salary",Inputs!$C$5,Inputs!$C$6)))</f>
      </c>
      <c r="AL45">
        <f>IF($B45="","",IFERROR(LOOKUP(2,1/((Events!$C$6:$C$17="401(k) change")*(Events!$B$6:$B$17&lt;=$B45)*(Events!$B$6:$B$17&lt;&gt;"")),Events!$D$6:$D$17),Inputs!$C$30))</f>
      </c>
      <c r="AM45" s="7">
        <f>IF($B45="","",IFERROR(LOOKUP(2,1/((Events!$C$6:$C$17="401(k) change")*(Events!$B$6:$B$17&lt;=$B45)*(Events!$B$6:$B$17&lt;&gt;"")),Events!$E$6:$E$17),Inputs!$D$30))</f>
      </c>
      <c r="AN45">
        <f>IF($B45="","",IFERROR(LOOKUP(2,1/((Events!$C$6:$C$17="State move")*(Events!$B$6:$B$17&lt;=$B45)*(Events!$B$6:$B$17&lt;&gt;"")),Events!$D$6:$D$17),Inputs!$C$21))</f>
      </c>
      <c r="AO45" s="7">
        <f>IF($B45="","",IFERROR(LOOKUP(2,1/((Events!$C$6:$C$17="W-4 change")*(Events!$B$6:$B$17&lt;=$B45)*(Events!$B$6:$B$17&lt;&gt;"")),Events!$D$6:$D$17),Inputs!$C$14))</f>
      </c>
      <c r="AP45" s="7">
        <f>IF($B45="","",IFERROR(LOOKUP(2,1/((Events!$C$6:$C$17="W-4 change")*(Events!$B$6:$B$17&lt;=$B45)*(Events!$B$6:$B$17&lt;&gt;"")),Events!$E$6:$E$17),Inputs!$C$15))</f>
      </c>
      <c r="AQ45" s="7">
        <f>IF($B45="","",IFERROR(LOOKUP(2,1/((Events!$C$6:$C$17="W-4 change")*(Events!$B$6:$B$17&lt;=$B45)*(Events!$B$6:$B$17&lt;&gt;"")),Events!$F$6:$F$17),Inputs!$C$16))</f>
      </c>
      <c r="AR45" s="7">
        <f>IF($B45="","",IFERROR(LOOKUP(2,1/((Events!$C$6:$C$17="W-4 change")*(Events!$B$6:$B$17&lt;=$B45)*(Events!$B$6:$B$17&lt;&gt;"")),Events!$G$6:$G$17),Inputs!$C$17))</f>
      </c>
      <c r="AS45" s="6">
        <f>IF($B45="","",IFERROR(LOOKUP(2,1/(((Events!$C$6:$C$17="State move")+(Events!$C$6:$C$17="State cert change"))*(Events!$B$6:$B$17&lt;=$B45)*(Events!$B$6:$B$17&lt;&gt;"")),Events!$F$6:$F$17),Inputs!$C$23))</f>
      </c>
      <c r="AT45" s="6">
        <f>IF($B45="","",IFERROR(LOOKUP(2,1/(((Events!$C$6:$C$17="State move")+(Events!$C$6:$C$17="State cert change"))*(Events!$B$6:$B$17&lt;=$B45)*(Events!$B$6:$B$17&lt;&gt;"")),Events!$G$6:$G$17),Inputs!$C$24))</f>
      </c>
      <c r="AU45">
        <f>IF($B45="","",IFERROR(LOOKUP(2,1/((Events!$C$6:$C$17="State move")*(Events!$B$6:$B$17&lt;=$B45)*(Events!$B$6:$B$17&lt;&gt;"")),Events!$E$6:$E$17),Inputs!$C$22))</f>
      </c>
      <c r="AV45" s="6">
        <f>IF($B45="","",1+COUNTIFS(Events!$C$6:$C$17,"Employer change",Events!$B$6:$B$17,"&lt;="&amp;$B45,Events!$B$6:$B$17,"&lt;&gt;"))</f>
      </c>
      <c r="AW45" s="7">
        <f>IF($B45="","",IF($AV45=1,Inputs!$C$49,IF(IFERROR(MATCH(IFERROR(LOOKUP(2,1/((Events!$C$6:$C$17="Employer change")*(Events!$B$6:$B$17&lt;=$B45)*(Events!$B$6:$B$17&lt;&gt;"")),Events!$B$6:$B$17),""),$B$6:$B$68,1),1)&lt;=1,Inputs!$C$49,INDEX($AB$6:$AB$68,MATCH(IFERROR(LOOKUP(2,1/((Events!$C$6:$C$17="Employer change")*(Events!$B$6:$B$17&lt;=$B45)*(Events!$B$6:$B$17&lt;&gt;"")),Events!$B$6:$B$17),""),$B$6:$B$68,1)-1))))</f>
      </c>
      <c r="AX45" s="7">
        <f>IF($B45="","",IF($AV45=1,Inputs!$C$49,IFERROR(LOOKUP(2,1/((Events!$C$6:$C$17="Employer change")*(Events!$B$6:$B$17&lt;=$B45)*(Events!$B$6:$B$17&lt;&gt;"")),Events!$D$6:$D$17),0)))</f>
      </c>
      <c r="AY45" s="7">
        <f>IF($B45="","",($O45-$D45)*Inputs!$C$8)</f>
      </c>
      <c r="AZ45" s="7">
        <f>IF($B45="","",IF($AN45="AL",MAX(0,$AY45-IF($AU45="Married",IF($AY45&lt;=25999,8500,MAX(5000,8500-175*CEILING(($AY45-25999)/500,1))),IF($AU45="Head of household",IF($AY45&lt;=25999,5200,MAX(2500,5200-135*CEILING(($AY45-25999)/500,1))),IF($AY45&lt;=25999,3000,MAX(2500,3000-25*CEILING(($AY45-25999)/500,1)))))-($P45-'Methodology &amp; Sources'!$C$260*$D45)*Inputs!$C$8-IF(OR($AU45="Married",$AU45="Head of household"),3000,1500)-$AT45*IF($AY45&lt;=50000,1000,IF($AY45&lt;=100000,500,300))),IF($AN45="AR",IF(MAX(0,$AY45-2470)&lt;97701,INT(MAX(0,$AY45-2470)/100)*100+50,MAX(0,$AY45-2470)),IF($AN45="DE",MAX(0,$AI45-3250),IF($AN45="HI",MAX(0,$AI45-1144*$AS45-4350),IF($AN45="KS",MAX(0,$AI45-(9160*IF($AU45="Married",2,1)+2320*$AT45+IF($AU45="Head of household",2320,0))),IF($AN45="MD",MAX(0,$AI45-3400-3200*$AS45),IF($AN45="MN",MAX(0,$AY45-5300*$AS45),IF($AN45="MO",MAX(0,$AI45-IF($AU45="Head of household",24150,IF($AU45="Married",IF(Inputs!$C$83,16100,32200),16100))),IF($AN45="MT",$AY45,IF($AN45="ND",($C45+$L45)*Inputs!$C$8,IF($AN45="NE",MAX(0,$AY45-2440*$AS45),IF($AN45="NJ",MAX(0,$AY45-1000*$AS45),IF($AN45="NY",MAX(0,$AY45-(IF($AU45="Married",7950,7400)+1000*$AS45)),IF($AN45="OH",MAX(0,$AY45-650*$AS45),IF($AN45="OK",MAX(0,$AY45-1000*$AS45),IF($AN45="RI",MAX(0,$AI45-1000*$AS45),IF($AN45="SC",MAX(0,$AI45-5000*$AS45-IF($AS45=0,0,MIN(0.1*$AI45,7500))),IF($AN45="VA",MAX(0,$AI45-IF($AU45="Married",17500,8750)-930*$AS45-800*$AT45),IF($AN45="VT",MAX(0,$AI45-5400*$AS45),IF($AN45="WI",MAX(0,$AI45-MAX(0,IF($AU45="Married",9461-0.2*MAX(0,$AI45-25727),6702-0.12*MAX(0,$AI45-17780)))-400*$AS45),IF($AN45="WV",MAX(0,$AI45-2000*$AS45),$AI45))))))))))))))))))))))</f>
      </c>
      <c r="BA45" s="7">
        <f>IF($B45="","",IF($BW45&lt;&gt;"",$BW45,IF($BX45&lt;&gt;"",$BX45,IF($BY45&lt;&gt;"",$BY45,0))))</f>
      </c>
      <c r="BB45" s="7">
        <f>IF($B45="","",IF($AN45="AR",-29*$AS45,IF($AN45="DE",-110*$AS45,IF($AN45="MD",$AZ45*Inputs!$C$74,IF($AN45="AZ",Inputs!$C$82*($M45-$D45)*Inputs!$C$8,IF($AN45="CO",0.044*MAX(0,$AY45-IF($AU45="Married",10000,5000)),IF($AN45="IA",MAX(0,0.038*MAX(0,$AY45-IF($AU45="Head of household",19500,IF($AU45="Married",26000,13000)))-40*$AS45),IF($AN45="ID",0.053*MAX(0,$AY45-IF($AU45="Married",32000,16094)),IF($AN45="IL",0.0495*MAX(0,$AY45-(2925*$AS45+1000*$AT45)),IF($AN45="IN",(0.0295+Inputs!$C$76)*MAX(0,$AY45-(1000*$AS45+1500*$AT45+3000*Inputs!$C$86)),IF($AN45="KY",0.035*MAX(0,$AI45-3360),IF($AN45="LA",IF(Inputs!$C$84="0",0.0309*$AI45,0.0309*MAX(0,$AI45-IF(Inputs!$C$84="2",25750,12875))),IF($AN45="MA",0.05*MIN(MAX(0,$AY45-MIN(($BD44+$Q45+$R45+$S45),2000)-IF($AS45=0,0,IF($AS45=1,4400,1000*$AS45+3400))),1107750)+0.09*MAX(0,MAX(0,$AY45-MIN(($BD44+$Q45+$R45+$S45),2000)-IF($AS45=0,0,IF($AS45=1,4400,1000*$AS45+3400)))-1107750)-IF($AU45="Head of household",120,0)-110*Inputs!$C$75,IF($AN45="MI",0.0425*MAX(0,$AY45-5900*$AS45),IF($AN45="MS",0.04*MAX(0,$AI45-IF($AU45="Head of household",3400,IF($AU45="Married",4600,2300))-Inputs!$C$85-10000),IF($AN45="OR",IF(OR($AU45="Married",AND($AU45="Single",$AS45&gt;=3)),SUMPRODUCT((MAX(0,$AY45-MIN(($P45-'Methodology &amp; Sources'!$C$260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Sources'!$B$461:$J$464,0,4))*(MAX(0,$AY45-MIN(($P45-'Methodology &amp; Sources'!$C$260*$D45)*Inputs!$C$8,IF(OR($AU45="Married",AND($AU45="Single",$AS45&gt;=3)),IF($AY45&lt;250000,8750,IF($AY45&lt;260000,7000,IF($AY45&lt;270000,5250,IF($AY45&lt;280000,3500,IF($AY45&lt;290000,1750,0))))),IF($AY45&lt;125000,8750,IF($AY45&lt;130000,7000,IF($AY45&lt;135000,5250,IF($AY45&lt;140000,3500,IF($AY45&lt;145000,1750,0)))))))-IF(OR($AU45="Married",AND($AU45="Single",$AS45&gt;=3)),5820,2910))-INDEX('Methodology &amp; Sources'!$B$461:$J$464,0,4))*INDEX('Methodology &amp; Sources'!$B$461:$J$464,0,4+2)),SUMPRODUCT((MAX(0,$AY45-MIN(($P45-'Methodology &amp; Sources'!$C$260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Sources'!$B$461:$J$464,0,1))*(MAX(0,$AY45-MIN(($P45-'Methodology &amp; Sources'!$C$260*$D45)*Inputs!$C$8,IF(OR($AU45="Married",AND($AU45="Single",$AS45&gt;=3)),IF($AY45&lt;250000,8750,IF($AY45&lt;260000,7000,IF($AY45&lt;270000,5250,IF($AY45&lt;280000,3500,IF($AY45&lt;290000,1750,0))))),IF($AY45&lt;125000,8750,IF($AY45&lt;130000,7000,IF($AY45&lt;135000,5250,IF($AY45&lt;140000,3500,IF($AY45&lt;145000,1750,0)))))))-IF(OR($AU45="Married",AND($AU45="Single",$AS45&gt;=3)),5820,2910))-INDEX('Methodology &amp; Sources'!$B$461:$J$464,0,1))*INDEX('Methodology &amp; Sources'!$B$461:$J$464,0,1+2)))+263-263*IF(IF($AU45="Married",$AY45&gt;200000,$AY45&gt;100000),0,$AS45),IF($AN45="PA",0.0307*(($O45+$E45+$G45)*Inputs!$C$8),IF($AN45="NY",IF($AU45="Married",IF($AZ45&gt;=2155350,0,IF($AZ45&gt;=1077550,0.48,IF($AZ45&gt;=373200,1.21,IF($AZ45&gt;=323200,0.21,IF($AZ45&gt;=211550,-0.19,IF($AZ45&gt;=157650,-2.8,IF($AZ45&gt;=107650,-0.8,IF($AZ45&gt;=96800,0.05,IF($AZ45&gt;=80650,-0.1,IF($AZ45&gt;=13900,0.4,IF($AZ45&gt;=11700,-0.3,IF($AZ45&gt;=8500,0.5,0)))))))))))),IF($AZ45&gt;=1077550,0,IF($AZ45&gt;=265400,4.29,IF($AZ45&gt;=215400,2.29,IF($AZ45&gt;=157650,2.29,IF($AZ45&gt;=107650,0.29,IF($AZ45&gt;=96800,0.05,IF($AZ45&gt;=80650,-0.1,IF($AZ45&gt;=13900,0.4,IF($AZ45&gt;=11700,-0.3,IF($AZ45&gt;=8500,0.5,0))))))))))),0))))))))))))))))))</f>
      </c>
      <c r="BC45" s="7">
        <f>IF($B45="","",IF($AN45="AL",0.05*$D45,IF($AN45="AR",0.039*$D45,IF($AN45="ID",0.053*$D45,IF($AN45="IN",(0.0295+Inputs!$C$76)*$D45,IF($AN45="KS",0.05*$D45,IF($AN45="MA",0.09*MIN($D45,MAX(0,MAX(0,$AY45-MIN(($BD44+$Q45+$R45+$S45),2000)-IF($AS45=0,0,IF($AS45=1,4400,1000*$AS45+3400)))+$D45-1107750))+0.05*($D45-MIN($D45,MAX(0,MAX(0,$AY45-MIN(($BD44+$Q45+$R45+$S45),2000)-IF($AS45=0,0,IF($AS45=1,4400,1000*$AS45+3400)))+$D45-1107750))),IF($AN45="MD",(0.065+Inputs!$C$74)*$D45,IF($AN45="MI",0.0425*$D45,IF($AN45="MN",0.0625*$D45,IF($AN45="MO",0.047*$D45,IF($AN45="MT",0.05*$D45,IF($AN45="ND",0.015*$D45,IF($AN45="NE",0.035*$D45,IF($AN45="NJ",IF(Inputs!$C$77="B",SUMPRODUCT(($D45*Inputs!$C$8&gt;INDEX('Methodology &amp; Sources'!$B$405:$J$412,0,4))*($D45*Inputs!$C$8-INDEX('Methodology &amp; Sources'!$B$405:$J$412,0,4))*INDEX('Methodology &amp; Sources'!$B$405:$J$412,0,4+2)),IF(Inputs!$C$77="C",SUMPRODUCT(($D45*Inputs!$C$8&gt;INDEX('Methodology &amp; Sources'!$B$405:$J$412,0,7))*($D45*Inputs!$C$8-INDEX('Methodology &amp; Sources'!$B$405:$J$412,0,7))*INDEX('Methodology &amp; Sources'!$B$405:$J$412,0,7+2)),IF(Inputs!$C$77="D",SUMPRODUCT(($D45*Inputs!$C$8&gt;INDEX('Methodology &amp; Sources'!$B$417:$J$429,0,1))*($D45*Inputs!$C$8-INDEX('Methodology &amp; Sources'!$B$417:$J$429,0,1))*INDEX('Methodology &amp; Sources'!$B$417:$J$429,0,1+2)),IF(Inputs!$C$77="E",SUMPRODUCT(($D45*Inputs!$C$8&gt;INDEX('Methodology &amp; Sources'!$B$417:$J$429,0,4))*($D45*Inputs!$C$8-INDEX('Methodology &amp; Sources'!$B$417:$J$429,0,4))*INDEX('Methodology &amp; Sources'!$B$417:$J$429,0,4+2)),SUMPRODUCT(($D45*Inputs!$C$8&gt;INDEX('Methodology &amp; Sources'!$B$405:$J$412,0,1))*($D45*Inputs!$C$8-INDEX('Methodology &amp; Sources'!$B$405:$J$412,0,1))*INDEX('Methodology &amp; Sources'!$B$405:$J$412,0,1+2))))))/Inputs!$C$8,IF($AN45="NY",0.117*$D45,IF($AN45="OH",0.0275*$D45,IF($AN45="OK",0.045*$D45,IF($AN45="OR",0.08*$D45,IF($AN45="WI",IF($AY45&lt;12760,0.0354,IF($AY45&lt;25520,0.0465,IF($AY45&lt;280950,0.053,0.0765)))*$D45,0))))))))))))))))))))</f>
      </c>
      <c r="BD45" s="7">
        <f>IF($B45="","",$BD44+$Q45+$R45+$S45)</f>
      </c>
      <c r="BE45" s="6">
        <f>IF($B45="",$BE44,$BE44+$BF45)</f>
      </c>
      <c r="BF45" s="6">
        <f>IF($B45="","",IF(AND(IF(YEAR(IF(Inputs!$C$7="Weekly",Inputs!$C$9+7*(($BE44+1)-1),IF(Inputs!$C$7="Biweekly",Inputs!$C$9+14*(($BE44+1)-1),IF(Inputs!$C$7="Semimonthly",DATE(YEAR(Inputs!$C$9),MONTH(Inputs!$C$9)+INT((($BE44+1)-1)/2),MIN(DAY(Inputs!$C$9),DAY(EOMONTH(DATE(YEAR(Inputs!$C$9),MONTH(Inputs!$C$9)+INT((($BE44+1)-1)/2),1),0))))+IF(MOD(($BE44+1)-1,2)=1,15,0),EDATE(Inputs!$C$9,($BE44+1)-1)))))&lt;&gt;2026,"",IF(Inputs!$C$7="Weekly",Inputs!$C$9+7*(($BE44+1)-1),IF(Inputs!$C$7="Biweekly",Inputs!$C$9+14*(($BE44+1)-1),IF(Inputs!$C$7="Semimonthly",DATE(YEAR(Inputs!$C$9),MONTH(Inputs!$C$9)+INT((($BE44+1)-1)/2),MIN(DAY(Inputs!$C$9),DAY(EOMONTH(DATE(YEAR(Inputs!$C$9),MONTH(Inputs!$C$9)+INT((($BE44+1)-1)/2),1),0))))+IF(MOD(($BE44+1)-1,2)=1,15,0),EDATE(Inputs!$C$9,($BE44+1)-1)))))&lt;&gt;"",$B45=IF(YEAR(IF(Inputs!$C$7="Weekly",Inputs!$C$9+7*(($BE44+1)-1),IF(Inputs!$C$7="Biweekly",Inputs!$C$9+14*(($BE44+1)-1),IF(Inputs!$C$7="Semimonthly",DATE(YEAR(Inputs!$C$9),MONTH(Inputs!$C$9)+INT((($BE44+1)-1)/2),MIN(DAY(Inputs!$C$9),DAY(EOMONTH(DATE(YEAR(Inputs!$C$9),MONTH(Inputs!$C$9)+INT((($BE44+1)-1)/2),1),0))))+IF(MOD(($BE44+1)-1,2)=1,15,0),EDATE(Inputs!$C$9,($BE44+1)-1)))))&lt;&gt;2026,"",IF(Inputs!$C$7="Weekly",Inputs!$C$9+7*(($BE44+1)-1),IF(Inputs!$C$7="Biweekly",Inputs!$C$9+14*(($BE44+1)-1),IF(Inputs!$C$7="Semimonthly",DATE(YEAR(Inputs!$C$9),MONTH(Inputs!$C$9)+INT((($BE44+1)-1)/2),MIN(DAY(Inputs!$C$9),DAY(EOMONTH(DATE(YEAR(Inputs!$C$9),MONTH(Inputs!$C$9)+INT((($BE44+1)-1)/2),1),0))))+IF(MOD(($BE44+1)-1,2)=1,15,0),EDATE(Inputs!$C$9,($BE44+1)-1)))))),1,0))</f>
      </c>
      <c r="BG45" s="7">
        <f>IF($B45="","",$BG44+$H45)</f>
      </c>
      <c r="BH45" s="7">
        <f>IF($B45="","",$BH44+$I45)</f>
      </c>
      <c r="BI45" s="7">
        <f>IF($B45="","",$BI44+$G45)</f>
      </c>
      <c r="BJ45" s="7">
        <f>IF($B45="","",IFERROR(LOOKUP(2,1/((((Events!$C$6:$C$17="Deduction start"))*(Events!$D$6:$D$17="Health FSA"))*(Events!$B$6:$B$17&lt;=$B45)*(Events!$B$6:$B$17&lt;&gt;"")),Events!$E$6:$E$17),Inputs!$D$38))</f>
      </c>
      <c r="BK45" s="7">
        <f>IF($B45="","",IFERROR(LOOKUP(2,1/((((Events!$C$6:$C$17="Deduction start"))*(Events!$D$6:$D$17="Dependent-care FSA"))*(Events!$B$6:$B$17&lt;=$B45)*(Events!$B$6:$B$17&lt;&gt;"")),Events!$E$6:$E$17),Inputs!$D$39))</f>
      </c>
      <c r="BL45" s="7">
        <f>IF($B45="","",IFERROR(LOOKUP(2,1/((((Events!$C$6:$C$17="Deduction start")+(Events!$C$6:$C$17="Deduction stop"))*(Events!$D$6:$D$17="HSA"))*(Events!$B$6:$B$17&lt;=$B45)*(Events!$B$6:$B$17&lt;&gt;"")),Events!$I$6:$I$17),Inputs!$D$35))</f>
      </c>
      <c r="BM45" s="7">
        <f>IF($B45="","",IFERROR(LOOKUP(2,1/((((Events!$C$6:$C$17="Deduction start")+(Events!$C$6:$C$17="Deduction stop"))*(Events!$D$6:$D$17="Premiums"))*(Events!$B$6:$B$17&lt;=$B45)*(Events!$B$6:$B$17&lt;&gt;"")),Events!$I$6:$I$17),Inputs!$D$40+Inputs!$D$41+Inputs!$D$42))</f>
      </c>
      <c r="BN45" s="7">
        <f>IF($B45="","",IFERROR(LOOKUP(2,1/((((Events!$C$6:$C$17="Deduction start")+(Events!$C$6:$C$17="Deduction stop"))*(Events!$D$6:$D$17="Commuter"))*(Events!$B$6:$B$17&lt;=$B45)*(Events!$B$6:$B$17&lt;&gt;"")),Events!$I$6:$I$17),Inputs!$D$43))</f>
      </c>
      <c r="BO45" s="7">
        <f>IF($B45="","",IFERROR(LOOKUP(2,1/((((Events!$C$6:$C$17="Deduction start")+(Events!$C$6:$C$17="Deduction stop"))*(Events!$D$6:$D$17="Other pre-tax"))*(Events!$B$6:$B$17&lt;=$B45)*(Events!$B$6:$B$17&lt;&gt;"")),Events!$I$6:$I$17),Inputs!$D$44))</f>
      </c>
      <c r="BP45" s="7">
        <f>IF($B45="","",IFERROR(LOOKUP(2,1/((((Events!$C$6:$C$17="Deduction start")+(Events!$C$6:$C$17="Deduction stop"))*(Events!$D$6:$D$17="Other post-tax"))*(Events!$B$6:$B$17&lt;=$B45)*(Events!$B$6:$B$17&lt;&gt;"")),Events!$I$6:$I$17),Inputs!$D$45))</f>
      </c>
      <c r="BQ45" s="6">
        <f>IF($B45="","",IFERROR(LOOKUP(2,1/((((Events!$C$6:$C$17="Deduction start")+(Events!$C$6:$C$17="Deduction stop"))*(Events!$D$6:$D$17="Health FSA"))*(Events!$B$6:$B$17&lt;=$B45)*(Events!$B$6:$B$17&lt;&gt;"")),Events!$J$6:$J$17),0))</f>
      </c>
      <c r="BR45" s="6">
        <f>IF($B45="","",IFERROR(LOOKUP(2,1/((((Events!$C$6:$C$17="Deduction start")+(Events!$C$6:$C$17="Deduction stop"))*(Events!$D$6:$D$17="Dependent-care FSA"))*(Events!$B$6:$B$17&lt;=$B45)*(Events!$B$6:$B$17&lt;&gt;"")),Events!$J$6:$J$17),0))</f>
      </c>
      <c r="BS45" s="6">
        <f>IF($B45="","",IF(SUMPRODUCT((Events!$C$6:$C$17="Deduction start")*(Events!$B$6:$B$17&lt;=$B45)*(Events!$B$6:$B$17&lt;&gt;"")*(Events!$D$6:$D$17="Health FSA"))&gt;0,1,0))</f>
      </c>
      <c r="BT45" s="6">
        <f>IF($B45="","",IF(SUMPRODUCT((Events!$C$6:$C$17="Deduction start")*(Events!$B$6:$B$17&lt;=$B45)*(Events!$B$6:$B$17&lt;&gt;"")*(Events!$D$6:$D$17="Dependent-care FSA"))&gt;0,1,0))</f>
      </c>
      <c r="BU45" s="24">
        <f>IF($B45="","",IF(Inputs!$C$13,SUMPRODUCT(($AH45&gt;=INDEX('Methodology &amp; Sources'!$B$279:$J$286,0,IF(Inputs!$C$12="MFJ",1,IF(Inputs!$C$12="HoH",7,4))))*INDEX('Methodology &amp; Sources'!$B$279:$J$286,0,IF(Inputs!$C$12="MFJ",1,IF(Inputs!$C$12="HoH",7,4))+2)),SUMPRODUCT(($AH45&gt;=INDEX('Methodology &amp; Sources'!$B$269:$J$276,0,IF(Inputs!$C$12="MFJ",1,IF(Inputs!$C$12="HoH",7,4))))*INDEX('Methodology &amp; Sources'!$B$269:$J$276,0,IF(Inputs!$C$12="MFJ",1,IF(Inputs!$C$12="HoH",7,4))+2))))</f>
      </c>
      <c r="BV45" s="24">
        <f>IF($B45="","",IF($BZ45&lt;&gt;"",$BZ45,IF($CA45&lt;&gt;"",$CA45,IF($CB45&lt;&gt;"",$CB45,IF($CC45&lt;&gt;"",$CC45,0)))))</f>
      </c>
      <c r="BW45" s="7">
        <f>IF($B45="","",IF($AN45="MD",IF(OR($AU45="Married",$AU45="Head of household"),SUMPRODUCT(($AZ45&gt;INDEX('Methodology &amp; Sources'!$B$364:$J$370,0,1))*($AZ45-INDEX('Methodology &amp; Sources'!$B$364:$J$370,0,1))*INDEX('Methodology &amp; Sources'!$B$364:$J$370,0,1+2)),SUMPRODUCT(($AZ45&gt;INDEX('Methodology &amp; Sources'!$B$353:$J$359,0,7))*($AZ45-INDEX('Methodology &amp; Sources'!$B$353:$J$359,0,7))*INDEX('Methodology &amp; Sources'!$B$353:$J$359,0,7+2))),IF($AN45="MO",SUMPRODUCT(($AZ45&gt;INDEX('Methodology &amp; Sources'!$B$375:$J$382,0,1))*($AZ45-INDEX('Methodology &amp; Sources'!$B$375:$J$382,0,1))*INDEX('Methodology &amp; Sources'!$B$375:$J$382,0,1+2)),IF($AN45="MT",IF($AU45="Head of household",SUMPRODUCT(($AZ45&gt;INDEX('Methodology &amp; Sources'!$B$387:$J$389,0,1))*($AZ45-INDEX('Methodology &amp; Sources'!$B$387:$J$389,0,1))*INDEX('Methodology &amp; Sources'!$B$387:$J$389,0,1+2)),IF($AU45="Married",SUMPRODUCT(($AZ45&gt;INDEX('Methodology &amp; Sources'!$B$375:$J$382,0,7))*($AZ45-INDEX('Methodology &amp; Sources'!$B$375:$J$382,0,7))*INDEX('Methodology &amp; Sources'!$B$375:$J$382,0,7+2)),SUMPRODUCT(($AZ45&gt;INDEX('Methodology &amp; Sources'!$B$375:$J$382,0,4))*($AZ45-INDEX('Methodology &amp; Sources'!$B$375:$J$382,0,4))*INDEX('Methodology &amp; Sources'!$B$375:$J$382,0,4+2)))),IF($AN45="ND",IF($AU45="Head of household",SUMPRODUCT(($AZ45&gt;INDEX('Methodology &amp; Sources'!$B$394:$J$400,0,1))*($AZ45-INDEX('Methodology &amp; Sources'!$B$394:$J$400,0,1))*INDEX('Methodology &amp; Sources'!$B$394:$J$400,0,1+2)),IF($AU45="Married",SUMPRODUCT(($AZ45&gt;INDEX('Methodology &amp; Sources'!$B$387:$J$389,0,7))*($AZ45-INDEX('Methodology &amp; Sources'!$B$387:$J$389,0,7))*INDEX('Methodology &amp; Sources'!$B$387:$J$389,0,7+2)),SUMPRODUCT(($AZ45&gt;INDEX('Methodology &amp; Sources'!$B$387:$J$389,0,4))*($AZ45-INDEX('Methodology &amp; Sources'!$B$387:$J$389,0,4))*INDEX('Methodology &amp; Sources'!$B$387:$J$389,0,4+2)))),IF($AN45="NJ",IF(Inputs!$C$77="B",SUMPRODUCT(($AZ45&gt;INDEX('Methodology &amp; Sources'!$B$405:$J$412,0,4))*($AZ45-INDEX('Methodology &amp; Sources'!$B$405:$J$412,0,4))*INDEX('Methodology &amp; Sources'!$B$405:$J$412,0,4+2)),IF(Inputs!$C$77="C",SUMPRODUCT(($AZ45&gt;INDEX('Methodology &amp; Sources'!$B$405:$J$412,0,7))*($AZ45-INDEX('Methodology &amp; Sources'!$B$405:$J$412,0,7))*INDEX('Methodology &amp; Sources'!$B$405:$J$412,0,7+2)),IF(Inputs!$C$77="D",SUMPRODUCT(($AZ45&gt;INDEX('Methodology &amp; Sources'!$B$417:$J$429,0,1))*($AZ45-INDEX('Methodology &amp; Sources'!$B$417:$J$429,0,1))*INDEX('Methodology &amp; Sources'!$B$417:$J$429,0,1+2)),IF(Inputs!$C$77="E",SUMPRODUCT(($AZ45&gt;INDEX('Methodology &amp; Sources'!$B$417:$J$429,0,4))*($AZ45-INDEX('Methodology &amp; Sources'!$B$417:$J$429,0,4))*INDEX('Methodology &amp; Sources'!$B$417:$J$429,0,4+2)),SUMPRODUCT(($AZ45&gt;INDEX('Methodology &amp; Sources'!$B$405:$J$412,0,1))*($AZ45-INDEX('Methodology &amp; Sources'!$B$405:$J$412,0,1))*INDEX('Methodology &amp; Sources'!$B$405:$J$412,0,1+2)))))),IF($AN45="NY",IF($AU45="Married",IF($AZ45&gt;=2155350,$AZ45*IF($AZ45&gt;25000000,0.117,IF($AZ45&gt;5000000,0.111,0.1045)),SUMPRODUCT(($AZ45&gt;INDEX('Methodology &amp; Sources'!$B$434:$J$448,0,1))*($AZ45-INDEX('Methodology &amp; Sources'!$B$434:$J$448,0,1))*INDEX('Methodology &amp; Sources'!$B$434:$J$448,0,1+2))),IF($AZ45&gt;=1077550,$AZ45*IF($AZ45&gt;25000000,0.117,IF($AZ45&gt;5000000,0.111,0.1045)),SUMPRODUCT(($AZ45&gt;INDEX('Methodology &amp; Sources'!$B$417:$J$429,0,7))*($AZ45-INDEX('Methodology &amp; Sources'!$B$417:$J$429,0,7))*INDEX('Methodology &amp; Sources'!$B$417:$J$429,0,7+2)))),"")))))))</f>
      </c>
      <c r="BX45" s="7">
        <f>IF($B45="","",IF($AN45="AL",IF(OR($AU45="Married",$AU45="Head of household"),SUMPRODUCT(($AZ45&gt;INDEX('Methodology &amp; Sources'!$B$332:$J$336,0,4))*($AZ45-INDEX('Methodology &amp; Sources'!$B$332:$J$336,0,4))*INDEX('Methodology &amp; Sources'!$B$332:$J$336,0,4+2)),SUMPRODUCT(($AZ45&gt;INDEX('Methodology &amp; Sources'!$B$332:$J$336,0,1))*($AZ45-INDEX('Methodology &amp; Sources'!$B$332:$J$336,0,1))*INDEX('Methodology &amp; Sources'!$B$332:$J$336,0,1+2))),IF($AN45="KS",IF($AU45="Married",SUMPRODUCT(($AZ45&gt;INDEX('Methodology &amp; Sources'!$B$353:$J$359,0,4))*($AZ45-INDEX('Methodology &amp; Sources'!$B$353:$J$359,0,4))*INDEX('Methodology &amp; Sources'!$B$353:$J$359,0,4+2)),SUMPRODUCT(($AZ45&gt;INDEX('Methodology &amp; Sources'!$B$353:$J$359,0,1))*($AZ45-INDEX('Methodology &amp; Sources'!$B$353:$J$359,0,1))*INDEX('Methodology &amp; Sources'!$B$353:$J$359,0,1+2))),IF($AN45="MN",IF($AU45="Married",SUMPRODUCT(($AZ45&gt;INDEX('Methodology &amp; Sources'!$B$364:$J$370,0,7))*($AZ45-INDEX('Methodology &amp; Sources'!$B$364:$J$370,0,7))*INDEX('Methodology &amp; Sources'!$B$364:$J$370,0,7+2)),SUMPRODUCT(($AZ45&gt;INDEX('Methodology &amp; Sources'!$B$364:$J$370,0,4))*($AZ45-INDEX('Methodology &amp; Sources'!$B$364:$J$370,0,4))*INDEX('Methodology &amp; Sources'!$B$364:$J$370,0,4+2))),IF($AN45="NE",MAX(IF($AU45="Married",SUMPRODUCT(($AZ45&gt;INDEX('Methodology &amp; Sources'!$B$394:$J$400,0,7))*($AZ45-INDEX('Methodology &amp; Sources'!$B$394:$J$400,0,7))*INDEX('Methodology &amp; Sources'!$B$394:$J$400,0,7+2)),SUMPRODUCT(($AZ45&gt;INDEX('Methodology &amp; Sources'!$B$394:$J$400,0,4))*($AZ45-INDEX('Methodology &amp; Sources'!$B$394:$J$400,0,4))*INDEX('Methodology &amp; Sources'!$B$394:$J$400,0,4+2))),0.015*$AZ45),IF($AN45="OH",IF($B45&gt;=DATE(2026,8,1),SUMPRODUCT(($AZ45&gt;INDEX('Methodology &amp; Sources'!$B$453:$J$456,0,1))*($AZ45-INDEX('Methodology &amp; Sources'!$B$453:$J$456,0,1))*INDEX('Methodology &amp; Sources'!$B$453:$J$456,0,1+2)),SUMPRODUCT(($AZ45&gt;INDEX('Methodology &amp; Sources'!$B$434:$J$448,0,7))*($AZ45-INDEX('Methodology &amp; Sources'!$B$434:$J$448,0,7))*INDEX('Methodology &amp; Sources'!$B$434:$J$448,0,7+2))),IF($AN45="OK",IF($AU45="Married",SUMPRODUCT(($AZ45&gt;INDEX('Methodology &amp; Sources'!$B$453:$J$456,0,7))*($AZ45-INDEX('Methodology &amp; Sources'!$B$453:$J$456,0,7))*INDEX('Methodology &amp; Sources'!$B$453:$J$456,0,7+2)),SUMPRODUCT(($AZ45&gt;INDEX('Methodology &amp; Sources'!$B$453:$J$456,0,4))*($AZ45-INDEX('Methodology &amp; Sources'!$B$453:$J$456,0,4))*INDEX('Methodology &amp; Sources'!$B$453:$J$456,0,4+2))),IF($AN45="RI",SUMPRODUCT(($AZ45&gt;INDEX('Methodology &amp; Sources'!$B$461:$J$464,0,7))*($AZ45-INDEX('Methodology &amp; Sources'!$B$461:$J$464,0,7))*INDEX('Methodology &amp; Sources'!$B$461:$J$464,0,7+2)),IF($AN45="VT",IF($AU45="Married",SUMPRODUCT(($AZ45&gt;INDEX('Methodology &amp; Sources'!$B$478:$J$482,0,1))*($AZ45-INDEX('Methodology &amp; Sources'!$B$478:$J$482,0,1))*INDEX('Methodology &amp; Sources'!$B$478:$J$482,0,1+2)),SUMPRODUCT(($AZ45&gt;INDEX('Methodology &amp; Sources'!$B$469:$J$473,0,7))*($AZ45-INDEX('Methodology &amp; Sources'!$B$469:$J$473,0,7))*INDEX('Methodology &amp; Sources'!$B$469:$J$473,0,7+2))),IF($AN45="WV",IF($AU45="Married",SUMPRODUCT(($AZ45&gt;INDEX('Methodology &amp; Sources'!$B$487:$J$491,0,7))*($AZ45-INDEX('Methodology &amp; Sources'!$B$487:$J$491,0,7))*INDEX('Methodology &amp; Sources'!$B$487:$J$491,0,7+2)),SUMPRODUCT(($AZ45&gt;INDEX('Methodology &amp; Sources'!$B$478:$J$482,0,7))*($AZ45-INDEX('Methodology &amp; Sources'!$B$478:$J$482,0,7))*INDEX('Methodology &amp; Sources'!$B$478:$J$482,0,7+2))),""))))))))))</f>
      </c>
      <c r="BY45" s="7">
        <f>IF($B45="","",IF($AN45="AR",SUMPRODUCT(($AZ45&gt;INDEX('Methodology &amp; Sources'!$B$332:$J$336,0,7))*($AZ45-INDEX('Methodology &amp; Sources'!$B$332:$J$336,0,7))*INDEX('Methodology &amp; Sources'!$B$332:$J$336,0,7+2)),IF($AN45="DE",SUMPRODUCT(($AZ45&gt;INDEX('Methodology &amp; Sources'!$B$341:$J$348,0,1))*($AZ45-INDEX('Methodology &amp; Sources'!$B$341:$J$348,0,1))*INDEX('Methodology &amp; Sources'!$B$341:$J$348,0,1+2)),IF($AN45="HI",IF($AU45="Married",SUMPRODUCT(($AZ45&gt;INDEX('Methodology &amp; Sources'!$B$341:$J$348,0,7))*($AZ45-INDEX('Methodology &amp; Sources'!$B$341:$J$348,0,7))*INDEX('Methodology &amp; Sources'!$B$341:$J$348,0,7+2)),SUMPRODUCT(($AZ45&gt;INDEX('Methodology &amp; Sources'!$B$341:$J$348,0,4))*($AZ45-INDEX('Methodology &amp; Sources'!$B$341:$J$348,0,4))*INDEX('Methodology &amp; Sources'!$B$341:$J$348,0,4+2))),IF($AN45="SC",SUMPRODUCT(($AZ45&gt;INDEX('Methodology &amp; Sources'!$B$469:$J$473,0,1))*($AZ45-INDEX('Methodology &amp; Sources'!$B$469:$J$473,0,1))*INDEX('Methodology &amp; Sources'!$B$469:$J$473,0,1+2)),IF($AN45="VA",SUMPRODUCT(($AZ45&gt;INDEX('Methodology &amp; Sources'!$B$469:$J$473,0,4))*($AZ45-INDEX('Methodology &amp; Sources'!$B$469:$J$473,0,4))*INDEX('Methodology &amp; Sources'!$B$469:$J$473,0,4+2)),IF($AN45="WI",SUMPRODUCT(($AZ45&gt;INDEX('Methodology &amp; Sources'!$B$478:$J$482,0,4))*($AZ45-INDEX('Methodology &amp; Sources'!$B$478:$J$482,0,4))*INDEX('Methodology &amp; Sources'!$B$478:$J$482,0,4+2)),"")))))))</f>
      </c>
      <c r="BZ45" s="24">
        <f>IF($B45="","",IF($AN45="NJ",IF(Inputs!$C$77="B",SUMPRODUCT(($AZ45&gt;=INDEX('Methodology &amp; Sources'!$B$405:$J$412,0,4))*INDEX('Methodology &amp; Sources'!$B$405:$J$412,0,4+2)),IF(Inputs!$C$77="C",SUMPRODUCT(($AZ45&gt;=INDEX('Methodology &amp; Sources'!$B$405:$J$412,0,7))*INDEX('Methodology &amp; Sources'!$B$405:$J$412,0,7+2)),IF(Inputs!$C$77="D",SUMPRODUCT(($AZ45&gt;=INDEX('Methodology &amp; Sources'!$B$417:$J$429,0,1))*INDEX('Methodology &amp; Sources'!$B$417:$J$429,0,1+2)),IF(Inputs!$C$77="E",SUMPRODUCT(($AZ45&gt;=INDEX('Methodology &amp; Sources'!$B$417:$J$429,0,4))*INDEX('Methodology &amp; Sources'!$B$417:$J$429,0,4+2)),SUMPRODUCT(($AZ45&gt;=INDEX('Methodology &amp; Sources'!$B$405:$J$412,0,1))*INDEX('Methodology &amp; Sources'!$B$405:$J$412,0,1+2)))))),IF($AN45="OR",IF(OR($AU45="Married",AND($AU45="Single",$AS45&gt;=3)),SUMPRODUCT((MAX(0,$AY45-MIN(($P45-'Methodology &amp; Sources'!$C$260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Sources'!$B$461:$J$464,0,4))*INDEX('Methodology &amp; Sources'!$B$461:$J$464,0,4+2)),SUMPRODUCT((MAX(0,$AY45-MIN(($P45-'Methodology &amp; Sources'!$C$260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Sources'!$B$461:$J$464,0,1))*INDEX('Methodology &amp; Sources'!$B$461:$J$464,0,1+2)))*IF(($P45-'Methodology &amp; Sources'!$C$260*$D45)*Inputs!$C$8&gt;=IF(OR($AU45="Married",AND($AU45="Single",$AS45&gt;=3)),IF($AY45&lt;250000,8750,IF($AY45&lt;260000,7000,IF($AY45&lt;270000,5250,IF($AY45&lt;280000,3500,IF($AY45&lt;290000,1750,0))))),IF($AY45&lt;125000,8750,IF($AY45&lt;130000,7000,IF($AY45&lt;135000,5250,IF($AY45&lt;140000,3500,IF($AY45&lt;145000,1750,0)))))),1,1-IF(Inputs!$C$13,SUMPRODUCT(($AH45&gt;=INDEX('Methodology &amp; Sources'!$B$279:$J$286,0,IF(Inputs!$C$12="MFJ",1,IF(Inputs!$C$12="HoH",7,4))))*INDEX('Methodology &amp; Sources'!$B$279:$J$286,0,IF(Inputs!$C$12="MFJ",1,IF(Inputs!$C$12="HoH",7,4))+2)),SUMPRODUCT(($AH45&gt;=INDEX('Methodology &amp; Sources'!$B$269:$J$276,0,IF(Inputs!$C$12="MFJ",1,IF(Inputs!$C$12="HoH",7,4))))*INDEX('Methodology &amp; Sources'!$B$269:$J$276,0,IF(Inputs!$C$12="MFJ",1,IF(Inputs!$C$12="HoH",7,4))+2)))),IF($AN45="MI",IF($AY45&gt;5900*$AS45,0.0425,0),""))))</f>
      </c>
      <c r="CA45" s="24">
        <f>IF($B45="","",IF($AN45="AL",IF(OR($AU45="Married",$AU45="Head of household"),SUMPRODUCT(($AZ45&gt;=INDEX('Methodology &amp; Sources'!$B$332:$J$336,0,4))*INDEX('Methodology &amp; Sources'!$B$332:$J$336,0,4+2)),SUMPRODUCT(($AZ45&gt;=INDEX('Methodology &amp; Sources'!$B$332:$J$336,0,1))*INDEX('Methodology &amp; Sources'!$B$332:$J$336,0,1+2)))*(1-IF(Inputs!$C$13,SUMPRODUCT(($AH45&gt;=INDEX('Methodology &amp; Sources'!$B$279:$J$286,0,IF(Inputs!$C$12="MFJ",1,IF(Inputs!$C$12="HoH",7,4))))*INDEX('Methodology &amp; Sources'!$B$279:$J$286,0,IF(Inputs!$C$12="MFJ",1,IF(Inputs!$C$12="HoH",7,4))+2)),SUMPRODUCT(($AH45&gt;=INDEX('Methodology &amp; Sources'!$B$269:$J$276,0,IF(Inputs!$C$12="MFJ",1,IF(Inputs!$C$12="HoH",7,4))))*INDEX('Methodology &amp; Sources'!$B$269:$J$276,0,IF(Inputs!$C$12="MFJ",1,IF(Inputs!$C$12="HoH",7,4))+2)))),IF($AN45="KS",IF($AU45="Married",SUMPRODUCT(($AZ45&gt;=INDEX('Methodology &amp; Sources'!$B$353:$J$359,0,4))*INDEX('Methodology &amp; Sources'!$B$353:$J$359,0,4+2)),SUMPRODUCT(($AZ45&gt;=INDEX('Methodology &amp; Sources'!$B$353:$J$359,0,1))*INDEX('Methodology &amp; Sources'!$B$353:$J$359,0,1+2))),IF($AN45="MD",IF(OR($AU45="Married",$AU45="Head of household"),SUMPRODUCT(($AZ45&gt;=INDEX('Methodology &amp; Sources'!$B$364:$J$370,0,1))*INDEX('Methodology &amp; Sources'!$B$364:$J$370,0,1+2)),SUMPRODUCT(($AZ45&gt;=INDEX('Methodology &amp; Sources'!$B$353:$J$359,0,7))*INDEX('Methodology &amp; Sources'!$B$353:$J$359,0,7+2)))+Inputs!$C$74,IF($AN45="MT",IF($AU45="Head of household",SUMPRODUCT(($AZ45&gt;=INDEX('Methodology &amp; Sources'!$B$387:$J$389,0,1))*INDEX('Methodology &amp; Sources'!$B$387:$J$389,0,1+2)),IF($AU45="Married",SUMPRODUCT(($AZ45&gt;=INDEX('Methodology &amp; Sources'!$B$375:$J$382,0,7))*INDEX('Methodology &amp; Sources'!$B$375:$J$382,0,7+2)),SUMPRODUCT(($AZ45&gt;=INDEX('Methodology &amp; Sources'!$B$375:$J$382,0,4))*INDEX('Methodology &amp; Sources'!$B$375:$J$382,0,4+2)))),IF($AN45="ND",IF($AU45="Head of household",SUMPRODUCT(($AZ45&gt;=INDEX('Methodology &amp; Sources'!$B$394:$J$400,0,1))*INDEX('Methodology &amp; Sources'!$B$394:$J$400,0,1+2)),IF($AU45="Married",SUMPRODUCT(($AZ45&gt;=INDEX('Methodology &amp; Sources'!$B$387:$J$389,0,7))*INDEX('Methodology &amp; Sources'!$B$387:$J$389,0,7+2)),SUMPRODUCT(($AZ45&gt;=INDEX('Methodology &amp; Sources'!$B$387:$J$389,0,4))*INDEX('Methodology &amp; Sources'!$B$387:$J$389,0,4+2)))),IF($AN45="NY",IF($AU45="Married",IF($AZ45&gt;=2155350,IF($AZ45&gt;25000000,0.117,IF($AZ45&gt;5000000,0.111,0.1045)),SUMPRODUCT(($AZ45&gt;=INDEX('Methodology &amp; Sources'!$B$434:$J$448,0,1))*INDEX('Methodology &amp; Sources'!$B$434:$J$448,0,1+2))),IF($AZ45&gt;=1077550,IF($AZ45&gt;25000000,0.117,IF($AZ45&gt;5000000,0.111,0.1045)),SUMPRODUCT(($AZ45&gt;=INDEX('Methodology &amp; Sources'!$B$417:$J$429,0,7))*INDEX('Methodology &amp; Sources'!$B$417:$J$429,0,7+2)))),"")))))))</f>
      </c>
      <c r="CB45" s="24">
        <f>IF($B45="","",IF($AN45="CA",SUMPRODUCT(($AJ45&gt;=INDEX('Methodology &amp; Sources'!$B$289:$J$298,0,IF($AU45="Married",4,IF($AU45="Head of household",7,1))))*INDEX('Methodology &amp; Sources'!$B$289:$J$298,0,IF($AU45="Married",4,IF($AU45="Head of household",7,1))+2)),IF($AN45="HI",IF($AU45="Married",SUMPRODUCT(($AZ45&gt;=INDEX('Methodology &amp; Sources'!$B$341:$J$348,0,7))*INDEX('Methodology &amp; Sources'!$B$341:$J$348,0,7+2)),SUMPRODUCT(($AZ45&gt;=INDEX('Methodology &amp; Sources'!$B$341:$J$348,0,4))*INDEX('Methodology &amp; Sources'!$B$341:$J$348,0,4+2))),IF($AN45="MN",IF($AU45="Married",SUMPRODUCT(($AZ45&gt;=INDEX('Methodology &amp; Sources'!$B$364:$J$370,0,7))*INDEX('Methodology &amp; Sources'!$B$364:$J$370,0,7+2)),SUMPRODUCT(($AZ45&gt;=INDEX('Methodology &amp; Sources'!$B$364:$J$370,0,4))*INDEX('Methodology &amp; Sources'!$B$364:$J$370,0,4+2))),IF($AN45="MO",SUMPRODUCT(($AZ45&gt;=INDEX('Methodology &amp; Sources'!$B$375:$J$382,0,1))*INDEX('Methodology &amp; Sources'!$B$375:$J$382,0,1+2)),IF($AN45="NE",MAX(IF($AU45="Married",SUMPRODUCT(($AZ45&gt;=INDEX('Methodology &amp; Sources'!$B$394:$J$400,0,7))*INDEX('Methodology &amp; Sources'!$B$394:$J$400,0,7+2)),SUMPRODUCT(($AZ45&gt;=INDEX('Methodology &amp; Sources'!$B$394:$J$400,0,4))*INDEX('Methodology &amp; Sources'!$B$394:$J$400,0,4+2))),0.015),IF($AN45="OH",IF($B45&gt;=DATE(2026,8,1),SUMPRODUCT(($AZ45&gt;=INDEX('Methodology &amp; Sources'!$B$453:$J$456,0,1))*INDEX('Methodology &amp; Sources'!$B$453:$J$456,0,1+2)),SUMPRODUCT(($AZ45&gt;=INDEX('Methodology &amp; Sources'!$B$434:$J$448,0,7))*INDEX('Methodology &amp; Sources'!$B$434:$J$448,0,7+2))),IF($AN45="OK",IF($AU45="Married",SUMPRODUCT(($AZ45&gt;=INDEX('Methodology &amp; Sources'!$B$453:$J$456,0,7))*INDEX('Methodology &amp; Sources'!$B$453:$J$456,0,7+2)),SUMPRODUCT(($AZ45&gt;=INDEX('Methodology &amp; Sources'!$B$453:$J$456,0,4))*INDEX('Methodology &amp; Sources'!$B$453:$J$456,0,4+2))),IF($AN45="RI",SUMPRODUCT(($AZ45&gt;=INDEX('Methodology &amp; Sources'!$B$461:$J$464,0,7))*INDEX('Methodology &amp; Sources'!$B$461:$J$464,0,7+2)),IF($AN45="SC",SUMPRODUCT(($AZ45&gt;=INDEX('Methodology &amp; Sources'!$B$469:$J$473,0,1))*INDEX('Methodology &amp; Sources'!$B$469:$J$473,0,1+2)),IF($AN45="VT",IF($AU45="Married",SUMPRODUCT(($AZ45&gt;=INDEX('Methodology &amp; Sources'!$B$478:$J$482,0,1))*INDEX('Methodology &amp; Sources'!$B$478:$J$482,0,1+2)),SUMPRODUCT(($AZ45&gt;=INDEX('Methodology &amp; Sources'!$B$469:$J$473,0,7))*INDEX('Methodology &amp; Sources'!$B$469:$J$473,0,7+2))),IF($AN45="WV",IF($AU45="Married",SUMPRODUCT(($AZ45&gt;=INDEX('Methodology &amp; Sources'!$B$487:$J$491,0,7))*INDEX('Methodology &amp; Sources'!$B$487:$J$491,0,7+2)),SUMPRODUCT(($AZ45&gt;=INDEX('Methodology &amp; Sources'!$B$478:$J$482,0,7))*INDEX('Methodology &amp; Sources'!$B$478:$J$482,0,7+2))),IF($AN45="IN",(0.0295+Inputs!$C$76),"")))))))))))))</f>
      </c>
      <c r="CC45" s="24">
        <f>IF($B45="","",IF($AN45="AR",SUMPRODUCT(($AZ45&gt;=INDEX('Methodology &amp; Sources'!$B$332:$J$336,0,7))*INDEX('Methodology &amp; Sources'!$B$332:$J$336,0,7+2)),IF($AN45="DE",SUMPRODUCT(($AZ45&gt;=INDEX('Methodology &amp; Sources'!$B$341:$J$348,0,1))*INDEX('Methodology &amp; Sources'!$B$341:$J$348,0,1+2)),IF($AN45="VA",SUMPRODUCT(($AZ45&gt;=INDEX('Methodology &amp; Sources'!$B$469:$J$473,0,4))*INDEX('Methodology &amp; Sources'!$B$469:$J$473,0,4+2)),IF($AN45="WI",SUMPRODUCT(($AZ45&gt;=INDEX('Methodology &amp; Sources'!$B$478:$J$482,0,4))*INDEX('Methodology &amp; Sources'!$B$478:$J$482,0,4+2)),IF($AN45="AZ",Inputs!$C$82,IF($AN45="CO",IF($AY45&gt;IF($AU45="Married",10000,5000),0.044,0),IF($AN45="IA",IF($AY45&gt;IF($AU45="Head of household",19500,IF($AU45="Married",26000,13000)),0.038,0),IF($AN45="ID",IF($AY45&gt;IF($AU45="Married",32000,16094),0.053,0),IF($AN45="IL",IF($AY45&gt;(2925*$AS45+1000*$AT45),0.0495,0),IF($AN45="KY",IF($AI45&gt;3360,0.035,0),IF($AN45="LA",0.0309,IF($AN45="MA",IF(MAX(0,$AY45-MIN(($BD44+$Q45+$R45+$S45),2000)-IF($AS45=0,0,IF($AS45=1,4400,1000*$AS45+3400)))&gt;=1107750,0.09,0.05),IF($AN45="MS",IF($AI45-IF($AU45="Head of household",3400,IF($AU45="Married",4600,2300))-Inputs!$C$85&gt;10000,0.04,0),IF($AN45="PA",0.0307,"")))))))))))))))</f>
      </c>
      <c r="CD45" s="21">
        <f>IF(YEAR(IF(Inputs!$C$7="Weekly",Inputs!$C$9+7*(($BE44+1)-1),IF(Inputs!$C$7="Biweekly",Inputs!$C$9+14*(($BE44+1)-1),IF(Inputs!$C$7="Semimonthly",DATE(YEAR(Inputs!$C$9),MONTH(Inputs!$C$9)+INT((($BE44+1)-1)/2),MIN(DAY(Inputs!$C$9),DAY(EOMONTH(DATE(YEAR(Inputs!$C$9),MONTH(Inputs!$C$9)+INT((($BE44+1)-1)/2),1),0))))+IF(MOD(($BE44+1)-1,2)=1,15,0),EDATE(Inputs!$C$9,($BE44+1)-1)))))&lt;&gt;2026,"",IF(Inputs!$C$7="Weekly",Inputs!$C$9+7*(($BE44+1)-1),IF(Inputs!$C$7="Biweekly",Inputs!$C$9+14*(($BE44+1)-1),IF(Inputs!$C$7="Semimonthly",DATE(YEAR(Inputs!$C$9),MONTH(Inputs!$C$9)+INT((($BE44+1)-1)/2),MIN(DAY(Inputs!$C$9),DAY(EOMONTH(DATE(YEAR(Inputs!$C$9),MONTH(Inputs!$C$9)+INT((($BE44+1)-1)/2),1),0))))+IF(MOD(($BE44+1)-1,2)=1,15,0),EDATE(Inputs!$C$9,($BE44+1)-1)))))</f>
      </c>
      <c r="CE45" s="21">
        <f>IF(SUMPRODUCT(MIN(IF((Inputs!$C$58:$C$67&gt;MAX($B$6:$B44))*(Inputs!$C$58:$C$67&gt;=DATE(2026,1,1))*(Inputs!$C$58:$C$67&lt;=DATE(2026,12,31)),Inputs!$C$58:$C$67,999999)))=999999,"",SUMPRODUCT(MIN(IF((Inputs!$C$58:$C$67&gt;MAX($B$6:$B44))*(Inputs!$C$58:$C$67&gt;=DATE(2026,1,1))*(Inputs!$C$58:$C$67&lt;=DATE(2026,12,31)),Inputs!$C$58:$C$67,999999))))</f>
      </c>
    </row>
    <row r="46">
      <c r="A46" t="n">
        <v>41</v>
      </c>
      <c r="B46" s="21">
        <f>IF(AND($CD46="",$CE46=""),"",IF($CE46="",$CD46,IF($CD46="",$CE46,MIN($CD46,$CE46))))</f>
      </c>
      <c r="C46" s="7">
        <f>IF($B46="","",IF($BF46=0,0,IF(Inputs!$C$4="Annual salary",ROUND($AK46/IF(AND(Inputs!$C$88="Actual paydays",MONTH(Inputs!$C$9)=1),MAX(1,MAX($BE$6:$BE$68)),Inputs!$C$8),2),$AK46)))</f>
      </c>
      <c r="D46" s="7">
        <f>IF($B46="","",SUMIF(Inputs!$C$58:$C$67,$B46,Inputs!$D$58:$D$67))</f>
      </c>
      <c r="E46" s="7">
        <f>IF($B46="","",ROUND(MAX(0,MIN(IF($AL46="Percent",$AM46*($C46+$D46),$AM46),MAX(0,Inputs!$C$91-$AC45))),2))</f>
      </c>
      <c r="F46" s="7">
        <f>IF($B46="","",ROUND(MAX(0,MIN(IF(Inputs!$C$32="Percent",Inputs!$D$32*($C46+$D46),Inputs!$D$32),MAX(0,Inputs!$C$91-$AC45-$E46))),2))</f>
      </c>
      <c r="G46" s="7">
        <f>IF($B46="","",IF($BF46=0,0,ROUND(MAX(0,MIN($BL46,Inputs!$C$92-Inputs!$C$54-$BI45)),2)))</f>
      </c>
      <c r="H46" s="7">
        <f>IF($B46="","",IF(OR($BF46=0,$BQ46=1),0,ROUND(MAX(0,MIN(IF($BS46=1,ROUND(MAX(0,MIN($BJ46,'Methodology &amp; Sources'!$C$263)-$BG45)/MAX(1,MAX($BE$6:$BE$68)-($BE45)),2),ROUND(MIN($BJ46,'Methodology &amp; Sources'!$C$263)/Inputs!$C$8,2)),MIN($BJ46,'Methodology &amp; Sources'!$C$263)-$BG45)),2)))</f>
      </c>
      <c r="I46" s="7">
        <f>IF($B46="","",IF(OR($BF46=0,$BR46=1),0,ROUND(MAX(0,MIN(IF($BT46=1,ROUND(MAX(0,MIN($BK46,IF(Inputs!$C$12="MFJ",'Methodology &amp; Sources'!$C$264,'Methodology &amp; Sources'!$C$265))-$BH45)/MAX(1,MAX($BE$6:$BE$68)-($BE45)),2),ROUND(MIN($BK46,IF(Inputs!$C$12="MFJ",'Methodology &amp; Sources'!$C$264,'Methodology &amp; Sources'!$C$265))/Inputs!$C$8,2)),MIN($BK46,IF(Inputs!$C$12="MFJ",'Methodology &amp; Sources'!$C$264,'Methodology &amp; Sources'!$C$265))-$BH45)),2)))</f>
      </c>
      <c r="J46" s="7">
        <f>IF($B46="","",IF($BF46=0,0,$BM46))</f>
      </c>
      <c r="K46" s="7">
        <f>IF($B46="","",IF($BF46=0,0,$BN46+$BO46))</f>
      </c>
      <c r="L46" s="7">
        <f>IF($B46="","",IF($BF46=0,0,Inputs!$D$46))</f>
      </c>
      <c r="M46" s="7">
        <f>IF($B46="","",$C46+$D46+$L46-$E46-$G46-$H46-$I46-$J46-$K46)</f>
      </c>
      <c r="N46" s="7">
        <f>IF($B46="","",$C46+$D46+$L46-$G46-$H46-$I46-$J46-$K46)</f>
      </c>
      <c r="O46" s="7">
        <f>IF($B46="","",$C46+$D46+$L46-$E46-$H46-$I46-$J46-$K46-IF(OR($AN46="CA",$AN46="NJ"),0,$G46))</f>
      </c>
      <c r="P46" s="7">
        <f>IF($B46="","",IF(Inputs!$C$18,0,ROUND(MAX(0,IF(Inputs!$C$13,SUMPRODUCT(($AH46&gt;INDEX('Methodology &amp; Sources'!$B$279:$J$286,0,IF(Inputs!$C$12="MFJ",1,IF(Inputs!$C$12="HoH",7,4))))*($AH46-INDEX('Methodology &amp; Sources'!$B$279:$J$286,0,IF(Inputs!$C$12="MFJ",1,IF(Inputs!$C$12="HoH",7,4))))*INDEX('Methodology &amp; Sources'!$B$279:$J$286,0,IF(Inputs!$C$12="MFJ",1,IF(Inputs!$C$12="HoH",7,4))+2)),SUMPRODUCT(($AH46&gt;INDEX('Methodology &amp; Sources'!$B$269:$J$276,0,IF(Inputs!$C$12="MFJ",1,IF(Inputs!$C$12="HoH",7,4))))*($AH46-INDEX('Methodology &amp; Sources'!$B$269:$J$276,0,IF(Inputs!$C$12="MFJ",1,IF(Inputs!$C$12="HoH",7,4))))*INDEX('Methodology &amp; Sources'!$B$269:$J$276,0,IF(Inputs!$C$12="MFJ",1,IF(Inputs!$C$12="HoH",7,4))+2)))/Inputs!$C$8-$AO46/Inputs!$C$8)+$AR46+IF(Inputs!$C$89="Aggregate",MAX(0,IF(Inputs!$C$13,SUMPRODUCT((($AH46+$D46)&gt;INDEX('Methodology &amp; Sources'!$B$279:$J$286,0,IF(Inputs!$C$12="MFJ",1,IF(Inputs!$C$12="HoH",7,4))))*(($AH46+$D46)-INDEX('Methodology &amp; Sources'!$B$279:$J$286,0,IF(Inputs!$C$12="MFJ",1,IF(Inputs!$C$12="HoH",7,4))))*INDEX('Methodology &amp; Sources'!$B$279:$J$286,0,IF(Inputs!$C$12="MFJ",1,IF(Inputs!$C$12="HoH",7,4))+2)),SUMPRODUCT((($AH46+$D46)&gt;INDEX('Methodology &amp; Sources'!$B$269:$J$276,0,IF(Inputs!$C$12="MFJ",1,IF(Inputs!$C$12="HoH",7,4))))*(($AH46+$D46)-INDEX('Methodology &amp; Sources'!$B$269:$J$276,0,IF(Inputs!$C$12="MFJ",1,IF(Inputs!$C$12="HoH",7,4))))*INDEX('Methodology &amp; Sources'!$B$269:$J$276,0,IF(Inputs!$C$12="MFJ",1,IF(Inputs!$C$12="HoH",7,4))+2)))-IF(Inputs!$C$13,SUMPRODUCT(($AH46&gt;INDEX('Methodology &amp; Sources'!$B$279:$J$286,0,IF(Inputs!$C$12="MFJ",1,IF(Inputs!$C$12="HoH",7,4))))*($AH46-INDEX('Methodology &amp; Sources'!$B$279:$J$286,0,IF(Inputs!$C$12="MFJ",1,IF(Inputs!$C$12="HoH",7,4))))*INDEX('Methodology &amp; Sources'!$B$279:$J$286,0,IF(Inputs!$C$12="MFJ",1,IF(Inputs!$C$12="HoH",7,4))+2)),SUMPRODUCT(($AH46&gt;INDEX('Methodology &amp; Sources'!$B$269:$J$276,0,IF(Inputs!$C$12="MFJ",1,IF(Inputs!$C$12="HoH",7,4))))*($AH46-INDEX('Methodology &amp; Sources'!$B$269:$J$276,0,IF(Inputs!$C$12="MFJ",1,IF(Inputs!$C$12="HoH",7,4))))*INDEX('Methodology &amp; Sources'!$B$269:$J$276,0,IF(Inputs!$C$12="MFJ",1,IF(Inputs!$C$12="HoH",7,4))+2)))),'Methodology &amp; Sources'!$C$260*$D46),2)))</f>
      </c>
      <c r="Q46" s="7">
        <f>IF($B46="","",ROUND('Methodology &amp; Sources'!$C$254*MIN($N46,MAX(0,'Methodology &amp; Sources'!$C$253-($AX46+$AB45-$AW46))),2))</f>
      </c>
      <c r="R46" s="7">
        <f>IF($B46="","",ROUND('Methodology &amp; Sources'!$C$255*$N46,2))</f>
      </c>
      <c r="S46" s="7">
        <f>IF($B46="","",ROUND('Methodology &amp; Sources'!$C$256*MAX(0,MIN($N46,$AG45+$N46-'Methodology &amp; Sources'!$C$257)),2))</f>
      </c>
      <c r="T46" s="7">
        <f>IF($B46="","",IF(Inputs!$C$26,0,IF($AN46="CA",ROUND(IF($AI46&lt;=IF(($AS46+$AT46)&gt;=2,VLOOKUP($AN46,'StateTables 2026'!$A$6:$AB$56,10,FALSE),VLOOKUP($AN46,'StateTables 2026'!$A$6:$AB$56,9,FALSE)),0,MAX(0,SUMPRODUCT(($AJ46&gt;INDEX('Methodology &amp; Sources'!$B$289:$J$298,0,IF($AU46="Married",4,IF($AU46="Head of household",7,1))))*($AJ46-INDEX('Methodology &amp; Sources'!$B$289:$J$298,0,IF($AU46="Married",4,IF($AU46="Head of household",7,1))))*INDEX('Methodology &amp; Sources'!$B$289:$J$298,0,IF($AU46="Married",4,IF($AU46="Head of household",7,1))+2))-VLOOKUP($AN46,'StateTables 2026'!$A$6:$AB$56,11,FALSE)*$AS46)/Inputs!$C$8)+Inputs!$C$25+VLOOKUP($AN46,'StateTables 2026'!$A$6:$AB$56,13,FALSE)*$D46,2),IF(VLOOKUP($AN46,'StateTables 2026'!$A$6:$AB$56,4,FALSE)="None",0,IF(ISNUMBER(SEARCH("MANUAL",VLOOKUP($AN46,'StateTables 2026'!$A$6:$AB$56,5,FALSE))),Inputs!$C$28,ROUND(MAX(0,$BA46+$BB46)/Inputs!$C$8+Inputs!$C$25+$BC46,2))))))</f>
      </c>
      <c r="U46" s="7">
        <f>IF($B46="","",IF(VLOOKUP($AN46,'StateTables 2026'!$A$6:$AB$56,24,FALSE)="flatq",IF(OR(MONTH($B46)=1,MONTH($B46)=4,MONTH($B46)=7,MONTH($B46)=10),VLOOKUP($AN46,'StateTables 2026'!$A$6:$AB$56,25,FALSE),0),IF(VLOOKUP($AN46,'StateTables 2026'!$A$6:$AB$56,24,FALSE)="dbl",MIN(ROUND(0.005*$N46,2),ROUND(0.6*52/Inputs!$C$8,2)),IF(OR(VLOOKUP($AN46,'StateTables 2026'!$A$6:$AB$56,15,FALSE)="",VLOOKUP($AN46,'StateTables 2026'!$A$6:$AB$56,15,FALSE)=0),0,ROUND(VLOOKUP($AN46,'StateTables 2026'!$A$6:$AB$56,15,FALSE)*IF(OR(VLOOKUP($AN46,'StateTables 2026'!$A$6:$AB$56,16,FALSE)="",VLOOKUP($AN46,'StateTables 2026'!$A$6:$AB$56,16,FALSE)=0),$N46,MIN($N46,MAX(0,VLOOKUP($AN46,'StateTables 2026'!$A$6:$AB$56,16,FALSE)-($AX46+$AB45-$AW46)))),2))))+IF(VLOOKUP($AN46,'StateTables 2026'!$A$6:$AB$56,27,FALSE)="flatq",IF(OR(MONTH($B46)=1,MONTH($B46)=4,MONTH($B46)=7,MONTH($B46)=10),VLOOKUP($AN46,'StateTables 2026'!$A$6:$AB$56,28,FALSE),0),IF(VLOOKUP($AN46,'StateTables 2026'!$A$6:$AB$56,27,FALSE)="dbl",MIN(ROUND(0.005*$N46,2),ROUND(0.6*52/Inputs!$C$8,2)),IF(OR(VLOOKUP($AN46,'StateTables 2026'!$A$6:$AB$56,18,FALSE)="",VLOOKUP($AN46,'StateTables 2026'!$A$6:$AB$56,18,FALSE)=0),0,ROUND(VLOOKUP($AN46,'StateTables 2026'!$A$6:$AB$56,18,FALSE)*IF(OR(VLOOKUP($AN46,'StateTables 2026'!$A$6:$AB$56,19,FALSE)="",VLOOKUP($AN46,'StateTables 2026'!$A$6:$AB$56,19,FALSE)=0),$N46,MIN($N46,MAX(0,VLOOKUP($AN46,'StateTables 2026'!$A$6:$AB$56,19,FALSE)-($AX46+$AB45-$AW46)))),2)))))</f>
      </c>
      <c r="V46" s="7">
        <f>IF($B46="","",IF($AN46="NY",IF(Inputs!$C$78,ROUND(SUMPRODUCT((MAX(0,($O46-$D46)*Inputs!$C$8-(IF($AU46="Married",5500,5000)+1000*$AS46))&gt;INDEX('Methodology &amp; Sources'!$B$434:$J$448,0,4))*(MAX(0,($O46-$D46)*Inputs!$C$8-(IF($AU46="Married",5500,5000)+1000*$AS46))-INDEX('Methodology &amp; Sources'!$B$434:$J$448,0,4))*INDEX('Methodology &amp; Sources'!$B$434:$J$448,0,4+2))/Inputs!$C$8+0.0425*$D46,2),0)+IF(Inputs!$C$79="Resident",ROUND(0.1675*$T46,2),IF(Inputs!$C$79="Nonresident",ROUND(0.005*MAX(0,($O46-$D46)-(IF($AU46="Married",7950,7400)+1000*$AS46)/Inputs!$C$8),2),0)),IF($AN46="PA",IF(Inputs!$C$80="None",Inputs!$C$27+ROUND(Inputs!$C$81*($C46+$D46),2),ROUND(IF(Inputs!$C$80="Resident",IF($B46&lt;DATE(2026,7,1),0.0374,0.03735),IF($B46&lt;DATE(2026,7,1),0.0343,0.03425))*($C46+$D46),2)),IF($BF46=0,ROUND(Inputs!$C$81*($C46+$D46),2),Inputs!$C$27+ROUND(Inputs!$C$81*($C46+$D46),2)))))</f>
      </c>
      <c r="W46" s="7">
        <f>IF($B46="","",IF($BF46=0,0,$BP46))</f>
      </c>
      <c r="X46" s="7">
        <f>IF($B46="","",SUM($E46:$K46)+$P46+$Q46+$R46+$S46+$T46+$U46+$V46+$W46)</f>
      </c>
      <c r="Y46" s="22">
        <f>IF($B46="","",$C46+$D46-$X46)</f>
      </c>
      <c r="Z46" s="7">
        <f>IF($B46="","",$Z45+$C46+$D46)</f>
      </c>
      <c r="AA46" s="7">
        <f>IF($B46="","",$AA45+$Y46)</f>
      </c>
      <c r="AB46" s="7">
        <f>IF($B46="","",$AB45+MIN($N46,MAX(0,'Methodology &amp; Sources'!$C$253-($AX46+$AB45-$AW46))))</f>
      </c>
      <c r="AC46" s="7">
        <f>IF($B46="","",$AC45+$E46+$F46)</f>
      </c>
      <c r="AD46" s="3">
        <f>IF($B46="","",IF(AND($AB45&lt;'Methodology &amp; Sources'!$C$253,$AB46&gt;='Methodology &amp; Sources'!$C$253),"★ Social Security maxed on this check — from the next check your net rises by about $"&amp;TEXT(ROUND('Methodology &amp; Sources'!$C$254*$N46,2),"#,##0.00")&amp;". ","")&amp;IF(AND($AC45&lt;Inputs!$C$91,$AC46&gt;=Inputs!$C$91),"★ 401(k) reaches the $"&amp;TEXT(Inputs!$C$91,"#,##0")&amp;" cap on this check — deferrals stop and net pay rises. ","")&amp;IF(AND($AG45&lt;'Methodology &amp; Sources'!$C$257,$AG46&gt;='Methodology &amp; Sources'!$C$257),"★ Wages pass $200,000 — the 0.9% Additional Medicare Tax starts here. ","")&amp;IF(AND($BJ46&gt;0,$H46&gt;0,$BG45&lt;MIN($BJ46,'Methodology &amp; Sources'!$C$263),$BG45+$H46&gt;=MIN($BJ46,'Methodology &amp; Sources'!$C$263)),"★ Health FSA election is now fully deferred for the year. ",""))</f>
      </c>
      <c r="AE46" s="41" t="n"/>
      <c r="AF46" s="7">
        <f>IF(OR($B46="",$AE46=""),"",$AE46-$Y46)</f>
      </c>
      <c r="AG46" s="7">
        <f>IF($B46="","",$AG45+$N46)</f>
      </c>
      <c r="AH46" s="7">
        <f>IF($B46="","",MAX(0,($M46-$D46)*Inputs!$C$8+$AP46-$AQ46-IF(Inputs!$C$13,0,IF(Inputs!$C$12="MFJ",'Methodology &amp; Sources'!$C$258,'Methodology &amp; Sources'!$C$259))))</f>
      </c>
      <c r="AI46" s="7">
        <f>IF($B46="","",$O46*Inputs!$C$8)</f>
      </c>
      <c r="AJ46" s="7">
        <f>IF($B46="","",MAX(0,$AI46-VLOOKUP($AN46,'StateTables 2026'!$A$6:$AB$56,12,FALSE)*$AT46-IF(($AS46+$AT46)&gt;=2,VLOOKUP($AN46,'StateTables 2026'!$A$6:$AB$56,8,FALSE),VLOOKUP($AN46,'StateTables 2026'!$A$6:$AB$56,7,FALSE))))</f>
      </c>
      <c r="AK46" s="7">
        <f>IF($B46="","",IFERROR(LOOKUP(2,1/((Events!$C$6:$C$17="Salary change")*(Events!$B$6:$B$17&lt;=$B46)*(Events!$B$6:$B$17&lt;&gt;"")),Events!$D$6:$D$17),IF(Inputs!$C$4="Annual salary",Inputs!$C$5,Inputs!$C$6)))</f>
      </c>
      <c r="AL46">
        <f>IF($B46="","",IFERROR(LOOKUP(2,1/((Events!$C$6:$C$17="401(k) change")*(Events!$B$6:$B$17&lt;=$B46)*(Events!$B$6:$B$17&lt;&gt;"")),Events!$D$6:$D$17),Inputs!$C$30))</f>
      </c>
      <c r="AM46" s="7">
        <f>IF($B46="","",IFERROR(LOOKUP(2,1/((Events!$C$6:$C$17="401(k) change")*(Events!$B$6:$B$17&lt;=$B46)*(Events!$B$6:$B$17&lt;&gt;"")),Events!$E$6:$E$17),Inputs!$D$30))</f>
      </c>
      <c r="AN46">
        <f>IF($B46="","",IFERROR(LOOKUP(2,1/((Events!$C$6:$C$17="State move")*(Events!$B$6:$B$17&lt;=$B46)*(Events!$B$6:$B$17&lt;&gt;"")),Events!$D$6:$D$17),Inputs!$C$21))</f>
      </c>
      <c r="AO46" s="7">
        <f>IF($B46="","",IFERROR(LOOKUP(2,1/((Events!$C$6:$C$17="W-4 change")*(Events!$B$6:$B$17&lt;=$B46)*(Events!$B$6:$B$17&lt;&gt;"")),Events!$D$6:$D$17),Inputs!$C$14))</f>
      </c>
      <c r="AP46" s="7">
        <f>IF($B46="","",IFERROR(LOOKUP(2,1/((Events!$C$6:$C$17="W-4 change")*(Events!$B$6:$B$17&lt;=$B46)*(Events!$B$6:$B$17&lt;&gt;"")),Events!$E$6:$E$17),Inputs!$C$15))</f>
      </c>
      <c r="AQ46" s="7">
        <f>IF($B46="","",IFERROR(LOOKUP(2,1/((Events!$C$6:$C$17="W-4 change")*(Events!$B$6:$B$17&lt;=$B46)*(Events!$B$6:$B$17&lt;&gt;"")),Events!$F$6:$F$17),Inputs!$C$16))</f>
      </c>
      <c r="AR46" s="7">
        <f>IF($B46="","",IFERROR(LOOKUP(2,1/((Events!$C$6:$C$17="W-4 change")*(Events!$B$6:$B$17&lt;=$B46)*(Events!$B$6:$B$17&lt;&gt;"")),Events!$G$6:$G$17),Inputs!$C$17))</f>
      </c>
      <c r="AS46" s="6">
        <f>IF($B46="","",IFERROR(LOOKUP(2,1/(((Events!$C$6:$C$17="State move")+(Events!$C$6:$C$17="State cert change"))*(Events!$B$6:$B$17&lt;=$B46)*(Events!$B$6:$B$17&lt;&gt;"")),Events!$F$6:$F$17),Inputs!$C$23))</f>
      </c>
      <c r="AT46" s="6">
        <f>IF($B46="","",IFERROR(LOOKUP(2,1/(((Events!$C$6:$C$17="State move")+(Events!$C$6:$C$17="State cert change"))*(Events!$B$6:$B$17&lt;=$B46)*(Events!$B$6:$B$17&lt;&gt;"")),Events!$G$6:$G$17),Inputs!$C$24))</f>
      </c>
      <c r="AU46">
        <f>IF($B46="","",IFERROR(LOOKUP(2,1/((Events!$C$6:$C$17="State move")*(Events!$B$6:$B$17&lt;=$B46)*(Events!$B$6:$B$17&lt;&gt;"")),Events!$E$6:$E$17),Inputs!$C$22))</f>
      </c>
      <c r="AV46" s="6">
        <f>IF($B46="","",1+COUNTIFS(Events!$C$6:$C$17,"Employer change",Events!$B$6:$B$17,"&lt;="&amp;$B46,Events!$B$6:$B$17,"&lt;&gt;"))</f>
      </c>
      <c r="AW46" s="7">
        <f>IF($B46="","",IF($AV46=1,Inputs!$C$49,IF(IFERROR(MATCH(IFERROR(LOOKUP(2,1/((Events!$C$6:$C$17="Employer change")*(Events!$B$6:$B$17&lt;=$B46)*(Events!$B$6:$B$17&lt;&gt;"")),Events!$B$6:$B$17),""),$B$6:$B$68,1),1)&lt;=1,Inputs!$C$49,INDEX($AB$6:$AB$68,MATCH(IFERROR(LOOKUP(2,1/((Events!$C$6:$C$17="Employer change")*(Events!$B$6:$B$17&lt;=$B46)*(Events!$B$6:$B$17&lt;&gt;"")),Events!$B$6:$B$17),""),$B$6:$B$68,1)-1))))</f>
      </c>
      <c r="AX46" s="7">
        <f>IF($B46="","",IF($AV46=1,Inputs!$C$49,IFERROR(LOOKUP(2,1/((Events!$C$6:$C$17="Employer change")*(Events!$B$6:$B$17&lt;=$B46)*(Events!$B$6:$B$17&lt;&gt;"")),Events!$D$6:$D$17),0)))</f>
      </c>
      <c r="AY46" s="7">
        <f>IF($B46="","",($O46-$D46)*Inputs!$C$8)</f>
      </c>
      <c r="AZ46" s="7">
        <f>IF($B46="","",IF($AN46="AL",MAX(0,$AY46-IF($AU46="Married",IF($AY46&lt;=25999,8500,MAX(5000,8500-175*CEILING(($AY46-25999)/500,1))),IF($AU46="Head of household",IF($AY46&lt;=25999,5200,MAX(2500,5200-135*CEILING(($AY46-25999)/500,1))),IF($AY46&lt;=25999,3000,MAX(2500,3000-25*CEILING(($AY46-25999)/500,1)))))-($P46-'Methodology &amp; Sources'!$C$260*$D46)*Inputs!$C$8-IF(OR($AU46="Married",$AU46="Head of household"),3000,1500)-$AT46*IF($AY46&lt;=50000,1000,IF($AY46&lt;=100000,500,300))),IF($AN46="AR",IF(MAX(0,$AY46-2470)&lt;97701,INT(MAX(0,$AY46-2470)/100)*100+50,MAX(0,$AY46-2470)),IF($AN46="DE",MAX(0,$AI46-3250),IF($AN46="HI",MAX(0,$AI46-1144*$AS46-4350),IF($AN46="KS",MAX(0,$AI46-(9160*IF($AU46="Married",2,1)+2320*$AT46+IF($AU46="Head of household",2320,0))),IF($AN46="MD",MAX(0,$AI46-3400-3200*$AS46),IF($AN46="MN",MAX(0,$AY46-5300*$AS46),IF($AN46="MO",MAX(0,$AI46-IF($AU46="Head of household",24150,IF($AU46="Married",IF(Inputs!$C$83,16100,32200),16100))),IF($AN46="MT",$AY46,IF($AN46="ND",($C46+$L46)*Inputs!$C$8,IF($AN46="NE",MAX(0,$AY46-2440*$AS46),IF($AN46="NJ",MAX(0,$AY46-1000*$AS46),IF($AN46="NY",MAX(0,$AY46-(IF($AU46="Married",7950,7400)+1000*$AS46)),IF($AN46="OH",MAX(0,$AY46-650*$AS46),IF($AN46="OK",MAX(0,$AY46-1000*$AS46),IF($AN46="RI",MAX(0,$AI46-1000*$AS46),IF($AN46="SC",MAX(0,$AI46-5000*$AS46-IF($AS46=0,0,MIN(0.1*$AI46,7500))),IF($AN46="VA",MAX(0,$AI46-IF($AU46="Married",17500,8750)-930*$AS46-800*$AT46),IF($AN46="VT",MAX(0,$AI46-5400*$AS46),IF($AN46="WI",MAX(0,$AI46-MAX(0,IF($AU46="Married",9461-0.2*MAX(0,$AI46-25727),6702-0.12*MAX(0,$AI46-17780)))-400*$AS46),IF($AN46="WV",MAX(0,$AI46-2000*$AS46),$AI46))))))))))))))))))))))</f>
      </c>
      <c r="BA46" s="7">
        <f>IF($B46="","",IF($BW46&lt;&gt;"",$BW46,IF($BX46&lt;&gt;"",$BX46,IF($BY46&lt;&gt;"",$BY46,0))))</f>
      </c>
      <c r="BB46" s="7">
        <f>IF($B46="","",IF($AN46="AR",-29*$AS46,IF($AN46="DE",-110*$AS46,IF($AN46="MD",$AZ46*Inputs!$C$74,IF($AN46="AZ",Inputs!$C$82*($M46-$D46)*Inputs!$C$8,IF($AN46="CO",0.044*MAX(0,$AY46-IF($AU46="Married",10000,5000)),IF($AN46="IA",MAX(0,0.038*MAX(0,$AY46-IF($AU46="Head of household",19500,IF($AU46="Married",26000,13000)))-40*$AS46),IF($AN46="ID",0.053*MAX(0,$AY46-IF($AU46="Married",32000,16094)),IF($AN46="IL",0.0495*MAX(0,$AY46-(2925*$AS46+1000*$AT46)),IF($AN46="IN",(0.0295+Inputs!$C$76)*MAX(0,$AY46-(1000*$AS46+1500*$AT46+3000*Inputs!$C$86)),IF($AN46="KY",0.035*MAX(0,$AI46-3360),IF($AN46="LA",IF(Inputs!$C$84="0",0.0309*$AI46,0.0309*MAX(0,$AI46-IF(Inputs!$C$84="2",25750,12875))),IF($AN46="MA",0.05*MIN(MAX(0,$AY46-MIN(($BD45+$Q46+$R46+$S46),2000)-IF($AS46=0,0,IF($AS46=1,4400,1000*$AS46+3400))),1107750)+0.09*MAX(0,MAX(0,$AY46-MIN(($BD45+$Q46+$R46+$S46),2000)-IF($AS46=0,0,IF($AS46=1,4400,1000*$AS46+3400)))-1107750)-IF($AU46="Head of household",120,0)-110*Inputs!$C$75,IF($AN46="MI",0.0425*MAX(0,$AY46-5900*$AS46),IF($AN46="MS",0.04*MAX(0,$AI46-IF($AU46="Head of household",3400,IF($AU46="Married",4600,2300))-Inputs!$C$85-10000),IF($AN46="OR",IF(OR($AU46="Married",AND($AU46="Single",$AS46&gt;=3)),SUMPRODUCT((MAX(0,$AY46-MIN(($P46-'Methodology &amp; Sources'!$C$260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Sources'!$B$461:$J$464,0,4))*(MAX(0,$AY46-MIN(($P46-'Methodology &amp; Sources'!$C$260*$D46)*Inputs!$C$8,IF(OR($AU46="Married",AND($AU46="Single",$AS46&gt;=3)),IF($AY46&lt;250000,8750,IF($AY46&lt;260000,7000,IF($AY46&lt;270000,5250,IF($AY46&lt;280000,3500,IF($AY46&lt;290000,1750,0))))),IF($AY46&lt;125000,8750,IF($AY46&lt;130000,7000,IF($AY46&lt;135000,5250,IF($AY46&lt;140000,3500,IF($AY46&lt;145000,1750,0)))))))-IF(OR($AU46="Married",AND($AU46="Single",$AS46&gt;=3)),5820,2910))-INDEX('Methodology &amp; Sources'!$B$461:$J$464,0,4))*INDEX('Methodology &amp; Sources'!$B$461:$J$464,0,4+2)),SUMPRODUCT((MAX(0,$AY46-MIN(($P46-'Methodology &amp; Sources'!$C$260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Sources'!$B$461:$J$464,0,1))*(MAX(0,$AY46-MIN(($P46-'Methodology &amp; Sources'!$C$260*$D46)*Inputs!$C$8,IF(OR($AU46="Married",AND($AU46="Single",$AS46&gt;=3)),IF($AY46&lt;250000,8750,IF($AY46&lt;260000,7000,IF($AY46&lt;270000,5250,IF($AY46&lt;280000,3500,IF($AY46&lt;290000,1750,0))))),IF($AY46&lt;125000,8750,IF($AY46&lt;130000,7000,IF($AY46&lt;135000,5250,IF($AY46&lt;140000,3500,IF($AY46&lt;145000,1750,0)))))))-IF(OR($AU46="Married",AND($AU46="Single",$AS46&gt;=3)),5820,2910))-INDEX('Methodology &amp; Sources'!$B$461:$J$464,0,1))*INDEX('Methodology &amp; Sources'!$B$461:$J$464,0,1+2)))+263-263*IF(IF($AU46="Married",$AY46&gt;200000,$AY46&gt;100000),0,$AS46),IF($AN46="PA",0.0307*(($O46+$E46+$G46)*Inputs!$C$8),IF($AN46="NY",IF($AU46="Married",IF($AZ46&gt;=2155350,0,IF($AZ46&gt;=1077550,0.48,IF($AZ46&gt;=373200,1.21,IF($AZ46&gt;=323200,0.21,IF($AZ46&gt;=211550,-0.19,IF($AZ46&gt;=157650,-2.8,IF($AZ46&gt;=107650,-0.8,IF($AZ46&gt;=96800,0.05,IF($AZ46&gt;=80650,-0.1,IF($AZ46&gt;=13900,0.4,IF($AZ46&gt;=11700,-0.3,IF($AZ46&gt;=8500,0.5,0)))))))))))),IF($AZ46&gt;=1077550,0,IF($AZ46&gt;=265400,4.29,IF($AZ46&gt;=215400,2.29,IF($AZ46&gt;=157650,2.29,IF($AZ46&gt;=107650,0.29,IF($AZ46&gt;=96800,0.05,IF($AZ46&gt;=80650,-0.1,IF($AZ46&gt;=13900,0.4,IF($AZ46&gt;=11700,-0.3,IF($AZ46&gt;=8500,0.5,0))))))))))),0))))))))))))))))))</f>
      </c>
      <c r="BC46" s="7">
        <f>IF($B46="","",IF($AN46="AL",0.05*$D46,IF($AN46="AR",0.039*$D46,IF($AN46="ID",0.053*$D46,IF($AN46="IN",(0.0295+Inputs!$C$76)*$D46,IF($AN46="KS",0.05*$D46,IF($AN46="MA",0.09*MIN($D46,MAX(0,MAX(0,$AY46-MIN(($BD45+$Q46+$R46+$S46),2000)-IF($AS46=0,0,IF($AS46=1,4400,1000*$AS46+3400)))+$D46-1107750))+0.05*($D46-MIN($D46,MAX(0,MAX(0,$AY46-MIN(($BD45+$Q46+$R46+$S46),2000)-IF($AS46=0,0,IF($AS46=1,4400,1000*$AS46+3400)))+$D46-1107750))),IF($AN46="MD",(0.065+Inputs!$C$74)*$D46,IF($AN46="MI",0.0425*$D46,IF($AN46="MN",0.0625*$D46,IF($AN46="MO",0.047*$D46,IF($AN46="MT",0.05*$D46,IF($AN46="ND",0.015*$D46,IF($AN46="NE",0.035*$D46,IF($AN46="NJ",IF(Inputs!$C$77="B",SUMPRODUCT(($D46*Inputs!$C$8&gt;INDEX('Methodology &amp; Sources'!$B$405:$J$412,0,4))*($D46*Inputs!$C$8-INDEX('Methodology &amp; Sources'!$B$405:$J$412,0,4))*INDEX('Methodology &amp; Sources'!$B$405:$J$412,0,4+2)),IF(Inputs!$C$77="C",SUMPRODUCT(($D46*Inputs!$C$8&gt;INDEX('Methodology &amp; Sources'!$B$405:$J$412,0,7))*($D46*Inputs!$C$8-INDEX('Methodology &amp; Sources'!$B$405:$J$412,0,7))*INDEX('Methodology &amp; Sources'!$B$405:$J$412,0,7+2)),IF(Inputs!$C$77="D",SUMPRODUCT(($D46*Inputs!$C$8&gt;INDEX('Methodology &amp; Sources'!$B$417:$J$429,0,1))*($D46*Inputs!$C$8-INDEX('Methodology &amp; Sources'!$B$417:$J$429,0,1))*INDEX('Methodology &amp; Sources'!$B$417:$J$429,0,1+2)),IF(Inputs!$C$77="E",SUMPRODUCT(($D46*Inputs!$C$8&gt;INDEX('Methodology &amp; Sources'!$B$417:$J$429,0,4))*($D46*Inputs!$C$8-INDEX('Methodology &amp; Sources'!$B$417:$J$429,0,4))*INDEX('Methodology &amp; Sources'!$B$417:$J$429,0,4+2)),SUMPRODUCT(($D46*Inputs!$C$8&gt;INDEX('Methodology &amp; Sources'!$B$405:$J$412,0,1))*($D46*Inputs!$C$8-INDEX('Methodology &amp; Sources'!$B$405:$J$412,0,1))*INDEX('Methodology &amp; Sources'!$B$405:$J$412,0,1+2))))))/Inputs!$C$8,IF($AN46="NY",0.117*$D46,IF($AN46="OH",0.0275*$D46,IF($AN46="OK",0.045*$D46,IF($AN46="OR",0.08*$D46,IF($AN46="WI",IF($AY46&lt;12760,0.0354,IF($AY46&lt;25520,0.0465,IF($AY46&lt;280950,0.053,0.0765)))*$D46,0))))))))))))))))))))</f>
      </c>
      <c r="BD46" s="7">
        <f>IF($B46="","",$BD45+$Q46+$R46+$S46)</f>
      </c>
      <c r="BE46" s="6">
        <f>IF($B46="",$BE45,$BE45+$BF46)</f>
      </c>
      <c r="BF46" s="6">
        <f>IF($B46="","",IF(AND(IF(YEAR(IF(Inputs!$C$7="Weekly",Inputs!$C$9+7*(($BE45+1)-1),IF(Inputs!$C$7="Biweekly",Inputs!$C$9+14*(($BE45+1)-1),IF(Inputs!$C$7="Semimonthly",DATE(YEAR(Inputs!$C$9),MONTH(Inputs!$C$9)+INT((($BE45+1)-1)/2),MIN(DAY(Inputs!$C$9),DAY(EOMONTH(DATE(YEAR(Inputs!$C$9),MONTH(Inputs!$C$9)+INT((($BE45+1)-1)/2),1),0))))+IF(MOD(($BE45+1)-1,2)=1,15,0),EDATE(Inputs!$C$9,($BE45+1)-1)))))&lt;&gt;2026,"",IF(Inputs!$C$7="Weekly",Inputs!$C$9+7*(($BE45+1)-1),IF(Inputs!$C$7="Biweekly",Inputs!$C$9+14*(($BE45+1)-1),IF(Inputs!$C$7="Semimonthly",DATE(YEAR(Inputs!$C$9),MONTH(Inputs!$C$9)+INT((($BE45+1)-1)/2),MIN(DAY(Inputs!$C$9),DAY(EOMONTH(DATE(YEAR(Inputs!$C$9),MONTH(Inputs!$C$9)+INT((($BE45+1)-1)/2),1),0))))+IF(MOD(($BE45+1)-1,2)=1,15,0),EDATE(Inputs!$C$9,($BE45+1)-1)))))&lt;&gt;"",$B46=IF(YEAR(IF(Inputs!$C$7="Weekly",Inputs!$C$9+7*(($BE45+1)-1),IF(Inputs!$C$7="Biweekly",Inputs!$C$9+14*(($BE45+1)-1),IF(Inputs!$C$7="Semimonthly",DATE(YEAR(Inputs!$C$9),MONTH(Inputs!$C$9)+INT((($BE45+1)-1)/2),MIN(DAY(Inputs!$C$9),DAY(EOMONTH(DATE(YEAR(Inputs!$C$9),MONTH(Inputs!$C$9)+INT((($BE45+1)-1)/2),1),0))))+IF(MOD(($BE45+1)-1,2)=1,15,0),EDATE(Inputs!$C$9,($BE45+1)-1)))))&lt;&gt;2026,"",IF(Inputs!$C$7="Weekly",Inputs!$C$9+7*(($BE45+1)-1),IF(Inputs!$C$7="Biweekly",Inputs!$C$9+14*(($BE45+1)-1),IF(Inputs!$C$7="Semimonthly",DATE(YEAR(Inputs!$C$9),MONTH(Inputs!$C$9)+INT((($BE45+1)-1)/2),MIN(DAY(Inputs!$C$9),DAY(EOMONTH(DATE(YEAR(Inputs!$C$9),MONTH(Inputs!$C$9)+INT((($BE45+1)-1)/2),1),0))))+IF(MOD(($BE45+1)-1,2)=1,15,0),EDATE(Inputs!$C$9,($BE45+1)-1)))))),1,0))</f>
      </c>
      <c r="BG46" s="7">
        <f>IF($B46="","",$BG45+$H46)</f>
      </c>
      <c r="BH46" s="7">
        <f>IF($B46="","",$BH45+$I46)</f>
      </c>
      <c r="BI46" s="7">
        <f>IF($B46="","",$BI45+$G46)</f>
      </c>
      <c r="BJ46" s="7">
        <f>IF($B46="","",IFERROR(LOOKUP(2,1/((((Events!$C$6:$C$17="Deduction start"))*(Events!$D$6:$D$17="Health FSA"))*(Events!$B$6:$B$17&lt;=$B46)*(Events!$B$6:$B$17&lt;&gt;"")),Events!$E$6:$E$17),Inputs!$D$38))</f>
      </c>
      <c r="BK46" s="7">
        <f>IF($B46="","",IFERROR(LOOKUP(2,1/((((Events!$C$6:$C$17="Deduction start"))*(Events!$D$6:$D$17="Dependent-care FSA"))*(Events!$B$6:$B$17&lt;=$B46)*(Events!$B$6:$B$17&lt;&gt;"")),Events!$E$6:$E$17),Inputs!$D$39))</f>
      </c>
      <c r="BL46" s="7">
        <f>IF($B46="","",IFERROR(LOOKUP(2,1/((((Events!$C$6:$C$17="Deduction start")+(Events!$C$6:$C$17="Deduction stop"))*(Events!$D$6:$D$17="HSA"))*(Events!$B$6:$B$17&lt;=$B46)*(Events!$B$6:$B$17&lt;&gt;"")),Events!$I$6:$I$17),Inputs!$D$35))</f>
      </c>
      <c r="BM46" s="7">
        <f>IF($B46="","",IFERROR(LOOKUP(2,1/((((Events!$C$6:$C$17="Deduction start")+(Events!$C$6:$C$17="Deduction stop"))*(Events!$D$6:$D$17="Premiums"))*(Events!$B$6:$B$17&lt;=$B46)*(Events!$B$6:$B$17&lt;&gt;"")),Events!$I$6:$I$17),Inputs!$D$40+Inputs!$D$41+Inputs!$D$42))</f>
      </c>
      <c r="BN46" s="7">
        <f>IF($B46="","",IFERROR(LOOKUP(2,1/((((Events!$C$6:$C$17="Deduction start")+(Events!$C$6:$C$17="Deduction stop"))*(Events!$D$6:$D$17="Commuter"))*(Events!$B$6:$B$17&lt;=$B46)*(Events!$B$6:$B$17&lt;&gt;"")),Events!$I$6:$I$17),Inputs!$D$43))</f>
      </c>
      <c r="BO46" s="7">
        <f>IF($B46="","",IFERROR(LOOKUP(2,1/((((Events!$C$6:$C$17="Deduction start")+(Events!$C$6:$C$17="Deduction stop"))*(Events!$D$6:$D$17="Other pre-tax"))*(Events!$B$6:$B$17&lt;=$B46)*(Events!$B$6:$B$17&lt;&gt;"")),Events!$I$6:$I$17),Inputs!$D$44))</f>
      </c>
      <c r="BP46" s="7">
        <f>IF($B46="","",IFERROR(LOOKUP(2,1/((((Events!$C$6:$C$17="Deduction start")+(Events!$C$6:$C$17="Deduction stop"))*(Events!$D$6:$D$17="Other post-tax"))*(Events!$B$6:$B$17&lt;=$B46)*(Events!$B$6:$B$17&lt;&gt;"")),Events!$I$6:$I$17),Inputs!$D$45))</f>
      </c>
      <c r="BQ46" s="6">
        <f>IF($B46="","",IFERROR(LOOKUP(2,1/((((Events!$C$6:$C$17="Deduction start")+(Events!$C$6:$C$17="Deduction stop"))*(Events!$D$6:$D$17="Health FSA"))*(Events!$B$6:$B$17&lt;=$B46)*(Events!$B$6:$B$17&lt;&gt;"")),Events!$J$6:$J$17),0))</f>
      </c>
      <c r="BR46" s="6">
        <f>IF($B46="","",IFERROR(LOOKUP(2,1/((((Events!$C$6:$C$17="Deduction start")+(Events!$C$6:$C$17="Deduction stop"))*(Events!$D$6:$D$17="Dependent-care FSA"))*(Events!$B$6:$B$17&lt;=$B46)*(Events!$B$6:$B$17&lt;&gt;"")),Events!$J$6:$J$17),0))</f>
      </c>
      <c r="BS46" s="6">
        <f>IF($B46="","",IF(SUMPRODUCT((Events!$C$6:$C$17="Deduction start")*(Events!$B$6:$B$17&lt;=$B46)*(Events!$B$6:$B$17&lt;&gt;"")*(Events!$D$6:$D$17="Health FSA"))&gt;0,1,0))</f>
      </c>
      <c r="BT46" s="6">
        <f>IF($B46="","",IF(SUMPRODUCT((Events!$C$6:$C$17="Deduction start")*(Events!$B$6:$B$17&lt;=$B46)*(Events!$B$6:$B$17&lt;&gt;"")*(Events!$D$6:$D$17="Dependent-care FSA"))&gt;0,1,0))</f>
      </c>
      <c r="BU46" s="24">
        <f>IF($B46="","",IF(Inputs!$C$13,SUMPRODUCT(($AH46&gt;=INDEX('Methodology &amp; Sources'!$B$279:$J$286,0,IF(Inputs!$C$12="MFJ",1,IF(Inputs!$C$12="HoH",7,4))))*INDEX('Methodology &amp; Sources'!$B$279:$J$286,0,IF(Inputs!$C$12="MFJ",1,IF(Inputs!$C$12="HoH",7,4))+2)),SUMPRODUCT(($AH46&gt;=INDEX('Methodology &amp; Sources'!$B$269:$J$276,0,IF(Inputs!$C$12="MFJ",1,IF(Inputs!$C$12="HoH",7,4))))*INDEX('Methodology &amp; Sources'!$B$269:$J$276,0,IF(Inputs!$C$12="MFJ",1,IF(Inputs!$C$12="HoH",7,4))+2))))</f>
      </c>
      <c r="BV46" s="24">
        <f>IF($B46="","",IF($BZ46&lt;&gt;"",$BZ46,IF($CA46&lt;&gt;"",$CA46,IF($CB46&lt;&gt;"",$CB46,IF($CC46&lt;&gt;"",$CC46,0)))))</f>
      </c>
      <c r="BW46" s="7">
        <f>IF($B46="","",IF($AN46="MD",IF(OR($AU46="Married",$AU46="Head of household"),SUMPRODUCT(($AZ46&gt;INDEX('Methodology &amp; Sources'!$B$364:$J$370,0,1))*($AZ46-INDEX('Methodology &amp; Sources'!$B$364:$J$370,0,1))*INDEX('Methodology &amp; Sources'!$B$364:$J$370,0,1+2)),SUMPRODUCT(($AZ46&gt;INDEX('Methodology &amp; Sources'!$B$353:$J$359,0,7))*($AZ46-INDEX('Methodology &amp; Sources'!$B$353:$J$359,0,7))*INDEX('Methodology &amp; Sources'!$B$353:$J$359,0,7+2))),IF($AN46="MO",SUMPRODUCT(($AZ46&gt;INDEX('Methodology &amp; Sources'!$B$375:$J$382,0,1))*($AZ46-INDEX('Methodology &amp; Sources'!$B$375:$J$382,0,1))*INDEX('Methodology &amp; Sources'!$B$375:$J$382,0,1+2)),IF($AN46="MT",IF($AU46="Head of household",SUMPRODUCT(($AZ46&gt;INDEX('Methodology &amp; Sources'!$B$387:$J$389,0,1))*($AZ46-INDEX('Methodology &amp; Sources'!$B$387:$J$389,0,1))*INDEX('Methodology &amp; Sources'!$B$387:$J$389,0,1+2)),IF($AU46="Married",SUMPRODUCT(($AZ46&gt;INDEX('Methodology &amp; Sources'!$B$375:$J$382,0,7))*($AZ46-INDEX('Methodology &amp; Sources'!$B$375:$J$382,0,7))*INDEX('Methodology &amp; Sources'!$B$375:$J$382,0,7+2)),SUMPRODUCT(($AZ46&gt;INDEX('Methodology &amp; Sources'!$B$375:$J$382,0,4))*($AZ46-INDEX('Methodology &amp; Sources'!$B$375:$J$382,0,4))*INDEX('Methodology &amp; Sources'!$B$375:$J$382,0,4+2)))),IF($AN46="ND",IF($AU46="Head of household",SUMPRODUCT(($AZ46&gt;INDEX('Methodology &amp; Sources'!$B$394:$J$400,0,1))*($AZ46-INDEX('Methodology &amp; Sources'!$B$394:$J$400,0,1))*INDEX('Methodology &amp; Sources'!$B$394:$J$400,0,1+2)),IF($AU46="Married",SUMPRODUCT(($AZ46&gt;INDEX('Methodology &amp; Sources'!$B$387:$J$389,0,7))*($AZ46-INDEX('Methodology &amp; Sources'!$B$387:$J$389,0,7))*INDEX('Methodology &amp; Sources'!$B$387:$J$389,0,7+2)),SUMPRODUCT(($AZ46&gt;INDEX('Methodology &amp; Sources'!$B$387:$J$389,0,4))*($AZ46-INDEX('Methodology &amp; Sources'!$B$387:$J$389,0,4))*INDEX('Methodology &amp; Sources'!$B$387:$J$389,0,4+2)))),IF($AN46="NJ",IF(Inputs!$C$77="B",SUMPRODUCT(($AZ46&gt;INDEX('Methodology &amp; Sources'!$B$405:$J$412,0,4))*($AZ46-INDEX('Methodology &amp; Sources'!$B$405:$J$412,0,4))*INDEX('Methodology &amp; Sources'!$B$405:$J$412,0,4+2)),IF(Inputs!$C$77="C",SUMPRODUCT(($AZ46&gt;INDEX('Methodology &amp; Sources'!$B$405:$J$412,0,7))*($AZ46-INDEX('Methodology &amp; Sources'!$B$405:$J$412,0,7))*INDEX('Methodology &amp; Sources'!$B$405:$J$412,0,7+2)),IF(Inputs!$C$77="D",SUMPRODUCT(($AZ46&gt;INDEX('Methodology &amp; Sources'!$B$417:$J$429,0,1))*($AZ46-INDEX('Methodology &amp; Sources'!$B$417:$J$429,0,1))*INDEX('Methodology &amp; Sources'!$B$417:$J$429,0,1+2)),IF(Inputs!$C$77="E",SUMPRODUCT(($AZ46&gt;INDEX('Methodology &amp; Sources'!$B$417:$J$429,0,4))*($AZ46-INDEX('Methodology &amp; Sources'!$B$417:$J$429,0,4))*INDEX('Methodology &amp; Sources'!$B$417:$J$429,0,4+2)),SUMPRODUCT(($AZ46&gt;INDEX('Methodology &amp; Sources'!$B$405:$J$412,0,1))*($AZ46-INDEX('Methodology &amp; Sources'!$B$405:$J$412,0,1))*INDEX('Methodology &amp; Sources'!$B$405:$J$412,0,1+2)))))),IF($AN46="NY",IF($AU46="Married",IF($AZ46&gt;=2155350,$AZ46*IF($AZ46&gt;25000000,0.117,IF($AZ46&gt;5000000,0.111,0.1045)),SUMPRODUCT(($AZ46&gt;INDEX('Methodology &amp; Sources'!$B$434:$J$448,0,1))*($AZ46-INDEX('Methodology &amp; Sources'!$B$434:$J$448,0,1))*INDEX('Methodology &amp; Sources'!$B$434:$J$448,0,1+2))),IF($AZ46&gt;=1077550,$AZ46*IF($AZ46&gt;25000000,0.117,IF($AZ46&gt;5000000,0.111,0.1045)),SUMPRODUCT(($AZ46&gt;INDEX('Methodology &amp; Sources'!$B$417:$J$429,0,7))*($AZ46-INDEX('Methodology &amp; Sources'!$B$417:$J$429,0,7))*INDEX('Methodology &amp; Sources'!$B$417:$J$429,0,7+2)))),"")))))))</f>
      </c>
      <c r="BX46" s="7">
        <f>IF($B46="","",IF($AN46="AL",IF(OR($AU46="Married",$AU46="Head of household"),SUMPRODUCT(($AZ46&gt;INDEX('Methodology &amp; Sources'!$B$332:$J$336,0,4))*($AZ46-INDEX('Methodology &amp; Sources'!$B$332:$J$336,0,4))*INDEX('Methodology &amp; Sources'!$B$332:$J$336,0,4+2)),SUMPRODUCT(($AZ46&gt;INDEX('Methodology &amp; Sources'!$B$332:$J$336,0,1))*($AZ46-INDEX('Methodology &amp; Sources'!$B$332:$J$336,0,1))*INDEX('Methodology &amp; Sources'!$B$332:$J$336,0,1+2))),IF($AN46="KS",IF($AU46="Married",SUMPRODUCT(($AZ46&gt;INDEX('Methodology &amp; Sources'!$B$353:$J$359,0,4))*($AZ46-INDEX('Methodology &amp; Sources'!$B$353:$J$359,0,4))*INDEX('Methodology &amp; Sources'!$B$353:$J$359,0,4+2)),SUMPRODUCT(($AZ46&gt;INDEX('Methodology &amp; Sources'!$B$353:$J$359,0,1))*($AZ46-INDEX('Methodology &amp; Sources'!$B$353:$J$359,0,1))*INDEX('Methodology &amp; Sources'!$B$353:$J$359,0,1+2))),IF($AN46="MN",IF($AU46="Married",SUMPRODUCT(($AZ46&gt;INDEX('Methodology &amp; Sources'!$B$364:$J$370,0,7))*($AZ46-INDEX('Methodology &amp; Sources'!$B$364:$J$370,0,7))*INDEX('Methodology &amp; Sources'!$B$364:$J$370,0,7+2)),SUMPRODUCT(($AZ46&gt;INDEX('Methodology &amp; Sources'!$B$364:$J$370,0,4))*($AZ46-INDEX('Methodology &amp; Sources'!$B$364:$J$370,0,4))*INDEX('Methodology &amp; Sources'!$B$364:$J$370,0,4+2))),IF($AN46="NE",MAX(IF($AU46="Married",SUMPRODUCT(($AZ46&gt;INDEX('Methodology &amp; Sources'!$B$394:$J$400,0,7))*($AZ46-INDEX('Methodology &amp; Sources'!$B$394:$J$400,0,7))*INDEX('Methodology &amp; Sources'!$B$394:$J$400,0,7+2)),SUMPRODUCT(($AZ46&gt;INDEX('Methodology &amp; Sources'!$B$394:$J$400,0,4))*($AZ46-INDEX('Methodology &amp; Sources'!$B$394:$J$400,0,4))*INDEX('Methodology &amp; Sources'!$B$394:$J$400,0,4+2))),0.015*$AZ46),IF($AN46="OH",IF($B46&gt;=DATE(2026,8,1),SUMPRODUCT(($AZ46&gt;INDEX('Methodology &amp; Sources'!$B$453:$J$456,0,1))*($AZ46-INDEX('Methodology &amp; Sources'!$B$453:$J$456,0,1))*INDEX('Methodology &amp; Sources'!$B$453:$J$456,0,1+2)),SUMPRODUCT(($AZ46&gt;INDEX('Methodology &amp; Sources'!$B$434:$J$448,0,7))*($AZ46-INDEX('Methodology &amp; Sources'!$B$434:$J$448,0,7))*INDEX('Methodology &amp; Sources'!$B$434:$J$448,0,7+2))),IF($AN46="OK",IF($AU46="Married",SUMPRODUCT(($AZ46&gt;INDEX('Methodology &amp; Sources'!$B$453:$J$456,0,7))*($AZ46-INDEX('Methodology &amp; Sources'!$B$453:$J$456,0,7))*INDEX('Methodology &amp; Sources'!$B$453:$J$456,0,7+2)),SUMPRODUCT(($AZ46&gt;INDEX('Methodology &amp; Sources'!$B$453:$J$456,0,4))*($AZ46-INDEX('Methodology &amp; Sources'!$B$453:$J$456,0,4))*INDEX('Methodology &amp; Sources'!$B$453:$J$456,0,4+2))),IF($AN46="RI",SUMPRODUCT(($AZ46&gt;INDEX('Methodology &amp; Sources'!$B$461:$J$464,0,7))*($AZ46-INDEX('Methodology &amp; Sources'!$B$461:$J$464,0,7))*INDEX('Methodology &amp; Sources'!$B$461:$J$464,0,7+2)),IF($AN46="VT",IF($AU46="Married",SUMPRODUCT(($AZ46&gt;INDEX('Methodology &amp; Sources'!$B$478:$J$482,0,1))*($AZ46-INDEX('Methodology &amp; Sources'!$B$478:$J$482,0,1))*INDEX('Methodology &amp; Sources'!$B$478:$J$482,0,1+2)),SUMPRODUCT(($AZ46&gt;INDEX('Methodology &amp; Sources'!$B$469:$J$473,0,7))*($AZ46-INDEX('Methodology &amp; Sources'!$B$469:$J$473,0,7))*INDEX('Methodology &amp; Sources'!$B$469:$J$473,0,7+2))),IF($AN46="WV",IF($AU46="Married",SUMPRODUCT(($AZ46&gt;INDEX('Methodology &amp; Sources'!$B$487:$J$491,0,7))*($AZ46-INDEX('Methodology &amp; Sources'!$B$487:$J$491,0,7))*INDEX('Methodology &amp; Sources'!$B$487:$J$491,0,7+2)),SUMPRODUCT(($AZ46&gt;INDEX('Methodology &amp; Sources'!$B$478:$J$482,0,7))*($AZ46-INDEX('Methodology &amp; Sources'!$B$478:$J$482,0,7))*INDEX('Methodology &amp; Sources'!$B$478:$J$482,0,7+2))),""))))))))))</f>
      </c>
      <c r="BY46" s="7">
        <f>IF($B46="","",IF($AN46="AR",SUMPRODUCT(($AZ46&gt;INDEX('Methodology &amp; Sources'!$B$332:$J$336,0,7))*($AZ46-INDEX('Methodology &amp; Sources'!$B$332:$J$336,0,7))*INDEX('Methodology &amp; Sources'!$B$332:$J$336,0,7+2)),IF($AN46="DE",SUMPRODUCT(($AZ46&gt;INDEX('Methodology &amp; Sources'!$B$341:$J$348,0,1))*($AZ46-INDEX('Methodology &amp; Sources'!$B$341:$J$348,0,1))*INDEX('Methodology &amp; Sources'!$B$341:$J$348,0,1+2)),IF($AN46="HI",IF($AU46="Married",SUMPRODUCT(($AZ46&gt;INDEX('Methodology &amp; Sources'!$B$341:$J$348,0,7))*($AZ46-INDEX('Methodology &amp; Sources'!$B$341:$J$348,0,7))*INDEX('Methodology &amp; Sources'!$B$341:$J$348,0,7+2)),SUMPRODUCT(($AZ46&gt;INDEX('Methodology &amp; Sources'!$B$341:$J$348,0,4))*($AZ46-INDEX('Methodology &amp; Sources'!$B$341:$J$348,0,4))*INDEX('Methodology &amp; Sources'!$B$341:$J$348,0,4+2))),IF($AN46="SC",SUMPRODUCT(($AZ46&gt;INDEX('Methodology &amp; Sources'!$B$469:$J$473,0,1))*($AZ46-INDEX('Methodology &amp; Sources'!$B$469:$J$473,0,1))*INDEX('Methodology &amp; Sources'!$B$469:$J$473,0,1+2)),IF($AN46="VA",SUMPRODUCT(($AZ46&gt;INDEX('Methodology &amp; Sources'!$B$469:$J$473,0,4))*($AZ46-INDEX('Methodology &amp; Sources'!$B$469:$J$473,0,4))*INDEX('Methodology &amp; Sources'!$B$469:$J$473,0,4+2)),IF($AN46="WI",SUMPRODUCT(($AZ46&gt;INDEX('Methodology &amp; Sources'!$B$478:$J$482,0,4))*($AZ46-INDEX('Methodology &amp; Sources'!$B$478:$J$482,0,4))*INDEX('Methodology &amp; Sources'!$B$478:$J$482,0,4+2)),"")))))))</f>
      </c>
      <c r="BZ46" s="24">
        <f>IF($B46="","",IF($AN46="NJ",IF(Inputs!$C$77="B",SUMPRODUCT(($AZ46&gt;=INDEX('Methodology &amp; Sources'!$B$405:$J$412,0,4))*INDEX('Methodology &amp; Sources'!$B$405:$J$412,0,4+2)),IF(Inputs!$C$77="C",SUMPRODUCT(($AZ46&gt;=INDEX('Methodology &amp; Sources'!$B$405:$J$412,0,7))*INDEX('Methodology &amp; Sources'!$B$405:$J$412,0,7+2)),IF(Inputs!$C$77="D",SUMPRODUCT(($AZ46&gt;=INDEX('Methodology &amp; Sources'!$B$417:$J$429,0,1))*INDEX('Methodology &amp; Sources'!$B$417:$J$429,0,1+2)),IF(Inputs!$C$77="E",SUMPRODUCT(($AZ46&gt;=INDEX('Methodology &amp; Sources'!$B$417:$J$429,0,4))*INDEX('Methodology &amp; Sources'!$B$417:$J$429,0,4+2)),SUMPRODUCT(($AZ46&gt;=INDEX('Methodology &amp; Sources'!$B$405:$J$412,0,1))*INDEX('Methodology &amp; Sources'!$B$405:$J$412,0,1+2)))))),IF($AN46="OR",IF(OR($AU46="Married",AND($AU46="Single",$AS46&gt;=3)),SUMPRODUCT((MAX(0,$AY46-MIN(($P46-'Methodology &amp; Sources'!$C$260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Sources'!$B$461:$J$464,0,4))*INDEX('Methodology &amp; Sources'!$B$461:$J$464,0,4+2)),SUMPRODUCT((MAX(0,$AY46-MIN(($P46-'Methodology &amp; Sources'!$C$260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Sources'!$B$461:$J$464,0,1))*INDEX('Methodology &amp; Sources'!$B$461:$J$464,0,1+2)))*IF(($P46-'Methodology &amp; Sources'!$C$260*$D46)*Inputs!$C$8&gt;=IF(OR($AU46="Married",AND($AU46="Single",$AS46&gt;=3)),IF($AY46&lt;250000,8750,IF($AY46&lt;260000,7000,IF($AY46&lt;270000,5250,IF($AY46&lt;280000,3500,IF($AY46&lt;290000,1750,0))))),IF($AY46&lt;125000,8750,IF($AY46&lt;130000,7000,IF($AY46&lt;135000,5250,IF($AY46&lt;140000,3500,IF($AY46&lt;145000,1750,0)))))),1,1-IF(Inputs!$C$13,SUMPRODUCT(($AH46&gt;=INDEX('Methodology &amp; Sources'!$B$279:$J$286,0,IF(Inputs!$C$12="MFJ",1,IF(Inputs!$C$12="HoH",7,4))))*INDEX('Methodology &amp; Sources'!$B$279:$J$286,0,IF(Inputs!$C$12="MFJ",1,IF(Inputs!$C$12="HoH",7,4))+2)),SUMPRODUCT(($AH46&gt;=INDEX('Methodology &amp; Sources'!$B$269:$J$276,0,IF(Inputs!$C$12="MFJ",1,IF(Inputs!$C$12="HoH",7,4))))*INDEX('Methodology &amp; Sources'!$B$269:$J$276,0,IF(Inputs!$C$12="MFJ",1,IF(Inputs!$C$12="HoH",7,4))+2)))),IF($AN46="MI",IF($AY46&gt;5900*$AS46,0.0425,0),""))))</f>
      </c>
      <c r="CA46" s="24">
        <f>IF($B46="","",IF($AN46="AL",IF(OR($AU46="Married",$AU46="Head of household"),SUMPRODUCT(($AZ46&gt;=INDEX('Methodology &amp; Sources'!$B$332:$J$336,0,4))*INDEX('Methodology &amp; Sources'!$B$332:$J$336,0,4+2)),SUMPRODUCT(($AZ46&gt;=INDEX('Methodology &amp; Sources'!$B$332:$J$336,0,1))*INDEX('Methodology &amp; Sources'!$B$332:$J$336,0,1+2)))*(1-IF(Inputs!$C$13,SUMPRODUCT(($AH46&gt;=INDEX('Methodology &amp; Sources'!$B$279:$J$286,0,IF(Inputs!$C$12="MFJ",1,IF(Inputs!$C$12="HoH",7,4))))*INDEX('Methodology &amp; Sources'!$B$279:$J$286,0,IF(Inputs!$C$12="MFJ",1,IF(Inputs!$C$12="HoH",7,4))+2)),SUMPRODUCT(($AH46&gt;=INDEX('Methodology &amp; Sources'!$B$269:$J$276,0,IF(Inputs!$C$12="MFJ",1,IF(Inputs!$C$12="HoH",7,4))))*INDEX('Methodology &amp; Sources'!$B$269:$J$276,0,IF(Inputs!$C$12="MFJ",1,IF(Inputs!$C$12="HoH",7,4))+2)))),IF($AN46="KS",IF($AU46="Married",SUMPRODUCT(($AZ46&gt;=INDEX('Methodology &amp; Sources'!$B$353:$J$359,0,4))*INDEX('Methodology &amp; Sources'!$B$353:$J$359,0,4+2)),SUMPRODUCT(($AZ46&gt;=INDEX('Methodology &amp; Sources'!$B$353:$J$359,0,1))*INDEX('Methodology &amp; Sources'!$B$353:$J$359,0,1+2))),IF($AN46="MD",IF(OR($AU46="Married",$AU46="Head of household"),SUMPRODUCT(($AZ46&gt;=INDEX('Methodology &amp; Sources'!$B$364:$J$370,0,1))*INDEX('Methodology &amp; Sources'!$B$364:$J$370,0,1+2)),SUMPRODUCT(($AZ46&gt;=INDEX('Methodology &amp; Sources'!$B$353:$J$359,0,7))*INDEX('Methodology &amp; Sources'!$B$353:$J$359,0,7+2)))+Inputs!$C$74,IF($AN46="MT",IF($AU46="Head of household",SUMPRODUCT(($AZ46&gt;=INDEX('Methodology &amp; Sources'!$B$387:$J$389,0,1))*INDEX('Methodology &amp; Sources'!$B$387:$J$389,0,1+2)),IF($AU46="Married",SUMPRODUCT(($AZ46&gt;=INDEX('Methodology &amp; Sources'!$B$375:$J$382,0,7))*INDEX('Methodology &amp; Sources'!$B$375:$J$382,0,7+2)),SUMPRODUCT(($AZ46&gt;=INDEX('Methodology &amp; Sources'!$B$375:$J$382,0,4))*INDEX('Methodology &amp; Sources'!$B$375:$J$382,0,4+2)))),IF($AN46="ND",IF($AU46="Head of household",SUMPRODUCT(($AZ46&gt;=INDEX('Methodology &amp; Sources'!$B$394:$J$400,0,1))*INDEX('Methodology &amp; Sources'!$B$394:$J$400,0,1+2)),IF($AU46="Married",SUMPRODUCT(($AZ46&gt;=INDEX('Methodology &amp; Sources'!$B$387:$J$389,0,7))*INDEX('Methodology &amp; Sources'!$B$387:$J$389,0,7+2)),SUMPRODUCT(($AZ46&gt;=INDEX('Methodology &amp; Sources'!$B$387:$J$389,0,4))*INDEX('Methodology &amp; Sources'!$B$387:$J$389,0,4+2)))),IF($AN46="NY",IF($AU46="Married",IF($AZ46&gt;=2155350,IF($AZ46&gt;25000000,0.117,IF($AZ46&gt;5000000,0.111,0.1045)),SUMPRODUCT(($AZ46&gt;=INDEX('Methodology &amp; Sources'!$B$434:$J$448,0,1))*INDEX('Methodology &amp; Sources'!$B$434:$J$448,0,1+2))),IF($AZ46&gt;=1077550,IF($AZ46&gt;25000000,0.117,IF($AZ46&gt;5000000,0.111,0.1045)),SUMPRODUCT(($AZ46&gt;=INDEX('Methodology &amp; Sources'!$B$417:$J$429,0,7))*INDEX('Methodology &amp; Sources'!$B$417:$J$429,0,7+2)))),"")))))))</f>
      </c>
      <c r="CB46" s="24">
        <f>IF($B46="","",IF($AN46="CA",SUMPRODUCT(($AJ46&gt;=INDEX('Methodology &amp; Sources'!$B$289:$J$298,0,IF($AU46="Married",4,IF($AU46="Head of household",7,1))))*INDEX('Methodology &amp; Sources'!$B$289:$J$298,0,IF($AU46="Married",4,IF($AU46="Head of household",7,1))+2)),IF($AN46="HI",IF($AU46="Married",SUMPRODUCT(($AZ46&gt;=INDEX('Methodology &amp; Sources'!$B$341:$J$348,0,7))*INDEX('Methodology &amp; Sources'!$B$341:$J$348,0,7+2)),SUMPRODUCT(($AZ46&gt;=INDEX('Methodology &amp; Sources'!$B$341:$J$348,0,4))*INDEX('Methodology &amp; Sources'!$B$341:$J$348,0,4+2))),IF($AN46="MN",IF($AU46="Married",SUMPRODUCT(($AZ46&gt;=INDEX('Methodology &amp; Sources'!$B$364:$J$370,0,7))*INDEX('Methodology &amp; Sources'!$B$364:$J$370,0,7+2)),SUMPRODUCT(($AZ46&gt;=INDEX('Methodology &amp; Sources'!$B$364:$J$370,0,4))*INDEX('Methodology &amp; Sources'!$B$364:$J$370,0,4+2))),IF($AN46="MO",SUMPRODUCT(($AZ46&gt;=INDEX('Methodology &amp; Sources'!$B$375:$J$382,0,1))*INDEX('Methodology &amp; Sources'!$B$375:$J$382,0,1+2)),IF($AN46="NE",MAX(IF($AU46="Married",SUMPRODUCT(($AZ46&gt;=INDEX('Methodology &amp; Sources'!$B$394:$J$400,0,7))*INDEX('Methodology &amp; Sources'!$B$394:$J$400,0,7+2)),SUMPRODUCT(($AZ46&gt;=INDEX('Methodology &amp; Sources'!$B$394:$J$400,0,4))*INDEX('Methodology &amp; Sources'!$B$394:$J$400,0,4+2))),0.015),IF($AN46="OH",IF($B46&gt;=DATE(2026,8,1),SUMPRODUCT(($AZ46&gt;=INDEX('Methodology &amp; Sources'!$B$453:$J$456,0,1))*INDEX('Methodology &amp; Sources'!$B$453:$J$456,0,1+2)),SUMPRODUCT(($AZ46&gt;=INDEX('Methodology &amp; Sources'!$B$434:$J$448,0,7))*INDEX('Methodology &amp; Sources'!$B$434:$J$448,0,7+2))),IF($AN46="OK",IF($AU46="Married",SUMPRODUCT(($AZ46&gt;=INDEX('Methodology &amp; Sources'!$B$453:$J$456,0,7))*INDEX('Methodology &amp; Sources'!$B$453:$J$456,0,7+2)),SUMPRODUCT(($AZ46&gt;=INDEX('Methodology &amp; Sources'!$B$453:$J$456,0,4))*INDEX('Methodology &amp; Sources'!$B$453:$J$456,0,4+2))),IF($AN46="RI",SUMPRODUCT(($AZ46&gt;=INDEX('Methodology &amp; Sources'!$B$461:$J$464,0,7))*INDEX('Methodology &amp; Sources'!$B$461:$J$464,0,7+2)),IF($AN46="SC",SUMPRODUCT(($AZ46&gt;=INDEX('Methodology &amp; Sources'!$B$469:$J$473,0,1))*INDEX('Methodology &amp; Sources'!$B$469:$J$473,0,1+2)),IF($AN46="VT",IF($AU46="Married",SUMPRODUCT(($AZ46&gt;=INDEX('Methodology &amp; Sources'!$B$478:$J$482,0,1))*INDEX('Methodology &amp; Sources'!$B$478:$J$482,0,1+2)),SUMPRODUCT(($AZ46&gt;=INDEX('Methodology &amp; Sources'!$B$469:$J$473,0,7))*INDEX('Methodology &amp; Sources'!$B$469:$J$473,0,7+2))),IF($AN46="WV",IF($AU46="Married",SUMPRODUCT(($AZ46&gt;=INDEX('Methodology &amp; Sources'!$B$487:$J$491,0,7))*INDEX('Methodology &amp; Sources'!$B$487:$J$491,0,7+2)),SUMPRODUCT(($AZ46&gt;=INDEX('Methodology &amp; Sources'!$B$478:$J$482,0,7))*INDEX('Methodology &amp; Sources'!$B$478:$J$482,0,7+2))),IF($AN46="IN",(0.0295+Inputs!$C$76),"")))))))))))))</f>
      </c>
      <c r="CC46" s="24">
        <f>IF($B46="","",IF($AN46="AR",SUMPRODUCT(($AZ46&gt;=INDEX('Methodology &amp; Sources'!$B$332:$J$336,0,7))*INDEX('Methodology &amp; Sources'!$B$332:$J$336,0,7+2)),IF($AN46="DE",SUMPRODUCT(($AZ46&gt;=INDEX('Methodology &amp; Sources'!$B$341:$J$348,0,1))*INDEX('Methodology &amp; Sources'!$B$341:$J$348,0,1+2)),IF($AN46="VA",SUMPRODUCT(($AZ46&gt;=INDEX('Methodology &amp; Sources'!$B$469:$J$473,0,4))*INDEX('Methodology &amp; Sources'!$B$469:$J$473,0,4+2)),IF($AN46="WI",SUMPRODUCT(($AZ46&gt;=INDEX('Methodology &amp; Sources'!$B$478:$J$482,0,4))*INDEX('Methodology &amp; Sources'!$B$478:$J$482,0,4+2)),IF($AN46="AZ",Inputs!$C$82,IF($AN46="CO",IF($AY46&gt;IF($AU46="Married",10000,5000),0.044,0),IF($AN46="IA",IF($AY46&gt;IF($AU46="Head of household",19500,IF($AU46="Married",26000,13000)),0.038,0),IF($AN46="ID",IF($AY46&gt;IF($AU46="Married",32000,16094),0.053,0),IF($AN46="IL",IF($AY46&gt;(2925*$AS46+1000*$AT46),0.0495,0),IF($AN46="KY",IF($AI46&gt;3360,0.035,0),IF($AN46="LA",0.0309,IF($AN46="MA",IF(MAX(0,$AY46-MIN(($BD45+$Q46+$R46+$S46),2000)-IF($AS46=0,0,IF($AS46=1,4400,1000*$AS46+3400)))&gt;=1107750,0.09,0.05),IF($AN46="MS",IF($AI46-IF($AU46="Head of household",3400,IF($AU46="Married",4600,2300))-Inputs!$C$85&gt;10000,0.04,0),IF($AN46="PA",0.0307,"")))))))))))))))</f>
      </c>
      <c r="CD46" s="21">
        <f>IF(YEAR(IF(Inputs!$C$7="Weekly",Inputs!$C$9+7*(($BE45+1)-1),IF(Inputs!$C$7="Biweekly",Inputs!$C$9+14*(($BE45+1)-1),IF(Inputs!$C$7="Semimonthly",DATE(YEAR(Inputs!$C$9),MONTH(Inputs!$C$9)+INT((($BE45+1)-1)/2),MIN(DAY(Inputs!$C$9),DAY(EOMONTH(DATE(YEAR(Inputs!$C$9),MONTH(Inputs!$C$9)+INT((($BE45+1)-1)/2),1),0))))+IF(MOD(($BE45+1)-1,2)=1,15,0),EDATE(Inputs!$C$9,($BE45+1)-1)))))&lt;&gt;2026,"",IF(Inputs!$C$7="Weekly",Inputs!$C$9+7*(($BE45+1)-1),IF(Inputs!$C$7="Biweekly",Inputs!$C$9+14*(($BE45+1)-1),IF(Inputs!$C$7="Semimonthly",DATE(YEAR(Inputs!$C$9),MONTH(Inputs!$C$9)+INT((($BE45+1)-1)/2),MIN(DAY(Inputs!$C$9),DAY(EOMONTH(DATE(YEAR(Inputs!$C$9),MONTH(Inputs!$C$9)+INT((($BE45+1)-1)/2),1),0))))+IF(MOD(($BE45+1)-1,2)=1,15,0),EDATE(Inputs!$C$9,($BE45+1)-1)))))</f>
      </c>
      <c r="CE46" s="21">
        <f>IF(SUMPRODUCT(MIN(IF((Inputs!$C$58:$C$67&gt;MAX($B$6:$B45))*(Inputs!$C$58:$C$67&gt;=DATE(2026,1,1))*(Inputs!$C$58:$C$67&lt;=DATE(2026,12,31)),Inputs!$C$58:$C$67,999999)))=999999,"",SUMPRODUCT(MIN(IF((Inputs!$C$58:$C$67&gt;MAX($B$6:$B45))*(Inputs!$C$58:$C$67&gt;=DATE(2026,1,1))*(Inputs!$C$58:$C$67&lt;=DATE(2026,12,31)),Inputs!$C$58:$C$67,999999))))</f>
      </c>
    </row>
    <row r="47">
      <c r="A47" t="n">
        <v>42</v>
      </c>
      <c r="B47" s="21">
        <f>IF(AND($CD47="",$CE47=""),"",IF($CE47="",$CD47,IF($CD47="",$CE47,MIN($CD47,$CE47))))</f>
      </c>
      <c r="C47" s="7">
        <f>IF($B47="","",IF($BF47=0,0,IF(Inputs!$C$4="Annual salary",ROUND($AK47/IF(AND(Inputs!$C$88="Actual paydays",MONTH(Inputs!$C$9)=1),MAX(1,MAX($BE$6:$BE$68)),Inputs!$C$8),2),$AK47)))</f>
      </c>
      <c r="D47" s="7">
        <f>IF($B47="","",SUMIF(Inputs!$C$58:$C$67,$B47,Inputs!$D$58:$D$67))</f>
      </c>
      <c r="E47" s="7">
        <f>IF($B47="","",ROUND(MAX(0,MIN(IF($AL47="Percent",$AM47*($C47+$D47),$AM47),MAX(0,Inputs!$C$91-$AC46))),2))</f>
      </c>
      <c r="F47" s="7">
        <f>IF($B47="","",ROUND(MAX(0,MIN(IF(Inputs!$C$32="Percent",Inputs!$D$32*($C47+$D47),Inputs!$D$32),MAX(0,Inputs!$C$91-$AC46-$E47))),2))</f>
      </c>
      <c r="G47" s="7">
        <f>IF($B47="","",IF($BF47=0,0,ROUND(MAX(0,MIN($BL47,Inputs!$C$92-Inputs!$C$54-$BI46)),2)))</f>
      </c>
      <c r="H47" s="7">
        <f>IF($B47="","",IF(OR($BF47=0,$BQ47=1),0,ROUND(MAX(0,MIN(IF($BS47=1,ROUND(MAX(0,MIN($BJ47,'Methodology &amp; Sources'!$C$263)-$BG46)/MAX(1,MAX($BE$6:$BE$68)-($BE46)),2),ROUND(MIN($BJ47,'Methodology &amp; Sources'!$C$263)/Inputs!$C$8,2)),MIN($BJ47,'Methodology &amp; Sources'!$C$263)-$BG46)),2)))</f>
      </c>
      <c r="I47" s="7">
        <f>IF($B47="","",IF(OR($BF47=0,$BR47=1),0,ROUND(MAX(0,MIN(IF($BT47=1,ROUND(MAX(0,MIN($BK47,IF(Inputs!$C$12="MFJ",'Methodology &amp; Sources'!$C$264,'Methodology &amp; Sources'!$C$265))-$BH46)/MAX(1,MAX($BE$6:$BE$68)-($BE46)),2),ROUND(MIN($BK47,IF(Inputs!$C$12="MFJ",'Methodology &amp; Sources'!$C$264,'Methodology &amp; Sources'!$C$265))/Inputs!$C$8,2)),MIN($BK47,IF(Inputs!$C$12="MFJ",'Methodology &amp; Sources'!$C$264,'Methodology &amp; Sources'!$C$265))-$BH46)),2)))</f>
      </c>
      <c r="J47" s="7">
        <f>IF($B47="","",IF($BF47=0,0,$BM47))</f>
      </c>
      <c r="K47" s="7">
        <f>IF($B47="","",IF($BF47=0,0,$BN47+$BO47))</f>
      </c>
      <c r="L47" s="7">
        <f>IF($B47="","",IF($BF47=0,0,Inputs!$D$46))</f>
      </c>
      <c r="M47" s="7">
        <f>IF($B47="","",$C47+$D47+$L47-$E47-$G47-$H47-$I47-$J47-$K47)</f>
      </c>
      <c r="N47" s="7">
        <f>IF($B47="","",$C47+$D47+$L47-$G47-$H47-$I47-$J47-$K47)</f>
      </c>
      <c r="O47" s="7">
        <f>IF($B47="","",$C47+$D47+$L47-$E47-$H47-$I47-$J47-$K47-IF(OR($AN47="CA",$AN47="NJ"),0,$G47))</f>
      </c>
      <c r="P47" s="7">
        <f>IF($B47="","",IF(Inputs!$C$18,0,ROUND(MAX(0,IF(Inputs!$C$13,SUMPRODUCT(($AH47&gt;INDEX('Methodology &amp; Sources'!$B$279:$J$286,0,IF(Inputs!$C$12="MFJ",1,IF(Inputs!$C$12="HoH",7,4))))*($AH47-INDEX('Methodology &amp; Sources'!$B$279:$J$286,0,IF(Inputs!$C$12="MFJ",1,IF(Inputs!$C$12="HoH",7,4))))*INDEX('Methodology &amp; Sources'!$B$279:$J$286,0,IF(Inputs!$C$12="MFJ",1,IF(Inputs!$C$12="HoH",7,4))+2)),SUMPRODUCT(($AH47&gt;INDEX('Methodology &amp; Sources'!$B$269:$J$276,0,IF(Inputs!$C$12="MFJ",1,IF(Inputs!$C$12="HoH",7,4))))*($AH47-INDEX('Methodology &amp; Sources'!$B$269:$J$276,0,IF(Inputs!$C$12="MFJ",1,IF(Inputs!$C$12="HoH",7,4))))*INDEX('Methodology &amp; Sources'!$B$269:$J$276,0,IF(Inputs!$C$12="MFJ",1,IF(Inputs!$C$12="HoH",7,4))+2)))/Inputs!$C$8-$AO47/Inputs!$C$8)+$AR47+IF(Inputs!$C$89="Aggregate",MAX(0,IF(Inputs!$C$13,SUMPRODUCT((($AH47+$D47)&gt;INDEX('Methodology &amp; Sources'!$B$279:$J$286,0,IF(Inputs!$C$12="MFJ",1,IF(Inputs!$C$12="HoH",7,4))))*(($AH47+$D47)-INDEX('Methodology &amp; Sources'!$B$279:$J$286,0,IF(Inputs!$C$12="MFJ",1,IF(Inputs!$C$12="HoH",7,4))))*INDEX('Methodology &amp; Sources'!$B$279:$J$286,0,IF(Inputs!$C$12="MFJ",1,IF(Inputs!$C$12="HoH",7,4))+2)),SUMPRODUCT((($AH47+$D47)&gt;INDEX('Methodology &amp; Sources'!$B$269:$J$276,0,IF(Inputs!$C$12="MFJ",1,IF(Inputs!$C$12="HoH",7,4))))*(($AH47+$D47)-INDEX('Methodology &amp; Sources'!$B$269:$J$276,0,IF(Inputs!$C$12="MFJ",1,IF(Inputs!$C$12="HoH",7,4))))*INDEX('Methodology &amp; Sources'!$B$269:$J$276,0,IF(Inputs!$C$12="MFJ",1,IF(Inputs!$C$12="HoH",7,4))+2)))-IF(Inputs!$C$13,SUMPRODUCT(($AH47&gt;INDEX('Methodology &amp; Sources'!$B$279:$J$286,0,IF(Inputs!$C$12="MFJ",1,IF(Inputs!$C$12="HoH",7,4))))*($AH47-INDEX('Methodology &amp; Sources'!$B$279:$J$286,0,IF(Inputs!$C$12="MFJ",1,IF(Inputs!$C$12="HoH",7,4))))*INDEX('Methodology &amp; Sources'!$B$279:$J$286,0,IF(Inputs!$C$12="MFJ",1,IF(Inputs!$C$12="HoH",7,4))+2)),SUMPRODUCT(($AH47&gt;INDEX('Methodology &amp; Sources'!$B$269:$J$276,0,IF(Inputs!$C$12="MFJ",1,IF(Inputs!$C$12="HoH",7,4))))*($AH47-INDEX('Methodology &amp; Sources'!$B$269:$J$276,0,IF(Inputs!$C$12="MFJ",1,IF(Inputs!$C$12="HoH",7,4))))*INDEX('Methodology &amp; Sources'!$B$269:$J$276,0,IF(Inputs!$C$12="MFJ",1,IF(Inputs!$C$12="HoH",7,4))+2)))),'Methodology &amp; Sources'!$C$260*$D47),2)))</f>
      </c>
      <c r="Q47" s="7">
        <f>IF($B47="","",ROUND('Methodology &amp; Sources'!$C$254*MIN($N47,MAX(0,'Methodology &amp; Sources'!$C$253-($AX47+$AB46-$AW47))),2))</f>
      </c>
      <c r="R47" s="7">
        <f>IF($B47="","",ROUND('Methodology &amp; Sources'!$C$255*$N47,2))</f>
      </c>
      <c r="S47" s="7">
        <f>IF($B47="","",ROUND('Methodology &amp; Sources'!$C$256*MAX(0,MIN($N47,$AG46+$N47-'Methodology &amp; Sources'!$C$257)),2))</f>
      </c>
      <c r="T47" s="7">
        <f>IF($B47="","",IF(Inputs!$C$26,0,IF($AN47="CA",ROUND(IF($AI47&lt;=IF(($AS47+$AT47)&gt;=2,VLOOKUP($AN47,'StateTables 2026'!$A$6:$AB$56,10,FALSE),VLOOKUP($AN47,'StateTables 2026'!$A$6:$AB$56,9,FALSE)),0,MAX(0,SUMPRODUCT(($AJ47&gt;INDEX('Methodology &amp; Sources'!$B$289:$J$298,0,IF($AU47="Married",4,IF($AU47="Head of household",7,1))))*($AJ47-INDEX('Methodology &amp; Sources'!$B$289:$J$298,0,IF($AU47="Married",4,IF($AU47="Head of household",7,1))))*INDEX('Methodology &amp; Sources'!$B$289:$J$298,0,IF($AU47="Married",4,IF($AU47="Head of household",7,1))+2))-VLOOKUP($AN47,'StateTables 2026'!$A$6:$AB$56,11,FALSE)*$AS47)/Inputs!$C$8)+Inputs!$C$25+VLOOKUP($AN47,'StateTables 2026'!$A$6:$AB$56,13,FALSE)*$D47,2),IF(VLOOKUP($AN47,'StateTables 2026'!$A$6:$AB$56,4,FALSE)="None",0,IF(ISNUMBER(SEARCH("MANUAL",VLOOKUP($AN47,'StateTables 2026'!$A$6:$AB$56,5,FALSE))),Inputs!$C$28,ROUND(MAX(0,$BA47+$BB47)/Inputs!$C$8+Inputs!$C$25+$BC47,2))))))</f>
      </c>
      <c r="U47" s="7">
        <f>IF($B47="","",IF(VLOOKUP($AN47,'StateTables 2026'!$A$6:$AB$56,24,FALSE)="flatq",IF(OR(MONTH($B47)=1,MONTH($B47)=4,MONTH($B47)=7,MONTH($B47)=10),VLOOKUP($AN47,'StateTables 2026'!$A$6:$AB$56,25,FALSE),0),IF(VLOOKUP($AN47,'StateTables 2026'!$A$6:$AB$56,24,FALSE)="dbl",MIN(ROUND(0.005*$N47,2),ROUND(0.6*52/Inputs!$C$8,2)),IF(OR(VLOOKUP($AN47,'StateTables 2026'!$A$6:$AB$56,15,FALSE)="",VLOOKUP($AN47,'StateTables 2026'!$A$6:$AB$56,15,FALSE)=0),0,ROUND(VLOOKUP($AN47,'StateTables 2026'!$A$6:$AB$56,15,FALSE)*IF(OR(VLOOKUP($AN47,'StateTables 2026'!$A$6:$AB$56,16,FALSE)="",VLOOKUP($AN47,'StateTables 2026'!$A$6:$AB$56,16,FALSE)=0),$N47,MIN($N47,MAX(0,VLOOKUP($AN47,'StateTables 2026'!$A$6:$AB$56,16,FALSE)-($AX47+$AB46-$AW47)))),2))))+IF(VLOOKUP($AN47,'StateTables 2026'!$A$6:$AB$56,27,FALSE)="flatq",IF(OR(MONTH($B47)=1,MONTH($B47)=4,MONTH($B47)=7,MONTH($B47)=10),VLOOKUP($AN47,'StateTables 2026'!$A$6:$AB$56,28,FALSE),0),IF(VLOOKUP($AN47,'StateTables 2026'!$A$6:$AB$56,27,FALSE)="dbl",MIN(ROUND(0.005*$N47,2),ROUND(0.6*52/Inputs!$C$8,2)),IF(OR(VLOOKUP($AN47,'StateTables 2026'!$A$6:$AB$56,18,FALSE)="",VLOOKUP($AN47,'StateTables 2026'!$A$6:$AB$56,18,FALSE)=0),0,ROUND(VLOOKUP($AN47,'StateTables 2026'!$A$6:$AB$56,18,FALSE)*IF(OR(VLOOKUP($AN47,'StateTables 2026'!$A$6:$AB$56,19,FALSE)="",VLOOKUP($AN47,'StateTables 2026'!$A$6:$AB$56,19,FALSE)=0),$N47,MIN($N47,MAX(0,VLOOKUP($AN47,'StateTables 2026'!$A$6:$AB$56,19,FALSE)-($AX47+$AB46-$AW47)))),2)))))</f>
      </c>
      <c r="V47" s="7">
        <f>IF($B47="","",IF($AN47="NY",IF(Inputs!$C$78,ROUND(SUMPRODUCT((MAX(0,($O47-$D47)*Inputs!$C$8-(IF($AU47="Married",5500,5000)+1000*$AS47))&gt;INDEX('Methodology &amp; Sources'!$B$434:$J$448,0,4))*(MAX(0,($O47-$D47)*Inputs!$C$8-(IF($AU47="Married",5500,5000)+1000*$AS47))-INDEX('Methodology &amp; Sources'!$B$434:$J$448,0,4))*INDEX('Methodology &amp; Sources'!$B$434:$J$448,0,4+2))/Inputs!$C$8+0.0425*$D47,2),0)+IF(Inputs!$C$79="Resident",ROUND(0.1675*$T47,2),IF(Inputs!$C$79="Nonresident",ROUND(0.005*MAX(0,($O47-$D47)-(IF($AU47="Married",7950,7400)+1000*$AS47)/Inputs!$C$8),2),0)),IF($AN47="PA",IF(Inputs!$C$80="None",Inputs!$C$27+ROUND(Inputs!$C$81*($C47+$D47),2),ROUND(IF(Inputs!$C$80="Resident",IF($B47&lt;DATE(2026,7,1),0.0374,0.03735),IF($B47&lt;DATE(2026,7,1),0.0343,0.03425))*($C47+$D47),2)),IF($BF47=0,ROUND(Inputs!$C$81*($C47+$D47),2),Inputs!$C$27+ROUND(Inputs!$C$81*($C47+$D47),2)))))</f>
      </c>
      <c r="W47" s="7">
        <f>IF($B47="","",IF($BF47=0,0,$BP47))</f>
      </c>
      <c r="X47" s="7">
        <f>IF($B47="","",SUM($E47:$K47)+$P47+$Q47+$R47+$S47+$T47+$U47+$V47+$W47)</f>
      </c>
      <c r="Y47" s="22">
        <f>IF($B47="","",$C47+$D47-$X47)</f>
      </c>
      <c r="Z47" s="7">
        <f>IF($B47="","",$Z46+$C47+$D47)</f>
      </c>
      <c r="AA47" s="7">
        <f>IF($B47="","",$AA46+$Y47)</f>
      </c>
      <c r="AB47" s="7">
        <f>IF($B47="","",$AB46+MIN($N47,MAX(0,'Methodology &amp; Sources'!$C$253-($AX47+$AB46-$AW47))))</f>
      </c>
      <c r="AC47" s="7">
        <f>IF($B47="","",$AC46+$E47+$F47)</f>
      </c>
      <c r="AD47" s="3">
        <f>IF($B47="","",IF(AND($AB46&lt;'Methodology &amp; Sources'!$C$253,$AB47&gt;='Methodology &amp; Sources'!$C$253),"★ Social Security maxed on this check — from the next check your net rises by about $"&amp;TEXT(ROUND('Methodology &amp; Sources'!$C$254*$N47,2),"#,##0.00")&amp;". ","")&amp;IF(AND($AC46&lt;Inputs!$C$91,$AC47&gt;=Inputs!$C$91),"★ 401(k) reaches the $"&amp;TEXT(Inputs!$C$91,"#,##0")&amp;" cap on this check — deferrals stop and net pay rises. ","")&amp;IF(AND($AG46&lt;'Methodology &amp; Sources'!$C$257,$AG47&gt;='Methodology &amp; Sources'!$C$257),"★ Wages pass $200,000 — the 0.9% Additional Medicare Tax starts here. ","")&amp;IF(AND($BJ47&gt;0,$H47&gt;0,$BG46&lt;MIN($BJ47,'Methodology &amp; Sources'!$C$263),$BG46+$H47&gt;=MIN($BJ47,'Methodology &amp; Sources'!$C$263)),"★ Health FSA election is now fully deferred for the year. ",""))</f>
      </c>
      <c r="AE47" s="41" t="n"/>
      <c r="AF47" s="7">
        <f>IF(OR($B47="",$AE47=""),"",$AE47-$Y47)</f>
      </c>
      <c r="AG47" s="7">
        <f>IF($B47="","",$AG46+$N47)</f>
      </c>
      <c r="AH47" s="7">
        <f>IF($B47="","",MAX(0,($M47-$D47)*Inputs!$C$8+$AP47-$AQ47-IF(Inputs!$C$13,0,IF(Inputs!$C$12="MFJ",'Methodology &amp; Sources'!$C$258,'Methodology &amp; Sources'!$C$259))))</f>
      </c>
      <c r="AI47" s="7">
        <f>IF($B47="","",$O47*Inputs!$C$8)</f>
      </c>
      <c r="AJ47" s="7">
        <f>IF($B47="","",MAX(0,$AI47-VLOOKUP($AN47,'StateTables 2026'!$A$6:$AB$56,12,FALSE)*$AT47-IF(($AS47+$AT47)&gt;=2,VLOOKUP($AN47,'StateTables 2026'!$A$6:$AB$56,8,FALSE),VLOOKUP($AN47,'StateTables 2026'!$A$6:$AB$56,7,FALSE))))</f>
      </c>
      <c r="AK47" s="7">
        <f>IF($B47="","",IFERROR(LOOKUP(2,1/((Events!$C$6:$C$17="Salary change")*(Events!$B$6:$B$17&lt;=$B47)*(Events!$B$6:$B$17&lt;&gt;"")),Events!$D$6:$D$17),IF(Inputs!$C$4="Annual salary",Inputs!$C$5,Inputs!$C$6)))</f>
      </c>
      <c r="AL47">
        <f>IF($B47="","",IFERROR(LOOKUP(2,1/((Events!$C$6:$C$17="401(k) change")*(Events!$B$6:$B$17&lt;=$B47)*(Events!$B$6:$B$17&lt;&gt;"")),Events!$D$6:$D$17),Inputs!$C$30))</f>
      </c>
      <c r="AM47" s="7">
        <f>IF($B47="","",IFERROR(LOOKUP(2,1/((Events!$C$6:$C$17="401(k) change")*(Events!$B$6:$B$17&lt;=$B47)*(Events!$B$6:$B$17&lt;&gt;"")),Events!$E$6:$E$17),Inputs!$D$30))</f>
      </c>
      <c r="AN47">
        <f>IF($B47="","",IFERROR(LOOKUP(2,1/((Events!$C$6:$C$17="State move")*(Events!$B$6:$B$17&lt;=$B47)*(Events!$B$6:$B$17&lt;&gt;"")),Events!$D$6:$D$17),Inputs!$C$21))</f>
      </c>
      <c r="AO47" s="7">
        <f>IF($B47="","",IFERROR(LOOKUP(2,1/((Events!$C$6:$C$17="W-4 change")*(Events!$B$6:$B$17&lt;=$B47)*(Events!$B$6:$B$17&lt;&gt;"")),Events!$D$6:$D$17),Inputs!$C$14))</f>
      </c>
      <c r="AP47" s="7">
        <f>IF($B47="","",IFERROR(LOOKUP(2,1/((Events!$C$6:$C$17="W-4 change")*(Events!$B$6:$B$17&lt;=$B47)*(Events!$B$6:$B$17&lt;&gt;"")),Events!$E$6:$E$17),Inputs!$C$15))</f>
      </c>
      <c r="AQ47" s="7">
        <f>IF($B47="","",IFERROR(LOOKUP(2,1/((Events!$C$6:$C$17="W-4 change")*(Events!$B$6:$B$17&lt;=$B47)*(Events!$B$6:$B$17&lt;&gt;"")),Events!$F$6:$F$17),Inputs!$C$16))</f>
      </c>
      <c r="AR47" s="7">
        <f>IF($B47="","",IFERROR(LOOKUP(2,1/((Events!$C$6:$C$17="W-4 change")*(Events!$B$6:$B$17&lt;=$B47)*(Events!$B$6:$B$17&lt;&gt;"")),Events!$G$6:$G$17),Inputs!$C$17))</f>
      </c>
      <c r="AS47" s="6">
        <f>IF($B47="","",IFERROR(LOOKUP(2,1/(((Events!$C$6:$C$17="State move")+(Events!$C$6:$C$17="State cert change"))*(Events!$B$6:$B$17&lt;=$B47)*(Events!$B$6:$B$17&lt;&gt;"")),Events!$F$6:$F$17),Inputs!$C$23))</f>
      </c>
      <c r="AT47" s="6">
        <f>IF($B47="","",IFERROR(LOOKUP(2,1/(((Events!$C$6:$C$17="State move")+(Events!$C$6:$C$17="State cert change"))*(Events!$B$6:$B$17&lt;=$B47)*(Events!$B$6:$B$17&lt;&gt;"")),Events!$G$6:$G$17),Inputs!$C$24))</f>
      </c>
      <c r="AU47">
        <f>IF($B47="","",IFERROR(LOOKUP(2,1/((Events!$C$6:$C$17="State move")*(Events!$B$6:$B$17&lt;=$B47)*(Events!$B$6:$B$17&lt;&gt;"")),Events!$E$6:$E$17),Inputs!$C$22))</f>
      </c>
      <c r="AV47" s="6">
        <f>IF($B47="","",1+COUNTIFS(Events!$C$6:$C$17,"Employer change",Events!$B$6:$B$17,"&lt;="&amp;$B47,Events!$B$6:$B$17,"&lt;&gt;"))</f>
      </c>
      <c r="AW47" s="7">
        <f>IF($B47="","",IF($AV47=1,Inputs!$C$49,IF(IFERROR(MATCH(IFERROR(LOOKUP(2,1/((Events!$C$6:$C$17="Employer change")*(Events!$B$6:$B$17&lt;=$B47)*(Events!$B$6:$B$17&lt;&gt;"")),Events!$B$6:$B$17),""),$B$6:$B$68,1),1)&lt;=1,Inputs!$C$49,INDEX($AB$6:$AB$68,MATCH(IFERROR(LOOKUP(2,1/((Events!$C$6:$C$17="Employer change")*(Events!$B$6:$B$17&lt;=$B47)*(Events!$B$6:$B$17&lt;&gt;"")),Events!$B$6:$B$17),""),$B$6:$B$68,1)-1))))</f>
      </c>
      <c r="AX47" s="7">
        <f>IF($B47="","",IF($AV47=1,Inputs!$C$49,IFERROR(LOOKUP(2,1/((Events!$C$6:$C$17="Employer change")*(Events!$B$6:$B$17&lt;=$B47)*(Events!$B$6:$B$17&lt;&gt;"")),Events!$D$6:$D$17),0)))</f>
      </c>
      <c r="AY47" s="7">
        <f>IF($B47="","",($O47-$D47)*Inputs!$C$8)</f>
      </c>
      <c r="AZ47" s="7">
        <f>IF($B47="","",IF($AN47="AL",MAX(0,$AY47-IF($AU47="Married",IF($AY47&lt;=25999,8500,MAX(5000,8500-175*CEILING(($AY47-25999)/500,1))),IF($AU47="Head of household",IF($AY47&lt;=25999,5200,MAX(2500,5200-135*CEILING(($AY47-25999)/500,1))),IF($AY47&lt;=25999,3000,MAX(2500,3000-25*CEILING(($AY47-25999)/500,1)))))-($P47-'Methodology &amp; Sources'!$C$260*$D47)*Inputs!$C$8-IF(OR($AU47="Married",$AU47="Head of household"),3000,1500)-$AT47*IF($AY47&lt;=50000,1000,IF($AY47&lt;=100000,500,300))),IF($AN47="AR",IF(MAX(0,$AY47-2470)&lt;97701,INT(MAX(0,$AY47-2470)/100)*100+50,MAX(0,$AY47-2470)),IF($AN47="DE",MAX(0,$AI47-3250),IF($AN47="HI",MAX(0,$AI47-1144*$AS47-4350),IF($AN47="KS",MAX(0,$AI47-(9160*IF($AU47="Married",2,1)+2320*$AT47+IF($AU47="Head of household",2320,0))),IF($AN47="MD",MAX(0,$AI47-3400-3200*$AS47),IF($AN47="MN",MAX(0,$AY47-5300*$AS47),IF($AN47="MO",MAX(0,$AI47-IF($AU47="Head of household",24150,IF($AU47="Married",IF(Inputs!$C$83,16100,32200),16100))),IF($AN47="MT",$AY47,IF($AN47="ND",($C47+$L47)*Inputs!$C$8,IF($AN47="NE",MAX(0,$AY47-2440*$AS47),IF($AN47="NJ",MAX(0,$AY47-1000*$AS47),IF($AN47="NY",MAX(0,$AY47-(IF($AU47="Married",7950,7400)+1000*$AS47)),IF($AN47="OH",MAX(0,$AY47-650*$AS47),IF($AN47="OK",MAX(0,$AY47-1000*$AS47),IF($AN47="RI",MAX(0,$AI47-1000*$AS47),IF($AN47="SC",MAX(0,$AI47-5000*$AS47-IF($AS47=0,0,MIN(0.1*$AI47,7500))),IF($AN47="VA",MAX(0,$AI47-IF($AU47="Married",17500,8750)-930*$AS47-800*$AT47),IF($AN47="VT",MAX(0,$AI47-5400*$AS47),IF($AN47="WI",MAX(0,$AI47-MAX(0,IF($AU47="Married",9461-0.2*MAX(0,$AI47-25727),6702-0.12*MAX(0,$AI47-17780)))-400*$AS47),IF($AN47="WV",MAX(0,$AI47-2000*$AS47),$AI47))))))))))))))))))))))</f>
      </c>
      <c r="BA47" s="7">
        <f>IF($B47="","",IF($BW47&lt;&gt;"",$BW47,IF($BX47&lt;&gt;"",$BX47,IF($BY47&lt;&gt;"",$BY47,0))))</f>
      </c>
      <c r="BB47" s="7">
        <f>IF($B47="","",IF($AN47="AR",-29*$AS47,IF($AN47="DE",-110*$AS47,IF($AN47="MD",$AZ47*Inputs!$C$74,IF($AN47="AZ",Inputs!$C$82*($M47-$D47)*Inputs!$C$8,IF($AN47="CO",0.044*MAX(0,$AY47-IF($AU47="Married",10000,5000)),IF($AN47="IA",MAX(0,0.038*MAX(0,$AY47-IF($AU47="Head of household",19500,IF($AU47="Married",26000,13000)))-40*$AS47),IF($AN47="ID",0.053*MAX(0,$AY47-IF($AU47="Married",32000,16094)),IF($AN47="IL",0.0495*MAX(0,$AY47-(2925*$AS47+1000*$AT47)),IF($AN47="IN",(0.0295+Inputs!$C$76)*MAX(0,$AY47-(1000*$AS47+1500*$AT47+3000*Inputs!$C$86)),IF($AN47="KY",0.035*MAX(0,$AI47-3360),IF($AN47="LA",IF(Inputs!$C$84="0",0.0309*$AI47,0.0309*MAX(0,$AI47-IF(Inputs!$C$84="2",25750,12875))),IF($AN47="MA",0.05*MIN(MAX(0,$AY47-MIN(($BD46+$Q47+$R47+$S47),2000)-IF($AS47=0,0,IF($AS47=1,4400,1000*$AS47+3400))),1107750)+0.09*MAX(0,MAX(0,$AY47-MIN(($BD46+$Q47+$R47+$S47),2000)-IF($AS47=0,0,IF($AS47=1,4400,1000*$AS47+3400)))-1107750)-IF($AU47="Head of household",120,0)-110*Inputs!$C$75,IF($AN47="MI",0.0425*MAX(0,$AY47-5900*$AS47),IF($AN47="MS",0.04*MAX(0,$AI47-IF($AU47="Head of household",3400,IF($AU47="Married",4600,2300))-Inputs!$C$85-10000),IF($AN47="OR",IF(OR($AU47="Married",AND($AU47="Single",$AS47&gt;=3)),SUMPRODUCT((MAX(0,$AY47-MIN(($P47-'Methodology &amp; Sources'!$C$260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Sources'!$B$461:$J$464,0,4))*(MAX(0,$AY47-MIN(($P47-'Methodology &amp; Sources'!$C$260*$D47)*Inputs!$C$8,IF(OR($AU47="Married",AND($AU47="Single",$AS47&gt;=3)),IF($AY47&lt;250000,8750,IF($AY47&lt;260000,7000,IF($AY47&lt;270000,5250,IF($AY47&lt;280000,3500,IF($AY47&lt;290000,1750,0))))),IF($AY47&lt;125000,8750,IF($AY47&lt;130000,7000,IF($AY47&lt;135000,5250,IF($AY47&lt;140000,3500,IF($AY47&lt;145000,1750,0)))))))-IF(OR($AU47="Married",AND($AU47="Single",$AS47&gt;=3)),5820,2910))-INDEX('Methodology &amp; Sources'!$B$461:$J$464,0,4))*INDEX('Methodology &amp; Sources'!$B$461:$J$464,0,4+2)),SUMPRODUCT((MAX(0,$AY47-MIN(($P47-'Methodology &amp; Sources'!$C$260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Sources'!$B$461:$J$464,0,1))*(MAX(0,$AY47-MIN(($P47-'Methodology &amp; Sources'!$C$260*$D47)*Inputs!$C$8,IF(OR($AU47="Married",AND($AU47="Single",$AS47&gt;=3)),IF($AY47&lt;250000,8750,IF($AY47&lt;260000,7000,IF($AY47&lt;270000,5250,IF($AY47&lt;280000,3500,IF($AY47&lt;290000,1750,0))))),IF($AY47&lt;125000,8750,IF($AY47&lt;130000,7000,IF($AY47&lt;135000,5250,IF($AY47&lt;140000,3500,IF($AY47&lt;145000,1750,0)))))))-IF(OR($AU47="Married",AND($AU47="Single",$AS47&gt;=3)),5820,2910))-INDEX('Methodology &amp; Sources'!$B$461:$J$464,0,1))*INDEX('Methodology &amp; Sources'!$B$461:$J$464,0,1+2)))+263-263*IF(IF($AU47="Married",$AY47&gt;200000,$AY47&gt;100000),0,$AS47),IF($AN47="PA",0.0307*(($O47+$E47+$G47)*Inputs!$C$8),IF($AN47="NY",IF($AU47="Married",IF($AZ47&gt;=2155350,0,IF($AZ47&gt;=1077550,0.48,IF($AZ47&gt;=373200,1.21,IF($AZ47&gt;=323200,0.21,IF($AZ47&gt;=211550,-0.19,IF($AZ47&gt;=157650,-2.8,IF($AZ47&gt;=107650,-0.8,IF($AZ47&gt;=96800,0.05,IF($AZ47&gt;=80650,-0.1,IF($AZ47&gt;=13900,0.4,IF($AZ47&gt;=11700,-0.3,IF($AZ47&gt;=8500,0.5,0)))))))))))),IF($AZ47&gt;=1077550,0,IF($AZ47&gt;=265400,4.29,IF($AZ47&gt;=215400,2.29,IF($AZ47&gt;=157650,2.29,IF($AZ47&gt;=107650,0.29,IF($AZ47&gt;=96800,0.05,IF($AZ47&gt;=80650,-0.1,IF($AZ47&gt;=13900,0.4,IF($AZ47&gt;=11700,-0.3,IF($AZ47&gt;=8500,0.5,0))))))))))),0))))))))))))))))))</f>
      </c>
      <c r="BC47" s="7">
        <f>IF($B47="","",IF($AN47="AL",0.05*$D47,IF($AN47="AR",0.039*$D47,IF($AN47="ID",0.053*$D47,IF($AN47="IN",(0.0295+Inputs!$C$76)*$D47,IF($AN47="KS",0.05*$D47,IF($AN47="MA",0.09*MIN($D47,MAX(0,MAX(0,$AY47-MIN(($BD46+$Q47+$R47+$S47),2000)-IF($AS47=0,0,IF($AS47=1,4400,1000*$AS47+3400)))+$D47-1107750))+0.05*($D47-MIN($D47,MAX(0,MAX(0,$AY47-MIN(($BD46+$Q47+$R47+$S47),2000)-IF($AS47=0,0,IF($AS47=1,4400,1000*$AS47+3400)))+$D47-1107750))),IF($AN47="MD",(0.065+Inputs!$C$74)*$D47,IF($AN47="MI",0.0425*$D47,IF($AN47="MN",0.0625*$D47,IF($AN47="MO",0.047*$D47,IF($AN47="MT",0.05*$D47,IF($AN47="ND",0.015*$D47,IF($AN47="NE",0.035*$D47,IF($AN47="NJ",IF(Inputs!$C$77="B",SUMPRODUCT(($D47*Inputs!$C$8&gt;INDEX('Methodology &amp; Sources'!$B$405:$J$412,0,4))*($D47*Inputs!$C$8-INDEX('Methodology &amp; Sources'!$B$405:$J$412,0,4))*INDEX('Methodology &amp; Sources'!$B$405:$J$412,0,4+2)),IF(Inputs!$C$77="C",SUMPRODUCT(($D47*Inputs!$C$8&gt;INDEX('Methodology &amp; Sources'!$B$405:$J$412,0,7))*($D47*Inputs!$C$8-INDEX('Methodology &amp; Sources'!$B$405:$J$412,0,7))*INDEX('Methodology &amp; Sources'!$B$405:$J$412,0,7+2)),IF(Inputs!$C$77="D",SUMPRODUCT(($D47*Inputs!$C$8&gt;INDEX('Methodology &amp; Sources'!$B$417:$J$429,0,1))*($D47*Inputs!$C$8-INDEX('Methodology &amp; Sources'!$B$417:$J$429,0,1))*INDEX('Methodology &amp; Sources'!$B$417:$J$429,0,1+2)),IF(Inputs!$C$77="E",SUMPRODUCT(($D47*Inputs!$C$8&gt;INDEX('Methodology &amp; Sources'!$B$417:$J$429,0,4))*($D47*Inputs!$C$8-INDEX('Methodology &amp; Sources'!$B$417:$J$429,0,4))*INDEX('Methodology &amp; Sources'!$B$417:$J$429,0,4+2)),SUMPRODUCT(($D47*Inputs!$C$8&gt;INDEX('Methodology &amp; Sources'!$B$405:$J$412,0,1))*($D47*Inputs!$C$8-INDEX('Methodology &amp; Sources'!$B$405:$J$412,0,1))*INDEX('Methodology &amp; Sources'!$B$405:$J$412,0,1+2))))))/Inputs!$C$8,IF($AN47="NY",0.117*$D47,IF($AN47="OH",0.0275*$D47,IF($AN47="OK",0.045*$D47,IF($AN47="OR",0.08*$D47,IF($AN47="WI",IF($AY47&lt;12760,0.0354,IF($AY47&lt;25520,0.0465,IF($AY47&lt;280950,0.053,0.0765)))*$D47,0))))))))))))))))))))</f>
      </c>
      <c r="BD47" s="7">
        <f>IF($B47="","",$BD46+$Q47+$R47+$S47)</f>
      </c>
      <c r="BE47" s="6">
        <f>IF($B47="",$BE46,$BE46+$BF47)</f>
      </c>
      <c r="BF47" s="6">
        <f>IF($B47="","",IF(AND(IF(YEAR(IF(Inputs!$C$7="Weekly",Inputs!$C$9+7*(($BE46+1)-1),IF(Inputs!$C$7="Biweekly",Inputs!$C$9+14*(($BE46+1)-1),IF(Inputs!$C$7="Semimonthly",DATE(YEAR(Inputs!$C$9),MONTH(Inputs!$C$9)+INT((($BE46+1)-1)/2),MIN(DAY(Inputs!$C$9),DAY(EOMONTH(DATE(YEAR(Inputs!$C$9),MONTH(Inputs!$C$9)+INT((($BE46+1)-1)/2),1),0))))+IF(MOD(($BE46+1)-1,2)=1,15,0),EDATE(Inputs!$C$9,($BE46+1)-1)))))&lt;&gt;2026,"",IF(Inputs!$C$7="Weekly",Inputs!$C$9+7*(($BE46+1)-1),IF(Inputs!$C$7="Biweekly",Inputs!$C$9+14*(($BE46+1)-1),IF(Inputs!$C$7="Semimonthly",DATE(YEAR(Inputs!$C$9),MONTH(Inputs!$C$9)+INT((($BE46+1)-1)/2),MIN(DAY(Inputs!$C$9),DAY(EOMONTH(DATE(YEAR(Inputs!$C$9),MONTH(Inputs!$C$9)+INT((($BE46+1)-1)/2),1),0))))+IF(MOD(($BE46+1)-1,2)=1,15,0),EDATE(Inputs!$C$9,($BE46+1)-1)))))&lt;&gt;"",$B47=IF(YEAR(IF(Inputs!$C$7="Weekly",Inputs!$C$9+7*(($BE46+1)-1),IF(Inputs!$C$7="Biweekly",Inputs!$C$9+14*(($BE46+1)-1),IF(Inputs!$C$7="Semimonthly",DATE(YEAR(Inputs!$C$9),MONTH(Inputs!$C$9)+INT((($BE46+1)-1)/2),MIN(DAY(Inputs!$C$9),DAY(EOMONTH(DATE(YEAR(Inputs!$C$9),MONTH(Inputs!$C$9)+INT((($BE46+1)-1)/2),1),0))))+IF(MOD(($BE46+1)-1,2)=1,15,0),EDATE(Inputs!$C$9,($BE46+1)-1)))))&lt;&gt;2026,"",IF(Inputs!$C$7="Weekly",Inputs!$C$9+7*(($BE46+1)-1),IF(Inputs!$C$7="Biweekly",Inputs!$C$9+14*(($BE46+1)-1),IF(Inputs!$C$7="Semimonthly",DATE(YEAR(Inputs!$C$9),MONTH(Inputs!$C$9)+INT((($BE46+1)-1)/2),MIN(DAY(Inputs!$C$9),DAY(EOMONTH(DATE(YEAR(Inputs!$C$9),MONTH(Inputs!$C$9)+INT((($BE46+1)-1)/2),1),0))))+IF(MOD(($BE46+1)-1,2)=1,15,0),EDATE(Inputs!$C$9,($BE46+1)-1)))))),1,0))</f>
      </c>
      <c r="BG47" s="7">
        <f>IF($B47="","",$BG46+$H47)</f>
      </c>
      <c r="BH47" s="7">
        <f>IF($B47="","",$BH46+$I47)</f>
      </c>
      <c r="BI47" s="7">
        <f>IF($B47="","",$BI46+$G47)</f>
      </c>
      <c r="BJ47" s="7">
        <f>IF($B47="","",IFERROR(LOOKUP(2,1/((((Events!$C$6:$C$17="Deduction start"))*(Events!$D$6:$D$17="Health FSA"))*(Events!$B$6:$B$17&lt;=$B47)*(Events!$B$6:$B$17&lt;&gt;"")),Events!$E$6:$E$17),Inputs!$D$38))</f>
      </c>
      <c r="BK47" s="7">
        <f>IF($B47="","",IFERROR(LOOKUP(2,1/((((Events!$C$6:$C$17="Deduction start"))*(Events!$D$6:$D$17="Dependent-care FSA"))*(Events!$B$6:$B$17&lt;=$B47)*(Events!$B$6:$B$17&lt;&gt;"")),Events!$E$6:$E$17),Inputs!$D$39))</f>
      </c>
      <c r="BL47" s="7">
        <f>IF($B47="","",IFERROR(LOOKUP(2,1/((((Events!$C$6:$C$17="Deduction start")+(Events!$C$6:$C$17="Deduction stop"))*(Events!$D$6:$D$17="HSA"))*(Events!$B$6:$B$17&lt;=$B47)*(Events!$B$6:$B$17&lt;&gt;"")),Events!$I$6:$I$17),Inputs!$D$35))</f>
      </c>
      <c r="BM47" s="7">
        <f>IF($B47="","",IFERROR(LOOKUP(2,1/((((Events!$C$6:$C$17="Deduction start")+(Events!$C$6:$C$17="Deduction stop"))*(Events!$D$6:$D$17="Premiums"))*(Events!$B$6:$B$17&lt;=$B47)*(Events!$B$6:$B$17&lt;&gt;"")),Events!$I$6:$I$17),Inputs!$D$40+Inputs!$D$41+Inputs!$D$42))</f>
      </c>
      <c r="BN47" s="7">
        <f>IF($B47="","",IFERROR(LOOKUP(2,1/((((Events!$C$6:$C$17="Deduction start")+(Events!$C$6:$C$17="Deduction stop"))*(Events!$D$6:$D$17="Commuter"))*(Events!$B$6:$B$17&lt;=$B47)*(Events!$B$6:$B$17&lt;&gt;"")),Events!$I$6:$I$17),Inputs!$D$43))</f>
      </c>
      <c r="BO47" s="7">
        <f>IF($B47="","",IFERROR(LOOKUP(2,1/((((Events!$C$6:$C$17="Deduction start")+(Events!$C$6:$C$17="Deduction stop"))*(Events!$D$6:$D$17="Other pre-tax"))*(Events!$B$6:$B$17&lt;=$B47)*(Events!$B$6:$B$17&lt;&gt;"")),Events!$I$6:$I$17),Inputs!$D$44))</f>
      </c>
      <c r="BP47" s="7">
        <f>IF($B47="","",IFERROR(LOOKUP(2,1/((((Events!$C$6:$C$17="Deduction start")+(Events!$C$6:$C$17="Deduction stop"))*(Events!$D$6:$D$17="Other post-tax"))*(Events!$B$6:$B$17&lt;=$B47)*(Events!$B$6:$B$17&lt;&gt;"")),Events!$I$6:$I$17),Inputs!$D$45))</f>
      </c>
      <c r="BQ47" s="6">
        <f>IF($B47="","",IFERROR(LOOKUP(2,1/((((Events!$C$6:$C$17="Deduction start")+(Events!$C$6:$C$17="Deduction stop"))*(Events!$D$6:$D$17="Health FSA"))*(Events!$B$6:$B$17&lt;=$B47)*(Events!$B$6:$B$17&lt;&gt;"")),Events!$J$6:$J$17),0))</f>
      </c>
      <c r="BR47" s="6">
        <f>IF($B47="","",IFERROR(LOOKUP(2,1/((((Events!$C$6:$C$17="Deduction start")+(Events!$C$6:$C$17="Deduction stop"))*(Events!$D$6:$D$17="Dependent-care FSA"))*(Events!$B$6:$B$17&lt;=$B47)*(Events!$B$6:$B$17&lt;&gt;"")),Events!$J$6:$J$17),0))</f>
      </c>
      <c r="BS47" s="6">
        <f>IF($B47="","",IF(SUMPRODUCT((Events!$C$6:$C$17="Deduction start")*(Events!$B$6:$B$17&lt;=$B47)*(Events!$B$6:$B$17&lt;&gt;"")*(Events!$D$6:$D$17="Health FSA"))&gt;0,1,0))</f>
      </c>
      <c r="BT47" s="6">
        <f>IF($B47="","",IF(SUMPRODUCT((Events!$C$6:$C$17="Deduction start")*(Events!$B$6:$B$17&lt;=$B47)*(Events!$B$6:$B$17&lt;&gt;"")*(Events!$D$6:$D$17="Dependent-care FSA"))&gt;0,1,0))</f>
      </c>
      <c r="BU47" s="24">
        <f>IF($B47="","",IF(Inputs!$C$13,SUMPRODUCT(($AH47&gt;=INDEX('Methodology &amp; Sources'!$B$279:$J$286,0,IF(Inputs!$C$12="MFJ",1,IF(Inputs!$C$12="HoH",7,4))))*INDEX('Methodology &amp; Sources'!$B$279:$J$286,0,IF(Inputs!$C$12="MFJ",1,IF(Inputs!$C$12="HoH",7,4))+2)),SUMPRODUCT(($AH47&gt;=INDEX('Methodology &amp; Sources'!$B$269:$J$276,0,IF(Inputs!$C$12="MFJ",1,IF(Inputs!$C$12="HoH",7,4))))*INDEX('Methodology &amp; Sources'!$B$269:$J$276,0,IF(Inputs!$C$12="MFJ",1,IF(Inputs!$C$12="HoH",7,4))+2))))</f>
      </c>
      <c r="BV47" s="24">
        <f>IF($B47="","",IF($BZ47&lt;&gt;"",$BZ47,IF($CA47&lt;&gt;"",$CA47,IF($CB47&lt;&gt;"",$CB47,IF($CC47&lt;&gt;"",$CC47,0)))))</f>
      </c>
      <c r="BW47" s="7">
        <f>IF($B47="","",IF($AN47="MD",IF(OR($AU47="Married",$AU47="Head of household"),SUMPRODUCT(($AZ47&gt;INDEX('Methodology &amp; Sources'!$B$364:$J$370,0,1))*($AZ47-INDEX('Methodology &amp; Sources'!$B$364:$J$370,0,1))*INDEX('Methodology &amp; Sources'!$B$364:$J$370,0,1+2)),SUMPRODUCT(($AZ47&gt;INDEX('Methodology &amp; Sources'!$B$353:$J$359,0,7))*($AZ47-INDEX('Methodology &amp; Sources'!$B$353:$J$359,0,7))*INDEX('Methodology &amp; Sources'!$B$353:$J$359,0,7+2))),IF($AN47="MO",SUMPRODUCT(($AZ47&gt;INDEX('Methodology &amp; Sources'!$B$375:$J$382,0,1))*($AZ47-INDEX('Methodology &amp; Sources'!$B$375:$J$382,0,1))*INDEX('Methodology &amp; Sources'!$B$375:$J$382,0,1+2)),IF($AN47="MT",IF($AU47="Head of household",SUMPRODUCT(($AZ47&gt;INDEX('Methodology &amp; Sources'!$B$387:$J$389,0,1))*($AZ47-INDEX('Methodology &amp; Sources'!$B$387:$J$389,0,1))*INDEX('Methodology &amp; Sources'!$B$387:$J$389,0,1+2)),IF($AU47="Married",SUMPRODUCT(($AZ47&gt;INDEX('Methodology &amp; Sources'!$B$375:$J$382,0,7))*($AZ47-INDEX('Methodology &amp; Sources'!$B$375:$J$382,0,7))*INDEX('Methodology &amp; Sources'!$B$375:$J$382,0,7+2)),SUMPRODUCT(($AZ47&gt;INDEX('Methodology &amp; Sources'!$B$375:$J$382,0,4))*($AZ47-INDEX('Methodology &amp; Sources'!$B$375:$J$382,0,4))*INDEX('Methodology &amp; Sources'!$B$375:$J$382,0,4+2)))),IF($AN47="ND",IF($AU47="Head of household",SUMPRODUCT(($AZ47&gt;INDEX('Methodology &amp; Sources'!$B$394:$J$400,0,1))*($AZ47-INDEX('Methodology &amp; Sources'!$B$394:$J$400,0,1))*INDEX('Methodology &amp; Sources'!$B$394:$J$400,0,1+2)),IF($AU47="Married",SUMPRODUCT(($AZ47&gt;INDEX('Methodology &amp; Sources'!$B$387:$J$389,0,7))*($AZ47-INDEX('Methodology &amp; Sources'!$B$387:$J$389,0,7))*INDEX('Methodology &amp; Sources'!$B$387:$J$389,0,7+2)),SUMPRODUCT(($AZ47&gt;INDEX('Methodology &amp; Sources'!$B$387:$J$389,0,4))*($AZ47-INDEX('Methodology &amp; Sources'!$B$387:$J$389,0,4))*INDEX('Methodology &amp; Sources'!$B$387:$J$389,0,4+2)))),IF($AN47="NJ",IF(Inputs!$C$77="B",SUMPRODUCT(($AZ47&gt;INDEX('Methodology &amp; Sources'!$B$405:$J$412,0,4))*($AZ47-INDEX('Methodology &amp; Sources'!$B$405:$J$412,0,4))*INDEX('Methodology &amp; Sources'!$B$405:$J$412,0,4+2)),IF(Inputs!$C$77="C",SUMPRODUCT(($AZ47&gt;INDEX('Methodology &amp; Sources'!$B$405:$J$412,0,7))*($AZ47-INDEX('Methodology &amp; Sources'!$B$405:$J$412,0,7))*INDEX('Methodology &amp; Sources'!$B$405:$J$412,0,7+2)),IF(Inputs!$C$77="D",SUMPRODUCT(($AZ47&gt;INDEX('Methodology &amp; Sources'!$B$417:$J$429,0,1))*($AZ47-INDEX('Methodology &amp; Sources'!$B$417:$J$429,0,1))*INDEX('Methodology &amp; Sources'!$B$417:$J$429,0,1+2)),IF(Inputs!$C$77="E",SUMPRODUCT(($AZ47&gt;INDEX('Methodology &amp; Sources'!$B$417:$J$429,0,4))*($AZ47-INDEX('Methodology &amp; Sources'!$B$417:$J$429,0,4))*INDEX('Methodology &amp; Sources'!$B$417:$J$429,0,4+2)),SUMPRODUCT(($AZ47&gt;INDEX('Methodology &amp; Sources'!$B$405:$J$412,0,1))*($AZ47-INDEX('Methodology &amp; Sources'!$B$405:$J$412,0,1))*INDEX('Methodology &amp; Sources'!$B$405:$J$412,0,1+2)))))),IF($AN47="NY",IF($AU47="Married",IF($AZ47&gt;=2155350,$AZ47*IF($AZ47&gt;25000000,0.117,IF($AZ47&gt;5000000,0.111,0.1045)),SUMPRODUCT(($AZ47&gt;INDEX('Methodology &amp; Sources'!$B$434:$J$448,0,1))*($AZ47-INDEX('Methodology &amp; Sources'!$B$434:$J$448,0,1))*INDEX('Methodology &amp; Sources'!$B$434:$J$448,0,1+2))),IF($AZ47&gt;=1077550,$AZ47*IF($AZ47&gt;25000000,0.117,IF($AZ47&gt;5000000,0.111,0.1045)),SUMPRODUCT(($AZ47&gt;INDEX('Methodology &amp; Sources'!$B$417:$J$429,0,7))*($AZ47-INDEX('Methodology &amp; Sources'!$B$417:$J$429,0,7))*INDEX('Methodology &amp; Sources'!$B$417:$J$429,0,7+2)))),"")))))))</f>
      </c>
      <c r="BX47" s="7">
        <f>IF($B47="","",IF($AN47="AL",IF(OR($AU47="Married",$AU47="Head of household"),SUMPRODUCT(($AZ47&gt;INDEX('Methodology &amp; Sources'!$B$332:$J$336,0,4))*($AZ47-INDEX('Methodology &amp; Sources'!$B$332:$J$336,0,4))*INDEX('Methodology &amp; Sources'!$B$332:$J$336,0,4+2)),SUMPRODUCT(($AZ47&gt;INDEX('Methodology &amp; Sources'!$B$332:$J$336,0,1))*($AZ47-INDEX('Methodology &amp; Sources'!$B$332:$J$336,0,1))*INDEX('Methodology &amp; Sources'!$B$332:$J$336,0,1+2))),IF($AN47="KS",IF($AU47="Married",SUMPRODUCT(($AZ47&gt;INDEX('Methodology &amp; Sources'!$B$353:$J$359,0,4))*($AZ47-INDEX('Methodology &amp; Sources'!$B$353:$J$359,0,4))*INDEX('Methodology &amp; Sources'!$B$353:$J$359,0,4+2)),SUMPRODUCT(($AZ47&gt;INDEX('Methodology &amp; Sources'!$B$353:$J$359,0,1))*($AZ47-INDEX('Methodology &amp; Sources'!$B$353:$J$359,0,1))*INDEX('Methodology &amp; Sources'!$B$353:$J$359,0,1+2))),IF($AN47="MN",IF($AU47="Married",SUMPRODUCT(($AZ47&gt;INDEX('Methodology &amp; Sources'!$B$364:$J$370,0,7))*($AZ47-INDEX('Methodology &amp; Sources'!$B$364:$J$370,0,7))*INDEX('Methodology &amp; Sources'!$B$364:$J$370,0,7+2)),SUMPRODUCT(($AZ47&gt;INDEX('Methodology &amp; Sources'!$B$364:$J$370,0,4))*($AZ47-INDEX('Methodology &amp; Sources'!$B$364:$J$370,0,4))*INDEX('Methodology &amp; Sources'!$B$364:$J$370,0,4+2))),IF($AN47="NE",MAX(IF($AU47="Married",SUMPRODUCT(($AZ47&gt;INDEX('Methodology &amp; Sources'!$B$394:$J$400,0,7))*($AZ47-INDEX('Methodology &amp; Sources'!$B$394:$J$400,0,7))*INDEX('Methodology &amp; Sources'!$B$394:$J$400,0,7+2)),SUMPRODUCT(($AZ47&gt;INDEX('Methodology &amp; Sources'!$B$394:$J$400,0,4))*($AZ47-INDEX('Methodology &amp; Sources'!$B$394:$J$400,0,4))*INDEX('Methodology &amp; Sources'!$B$394:$J$400,0,4+2))),0.015*$AZ47),IF($AN47="OH",IF($B47&gt;=DATE(2026,8,1),SUMPRODUCT(($AZ47&gt;INDEX('Methodology &amp; Sources'!$B$453:$J$456,0,1))*($AZ47-INDEX('Methodology &amp; Sources'!$B$453:$J$456,0,1))*INDEX('Methodology &amp; Sources'!$B$453:$J$456,0,1+2)),SUMPRODUCT(($AZ47&gt;INDEX('Methodology &amp; Sources'!$B$434:$J$448,0,7))*($AZ47-INDEX('Methodology &amp; Sources'!$B$434:$J$448,0,7))*INDEX('Methodology &amp; Sources'!$B$434:$J$448,0,7+2))),IF($AN47="OK",IF($AU47="Married",SUMPRODUCT(($AZ47&gt;INDEX('Methodology &amp; Sources'!$B$453:$J$456,0,7))*($AZ47-INDEX('Methodology &amp; Sources'!$B$453:$J$456,0,7))*INDEX('Methodology &amp; Sources'!$B$453:$J$456,0,7+2)),SUMPRODUCT(($AZ47&gt;INDEX('Methodology &amp; Sources'!$B$453:$J$456,0,4))*($AZ47-INDEX('Methodology &amp; Sources'!$B$453:$J$456,0,4))*INDEX('Methodology &amp; Sources'!$B$453:$J$456,0,4+2))),IF($AN47="RI",SUMPRODUCT(($AZ47&gt;INDEX('Methodology &amp; Sources'!$B$461:$J$464,0,7))*($AZ47-INDEX('Methodology &amp; Sources'!$B$461:$J$464,0,7))*INDEX('Methodology &amp; Sources'!$B$461:$J$464,0,7+2)),IF($AN47="VT",IF($AU47="Married",SUMPRODUCT(($AZ47&gt;INDEX('Methodology &amp; Sources'!$B$478:$J$482,0,1))*($AZ47-INDEX('Methodology &amp; Sources'!$B$478:$J$482,0,1))*INDEX('Methodology &amp; Sources'!$B$478:$J$482,0,1+2)),SUMPRODUCT(($AZ47&gt;INDEX('Methodology &amp; Sources'!$B$469:$J$473,0,7))*($AZ47-INDEX('Methodology &amp; Sources'!$B$469:$J$473,0,7))*INDEX('Methodology &amp; Sources'!$B$469:$J$473,0,7+2))),IF($AN47="WV",IF($AU47="Married",SUMPRODUCT(($AZ47&gt;INDEX('Methodology &amp; Sources'!$B$487:$J$491,0,7))*($AZ47-INDEX('Methodology &amp; Sources'!$B$487:$J$491,0,7))*INDEX('Methodology &amp; Sources'!$B$487:$J$491,0,7+2)),SUMPRODUCT(($AZ47&gt;INDEX('Methodology &amp; Sources'!$B$478:$J$482,0,7))*($AZ47-INDEX('Methodology &amp; Sources'!$B$478:$J$482,0,7))*INDEX('Methodology &amp; Sources'!$B$478:$J$482,0,7+2))),""))))))))))</f>
      </c>
      <c r="BY47" s="7">
        <f>IF($B47="","",IF($AN47="AR",SUMPRODUCT(($AZ47&gt;INDEX('Methodology &amp; Sources'!$B$332:$J$336,0,7))*($AZ47-INDEX('Methodology &amp; Sources'!$B$332:$J$336,0,7))*INDEX('Methodology &amp; Sources'!$B$332:$J$336,0,7+2)),IF($AN47="DE",SUMPRODUCT(($AZ47&gt;INDEX('Methodology &amp; Sources'!$B$341:$J$348,0,1))*($AZ47-INDEX('Methodology &amp; Sources'!$B$341:$J$348,0,1))*INDEX('Methodology &amp; Sources'!$B$341:$J$348,0,1+2)),IF($AN47="HI",IF($AU47="Married",SUMPRODUCT(($AZ47&gt;INDEX('Methodology &amp; Sources'!$B$341:$J$348,0,7))*($AZ47-INDEX('Methodology &amp; Sources'!$B$341:$J$348,0,7))*INDEX('Methodology &amp; Sources'!$B$341:$J$348,0,7+2)),SUMPRODUCT(($AZ47&gt;INDEX('Methodology &amp; Sources'!$B$341:$J$348,0,4))*($AZ47-INDEX('Methodology &amp; Sources'!$B$341:$J$348,0,4))*INDEX('Methodology &amp; Sources'!$B$341:$J$348,0,4+2))),IF($AN47="SC",SUMPRODUCT(($AZ47&gt;INDEX('Methodology &amp; Sources'!$B$469:$J$473,0,1))*($AZ47-INDEX('Methodology &amp; Sources'!$B$469:$J$473,0,1))*INDEX('Methodology &amp; Sources'!$B$469:$J$473,0,1+2)),IF($AN47="VA",SUMPRODUCT(($AZ47&gt;INDEX('Methodology &amp; Sources'!$B$469:$J$473,0,4))*($AZ47-INDEX('Methodology &amp; Sources'!$B$469:$J$473,0,4))*INDEX('Methodology &amp; Sources'!$B$469:$J$473,0,4+2)),IF($AN47="WI",SUMPRODUCT(($AZ47&gt;INDEX('Methodology &amp; Sources'!$B$478:$J$482,0,4))*($AZ47-INDEX('Methodology &amp; Sources'!$B$478:$J$482,0,4))*INDEX('Methodology &amp; Sources'!$B$478:$J$482,0,4+2)),"")))))))</f>
      </c>
      <c r="BZ47" s="24">
        <f>IF($B47="","",IF($AN47="NJ",IF(Inputs!$C$77="B",SUMPRODUCT(($AZ47&gt;=INDEX('Methodology &amp; Sources'!$B$405:$J$412,0,4))*INDEX('Methodology &amp; Sources'!$B$405:$J$412,0,4+2)),IF(Inputs!$C$77="C",SUMPRODUCT(($AZ47&gt;=INDEX('Methodology &amp; Sources'!$B$405:$J$412,0,7))*INDEX('Methodology &amp; Sources'!$B$405:$J$412,0,7+2)),IF(Inputs!$C$77="D",SUMPRODUCT(($AZ47&gt;=INDEX('Methodology &amp; Sources'!$B$417:$J$429,0,1))*INDEX('Methodology &amp; Sources'!$B$417:$J$429,0,1+2)),IF(Inputs!$C$77="E",SUMPRODUCT(($AZ47&gt;=INDEX('Methodology &amp; Sources'!$B$417:$J$429,0,4))*INDEX('Methodology &amp; Sources'!$B$417:$J$429,0,4+2)),SUMPRODUCT(($AZ47&gt;=INDEX('Methodology &amp; Sources'!$B$405:$J$412,0,1))*INDEX('Methodology &amp; Sources'!$B$405:$J$412,0,1+2)))))),IF($AN47="OR",IF(OR($AU47="Married",AND($AU47="Single",$AS47&gt;=3)),SUMPRODUCT((MAX(0,$AY47-MIN(($P47-'Methodology &amp; Sources'!$C$260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Sources'!$B$461:$J$464,0,4))*INDEX('Methodology &amp; Sources'!$B$461:$J$464,0,4+2)),SUMPRODUCT((MAX(0,$AY47-MIN(($P47-'Methodology &amp; Sources'!$C$260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Sources'!$B$461:$J$464,0,1))*INDEX('Methodology &amp; Sources'!$B$461:$J$464,0,1+2)))*IF(($P47-'Methodology &amp; Sources'!$C$260*$D47)*Inputs!$C$8&gt;=IF(OR($AU47="Married",AND($AU47="Single",$AS47&gt;=3)),IF($AY47&lt;250000,8750,IF($AY47&lt;260000,7000,IF($AY47&lt;270000,5250,IF($AY47&lt;280000,3500,IF($AY47&lt;290000,1750,0))))),IF($AY47&lt;125000,8750,IF($AY47&lt;130000,7000,IF($AY47&lt;135000,5250,IF($AY47&lt;140000,3500,IF($AY47&lt;145000,1750,0)))))),1,1-IF(Inputs!$C$13,SUMPRODUCT(($AH47&gt;=INDEX('Methodology &amp; Sources'!$B$279:$J$286,0,IF(Inputs!$C$12="MFJ",1,IF(Inputs!$C$12="HoH",7,4))))*INDEX('Methodology &amp; Sources'!$B$279:$J$286,0,IF(Inputs!$C$12="MFJ",1,IF(Inputs!$C$12="HoH",7,4))+2)),SUMPRODUCT(($AH47&gt;=INDEX('Methodology &amp; Sources'!$B$269:$J$276,0,IF(Inputs!$C$12="MFJ",1,IF(Inputs!$C$12="HoH",7,4))))*INDEX('Methodology &amp; Sources'!$B$269:$J$276,0,IF(Inputs!$C$12="MFJ",1,IF(Inputs!$C$12="HoH",7,4))+2)))),IF($AN47="MI",IF($AY47&gt;5900*$AS47,0.0425,0),""))))</f>
      </c>
      <c r="CA47" s="24">
        <f>IF($B47="","",IF($AN47="AL",IF(OR($AU47="Married",$AU47="Head of household"),SUMPRODUCT(($AZ47&gt;=INDEX('Methodology &amp; Sources'!$B$332:$J$336,0,4))*INDEX('Methodology &amp; Sources'!$B$332:$J$336,0,4+2)),SUMPRODUCT(($AZ47&gt;=INDEX('Methodology &amp; Sources'!$B$332:$J$336,0,1))*INDEX('Methodology &amp; Sources'!$B$332:$J$336,0,1+2)))*(1-IF(Inputs!$C$13,SUMPRODUCT(($AH47&gt;=INDEX('Methodology &amp; Sources'!$B$279:$J$286,0,IF(Inputs!$C$12="MFJ",1,IF(Inputs!$C$12="HoH",7,4))))*INDEX('Methodology &amp; Sources'!$B$279:$J$286,0,IF(Inputs!$C$12="MFJ",1,IF(Inputs!$C$12="HoH",7,4))+2)),SUMPRODUCT(($AH47&gt;=INDEX('Methodology &amp; Sources'!$B$269:$J$276,0,IF(Inputs!$C$12="MFJ",1,IF(Inputs!$C$12="HoH",7,4))))*INDEX('Methodology &amp; Sources'!$B$269:$J$276,0,IF(Inputs!$C$12="MFJ",1,IF(Inputs!$C$12="HoH",7,4))+2)))),IF($AN47="KS",IF($AU47="Married",SUMPRODUCT(($AZ47&gt;=INDEX('Methodology &amp; Sources'!$B$353:$J$359,0,4))*INDEX('Methodology &amp; Sources'!$B$353:$J$359,0,4+2)),SUMPRODUCT(($AZ47&gt;=INDEX('Methodology &amp; Sources'!$B$353:$J$359,0,1))*INDEX('Methodology &amp; Sources'!$B$353:$J$359,0,1+2))),IF($AN47="MD",IF(OR($AU47="Married",$AU47="Head of household"),SUMPRODUCT(($AZ47&gt;=INDEX('Methodology &amp; Sources'!$B$364:$J$370,0,1))*INDEX('Methodology &amp; Sources'!$B$364:$J$370,0,1+2)),SUMPRODUCT(($AZ47&gt;=INDEX('Methodology &amp; Sources'!$B$353:$J$359,0,7))*INDEX('Methodology &amp; Sources'!$B$353:$J$359,0,7+2)))+Inputs!$C$74,IF($AN47="MT",IF($AU47="Head of household",SUMPRODUCT(($AZ47&gt;=INDEX('Methodology &amp; Sources'!$B$387:$J$389,0,1))*INDEX('Methodology &amp; Sources'!$B$387:$J$389,0,1+2)),IF($AU47="Married",SUMPRODUCT(($AZ47&gt;=INDEX('Methodology &amp; Sources'!$B$375:$J$382,0,7))*INDEX('Methodology &amp; Sources'!$B$375:$J$382,0,7+2)),SUMPRODUCT(($AZ47&gt;=INDEX('Methodology &amp; Sources'!$B$375:$J$382,0,4))*INDEX('Methodology &amp; Sources'!$B$375:$J$382,0,4+2)))),IF($AN47="ND",IF($AU47="Head of household",SUMPRODUCT(($AZ47&gt;=INDEX('Methodology &amp; Sources'!$B$394:$J$400,0,1))*INDEX('Methodology &amp; Sources'!$B$394:$J$400,0,1+2)),IF($AU47="Married",SUMPRODUCT(($AZ47&gt;=INDEX('Methodology &amp; Sources'!$B$387:$J$389,0,7))*INDEX('Methodology &amp; Sources'!$B$387:$J$389,0,7+2)),SUMPRODUCT(($AZ47&gt;=INDEX('Methodology &amp; Sources'!$B$387:$J$389,0,4))*INDEX('Methodology &amp; Sources'!$B$387:$J$389,0,4+2)))),IF($AN47="NY",IF($AU47="Married",IF($AZ47&gt;=2155350,IF($AZ47&gt;25000000,0.117,IF($AZ47&gt;5000000,0.111,0.1045)),SUMPRODUCT(($AZ47&gt;=INDEX('Methodology &amp; Sources'!$B$434:$J$448,0,1))*INDEX('Methodology &amp; Sources'!$B$434:$J$448,0,1+2))),IF($AZ47&gt;=1077550,IF($AZ47&gt;25000000,0.117,IF($AZ47&gt;5000000,0.111,0.1045)),SUMPRODUCT(($AZ47&gt;=INDEX('Methodology &amp; Sources'!$B$417:$J$429,0,7))*INDEX('Methodology &amp; Sources'!$B$417:$J$429,0,7+2)))),"")))))))</f>
      </c>
      <c r="CB47" s="24">
        <f>IF($B47="","",IF($AN47="CA",SUMPRODUCT(($AJ47&gt;=INDEX('Methodology &amp; Sources'!$B$289:$J$298,0,IF($AU47="Married",4,IF($AU47="Head of household",7,1))))*INDEX('Methodology &amp; Sources'!$B$289:$J$298,0,IF($AU47="Married",4,IF($AU47="Head of household",7,1))+2)),IF($AN47="HI",IF($AU47="Married",SUMPRODUCT(($AZ47&gt;=INDEX('Methodology &amp; Sources'!$B$341:$J$348,0,7))*INDEX('Methodology &amp; Sources'!$B$341:$J$348,0,7+2)),SUMPRODUCT(($AZ47&gt;=INDEX('Methodology &amp; Sources'!$B$341:$J$348,0,4))*INDEX('Methodology &amp; Sources'!$B$341:$J$348,0,4+2))),IF($AN47="MN",IF($AU47="Married",SUMPRODUCT(($AZ47&gt;=INDEX('Methodology &amp; Sources'!$B$364:$J$370,0,7))*INDEX('Methodology &amp; Sources'!$B$364:$J$370,0,7+2)),SUMPRODUCT(($AZ47&gt;=INDEX('Methodology &amp; Sources'!$B$364:$J$370,0,4))*INDEX('Methodology &amp; Sources'!$B$364:$J$370,0,4+2))),IF($AN47="MO",SUMPRODUCT(($AZ47&gt;=INDEX('Methodology &amp; Sources'!$B$375:$J$382,0,1))*INDEX('Methodology &amp; Sources'!$B$375:$J$382,0,1+2)),IF($AN47="NE",MAX(IF($AU47="Married",SUMPRODUCT(($AZ47&gt;=INDEX('Methodology &amp; Sources'!$B$394:$J$400,0,7))*INDEX('Methodology &amp; Sources'!$B$394:$J$400,0,7+2)),SUMPRODUCT(($AZ47&gt;=INDEX('Methodology &amp; Sources'!$B$394:$J$400,0,4))*INDEX('Methodology &amp; Sources'!$B$394:$J$400,0,4+2))),0.015),IF($AN47="OH",IF($B47&gt;=DATE(2026,8,1),SUMPRODUCT(($AZ47&gt;=INDEX('Methodology &amp; Sources'!$B$453:$J$456,0,1))*INDEX('Methodology &amp; Sources'!$B$453:$J$456,0,1+2)),SUMPRODUCT(($AZ47&gt;=INDEX('Methodology &amp; Sources'!$B$434:$J$448,0,7))*INDEX('Methodology &amp; Sources'!$B$434:$J$448,0,7+2))),IF($AN47="OK",IF($AU47="Married",SUMPRODUCT(($AZ47&gt;=INDEX('Methodology &amp; Sources'!$B$453:$J$456,0,7))*INDEX('Methodology &amp; Sources'!$B$453:$J$456,0,7+2)),SUMPRODUCT(($AZ47&gt;=INDEX('Methodology &amp; Sources'!$B$453:$J$456,0,4))*INDEX('Methodology &amp; Sources'!$B$453:$J$456,0,4+2))),IF($AN47="RI",SUMPRODUCT(($AZ47&gt;=INDEX('Methodology &amp; Sources'!$B$461:$J$464,0,7))*INDEX('Methodology &amp; Sources'!$B$461:$J$464,0,7+2)),IF($AN47="SC",SUMPRODUCT(($AZ47&gt;=INDEX('Methodology &amp; Sources'!$B$469:$J$473,0,1))*INDEX('Methodology &amp; Sources'!$B$469:$J$473,0,1+2)),IF($AN47="VT",IF($AU47="Married",SUMPRODUCT(($AZ47&gt;=INDEX('Methodology &amp; Sources'!$B$478:$J$482,0,1))*INDEX('Methodology &amp; Sources'!$B$478:$J$482,0,1+2)),SUMPRODUCT(($AZ47&gt;=INDEX('Methodology &amp; Sources'!$B$469:$J$473,0,7))*INDEX('Methodology &amp; Sources'!$B$469:$J$473,0,7+2))),IF($AN47="WV",IF($AU47="Married",SUMPRODUCT(($AZ47&gt;=INDEX('Methodology &amp; Sources'!$B$487:$J$491,0,7))*INDEX('Methodology &amp; Sources'!$B$487:$J$491,0,7+2)),SUMPRODUCT(($AZ47&gt;=INDEX('Methodology &amp; Sources'!$B$478:$J$482,0,7))*INDEX('Methodology &amp; Sources'!$B$478:$J$482,0,7+2))),IF($AN47="IN",(0.0295+Inputs!$C$76),"")))))))))))))</f>
      </c>
      <c r="CC47" s="24">
        <f>IF($B47="","",IF($AN47="AR",SUMPRODUCT(($AZ47&gt;=INDEX('Methodology &amp; Sources'!$B$332:$J$336,0,7))*INDEX('Methodology &amp; Sources'!$B$332:$J$336,0,7+2)),IF($AN47="DE",SUMPRODUCT(($AZ47&gt;=INDEX('Methodology &amp; Sources'!$B$341:$J$348,0,1))*INDEX('Methodology &amp; Sources'!$B$341:$J$348,0,1+2)),IF($AN47="VA",SUMPRODUCT(($AZ47&gt;=INDEX('Methodology &amp; Sources'!$B$469:$J$473,0,4))*INDEX('Methodology &amp; Sources'!$B$469:$J$473,0,4+2)),IF($AN47="WI",SUMPRODUCT(($AZ47&gt;=INDEX('Methodology &amp; Sources'!$B$478:$J$482,0,4))*INDEX('Methodology &amp; Sources'!$B$478:$J$482,0,4+2)),IF($AN47="AZ",Inputs!$C$82,IF($AN47="CO",IF($AY47&gt;IF($AU47="Married",10000,5000),0.044,0),IF($AN47="IA",IF($AY47&gt;IF($AU47="Head of household",19500,IF($AU47="Married",26000,13000)),0.038,0),IF($AN47="ID",IF($AY47&gt;IF($AU47="Married",32000,16094),0.053,0),IF($AN47="IL",IF($AY47&gt;(2925*$AS47+1000*$AT47),0.0495,0),IF($AN47="KY",IF($AI47&gt;3360,0.035,0),IF($AN47="LA",0.0309,IF($AN47="MA",IF(MAX(0,$AY47-MIN(($BD46+$Q47+$R47+$S47),2000)-IF($AS47=0,0,IF($AS47=1,4400,1000*$AS47+3400)))&gt;=1107750,0.09,0.05),IF($AN47="MS",IF($AI47-IF($AU47="Head of household",3400,IF($AU47="Married",4600,2300))-Inputs!$C$85&gt;10000,0.04,0),IF($AN47="PA",0.0307,"")))))))))))))))</f>
      </c>
      <c r="CD47" s="21">
        <f>IF(YEAR(IF(Inputs!$C$7="Weekly",Inputs!$C$9+7*(($BE46+1)-1),IF(Inputs!$C$7="Biweekly",Inputs!$C$9+14*(($BE46+1)-1),IF(Inputs!$C$7="Semimonthly",DATE(YEAR(Inputs!$C$9),MONTH(Inputs!$C$9)+INT((($BE46+1)-1)/2),MIN(DAY(Inputs!$C$9),DAY(EOMONTH(DATE(YEAR(Inputs!$C$9),MONTH(Inputs!$C$9)+INT((($BE46+1)-1)/2),1),0))))+IF(MOD(($BE46+1)-1,2)=1,15,0),EDATE(Inputs!$C$9,($BE46+1)-1)))))&lt;&gt;2026,"",IF(Inputs!$C$7="Weekly",Inputs!$C$9+7*(($BE46+1)-1),IF(Inputs!$C$7="Biweekly",Inputs!$C$9+14*(($BE46+1)-1),IF(Inputs!$C$7="Semimonthly",DATE(YEAR(Inputs!$C$9),MONTH(Inputs!$C$9)+INT((($BE46+1)-1)/2),MIN(DAY(Inputs!$C$9),DAY(EOMONTH(DATE(YEAR(Inputs!$C$9),MONTH(Inputs!$C$9)+INT((($BE46+1)-1)/2),1),0))))+IF(MOD(($BE46+1)-1,2)=1,15,0),EDATE(Inputs!$C$9,($BE46+1)-1)))))</f>
      </c>
      <c r="CE47" s="21">
        <f>IF(SUMPRODUCT(MIN(IF((Inputs!$C$58:$C$67&gt;MAX($B$6:$B46))*(Inputs!$C$58:$C$67&gt;=DATE(2026,1,1))*(Inputs!$C$58:$C$67&lt;=DATE(2026,12,31)),Inputs!$C$58:$C$67,999999)))=999999,"",SUMPRODUCT(MIN(IF((Inputs!$C$58:$C$67&gt;MAX($B$6:$B46))*(Inputs!$C$58:$C$67&gt;=DATE(2026,1,1))*(Inputs!$C$58:$C$67&lt;=DATE(2026,12,31)),Inputs!$C$58:$C$67,999999))))</f>
      </c>
    </row>
    <row r="48">
      <c r="A48" t="n">
        <v>43</v>
      </c>
      <c r="B48" s="21">
        <f>IF(AND($CD48="",$CE48=""),"",IF($CE48="",$CD48,IF($CD48="",$CE48,MIN($CD48,$CE48))))</f>
      </c>
      <c r="C48" s="7">
        <f>IF($B48="","",IF($BF48=0,0,IF(Inputs!$C$4="Annual salary",ROUND($AK48/IF(AND(Inputs!$C$88="Actual paydays",MONTH(Inputs!$C$9)=1),MAX(1,MAX($BE$6:$BE$68)),Inputs!$C$8),2),$AK48)))</f>
      </c>
      <c r="D48" s="7">
        <f>IF($B48="","",SUMIF(Inputs!$C$58:$C$67,$B48,Inputs!$D$58:$D$67))</f>
      </c>
      <c r="E48" s="7">
        <f>IF($B48="","",ROUND(MAX(0,MIN(IF($AL48="Percent",$AM48*($C48+$D48),$AM48),MAX(0,Inputs!$C$91-$AC47))),2))</f>
      </c>
      <c r="F48" s="7">
        <f>IF($B48="","",ROUND(MAX(0,MIN(IF(Inputs!$C$32="Percent",Inputs!$D$32*($C48+$D48),Inputs!$D$32),MAX(0,Inputs!$C$91-$AC47-$E48))),2))</f>
      </c>
      <c r="G48" s="7">
        <f>IF($B48="","",IF($BF48=0,0,ROUND(MAX(0,MIN($BL48,Inputs!$C$92-Inputs!$C$54-$BI47)),2)))</f>
      </c>
      <c r="H48" s="7">
        <f>IF($B48="","",IF(OR($BF48=0,$BQ48=1),0,ROUND(MAX(0,MIN(IF($BS48=1,ROUND(MAX(0,MIN($BJ48,'Methodology &amp; Sources'!$C$263)-$BG47)/MAX(1,MAX($BE$6:$BE$68)-($BE47)),2),ROUND(MIN($BJ48,'Methodology &amp; Sources'!$C$263)/Inputs!$C$8,2)),MIN($BJ48,'Methodology &amp; Sources'!$C$263)-$BG47)),2)))</f>
      </c>
      <c r="I48" s="7">
        <f>IF($B48="","",IF(OR($BF48=0,$BR48=1),0,ROUND(MAX(0,MIN(IF($BT48=1,ROUND(MAX(0,MIN($BK48,IF(Inputs!$C$12="MFJ",'Methodology &amp; Sources'!$C$264,'Methodology &amp; Sources'!$C$265))-$BH47)/MAX(1,MAX($BE$6:$BE$68)-($BE47)),2),ROUND(MIN($BK48,IF(Inputs!$C$12="MFJ",'Methodology &amp; Sources'!$C$264,'Methodology &amp; Sources'!$C$265))/Inputs!$C$8,2)),MIN($BK48,IF(Inputs!$C$12="MFJ",'Methodology &amp; Sources'!$C$264,'Methodology &amp; Sources'!$C$265))-$BH47)),2)))</f>
      </c>
      <c r="J48" s="7">
        <f>IF($B48="","",IF($BF48=0,0,$BM48))</f>
      </c>
      <c r="K48" s="7">
        <f>IF($B48="","",IF($BF48=0,0,$BN48+$BO48))</f>
      </c>
      <c r="L48" s="7">
        <f>IF($B48="","",IF($BF48=0,0,Inputs!$D$46))</f>
      </c>
      <c r="M48" s="7">
        <f>IF($B48="","",$C48+$D48+$L48-$E48-$G48-$H48-$I48-$J48-$K48)</f>
      </c>
      <c r="N48" s="7">
        <f>IF($B48="","",$C48+$D48+$L48-$G48-$H48-$I48-$J48-$K48)</f>
      </c>
      <c r="O48" s="7">
        <f>IF($B48="","",$C48+$D48+$L48-$E48-$H48-$I48-$J48-$K48-IF(OR($AN48="CA",$AN48="NJ"),0,$G48))</f>
      </c>
      <c r="P48" s="7">
        <f>IF($B48="","",IF(Inputs!$C$18,0,ROUND(MAX(0,IF(Inputs!$C$13,SUMPRODUCT(($AH48&gt;INDEX('Methodology &amp; Sources'!$B$279:$J$286,0,IF(Inputs!$C$12="MFJ",1,IF(Inputs!$C$12="HoH",7,4))))*($AH48-INDEX('Methodology &amp; Sources'!$B$279:$J$286,0,IF(Inputs!$C$12="MFJ",1,IF(Inputs!$C$12="HoH",7,4))))*INDEX('Methodology &amp; Sources'!$B$279:$J$286,0,IF(Inputs!$C$12="MFJ",1,IF(Inputs!$C$12="HoH",7,4))+2)),SUMPRODUCT(($AH48&gt;INDEX('Methodology &amp; Sources'!$B$269:$J$276,0,IF(Inputs!$C$12="MFJ",1,IF(Inputs!$C$12="HoH",7,4))))*($AH48-INDEX('Methodology &amp; Sources'!$B$269:$J$276,0,IF(Inputs!$C$12="MFJ",1,IF(Inputs!$C$12="HoH",7,4))))*INDEX('Methodology &amp; Sources'!$B$269:$J$276,0,IF(Inputs!$C$12="MFJ",1,IF(Inputs!$C$12="HoH",7,4))+2)))/Inputs!$C$8-$AO48/Inputs!$C$8)+$AR48+IF(Inputs!$C$89="Aggregate",MAX(0,IF(Inputs!$C$13,SUMPRODUCT((($AH48+$D48)&gt;INDEX('Methodology &amp; Sources'!$B$279:$J$286,0,IF(Inputs!$C$12="MFJ",1,IF(Inputs!$C$12="HoH",7,4))))*(($AH48+$D48)-INDEX('Methodology &amp; Sources'!$B$279:$J$286,0,IF(Inputs!$C$12="MFJ",1,IF(Inputs!$C$12="HoH",7,4))))*INDEX('Methodology &amp; Sources'!$B$279:$J$286,0,IF(Inputs!$C$12="MFJ",1,IF(Inputs!$C$12="HoH",7,4))+2)),SUMPRODUCT((($AH48+$D48)&gt;INDEX('Methodology &amp; Sources'!$B$269:$J$276,0,IF(Inputs!$C$12="MFJ",1,IF(Inputs!$C$12="HoH",7,4))))*(($AH48+$D48)-INDEX('Methodology &amp; Sources'!$B$269:$J$276,0,IF(Inputs!$C$12="MFJ",1,IF(Inputs!$C$12="HoH",7,4))))*INDEX('Methodology &amp; Sources'!$B$269:$J$276,0,IF(Inputs!$C$12="MFJ",1,IF(Inputs!$C$12="HoH",7,4))+2)))-IF(Inputs!$C$13,SUMPRODUCT(($AH48&gt;INDEX('Methodology &amp; Sources'!$B$279:$J$286,0,IF(Inputs!$C$12="MFJ",1,IF(Inputs!$C$12="HoH",7,4))))*($AH48-INDEX('Methodology &amp; Sources'!$B$279:$J$286,0,IF(Inputs!$C$12="MFJ",1,IF(Inputs!$C$12="HoH",7,4))))*INDEX('Methodology &amp; Sources'!$B$279:$J$286,0,IF(Inputs!$C$12="MFJ",1,IF(Inputs!$C$12="HoH",7,4))+2)),SUMPRODUCT(($AH48&gt;INDEX('Methodology &amp; Sources'!$B$269:$J$276,0,IF(Inputs!$C$12="MFJ",1,IF(Inputs!$C$12="HoH",7,4))))*($AH48-INDEX('Methodology &amp; Sources'!$B$269:$J$276,0,IF(Inputs!$C$12="MFJ",1,IF(Inputs!$C$12="HoH",7,4))))*INDEX('Methodology &amp; Sources'!$B$269:$J$276,0,IF(Inputs!$C$12="MFJ",1,IF(Inputs!$C$12="HoH",7,4))+2)))),'Methodology &amp; Sources'!$C$260*$D48),2)))</f>
      </c>
      <c r="Q48" s="7">
        <f>IF($B48="","",ROUND('Methodology &amp; Sources'!$C$254*MIN($N48,MAX(0,'Methodology &amp; Sources'!$C$253-($AX48+$AB47-$AW48))),2))</f>
      </c>
      <c r="R48" s="7">
        <f>IF($B48="","",ROUND('Methodology &amp; Sources'!$C$255*$N48,2))</f>
      </c>
      <c r="S48" s="7">
        <f>IF($B48="","",ROUND('Methodology &amp; Sources'!$C$256*MAX(0,MIN($N48,$AG47+$N48-'Methodology &amp; Sources'!$C$257)),2))</f>
      </c>
      <c r="T48" s="7">
        <f>IF($B48="","",IF(Inputs!$C$26,0,IF($AN48="CA",ROUND(IF($AI48&lt;=IF(($AS48+$AT48)&gt;=2,VLOOKUP($AN48,'StateTables 2026'!$A$6:$AB$56,10,FALSE),VLOOKUP($AN48,'StateTables 2026'!$A$6:$AB$56,9,FALSE)),0,MAX(0,SUMPRODUCT(($AJ48&gt;INDEX('Methodology &amp; Sources'!$B$289:$J$298,0,IF($AU48="Married",4,IF($AU48="Head of household",7,1))))*($AJ48-INDEX('Methodology &amp; Sources'!$B$289:$J$298,0,IF($AU48="Married",4,IF($AU48="Head of household",7,1))))*INDEX('Methodology &amp; Sources'!$B$289:$J$298,0,IF($AU48="Married",4,IF($AU48="Head of household",7,1))+2))-VLOOKUP($AN48,'StateTables 2026'!$A$6:$AB$56,11,FALSE)*$AS48)/Inputs!$C$8)+Inputs!$C$25+VLOOKUP($AN48,'StateTables 2026'!$A$6:$AB$56,13,FALSE)*$D48,2),IF(VLOOKUP($AN48,'StateTables 2026'!$A$6:$AB$56,4,FALSE)="None",0,IF(ISNUMBER(SEARCH("MANUAL",VLOOKUP($AN48,'StateTables 2026'!$A$6:$AB$56,5,FALSE))),Inputs!$C$28,ROUND(MAX(0,$BA48+$BB48)/Inputs!$C$8+Inputs!$C$25+$BC48,2))))))</f>
      </c>
      <c r="U48" s="7">
        <f>IF($B48="","",IF(VLOOKUP($AN48,'StateTables 2026'!$A$6:$AB$56,24,FALSE)="flatq",IF(OR(MONTH($B48)=1,MONTH($B48)=4,MONTH($B48)=7,MONTH($B48)=10),VLOOKUP($AN48,'StateTables 2026'!$A$6:$AB$56,25,FALSE),0),IF(VLOOKUP($AN48,'StateTables 2026'!$A$6:$AB$56,24,FALSE)="dbl",MIN(ROUND(0.005*$N48,2),ROUND(0.6*52/Inputs!$C$8,2)),IF(OR(VLOOKUP($AN48,'StateTables 2026'!$A$6:$AB$56,15,FALSE)="",VLOOKUP($AN48,'StateTables 2026'!$A$6:$AB$56,15,FALSE)=0),0,ROUND(VLOOKUP($AN48,'StateTables 2026'!$A$6:$AB$56,15,FALSE)*IF(OR(VLOOKUP($AN48,'StateTables 2026'!$A$6:$AB$56,16,FALSE)="",VLOOKUP($AN48,'StateTables 2026'!$A$6:$AB$56,16,FALSE)=0),$N48,MIN($N48,MAX(0,VLOOKUP($AN48,'StateTables 2026'!$A$6:$AB$56,16,FALSE)-($AX48+$AB47-$AW48)))),2))))+IF(VLOOKUP($AN48,'StateTables 2026'!$A$6:$AB$56,27,FALSE)="flatq",IF(OR(MONTH($B48)=1,MONTH($B48)=4,MONTH($B48)=7,MONTH($B48)=10),VLOOKUP($AN48,'StateTables 2026'!$A$6:$AB$56,28,FALSE),0),IF(VLOOKUP($AN48,'StateTables 2026'!$A$6:$AB$56,27,FALSE)="dbl",MIN(ROUND(0.005*$N48,2),ROUND(0.6*52/Inputs!$C$8,2)),IF(OR(VLOOKUP($AN48,'StateTables 2026'!$A$6:$AB$56,18,FALSE)="",VLOOKUP($AN48,'StateTables 2026'!$A$6:$AB$56,18,FALSE)=0),0,ROUND(VLOOKUP($AN48,'StateTables 2026'!$A$6:$AB$56,18,FALSE)*IF(OR(VLOOKUP($AN48,'StateTables 2026'!$A$6:$AB$56,19,FALSE)="",VLOOKUP($AN48,'StateTables 2026'!$A$6:$AB$56,19,FALSE)=0),$N48,MIN($N48,MAX(0,VLOOKUP($AN48,'StateTables 2026'!$A$6:$AB$56,19,FALSE)-($AX48+$AB47-$AW48)))),2)))))</f>
      </c>
      <c r="V48" s="7">
        <f>IF($B48="","",IF($AN48="NY",IF(Inputs!$C$78,ROUND(SUMPRODUCT((MAX(0,($O48-$D48)*Inputs!$C$8-(IF($AU48="Married",5500,5000)+1000*$AS48))&gt;INDEX('Methodology &amp; Sources'!$B$434:$J$448,0,4))*(MAX(0,($O48-$D48)*Inputs!$C$8-(IF($AU48="Married",5500,5000)+1000*$AS48))-INDEX('Methodology &amp; Sources'!$B$434:$J$448,0,4))*INDEX('Methodology &amp; Sources'!$B$434:$J$448,0,4+2))/Inputs!$C$8+0.0425*$D48,2),0)+IF(Inputs!$C$79="Resident",ROUND(0.1675*$T48,2),IF(Inputs!$C$79="Nonresident",ROUND(0.005*MAX(0,($O48-$D48)-(IF($AU48="Married",7950,7400)+1000*$AS48)/Inputs!$C$8),2),0)),IF($AN48="PA",IF(Inputs!$C$80="None",Inputs!$C$27+ROUND(Inputs!$C$81*($C48+$D48),2),ROUND(IF(Inputs!$C$80="Resident",IF($B48&lt;DATE(2026,7,1),0.0374,0.03735),IF($B48&lt;DATE(2026,7,1),0.0343,0.03425))*($C48+$D48),2)),IF($BF48=0,ROUND(Inputs!$C$81*($C48+$D48),2),Inputs!$C$27+ROUND(Inputs!$C$81*($C48+$D48),2)))))</f>
      </c>
      <c r="W48" s="7">
        <f>IF($B48="","",IF($BF48=0,0,$BP48))</f>
      </c>
      <c r="X48" s="7">
        <f>IF($B48="","",SUM($E48:$K48)+$P48+$Q48+$R48+$S48+$T48+$U48+$V48+$W48)</f>
      </c>
      <c r="Y48" s="22">
        <f>IF($B48="","",$C48+$D48-$X48)</f>
      </c>
      <c r="Z48" s="7">
        <f>IF($B48="","",$Z47+$C48+$D48)</f>
      </c>
      <c r="AA48" s="7">
        <f>IF($B48="","",$AA47+$Y48)</f>
      </c>
      <c r="AB48" s="7">
        <f>IF($B48="","",$AB47+MIN($N48,MAX(0,'Methodology &amp; Sources'!$C$253-($AX48+$AB47-$AW48))))</f>
      </c>
      <c r="AC48" s="7">
        <f>IF($B48="","",$AC47+$E48+$F48)</f>
      </c>
      <c r="AD48" s="3">
        <f>IF($B48="","",IF(AND($AB47&lt;'Methodology &amp; Sources'!$C$253,$AB48&gt;='Methodology &amp; Sources'!$C$253),"★ Social Security maxed on this check — from the next check your net rises by about $"&amp;TEXT(ROUND('Methodology &amp; Sources'!$C$254*$N48,2),"#,##0.00")&amp;". ","")&amp;IF(AND($AC47&lt;Inputs!$C$91,$AC48&gt;=Inputs!$C$91),"★ 401(k) reaches the $"&amp;TEXT(Inputs!$C$91,"#,##0")&amp;" cap on this check — deferrals stop and net pay rises. ","")&amp;IF(AND($AG47&lt;'Methodology &amp; Sources'!$C$257,$AG48&gt;='Methodology &amp; Sources'!$C$257),"★ Wages pass $200,000 — the 0.9% Additional Medicare Tax starts here. ","")&amp;IF(AND($BJ48&gt;0,$H48&gt;0,$BG47&lt;MIN($BJ48,'Methodology &amp; Sources'!$C$263),$BG47+$H48&gt;=MIN($BJ48,'Methodology &amp; Sources'!$C$263)),"★ Health FSA election is now fully deferred for the year. ",""))</f>
      </c>
      <c r="AE48" s="41" t="n"/>
      <c r="AF48" s="7">
        <f>IF(OR($B48="",$AE48=""),"",$AE48-$Y48)</f>
      </c>
      <c r="AG48" s="7">
        <f>IF($B48="","",$AG47+$N48)</f>
      </c>
      <c r="AH48" s="7">
        <f>IF($B48="","",MAX(0,($M48-$D48)*Inputs!$C$8+$AP48-$AQ48-IF(Inputs!$C$13,0,IF(Inputs!$C$12="MFJ",'Methodology &amp; Sources'!$C$258,'Methodology &amp; Sources'!$C$259))))</f>
      </c>
      <c r="AI48" s="7">
        <f>IF($B48="","",$O48*Inputs!$C$8)</f>
      </c>
      <c r="AJ48" s="7">
        <f>IF($B48="","",MAX(0,$AI48-VLOOKUP($AN48,'StateTables 2026'!$A$6:$AB$56,12,FALSE)*$AT48-IF(($AS48+$AT48)&gt;=2,VLOOKUP($AN48,'StateTables 2026'!$A$6:$AB$56,8,FALSE),VLOOKUP($AN48,'StateTables 2026'!$A$6:$AB$56,7,FALSE))))</f>
      </c>
      <c r="AK48" s="7">
        <f>IF($B48="","",IFERROR(LOOKUP(2,1/((Events!$C$6:$C$17="Salary change")*(Events!$B$6:$B$17&lt;=$B48)*(Events!$B$6:$B$17&lt;&gt;"")),Events!$D$6:$D$17),IF(Inputs!$C$4="Annual salary",Inputs!$C$5,Inputs!$C$6)))</f>
      </c>
      <c r="AL48">
        <f>IF($B48="","",IFERROR(LOOKUP(2,1/((Events!$C$6:$C$17="401(k) change")*(Events!$B$6:$B$17&lt;=$B48)*(Events!$B$6:$B$17&lt;&gt;"")),Events!$D$6:$D$17),Inputs!$C$30))</f>
      </c>
      <c r="AM48" s="7">
        <f>IF($B48="","",IFERROR(LOOKUP(2,1/((Events!$C$6:$C$17="401(k) change")*(Events!$B$6:$B$17&lt;=$B48)*(Events!$B$6:$B$17&lt;&gt;"")),Events!$E$6:$E$17),Inputs!$D$30))</f>
      </c>
      <c r="AN48">
        <f>IF($B48="","",IFERROR(LOOKUP(2,1/((Events!$C$6:$C$17="State move")*(Events!$B$6:$B$17&lt;=$B48)*(Events!$B$6:$B$17&lt;&gt;"")),Events!$D$6:$D$17),Inputs!$C$21))</f>
      </c>
      <c r="AO48" s="7">
        <f>IF($B48="","",IFERROR(LOOKUP(2,1/((Events!$C$6:$C$17="W-4 change")*(Events!$B$6:$B$17&lt;=$B48)*(Events!$B$6:$B$17&lt;&gt;"")),Events!$D$6:$D$17),Inputs!$C$14))</f>
      </c>
      <c r="AP48" s="7">
        <f>IF($B48="","",IFERROR(LOOKUP(2,1/((Events!$C$6:$C$17="W-4 change")*(Events!$B$6:$B$17&lt;=$B48)*(Events!$B$6:$B$17&lt;&gt;"")),Events!$E$6:$E$17),Inputs!$C$15))</f>
      </c>
      <c r="AQ48" s="7">
        <f>IF($B48="","",IFERROR(LOOKUP(2,1/((Events!$C$6:$C$17="W-4 change")*(Events!$B$6:$B$17&lt;=$B48)*(Events!$B$6:$B$17&lt;&gt;"")),Events!$F$6:$F$17),Inputs!$C$16))</f>
      </c>
      <c r="AR48" s="7">
        <f>IF($B48="","",IFERROR(LOOKUP(2,1/((Events!$C$6:$C$17="W-4 change")*(Events!$B$6:$B$17&lt;=$B48)*(Events!$B$6:$B$17&lt;&gt;"")),Events!$G$6:$G$17),Inputs!$C$17))</f>
      </c>
      <c r="AS48" s="6">
        <f>IF($B48="","",IFERROR(LOOKUP(2,1/(((Events!$C$6:$C$17="State move")+(Events!$C$6:$C$17="State cert change"))*(Events!$B$6:$B$17&lt;=$B48)*(Events!$B$6:$B$17&lt;&gt;"")),Events!$F$6:$F$17),Inputs!$C$23))</f>
      </c>
      <c r="AT48" s="6">
        <f>IF($B48="","",IFERROR(LOOKUP(2,1/(((Events!$C$6:$C$17="State move")+(Events!$C$6:$C$17="State cert change"))*(Events!$B$6:$B$17&lt;=$B48)*(Events!$B$6:$B$17&lt;&gt;"")),Events!$G$6:$G$17),Inputs!$C$24))</f>
      </c>
      <c r="AU48">
        <f>IF($B48="","",IFERROR(LOOKUP(2,1/((Events!$C$6:$C$17="State move")*(Events!$B$6:$B$17&lt;=$B48)*(Events!$B$6:$B$17&lt;&gt;"")),Events!$E$6:$E$17),Inputs!$C$22))</f>
      </c>
      <c r="AV48" s="6">
        <f>IF($B48="","",1+COUNTIFS(Events!$C$6:$C$17,"Employer change",Events!$B$6:$B$17,"&lt;="&amp;$B48,Events!$B$6:$B$17,"&lt;&gt;"))</f>
      </c>
      <c r="AW48" s="7">
        <f>IF($B48="","",IF($AV48=1,Inputs!$C$49,IF(IFERROR(MATCH(IFERROR(LOOKUP(2,1/((Events!$C$6:$C$17="Employer change")*(Events!$B$6:$B$17&lt;=$B48)*(Events!$B$6:$B$17&lt;&gt;"")),Events!$B$6:$B$17),""),$B$6:$B$68,1),1)&lt;=1,Inputs!$C$49,INDEX($AB$6:$AB$68,MATCH(IFERROR(LOOKUP(2,1/((Events!$C$6:$C$17="Employer change")*(Events!$B$6:$B$17&lt;=$B48)*(Events!$B$6:$B$17&lt;&gt;"")),Events!$B$6:$B$17),""),$B$6:$B$68,1)-1))))</f>
      </c>
      <c r="AX48" s="7">
        <f>IF($B48="","",IF($AV48=1,Inputs!$C$49,IFERROR(LOOKUP(2,1/((Events!$C$6:$C$17="Employer change")*(Events!$B$6:$B$17&lt;=$B48)*(Events!$B$6:$B$17&lt;&gt;"")),Events!$D$6:$D$17),0)))</f>
      </c>
      <c r="AY48" s="7">
        <f>IF($B48="","",($O48-$D48)*Inputs!$C$8)</f>
      </c>
      <c r="AZ48" s="7">
        <f>IF($B48="","",IF($AN48="AL",MAX(0,$AY48-IF($AU48="Married",IF($AY48&lt;=25999,8500,MAX(5000,8500-175*CEILING(($AY48-25999)/500,1))),IF($AU48="Head of household",IF($AY48&lt;=25999,5200,MAX(2500,5200-135*CEILING(($AY48-25999)/500,1))),IF($AY48&lt;=25999,3000,MAX(2500,3000-25*CEILING(($AY48-25999)/500,1)))))-($P48-'Methodology &amp; Sources'!$C$260*$D48)*Inputs!$C$8-IF(OR($AU48="Married",$AU48="Head of household"),3000,1500)-$AT48*IF($AY48&lt;=50000,1000,IF($AY48&lt;=100000,500,300))),IF($AN48="AR",IF(MAX(0,$AY48-2470)&lt;97701,INT(MAX(0,$AY48-2470)/100)*100+50,MAX(0,$AY48-2470)),IF($AN48="DE",MAX(0,$AI48-3250),IF($AN48="HI",MAX(0,$AI48-1144*$AS48-4350),IF($AN48="KS",MAX(0,$AI48-(9160*IF($AU48="Married",2,1)+2320*$AT48+IF($AU48="Head of household",2320,0))),IF($AN48="MD",MAX(0,$AI48-3400-3200*$AS48),IF($AN48="MN",MAX(0,$AY48-5300*$AS48),IF($AN48="MO",MAX(0,$AI48-IF($AU48="Head of household",24150,IF($AU48="Married",IF(Inputs!$C$83,16100,32200),16100))),IF($AN48="MT",$AY48,IF($AN48="ND",($C48+$L48)*Inputs!$C$8,IF($AN48="NE",MAX(0,$AY48-2440*$AS48),IF($AN48="NJ",MAX(0,$AY48-1000*$AS48),IF($AN48="NY",MAX(0,$AY48-(IF($AU48="Married",7950,7400)+1000*$AS48)),IF($AN48="OH",MAX(0,$AY48-650*$AS48),IF($AN48="OK",MAX(0,$AY48-1000*$AS48),IF($AN48="RI",MAX(0,$AI48-1000*$AS48),IF($AN48="SC",MAX(0,$AI48-5000*$AS48-IF($AS48=0,0,MIN(0.1*$AI48,7500))),IF($AN48="VA",MAX(0,$AI48-IF($AU48="Married",17500,8750)-930*$AS48-800*$AT48),IF($AN48="VT",MAX(0,$AI48-5400*$AS48),IF($AN48="WI",MAX(0,$AI48-MAX(0,IF($AU48="Married",9461-0.2*MAX(0,$AI48-25727),6702-0.12*MAX(0,$AI48-17780)))-400*$AS48),IF($AN48="WV",MAX(0,$AI48-2000*$AS48),$AI48))))))))))))))))))))))</f>
      </c>
      <c r="BA48" s="7">
        <f>IF($B48="","",IF($BW48&lt;&gt;"",$BW48,IF($BX48&lt;&gt;"",$BX48,IF($BY48&lt;&gt;"",$BY48,0))))</f>
      </c>
      <c r="BB48" s="7">
        <f>IF($B48="","",IF($AN48="AR",-29*$AS48,IF($AN48="DE",-110*$AS48,IF($AN48="MD",$AZ48*Inputs!$C$74,IF($AN48="AZ",Inputs!$C$82*($M48-$D48)*Inputs!$C$8,IF($AN48="CO",0.044*MAX(0,$AY48-IF($AU48="Married",10000,5000)),IF($AN48="IA",MAX(0,0.038*MAX(0,$AY48-IF($AU48="Head of household",19500,IF($AU48="Married",26000,13000)))-40*$AS48),IF($AN48="ID",0.053*MAX(0,$AY48-IF($AU48="Married",32000,16094)),IF($AN48="IL",0.0495*MAX(0,$AY48-(2925*$AS48+1000*$AT48)),IF($AN48="IN",(0.0295+Inputs!$C$76)*MAX(0,$AY48-(1000*$AS48+1500*$AT48+3000*Inputs!$C$86)),IF($AN48="KY",0.035*MAX(0,$AI48-3360),IF($AN48="LA",IF(Inputs!$C$84="0",0.0309*$AI48,0.0309*MAX(0,$AI48-IF(Inputs!$C$84="2",25750,12875))),IF($AN48="MA",0.05*MIN(MAX(0,$AY48-MIN(($BD47+$Q48+$R48+$S48),2000)-IF($AS48=0,0,IF($AS48=1,4400,1000*$AS48+3400))),1107750)+0.09*MAX(0,MAX(0,$AY48-MIN(($BD47+$Q48+$R48+$S48),2000)-IF($AS48=0,0,IF($AS48=1,4400,1000*$AS48+3400)))-1107750)-IF($AU48="Head of household",120,0)-110*Inputs!$C$75,IF($AN48="MI",0.0425*MAX(0,$AY48-5900*$AS48),IF($AN48="MS",0.04*MAX(0,$AI48-IF($AU48="Head of household",3400,IF($AU48="Married",4600,2300))-Inputs!$C$85-10000),IF($AN48="OR",IF(OR($AU48="Married",AND($AU48="Single",$AS48&gt;=3)),SUMPRODUCT((MAX(0,$AY48-MIN(($P48-'Methodology &amp; Sources'!$C$260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Sources'!$B$461:$J$464,0,4))*(MAX(0,$AY48-MIN(($P48-'Methodology &amp; Sources'!$C$260*$D48)*Inputs!$C$8,IF(OR($AU48="Married",AND($AU48="Single",$AS48&gt;=3)),IF($AY48&lt;250000,8750,IF($AY48&lt;260000,7000,IF($AY48&lt;270000,5250,IF($AY48&lt;280000,3500,IF($AY48&lt;290000,1750,0))))),IF($AY48&lt;125000,8750,IF($AY48&lt;130000,7000,IF($AY48&lt;135000,5250,IF($AY48&lt;140000,3500,IF($AY48&lt;145000,1750,0)))))))-IF(OR($AU48="Married",AND($AU48="Single",$AS48&gt;=3)),5820,2910))-INDEX('Methodology &amp; Sources'!$B$461:$J$464,0,4))*INDEX('Methodology &amp; Sources'!$B$461:$J$464,0,4+2)),SUMPRODUCT((MAX(0,$AY48-MIN(($P48-'Methodology &amp; Sources'!$C$260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Sources'!$B$461:$J$464,0,1))*(MAX(0,$AY48-MIN(($P48-'Methodology &amp; Sources'!$C$260*$D48)*Inputs!$C$8,IF(OR($AU48="Married",AND($AU48="Single",$AS48&gt;=3)),IF($AY48&lt;250000,8750,IF($AY48&lt;260000,7000,IF($AY48&lt;270000,5250,IF($AY48&lt;280000,3500,IF($AY48&lt;290000,1750,0))))),IF($AY48&lt;125000,8750,IF($AY48&lt;130000,7000,IF($AY48&lt;135000,5250,IF($AY48&lt;140000,3500,IF($AY48&lt;145000,1750,0)))))))-IF(OR($AU48="Married",AND($AU48="Single",$AS48&gt;=3)),5820,2910))-INDEX('Methodology &amp; Sources'!$B$461:$J$464,0,1))*INDEX('Methodology &amp; Sources'!$B$461:$J$464,0,1+2)))+263-263*IF(IF($AU48="Married",$AY48&gt;200000,$AY48&gt;100000),0,$AS48),IF($AN48="PA",0.0307*(($O48+$E48+$G48)*Inputs!$C$8),IF($AN48="NY",IF($AU48="Married",IF($AZ48&gt;=2155350,0,IF($AZ48&gt;=1077550,0.48,IF($AZ48&gt;=373200,1.21,IF($AZ48&gt;=323200,0.21,IF($AZ48&gt;=211550,-0.19,IF($AZ48&gt;=157650,-2.8,IF($AZ48&gt;=107650,-0.8,IF($AZ48&gt;=96800,0.05,IF($AZ48&gt;=80650,-0.1,IF($AZ48&gt;=13900,0.4,IF($AZ48&gt;=11700,-0.3,IF($AZ48&gt;=8500,0.5,0)))))))))))),IF($AZ48&gt;=1077550,0,IF($AZ48&gt;=265400,4.29,IF($AZ48&gt;=215400,2.29,IF($AZ48&gt;=157650,2.29,IF($AZ48&gt;=107650,0.29,IF($AZ48&gt;=96800,0.05,IF($AZ48&gt;=80650,-0.1,IF($AZ48&gt;=13900,0.4,IF($AZ48&gt;=11700,-0.3,IF($AZ48&gt;=8500,0.5,0))))))))))),0))))))))))))))))))</f>
      </c>
      <c r="BC48" s="7">
        <f>IF($B48="","",IF($AN48="AL",0.05*$D48,IF($AN48="AR",0.039*$D48,IF($AN48="ID",0.053*$D48,IF($AN48="IN",(0.0295+Inputs!$C$76)*$D48,IF($AN48="KS",0.05*$D48,IF($AN48="MA",0.09*MIN($D48,MAX(0,MAX(0,$AY48-MIN(($BD47+$Q48+$R48+$S48),2000)-IF($AS48=0,0,IF($AS48=1,4400,1000*$AS48+3400)))+$D48-1107750))+0.05*($D48-MIN($D48,MAX(0,MAX(0,$AY48-MIN(($BD47+$Q48+$R48+$S48),2000)-IF($AS48=0,0,IF($AS48=1,4400,1000*$AS48+3400)))+$D48-1107750))),IF($AN48="MD",(0.065+Inputs!$C$74)*$D48,IF($AN48="MI",0.0425*$D48,IF($AN48="MN",0.0625*$D48,IF($AN48="MO",0.047*$D48,IF($AN48="MT",0.05*$D48,IF($AN48="ND",0.015*$D48,IF($AN48="NE",0.035*$D48,IF($AN48="NJ",IF(Inputs!$C$77="B",SUMPRODUCT(($D48*Inputs!$C$8&gt;INDEX('Methodology &amp; Sources'!$B$405:$J$412,0,4))*($D48*Inputs!$C$8-INDEX('Methodology &amp; Sources'!$B$405:$J$412,0,4))*INDEX('Methodology &amp; Sources'!$B$405:$J$412,0,4+2)),IF(Inputs!$C$77="C",SUMPRODUCT(($D48*Inputs!$C$8&gt;INDEX('Methodology &amp; Sources'!$B$405:$J$412,0,7))*($D48*Inputs!$C$8-INDEX('Methodology &amp; Sources'!$B$405:$J$412,0,7))*INDEX('Methodology &amp; Sources'!$B$405:$J$412,0,7+2)),IF(Inputs!$C$77="D",SUMPRODUCT(($D48*Inputs!$C$8&gt;INDEX('Methodology &amp; Sources'!$B$417:$J$429,0,1))*($D48*Inputs!$C$8-INDEX('Methodology &amp; Sources'!$B$417:$J$429,0,1))*INDEX('Methodology &amp; Sources'!$B$417:$J$429,0,1+2)),IF(Inputs!$C$77="E",SUMPRODUCT(($D48*Inputs!$C$8&gt;INDEX('Methodology &amp; Sources'!$B$417:$J$429,0,4))*($D48*Inputs!$C$8-INDEX('Methodology &amp; Sources'!$B$417:$J$429,0,4))*INDEX('Methodology &amp; Sources'!$B$417:$J$429,0,4+2)),SUMPRODUCT(($D48*Inputs!$C$8&gt;INDEX('Methodology &amp; Sources'!$B$405:$J$412,0,1))*($D48*Inputs!$C$8-INDEX('Methodology &amp; Sources'!$B$405:$J$412,0,1))*INDEX('Methodology &amp; Sources'!$B$405:$J$412,0,1+2))))))/Inputs!$C$8,IF($AN48="NY",0.117*$D48,IF($AN48="OH",0.0275*$D48,IF($AN48="OK",0.045*$D48,IF($AN48="OR",0.08*$D48,IF($AN48="WI",IF($AY48&lt;12760,0.0354,IF($AY48&lt;25520,0.0465,IF($AY48&lt;280950,0.053,0.0765)))*$D48,0))))))))))))))))))))</f>
      </c>
      <c r="BD48" s="7">
        <f>IF($B48="","",$BD47+$Q48+$R48+$S48)</f>
      </c>
      <c r="BE48" s="6">
        <f>IF($B48="",$BE47,$BE47+$BF48)</f>
      </c>
      <c r="BF48" s="6">
        <f>IF($B48="","",IF(AND(IF(YEAR(IF(Inputs!$C$7="Weekly",Inputs!$C$9+7*(($BE47+1)-1),IF(Inputs!$C$7="Biweekly",Inputs!$C$9+14*(($BE47+1)-1),IF(Inputs!$C$7="Semimonthly",DATE(YEAR(Inputs!$C$9),MONTH(Inputs!$C$9)+INT((($BE47+1)-1)/2),MIN(DAY(Inputs!$C$9),DAY(EOMONTH(DATE(YEAR(Inputs!$C$9),MONTH(Inputs!$C$9)+INT((($BE47+1)-1)/2),1),0))))+IF(MOD(($BE47+1)-1,2)=1,15,0),EDATE(Inputs!$C$9,($BE47+1)-1)))))&lt;&gt;2026,"",IF(Inputs!$C$7="Weekly",Inputs!$C$9+7*(($BE47+1)-1),IF(Inputs!$C$7="Biweekly",Inputs!$C$9+14*(($BE47+1)-1),IF(Inputs!$C$7="Semimonthly",DATE(YEAR(Inputs!$C$9),MONTH(Inputs!$C$9)+INT((($BE47+1)-1)/2),MIN(DAY(Inputs!$C$9),DAY(EOMONTH(DATE(YEAR(Inputs!$C$9),MONTH(Inputs!$C$9)+INT((($BE47+1)-1)/2),1),0))))+IF(MOD(($BE47+1)-1,2)=1,15,0),EDATE(Inputs!$C$9,($BE47+1)-1)))))&lt;&gt;"",$B48=IF(YEAR(IF(Inputs!$C$7="Weekly",Inputs!$C$9+7*(($BE47+1)-1),IF(Inputs!$C$7="Biweekly",Inputs!$C$9+14*(($BE47+1)-1),IF(Inputs!$C$7="Semimonthly",DATE(YEAR(Inputs!$C$9),MONTH(Inputs!$C$9)+INT((($BE47+1)-1)/2),MIN(DAY(Inputs!$C$9),DAY(EOMONTH(DATE(YEAR(Inputs!$C$9),MONTH(Inputs!$C$9)+INT((($BE47+1)-1)/2),1),0))))+IF(MOD(($BE47+1)-1,2)=1,15,0),EDATE(Inputs!$C$9,($BE47+1)-1)))))&lt;&gt;2026,"",IF(Inputs!$C$7="Weekly",Inputs!$C$9+7*(($BE47+1)-1),IF(Inputs!$C$7="Biweekly",Inputs!$C$9+14*(($BE47+1)-1),IF(Inputs!$C$7="Semimonthly",DATE(YEAR(Inputs!$C$9),MONTH(Inputs!$C$9)+INT((($BE47+1)-1)/2),MIN(DAY(Inputs!$C$9),DAY(EOMONTH(DATE(YEAR(Inputs!$C$9),MONTH(Inputs!$C$9)+INT((($BE47+1)-1)/2),1),0))))+IF(MOD(($BE47+1)-1,2)=1,15,0),EDATE(Inputs!$C$9,($BE47+1)-1)))))),1,0))</f>
      </c>
      <c r="BG48" s="7">
        <f>IF($B48="","",$BG47+$H48)</f>
      </c>
      <c r="BH48" s="7">
        <f>IF($B48="","",$BH47+$I48)</f>
      </c>
      <c r="BI48" s="7">
        <f>IF($B48="","",$BI47+$G48)</f>
      </c>
      <c r="BJ48" s="7">
        <f>IF($B48="","",IFERROR(LOOKUP(2,1/((((Events!$C$6:$C$17="Deduction start"))*(Events!$D$6:$D$17="Health FSA"))*(Events!$B$6:$B$17&lt;=$B48)*(Events!$B$6:$B$17&lt;&gt;"")),Events!$E$6:$E$17),Inputs!$D$38))</f>
      </c>
      <c r="BK48" s="7">
        <f>IF($B48="","",IFERROR(LOOKUP(2,1/((((Events!$C$6:$C$17="Deduction start"))*(Events!$D$6:$D$17="Dependent-care FSA"))*(Events!$B$6:$B$17&lt;=$B48)*(Events!$B$6:$B$17&lt;&gt;"")),Events!$E$6:$E$17),Inputs!$D$39))</f>
      </c>
      <c r="BL48" s="7">
        <f>IF($B48="","",IFERROR(LOOKUP(2,1/((((Events!$C$6:$C$17="Deduction start")+(Events!$C$6:$C$17="Deduction stop"))*(Events!$D$6:$D$17="HSA"))*(Events!$B$6:$B$17&lt;=$B48)*(Events!$B$6:$B$17&lt;&gt;"")),Events!$I$6:$I$17),Inputs!$D$35))</f>
      </c>
      <c r="BM48" s="7">
        <f>IF($B48="","",IFERROR(LOOKUP(2,1/((((Events!$C$6:$C$17="Deduction start")+(Events!$C$6:$C$17="Deduction stop"))*(Events!$D$6:$D$17="Premiums"))*(Events!$B$6:$B$17&lt;=$B48)*(Events!$B$6:$B$17&lt;&gt;"")),Events!$I$6:$I$17),Inputs!$D$40+Inputs!$D$41+Inputs!$D$42))</f>
      </c>
      <c r="BN48" s="7">
        <f>IF($B48="","",IFERROR(LOOKUP(2,1/((((Events!$C$6:$C$17="Deduction start")+(Events!$C$6:$C$17="Deduction stop"))*(Events!$D$6:$D$17="Commuter"))*(Events!$B$6:$B$17&lt;=$B48)*(Events!$B$6:$B$17&lt;&gt;"")),Events!$I$6:$I$17),Inputs!$D$43))</f>
      </c>
      <c r="BO48" s="7">
        <f>IF($B48="","",IFERROR(LOOKUP(2,1/((((Events!$C$6:$C$17="Deduction start")+(Events!$C$6:$C$17="Deduction stop"))*(Events!$D$6:$D$17="Other pre-tax"))*(Events!$B$6:$B$17&lt;=$B48)*(Events!$B$6:$B$17&lt;&gt;"")),Events!$I$6:$I$17),Inputs!$D$44))</f>
      </c>
      <c r="BP48" s="7">
        <f>IF($B48="","",IFERROR(LOOKUP(2,1/((((Events!$C$6:$C$17="Deduction start")+(Events!$C$6:$C$17="Deduction stop"))*(Events!$D$6:$D$17="Other post-tax"))*(Events!$B$6:$B$17&lt;=$B48)*(Events!$B$6:$B$17&lt;&gt;"")),Events!$I$6:$I$17),Inputs!$D$45))</f>
      </c>
      <c r="BQ48" s="6">
        <f>IF($B48="","",IFERROR(LOOKUP(2,1/((((Events!$C$6:$C$17="Deduction start")+(Events!$C$6:$C$17="Deduction stop"))*(Events!$D$6:$D$17="Health FSA"))*(Events!$B$6:$B$17&lt;=$B48)*(Events!$B$6:$B$17&lt;&gt;"")),Events!$J$6:$J$17),0))</f>
      </c>
      <c r="BR48" s="6">
        <f>IF($B48="","",IFERROR(LOOKUP(2,1/((((Events!$C$6:$C$17="Deduction start")+(Events!$C$6:$C$17="Deduction stop"))*(Events!$D$6:$D$17="Dependent-care FSA"))*(Events!$B$6:$B$17&lt;=$B48)*(Events!$B$6:$B$17&lt;&gt;"")),Events!$J$6:$J$17),0))</f>
      </c>
      <c r="BS48" s="6">
        <f>IF($B48="","",IF(SUMPRODUCT((Events!$C$6:$C$17="Deduction start")*(Events!$B$6:$B$17&lt;=$B48)*(Events!$B$6:$B$17&lt;&gt;"")*(Events!$D$6:$D$17="Health FSA"))&gt;0,1,0))</f>
      </c>
      <c r="BT48" s="6">
        <f>IF($B48="","",IF(SUMPRODUCT((Events!$C$6:$C$17="Deduction start")*(Events!$B$6:$B$17&lt;=$B48)*(Events!$B$6:$B$17&lt;&gt;"")*(Events!$D$6:$D$17="Dependent-care FSA"))&gt;0,1,0))</f>
      </c>
      <c r="BU48" s="24">
        <f>IF($B48="","",IF(Inputs!$C$13,SUMPRODUCT(($AH48&gt;=INDEX('Methodology &amp; Sources'!$B$279:$J$286,0,IF(Inputs!$C$12="MFJ",1,IF(Inputs!$C$12="HoH",7,4))))*INDEX('Methodology &amp; Sources'!$B$279:$J$286,0,IF(Inputs!$C$12="MFJ",1,IF(Inputs!$C$12="HoH",7,4))+2)),SUMPRODUCT(($AH48&gt;=INDEX('Methodology &amp; Sources'!$B$269:$J$276,0,IF(Inputs!$C$12="MFJ",1,IF(Inputs!$C$12="HoH",7,4))))*INDEX('Methodology &amp; Sources'!$B$269:$J$276,0,IF(Inputs!$C$12="MFJ",1,IF(Inputs!$C$12="HoH",7,4))+2))))</f>
      </c>
      <c r="BV48" s="24">
        <f>IF($B48="","",IF($BZ48&lt;&gt;"",$BZ48,IF($CA48&lt;&gt;"",$CA48,IF($CB48&lt;&gt;"",$CB48,IF($CC48&lt;&gt;"",$CC48,0)))))</f>
      </c>
      <c r="BW48" s="7">
        <f>IF($B48="","",IF($AN48="MD",IF(OR($AU48="Married",$AU48="Head of household"),SUMPRODUCT(($AZ48&gt;INDEX('Methodology &amp; Sources'!$B$364:$J$370,0,1))*($AZ48-INDEX('Methodology &amp; Sources'!$B$364:$J$370,0,1))*INDEX('Methodology &amp; Sources'!$B$364:$J$370,0,1+2)),SUMPRODUCT(($AZ48&gt;INDEX('Methodology &amp; Sources'!$B$353:$J$359,0,7))*($AZ48-INDEX('Methodology &amp; Sources'!$B$353:$J$359,0,7))*INDEX('Methodology &amp; Sources'!$B$353:$J$359,0,7+2))),IF($AN48="MO",SUMPRODUCT(($AZ48&gt;INDEX('Methodology &amp; Sources'!$B$375:$J$382,0,1))*($AZ48-INDEX('Methodology &amp; Sources'!$B$375:$J$382,0,1))*INDEX('Methodology &amp; Sources'!$B$375:$J$382,0,1+2)),IF($AN48="MT",IF($AU48="Head of household",SUMPRODUCT(($AZ48&gt;INDEX('Methodology &amp; Sources'!$B$387:$J$389,0,1))*($AZ48-INDEX('Methodology &amp; Sources'!$B$387:$J$389,0,1))*INDEX('Methodology &amp; Sources'!$B$387:$J$389,0,1+2)),IF($AU48="Married",SUMPRODUCT(($AZ48&gt;INDEX('Methodology &amp; Sources'!$B$375:$J$382,0,7))*($AZ48-INDEX('Methodology &amp; Sources'!$B$375:$J$382,0,7))*INDEX('Methodology &amp; Sources'!$B$375:$J$382,0,7+2)),SUMPRODUCT(($AZ48&gt;INDEX('Methodology &amp; Sources'!$B$375:$J$382,0,4))*($AZ48-INDEX('Methodology &amp; Sources'!$B$375:$J$382,0,4))*INDEX('Methodology &amp; Sources'!$B$375:$J$382,0,4+2)))),IF($AN48="ND",IF($AU48="Head of household",SUMPRODUCT(($AZ48&gt;INDEX('Methodology &amp; Sources'!$B$394:$J$400,0,1))*($AZ48-INDEX('Methodology &amp; Sources'!$B$394:$J$400,0,1))*INDEX('Methodology &amp; Sources'!$B$394:$J$400,0,1+2)),IF($AU48="Married",SUMPRODUCT(($AZ48&gt;INDEX('Methodology &amp; Sources'!$B$387:$J$389,0,7))*($AZ48-INDEX('Methodology &amp; Sources'!$B$387:$J$389,0,7))*INDEX('Methodology &amp; Sources'!$B$387:$J$389,0,7+2)),SUMPRODUCT(($AZ48&gt;INDEX('Methodology &amp; Sources'!$B$387:$J$389,0,4))*($AZ48-INDEX('Methodology &amp; Sources'!$B$387:$J$389,0,4))*INDEX('Methodology &amp; Sources'!$B$387:$J$389,0,4+2)))),IF($AN48="NJ",IF(Inputs!$C$77="B",SUMPRODUCT(($AZ48&gt;INDEX('Methodology &amp; Sources'!$B$405:$J$412,0,4))*($AZ48-INDEX('Methodology &amp; Sources'!$B$405:$J$412,0,4))*INDEX('Methodology &amp; Sources'!$B$405:$J$412,0,4+2)),IF(Inputs!$C$77="C",SUMPRODUCT(($AZ48&gt;INDEX('Methodology &amp; Sources'!$B$405:$J$412,0,7))*($AZ48-INDEX('Methodology &amp; Sources'!$B$405:$J$412,0,7))*INDEX('Methodology &amp; Sources'!$B$405:$J$412,0,7+2)),IF(Inputs!$C$77="D",SUMPRODUCT(($AZ48&gt;INDEX('Methodology &amp; Sources'!$B$417:$J$429,0,1))*($AZ48-INDEX('Methodology &amp; Sources'!$B$417:$J$429,0,1))*INDEX('Methodology &amp; Sources'!$B$417:$J$429,0,1+2)),IF(Inputs!$C$77="E",SUMPRODUCT(($AZ48&gt;INDEX('Methodology &amp; Sources'!$B$417:$J$429,0,4))*($AZ48-INDEX('Methodology &amp; Sources'!$B$417:$J$429,0,4))*INDEX('Methodology &amp; Sources'!$B$417:$J$429,0,4+2)),SUMPRODUCT(($AZ48&gt;INDEX('Methodology &amp; Sources'!$B$405:$J$412,0,1))*($AZ48-INDEX('Methodology &amp; Sources'!$B$405:$J$412,0,1))*INDEX('Methodology &amp; Sources'!$B$405:$J$412,0,1+2)))))),IF($AN48="NY",IF($AU48="Married",IF($AZ48&gt;=2155350,$AZ48*IF($AZ48&gt;25000000,0.117,IF($AZ48&gt;5000000,0.111,0.1045)),SUMPRODUCT(($AZ48&gt;INDEX('Methodology &amp; Sources'!$B$434:$J$448,0,1))*($AZ48-INDEX('Methodology &amp; Sources'!$B$434:$J$448,0,1))*INDEX('Methodology &amp; Sources'!$B$434:$J$448,0,1+2))),IF($AZ48&gt;=1077550,$AZ48*IF($AZ48&gt;25000000,0.117,IF($AZ48&gt;5000000,0.111,0.1045)),SUMPRODUCT(($AZ48&gt;INDEX('Methodology &amp; Sources'!$B$417:$J$429,0,7))*($AZ48-INDEX('Methodology &amp; Sources'!$B$417:$J$429,0,7))*INDEX('Methodology &amp; Sources'!$B$417:$J$429,0,7+2)))),"")))))))</f>
      </c>
      <c r="BX48" s="7">
        <f>IF($B48="","",IF($AN48="AL",IF(OR($AU48="Married",$AU48="Head of household"),SUMPRODUCT(($AZ48&gt;INDEX('Methodology &amp; Sources'!$B$332:$J$336,0,4))*($AZ48-INDEX('Methodology &amp; Sources'!$B$332:$J$336,0,4))*INDEX('Methodology &amp; Sources'!$B$332:$J$336,0,4+2)),SUMPRODUCT(($AZ48&gt;INDEX('Methodology &amp; Sources'!$B$332:$J$336,0,1))*($AZ48-INDEX('Methodology &amp; Sources'!$B$332:$J$336,0,1))*INDEX('Methodology &amp; Sources'!$B$332:$J$336,0,1+2))),IF($AN48="KS",IF($AU48="Married",SUMPRODUCT(($AZ48&gt;INDEX('Methodology &amp; Sources'!$B$353:$J$359,0,4))*($AZ48-INDEX('Methodology &amp; Sources'!$B$353:$J$359,0,4))*INDEX('Methodology &amp; Sources'!$B$353:$J$359,0,4+2)),SUMPRODUCT(($AZ48&gt;INDEX('Methodology &amp; Sources'!$B$353:$J$359,0,1))*($AZ48-INDEX('Methodology &amp; Sources'!$B$353:$J$359,0,1))*INDEX('Methodology &amp; Sources'!$B$353:$J$359,0,1+2))),IF($AN48="MN",IF($AU48="Married",SUMPRODUCT(($AZ48&gt;INDEX('Methodology &amp; Sources'!$B$364:$J$370,0,7))*($AZ48-INDEX('Methodology &amp; Sources'!$B$364:$J$370,0,7))*INDEX('Methodology &amp; Sources'!$B$364:$J$370,0,7+2)),SUMPRODUCT(($AZ48&gt;INDEX('Methodology &amp; Sources'!$B$364:$J$370,0,4))*($AZ48-INDEX('Methodology &amp; Sources'!$B$364:$J$370,0,4))*INDEX('Methodology &amp; Sources'!$B$364:$J$370,0,4+2))),IF($AN48="NE",MAX(IF($AU48="Married",SUMPRODUCT(($AZ48&gt;INDEX('Methodology &amp; Sources'!$B$394:$J$400,0,7))*($AZ48-INDEX('Methodology &amp; Sources'!$B$394:$J$400,0,7))*INDEX('Methodology &amp; Sources'!$B$394:$J$400,0,7+2)),SUMPRODUCT(($AZ48&gt;INDEX('Methodology &amp; Sources'!$B$394:$J$400,0,4))*($AZ48-INDEX('Methodology &amp; Sources'!$B$394:$J$400,0,4))*INDEX('Methodology &amp; Sources'!$B$394:$J$400,0,4+2))),0.015*$AZ48),IF($AN48="OH",IF($B48&gt;=DATE(2026,8,1),SUMPRODUCT(($AZ48&gt;INDEX('Methodology &amp; Sources'!$B$453:$J$456,0,1))*($AZ48-INDEX('Methodology &amp; Sources'!$B$453:$J$456,0,1))*INDEX('Methodology &amp; Sources'!$B$453:$J$456,0,1+2)),SUMPRODUCT(($AZ48&gt;INDEX('Methodology &amp; Sources'!$B$434:$J$448,0,7))*($AZ48-INDEX('Methodology &amp; Sources'!$B$434:$J$448,0,7))*INDEX('Methodology &amp; Sources'!$B$434:$J$448,0,7+2))),IF($AN48="OK",IF($AU48="Married",SUMPRODUCT(($AZ48&gt;INDEX('Methodology &amp; Sources'!$B$453:$J$456,0,7))*($AZ48-INDEX('Methodology &amp; Sources'!$B$453:$J$456,0,7))*INDEX('Methodology &amp; Sources'!$B$453:$J$456,0,7+2)),SUMPRODUCT(($AZ48&gt;INDEX('Methodology &amp; Sources'!$B$453:$J$456,0,4))*($AZ48-INDEX('Methodology &amp; Sources'!$B$453:$J$456,0,4))*INDEX('Methodology &amp; Sources'!$B$453:$J$456,0,4+2))),IF($AN48="RI",SUMPRODUCT(($AZ48&gt;INDEX('Methodology &amp; Sources'!$B$461:$J$464,0,7))*($AZ48-INDEX('Methodology &amp; Sources'!$B$461:$J$464,0,7))*INDEX('Methodology &amp; Sources'!$B$461:$J$464,0,7+2)),IF($AN48="VT",IF($AU48="Married",SUMPRODUCT(($AZ48&gt;INDEX('Methodology &amp; Sources'!$B$478:$J$482,0,1))*($AZ48-INDEX('Methodology &amp; Sources'!$B$478:$J$482,0,1))*INDEX('Methodology &amp; Sources'!$B$478:$J$482,0,1+2)),SUMPRODUCT(($AZ48&gt;INDEX('Methodology &amp; Sources'!$B$469:$J$473,0,7))*($AZ48-INDEX('Methodology &amp; Sources'!$B$469:$J$473,0,7))*INDEX('Methodology &amp; Sources'!$B$469:$J$473,0,7+2))),IF($AN48="WV",IF($AU48="Married",SUMPRODUCT(($AZ48&gt;INDEX('Methodology &amp; Sources'!$B$487:$J$491,0,7))*($AZ48-INDEX('Methodology &amp; Sources'!$B$487:$J$491,0,7))*INDEX('Methodology &amp; Sources'!$B$487:$J$491,0,7+2)),SUMPRODUCT(($AZ48&gt;INDEX('Methodology &amp; Sources'!$B$478:$J$482,0,7))*($AZ48-INDEX('Methodology &amp; Sources'!$B$478:$J$482,0,7))*INDEX('Methodology &amp; Sources'!$B$478:$J$482,0,7+2))),""))))))))))</f>
      </c>
      <c r="BY48" s="7">
        <f>IF($B48="","",IF($AN48="AR",SUMPRODUCT(($AZ48&gt;INDEX('Methodology &amp; Sources'!$B$332:$J$336,0,7))*($AZ48-INDEX('Methodology &amp; Sources'!$B$332:$J$336,0,7))*INDEX('Methodology &amp; Sources'!$B$332:$J$336,0,7+2)),IF($AN48="DE",SUMPRODUCT(($AZ48&gt;INDEX('Methodology &amp; Sources'!$B$341:$J$348,0,1))*($AZ48-INDEX('Methodology &amp; Sources'!$B$341:$J$348,0,1))*INDEX('Methodology &amp; Sources'!$B$341:$J$348,0,1+2)),IF($AN48="HI",IF($AU48="Married",SUMPRODUCT(($AZ48&gt;INDEX('Methodology &amp; Sources'!$B$341:$J$348,0,7))*($AZ48-INDEX('Methodology &amp; Sources'!$B$341:$J$348,0,7))*INDEX('Methodology &amp; Sources'!$B$341:$J$348,0,7+2)),SUMPRODUCT(($AZ48&gt;INDEX('Methodology &amp; Sources'!$B$341:$J$348,0,4))*($AZ48-INDEX('Methodology &amp; Sources'!$B$341:$J$348,0,4))*INDEX('Methodology &amp; Sources'!$B$341:$J$348,0,4+2))),IF($AN48="SC",SUMPRODUCT(($AZ48&gt;INDEX('Methodology &amp; Sources'!$B$469:$J$473,0,1))*($AZ48-INDEX('Methodology &amp; Sources'!$B$469:$J$473,0,1))*INDEX('Methodology &amp; Sources'!$B$469:$J$473,0,1+2)),IF($AN48="VA",SUMPRODUCT(($AZ48&gt;INDEX('Methodology &amp; Sources'!$B$469:$J$473,0,4))*($AZ48-INDEX('Methodology &amp; Sources'!$B$469:$J$473,0,4))*INDEX('Methodology &amp; Sources'!$B$469:$J$473,0,4+2)),IF($AN48="WI",SUMPRODUCT(($AZ48&gt;INDEX('Methodology &amp; Sources'!$B$478:$J$482,0,4))*($AZ48-INDEX('Methodology &amp; Sources'!$B$478:$J$482,0,4))*INDEX('Methodology &amp; Sources'!$B$478:$J$482,0,4+2)),"")))))))</f>
      </c>
      <c r="BZ48" s="24">
        <f>IF($B48="","",IF($AN48="NJ",IF(Inputs!$C$77="B",SUMPRODUCT(($AZ48&gt;=INDEX('Methodology &amp; Sources'!$B$405:$J$412,0,4))*INDEX('Methodology &amp; Sources'!$B$405:$J$412,0,4+2)),IF(Inputs!$C$77="C",SUMPRODUCT(($AZ48&gt;=INDEX('Methodology &amp; Sources'!$B$405:$J$412,0,7))*INDEX('Methodology &amp; Sources'!$B$405:$J$412,0,7+2)),IF(Inputs!$C$77="D",SUMPRODUCT(($AZ48&gt;=INDEX('Methodology &amp; Sources'!$B$417:$J$429,0,1))*INDEX('Methodology &amp; Sources'!$B$417:$J$429,0,1+2)),IF(Inputs!$C$77="E",SUMPRODUCT(($AZ48&gt;=INDEX('Methodology &amp; Sources'!$B$417:$J$429,0,4))*INDEX('Methodology &amp; Sources'!$B$417:$J$429,0,4+2)),SUMPRODUCT(($AZ48&gt;=INDEX('Methodology &amp; Sources'!$B$405:$J$412,0,1))*INDEX('Methodology &amp; Sources'!$B$405:$J$412,0,1+2)))))),IF($AN48="OR",IF(OR($AU48="Married",AND($AU48="Single",$AS48&gt;=3)),SUMPRODUCT((MAX(0,$AY48-MIN(($P48-'Methodology &amp; Sources'!$C$260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Sources'!$B$461:$J$464,0,4))*INDEX('Methodology &amp; Sources'!$B$461:$J$464,0,4+2)),SUMPRODUCT((MAX(0,$AY48-MIN(($P48-'Methodology &amp; Sources'!$C$260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Sources'!$B$461:$J$464,0,1))*INDEX('Methodology &amp; Sources'!$B$461:$J$464,0,1+2)))*IF(($P48-'Methodology &amp; Sources'!$C$260*$D48)*Inputs!$C$8&gt;=IF(OR($AU48="Married",AND($AU48="Single",$AS48&gt;=3)),IF($AY48&lt;250000,8750,IF($AY48&lt;260000,7000,IF($AY48&lt;270000,5250,IF($AY48&lt;280000,3500,IF($AY48&lt;290000,1750,0))))),IF($AY48&lt;125000,8750,IF($AY48&lt;130000,7000,IF($AY48&lt;135000,5250,IF($AY48&lt;140000,3500,IF($AY48&lt;145000,1750,0)))))),1,1-IF(Inputs!$C$13,SUMPRODUCT(($AH48&gt;=INDEX('Methodology &amp; Sources'!$B$279:$J$286,0,IF(Inputs!$C$12="MFJ",1,IF(Inputs!$C$12="HoH",7,4))))*INDEX('Methodology &amp; Sources'!$B$279:$J$286,0,IF(Inputs!$C$12="MFJ",1,IF(Inputs!$C$12="HoH",7,4))+2)),SUMPRODUCT(($AH48&gt;=INDEX('Methodology &amp; Sources'!$B$269:$J$276,0,IF(Inputs!$C$12="MFJ",1,IF(Inputs!$C$12="HoH",7,4))))*INDEX('Methodology &amp; Sources'!$B$269:$J$276,0,IF(Inputs!$C$12="MFJ",1,IF(Inputs!$C$12="HoH",7,4))+2)))),IF($AN48="MI",IF($AY48&gt;5900*$AS48,0.0425,0),""))))</f>
      </c>
      <c r="CA48" s="24">
        <f>IF($B48="","",IF($AN48="AL",IF(OR($AU48="Married",$AU48="Head of household"),SUMPRODUCT(($AZ48&gt;=INDEX('Methodology &amp; Sources'!$B$332:$J$336,0,4))*INDEX('Methodology &amp; Sources'!$B$332:$J$336,0,4+2)),SUMPRODUCT(($AZ48&gt;=INDEX('Methodology &amp; Sources'!$B$332:$J$336,0,1))*INDEX('Methodology &amp; Sources'!$B$332:$J$336,0,1+2)))*(1-IF(Inputs!$C$13,SUMPRODUCT(($AH48&gt;=INDEX('Methodology &amp; Sources'!$B$279:$J$286,0,IF(Inputs!$C$12="MFJ",1,IF(Inputs!$C$12="HoH",7,4))))*INDEX('Methodology &amp; Sources'!$B$279:$J$286,0,IF(Inputs!$C$12="MFJ",1,IF(Inputs!$C$12="HoH",7,4))+2)),SUMPRODUCT(($AH48&gt;=INDEX('Methodology &amp; Sources'!$B$269:$J$276,0,IF(Inputs!$C$12="MFJ",1,IF(Inputs!$C$12="HoH",7,4))))*INDEX('Methodology &amp; Sources'!$B$269:$J$276,0,IF(Inputs!$C$12="MFJ",1,IF(Inputs!$C$12="HoH",7,4))+2)))),IF($AN48="KS",IF($AU48="Married",SUMPRODUCT(($AZ48&gt;=INDEX('Methodology &amp; Sources'!$B$353:$J$359,0,4))*INDEX('Methodology &amp; Sources'!$B$353:$J$359,0,4+2)),SUMPRODUCT(($AZ48&gt;=INDEX('Methodology &amp; Sources'!$B$353:$J$359,0,1))*INDEX('Methodology &amp; Sources'!$B$353:$J$359,0,1+2))),IF($AN48="MD",IF(OR($AU48="Married",$AU48="Head of household"),SUMPRODUCT(($AZ48&gt;=INDEX('Methodology &amp; Sources'!$B$364:$J$370,0,1))*INDEX('Methodology &amp; Sources'!$B$364:$J$370,0,1+2)),SUMPRODUCT(($AZ48&gt;=INDEX('Methodology &amp; Sources'!$B$353:$J$359,0,7))*INDEX('Methodology &amp; Sources'!$B$353:$J$359,0,7+2)))+Inputs!$C$74,IF($AN48="MT",IF($AU48="Head of household",SUMPRODUCT(($AZ48&gt;=INDEX('Methodology &amp; Sources'!$B$387:$J$389,0,1))*INDEX('Methodology &amp; Sources'!$B$387:$J$389,0,1+2)),IF($AU48="Married",SUMPRODUCT(($AZ48&gt;=INDEX('Methodology &amp; Sources'!$B$375:$J$382,0,7))*INDEX('Methodology &amp; Sources'!$B$375:$J$382,0,7+2)),SUMPRODUCT(($AZ48&gt;=INDEX('Methodology &amp; Sources'!$B$375:$J$382,0,4))*INDEX('Methodology &amp; Sources'!$B$375:$J$382,0,4+2)))),IF($AN48="ND",IF($AU48="Head of household",SUMPRODUCT(($AZ48&gt;=INDEX('Methodology &amp; Sources'!$B$394:$J$400,0,1))*INDEX('Methodology &amp; Sources'!$B$394:$J$400,0,1+2)),IF($AU48="Married",SUMPRODUCT(($AZ48&gt;=INDEX('Methodology &amp; Sources'!$B$387:$J$389,0,7))*INDEX('Methodology &amp; Sources'!$B$387:$J$389,0,7+2)),SUMPRODUCT(($AZ48&gt;=INDEX('Methodology &amp; Sources'!$B$387:$J$389,0,4))*INDEX('Methodology &amp; Sources'!$B$387:$J$389,0,4+2)))),IF($AN48="NY",IF($AU48="Married",IF($AZ48&gt;=2155350,IF($AZ48&gt;25000000,0.117,IF($AZ48&gt;5000000,0.111,0.1045)),SUMPRODUCT(($AZ48&gt;=INDEX('Methodology &amp; Sources'!$B$434:$J$448,0,1))*INDEX('Methodology &amp; Sources'!$B$434:$J$448,0,1+2))),IF($AZ48&gt;=1077550,IF($AZ48&gt;25000000,0.117,IF($AZ48&gt;5000000,0.111,0.1045)),SUMPRODUCT(($AZ48&gt;=INDEX('Methodology &amp; Sources'!$B$417:$J$429,0,7))*INDEX('Methodology &amp; Sources'!$B$417:$J$429,0,7+2)))),"")))))))</f>
      </c>
      <c r="CB48" s="24">
        <f>IF($B48="","",IF($AN48="CA",SUMPRODUCT(($AJ48&gt;=INDEX('Methodology &amp; Sources'!$B$289:$J$298,0,IF($AU48="Married",4,IF($AU48="Head of household",7,1))))*INDEX('Methodology &amp; Sources'!$B$289:$J$298,0,IF($AU48="Married",4,IF($AU48="Head of household",7,1))+2)),IF($AN48="HI",IF($AU48="Married",SUMPRODUCT(($AZ48&gt;=INDEX('Methodology &amp; Sources'!$B$341:$J$348,0,7))*INDEX('Methodology &amp; Sources'!$B$341:$J$348,0,7+2)),SUMPRODUCT(($AZ48&gt;=INDEX('Methodology &amp; Sources'!$B$341:$J$348,0,4))*INDEX('Methodology &amp; Sources'!$B$341:$J$348,0,4+2))),IF($AN48="MN",IF($AU48="Married",SUMPRODUCT(($AZ48&gt;=INDEX('Methodology &amp; Sources'!$B$364:$J$370,0,7))*INDEX('Methodology &amp; Sources'!$B$364:$J$370,0,7+2)),SUMPRODUCT(($AZ48&gt;=INDEX('Methodology &amp; Sources'!$B$364:$J$370,0,4))*INDEX('Methodology &amp; Sources'!$B$364:$J$370,0,4+2))),IF($AN48="MO",SUMPRODUCT(($AZ48&gt;=INDEX('Methodology &amp; Sources'!$B$375:$J$382,0,1))*INDEX('Methodology &amp; Sources'!$B$375:$J$382,0,1+2)),IF($AN48="NE",MAX(IF($AU48="Married",SUMPRODUCT(($AZ48&gt;=INDEX('Methodology &amp; Sources'!$B$394:$J$400,0,7))*INDEX('Methodology &amp; Sources'!$B$394:$J$400,0,7+2)),SUMPRODUCT(($AZ48&gt;=INDEX('Methodology &amp; Sources'!$B$394:$J$400,0,4))*INDEX('Methodology &amp; Sources'!$B$394:$J$400,0,4+2))),0.015),IF($AN48="OH",IF($B48&gt;=DATE(2026,8,1),SUMPRODUCT(($AZ48&gt;=INDEX('Methodology &amp; Sources'!$B$453:$J$456,0,1))*INDEX('Methodology &amp; Sources'!$B$453:$J$456,0,1+2)),SUMPRODUCT(($AZ48&gt;=INDEX('Methodology &amp; Sources'!$B$434:$J$448,0,7))*INDEX('Methodology &amp; Sources'!$B$434:$J$448,0,7+2))),IF($AN48="OK",IF($AU48="Married",SUMPRODUCT(($AZ48&gt;=INDEX('Methodology &amp; Sources'!$B$453:$J$456,0,7))*INDEX('Methodology &amp; Sources'!$B$453:$J$456,0,7+2)),SUMPRODUCT(($AZ48&gt;=INDEX('Methodology &amp; Sources'!$B$453:$J$456,0,4))*INDEX('Methodology &amp; Sources'!$B$453:$J$456,0,4+2))),IF($AN48="RI",SUMPRODUCT(($AZ48&gt;=INDEX('Methodology &amp; Sources'!$B$461:$J$464,0,7))*INDEX('Methodology &amp; Sources'!$B$461:$J$464,0,7+2)),IF($AN48="SC",SUMPRODUCT(($AZ48&gt;=INDEX('Methodology &amp; Sources'!$B$469:$J$473,0,1))*INDEX('Methodology &amp; Sources'!$B$469:$J$473,0,1+2)),IF($AN48="VT",IF($AU48="Married",SUMPRODUCT(($AZ48&gt;=INDEX('Methodology &amp; Sources'!$B$478:$J$482,0,1))*INDEX('Methodology &amp; Sources'!$B$478:$J$482,0,1+2)),SUMPRODUCT(($AZ48&gt;=INDEX('Methodology &amp; Sources'!$B$469:$J$473,0,7))*INDEX('Methodology &amp; Sources'!$B$469:$J$473,0,7+2))),IF($AN48="WV",IF($AU48="Married",SUMPRODUCT(($AZ48&gt;=INDEX('Methodology &amp; Sources'!$B$487:$J$491,0,7))*INDEX('Methodology &amp; Sources'!$B$487:$J$491,0,7+2)),SUMPRODUCT(($AZ48&gt;=INDEX('Methodology &amp; Sources'!$B$478:$J$482,0,7))*INDEX('Methodology &amp; Sources'!$B$478:$J$482,0,7+2))),IF($AN48="IN",(0.0295+Inputs!$C$76),"")))))))))))))</f>
      </c>
      <c r="CC48" s="24">
        <f>IF($B48="","",IF($AN48="AR",SUMPRODUCT(($AZ48&gt;=INDEX('Methodology &amp; Sources'!$B$332:$J$336,0,7))*INDEX('Methodology &amp; Sources'!$B$332:$J$336,0,7+2)),IF($AN48="DE",SUMPRODUCT(($AZ48&gt;=INDEX('Methodology &amp; Sources'!$B$341:$J$348,0,1))*INDEX('Methodology &amp; Sources'!$B$341:$J$348,0,1+2)),IF($AN48="VA",SUMPRODUCT(($AZ48&gt;=INDEX('Methodology &amp; Sources'!$B$469:$J$473,0,4))*INDEX('Methodology &amp; Sources'!$B$469:$J$473,0,4+2)),IF($AN48="WI",SUMPRODUCT(($AZ48&gt;=INDEX('Methodology &amp; Sources'!$B$478:$J$482,0,4))*INDEX('Methodology &amp; Sources'!$B$478:$J$482,0,4+2)),IF($AN48="AZ",Inputs!$C$82,IF($AN48="CO",IF($AY48&gt;IF($AU48="Married",10000,5000),0.044,0),IF($AN48="IA",IF($AY48&gt;IF($AU48="Head of household",19500,IF($AU48="Married",26000,13000)),0.038,0),IF($AN48="ID",IF($AY48&gt;IF($AU48="Married",32000,16094),0.053,0),IF($AN48="IL",IF($AY48&gt;(2925*$AS48+1000*$AT48),0.0495,0),IF($AN48="KY",IF($AI48&gt;3360,0.035,0),IF($AN48="LA",0.0309,IF($AN48="MA",IF(MAX(0,$AY48-MIN(($BD47+$Q48+$R48+$S48),2000)-IF($AS48=0,0,IF($AS48=1,4400,1000*$AS48+3400)))&gt;=1107750,0.09,0.05),IF($AN48="MS",IF($AI48-IF($AU48="Head of household",3400,IF($AU48="Married",4600,2300))-Inputs!$C$85&gt;10000,0.04,0),IF($AN48="PA",0.0307,"")))))))))))))))</f>
      </c>
      <c r="CD48" s="21">
        <f>IF(YEAR(IF(Inputs!$C$7="Weekly",Inputs!$C$9+7*(($BE47+1)-1),IF(Inputs!$C$7="Biweekly",Inputs!$C$9+14*(($BE47+1)-1),IF(Inputs!$C$7="Semimonthly",DATE(YEAR(Inputs!$C$9),MONTH(Inputs!$C$9)+INT((($BE47+1)-1)/2),MIN(DAY(Inputs!$C$9),DAY(EOMONTH(DATE(YEAR(Inputs!$C$9),MONTH(Inputs!$C$9)+INT((($BE47+1)-1)/2),1),0))))+IF(MOD(($BE47+1)-1,2)=1,15,0),EDATE(Inputs!$C$9,($BE47+1)-1)))))&lt;&gt;2026,"",IF(Inputs!$C$7="Weekly",Inputs!$C$9+7*(($BE47+1)-1),IF(Inputs!$C$7="Biweekly",Inputs!$C$9+14*(($BE47+1)-1),IF(Inputs!$C$7="Semimonthly",DATE(YEAR(Inputs!$C$9),MONTH(Inputs!$C$9)+INT((($BE47+1)-1)/2),MIN(DAY(Inputs!$C$9),DAY(EOMONTH(DATE(YEAR(Inputs!$C$9),MONTH(Inputs!$C$9)+INT((($BE47+1)-1)/2),1),0))))+IF(MOD(($BE47+1)-1,2)=1,15,0),EDATE(Inputs!$C$9,($BE47+1)-1)))))</f>
      </c>
      <c r="CE48" s="21">
        <f>IF(SUMPRODUCT(MIN(IF((Inputs!$C$58:$C$67&gt;MAX($B$6:$B47))*(Inputs!$C$58:$C$67&gt;=DATE(2026,1,1))*(Inputs!$C$58:$C$67&lt;=DATE(2026,12,31)),Inputs!$C$58:$C$67,999999)))=999999,"",SUMPRODUCT(MIN(IF((Inputs!$C$58:$C$67&gt;MAX($B$6:$B47))*(Inputs!$C$58:$C$67&gt;=DATE(2026,1,1))*(Inputs!$C$58:$C$67&lt;=DATE(2026,12,31)),Inputs!$C$58:$C$67,999999))))</f>
      </c>
    </row>
    <row r="49">
      <c r="A49" t="n">
        <v>44</v>
      </c>
      <c r="B49" s="21">
        <f>IF(AND($CD49="",$CE49=""),"",IF($CE49="",$CD49,IF($CD49="",$CE49,MIN($CD49,$CE49))))</f>
      </c>
      <c r="C49" s="7">
        <f>IF($B49="","",IF($BF49=0,0,IF(Inputs!$C$4="Annual salary",ROUND($AK49/IF(AND(Inputs!$C$88="Actual paydays",MONTH(Inputs!$C$9)=1),MAX(1,MAX($BE$6:$BE$68)),Inputs!$C$8),2),$AK49)))</f>
      </c>
      <c r="D49" s="7">
        <f>IF($B49="","",SUMIF(Inputs!$C$58:$C$67,$B49,Inputs!$D$58:$D$67))</f>
      </c>
      <c r="E49" s="7">
        <f>IF($B49="","",ROUND(MAX(0,MIN(IF($AL49="Percent",$AM49*($C49+$D49),$AM49),MAX(0,Inputs!$C$91-$AC48))),2))</f>
      </c>
      <c r="F49" s="7">
        <f>IF($B49="","",ROUND(MAX(0,MIN(IF(Inputs!$C$32="Percent",Inputs!$D$32*($C49+$D49),Inputs!$D$32),MAX(0,Inputs!$C$91-$AC48-$E49))),2))</f>
      </c>
      <c r="G49" s="7">
        <f>IF($B49="","",IF($BF49=0,0,ROUND(MAX(0,MIN($BL49,Inputs!$C$92-Inputs!$C$54-$BI48)),2)))</f>
      </c>
      <c r="H49" s="7">
        <f>IF($B49="","",IF(OR($BF49=0,$BQ49=1),0,ROUND(MAX(0,MIN(IF($BS49=1,ROUND(MAX(0,MIN($BJ49,'Methodology &amp; Sources'!$C$263)-$BG48)/MAX(1,MAX($BE$6:$BE$68)-($BE48)),2),ROUND(MIN($BJ49,'Methodology &amp; Sources'!$C$263)/Inputs!$C$8,2)),MIN($BJ49,'Methodology &amp; Sources'!$C$263)-$BG48)),2)))</f>
      </c>
      <c r="I49" s="7">
        <f>IF($B49="","",IF(OR($BF49=0,$BR49=1),0,ROUND(MAX(0,MIN(IF($BT49=1,ROUND(MAX(0,MIN($BK49,IF(Inputs!$C$12="MFJ",'Methodology &amp; Sources'!$C$264,'Methodology &amp; Sources'!$C$265))-$BH48)/MAX(1,MAX($BE$6:$BE$68)-($BE48)),2),ROUND(MIN($BK49,IF(Inputs!$C$12="MFJ",'Methodology &amp; Sources'!$C$264,'Methodology &amp; Sources'!$C$265))/Inputs!$C$8,2)),MIN($BK49,IF(Inputs!$C$12="MFJ",'Methodology &amp; Sources'!$C$264,'Methodology &amp; Sources'!$C$265))-$BH48)),2)))</f>
      </c>
      <c r="J49" s="7">
        <f>IF($B49="","",IF($BF49=0,0,$BM49))</f>
      </c>
      <c r="K49" s="7">
        <f>IF($B49="","",IF($BF49=0,0,$BN49+$BO49))</f>
      </c>
      <c r="L49" s="7">
        <f>IF($B49="","",IF($BF49=0,0,Inputs!$D$46))</f>
      </c>
      <c r="M49" s="7">
        <f>IF($B49="","",$C49+$D49+$L49-$E49-$G49-$H49-$I49-$J49-$K49)</f>
      </c>
      <c r="N49" s="7">
        <f>IF($B49="","",$C49+$D49+$L49-$G49-$H49-$I49-$J49-$K49)</f>
      </c>
      <c r="O49" s="7">
        <f>IF($B49="","",$C49+$D49+$L49-$E49-$H49-$I49-$J49-$K49-IF(OR($AN49="CA",$AN49="NJ"),0,$G49))</f>
      </c>
      <c r="P49" s="7">
        <f>IF($B49="","",IF(Inputs!$C$18,0,ROUND(MAX(0,IF(Inputs!$C$13,SUMPRODUCT(($AH49&gt;INDEX('Methodology &amp; Sources'!$B$279:$J$286,0,IF(Inputs!$C$12="MFJ",1,IF(Inputs!$C$12="HoH",7,4))))*($AH49-INDEX('Methodology &amp; Sources'!$B$279:$J$286,0,IF(Inputs!$C$12="MFJ",1,IF(Inputs!$C$12="HoH",7,4))))*INDEX('Methodology &amp; Sources'!$B$279:$J$286,0,IF(Inputs!$C$12="MFJ",1,IF(Inputs!$C$12="HoH",7,4))+2)),SUMPRODUCT(($AH49&gt;INDEX('Methodology &amp; Sources'!$B$269:$J$276,0,IF(Inputs!$C$12="MFJ",1,IF(Inputs!$C$12="HoH",7,4))))*($AH49-INDEX('Methodology &amp; Sources'!$B$269:$J$276,0,IF(Inputs!$C$12="MFJ",1,IF(Inputs!$C$12="HoH",7,4))))*INDEX('Methodology &amp; Sources'!$B$269:$J$276,0,IF(Inputs!$C$12="MFJ",1,IF(Inputs!$C$12="HoH",7,4))+2)))/Inputs!$C$8-$AO49/Inputs!$C$8)+$AR49+IF(Inputs!$C$89="Aggregate",MAX(0,IF(Inputs!$C$13,SUMPRODUCT((($AH49+$D49)&gt;INDEX('Methodology &amp; Sources'!$B$279:$J$286,0,IF(Inputs!$C$12="MFJ",1,IF(Inputs!$C$12="HoH",7,4))))*(($AH49+$D49)-INDEX('Methodology &amp; Sources'!$B$279:$J$286,0,IF(Inputs!$C$12="MFJ",1,IF(Inputs!$C$12="HoH",7,4))))*INDEX('Methodology &amp; Sources'!$B$279:$J$286,0,IF(Inputs!$C$12="MFJ",1,IF(Inputs!$C$12="HoH",7,4))+2)),SUMPRODUCT((($AH49+$D49)&gt;INDEX('Methodology &amp; Sources'!$B$269:$J$276,0,IF(Inputs!$C$12="MFJ",1,IF(Inputs!$C$12="HoH",7,4))))*(($AH49+$D49)-INDEX('Methodology &amp; Sources'!$B$269:$J$276,0,IF(Inputs!$C$12="MFJ",1,IF(Inputs!$C$12="HoH",7,4))))*INDEX('Methodology &amp; Sources'!$B$269:$J$276,0,IF(Inputs!$C$12="MFJ",1,IF(Inputs!$C$12="HoH",7,4))+2)))-IF(Inputs!$C$13,SUMPRODUCT(($AH49&gt;INDEX('Methodology &amp; Sources'!$B$279:$J$286,0,IF(Inputs!$C$12="MFJ",1,IF(Inputs!$C$12="HoH",7,4))))*($AH49-INDEX('Methodology &amp; Sources'!$B$279:$J$286,0,IF(Inputs!$C$12="MFJ",1,IF(Inputs!$C$12="HoH",7,4))))*INDEX('Methodology &amp; Sources'!$B$279:$J$286,0,IF(Inputs!$C$12="MFJ",1,IF(Inputs!$C$12="HoH",7,4))+2)),SUMPRODUCT(($AH49&gt;INDEX('Methodology &amp; Sources'!$B$269:$J$276,0,IF(Inputs!$C$12="MFJ",1,IF(Inputs!$C$12="HoH",7,4))))*($AH49-INDEX('Methodology &amp; Sources'!$B$269:$J$276,0,IF(Inputs!$C$12="MFJ",1,IF(Inputs!$C$12="HoH",7,4))))*INDEX('Methodology &amp; Sources'!$B$269:$J$276,0,IF(Inputs!$C$12="MFJ",1,IF(Inputs!$C$12="HoH",7,4))+2)))),'Methodology &amp; Sources'!$C$260*$D49),2)))</f>
      </c>
      <c r="Q49" s="7">
        <f>IF($B49="","",ROUND('Methodology &amp; Sources'!$C$254*MIN($N49,MAX(0,'Methodology &amp; Sources'!$C$253-($AX49+$AB48-$AW49))),2))</f>
      </c>
      <c r="R49" s="7">
        <f>IF($B49="","",ROUND('Methodology &amp; Sources'!$C$255*$N49,2))</f>
      </c>
      <c r="S49" s="7">
        <f>IF($B49="","",ROUND('Methodology &amp; Sources'!$C$256*MAX(0,MIN($N49,$AG48+$N49-'Methodology &amp; Sources'!$C$257)),2))</f>
      </c>
      <c r="T49" s="7">
        <f>IF($B49="","",IF(Inputs!$C$26,0,IF($AN49="CA",ROUND(IF($AI49&lt;=IF(($AS49+$AT49)&gt;=2,VLOOKUP($AN49,'StateTables 2026'!$A$6:$AB$56,10,FALSE),VLOOKUP($AN49,'StateTables 2026'!$A$6:$AB$56,9,FALSE)),0,MAX(0,SUMPRODUCT(($AJ49&gt;INDEX('Methodology &amp; Sources'!$B$289:$J$298,0,IF($AU49="Married",4,IF($AU49="Head of household",7,1))))*($AJ49-INDEX('Methodology &amp; Sources'!$B$289:$J$298,0,IF($AU49="Married",4,IF($AU49="Head of household",7,1))))*INDEX('Methodology &amp; Sources'!$B$289:$J$298,0,IF($AU49="Married",4,IF($AU49="Head of household",7,1))+2))-VLOOKUP($AN49,'StateTables 2026'!$A$6:$AB$56,11,FALSE)*$AS49)/Inputs!$C$8)+Inputs!$C$25+VLOOKUP($AN49,'StateTables 2026'!$A$6:$AB$56,13,FALSE)*$D49,2),IF(VLOOKUP($AN49,'StateTables 2026'!$A$6:$AB$56,4,FALSE)="None",0,IF(ISNUMBER(SEARCH("MANUAL",VLOOKUP($AN49,'StateTables 2026'!$A$6:$AB$56,5,FALSE))),Inputs!$C$28,ROUND(MAX(0,$BA49+$BB49)/Inputs!$C$8+Inputs!$C$25+$BC49,2))))))</f>
      </c>
      <c r="U49" s="7">
        <f>IF($B49="","",IF(VLOOKUP($AN49,'StateTables 2026'!$A$6:$AB$56,24,FALSE)="flatq",IF(OR(MONTH($B49)=1,MONTH($B49)=4,MONTH($B49)=7,MONTH($B49)=10),VLOOKUP($AN49,'StateTables 2026'!$A$6:$AB$56,25,FALSE),0),IF(VLOOKUP($AN49,'StateTables 2026'!$A$6:$AB$56,24,FALSE)="dbl",MIN(ROUND(0.005*$N49,2),ROUND(0.6*52/Inputs!$C$8,2)),IF(OR(VLOOKUP($AN49,'StateTables 2026'!$A$6:$AB$56,15,FALSE)="",VLOOKUP($AN49,'StateTables 2026'!$A$6:$AB$56,15,FALSE)=0),0,ROUND(VLOOKUP($AN49,'StateTables 2026'!$A$6:$AB$56,15,FALSE)*IF(OR(VLOOKUP($AN49,'StateTables 2026'!$A$6:$AB$56,16,FALSE)="",VLOOKUP($AN49,'StateTables 2026'!$A$6:$AB$56,16,FALSE)=0),$N49,MIN($N49,MAX(0,VLOOKUP($AN49,'StateTables 2026'!$A$6:$AB$56,16,FALSE)-($AX49+$AB48-$AW49)))),2))))+IF(VLOOKUP($AN49,'StateTables 2026'!$A$6:$AB$56,27,FALSE)="flatq",IF(OR(MONTH($B49)=1,MONTH($B49)=4,MONTH($B49)=7,MONTH($B49)=10),VLOOKUP($AN49,'StateTables 2026'!$A$6:$AB$56,28,FALSE),0),IF(VLOOKUP($AN49,'StateTables 2026'!$A$6:$AB$56,27,FALSE)="dbl",MIN(ROUND(0.005*$N49,2),ROUND(0.6*52/Inputs!$C$8,2)),IF(OR(VLOOKUP($AN49,'StateTables 2026'!$A$6:$AB$56,18,FALSE)="",VLOOKUP($AN49,'StateTables 2026'!$A$6:$AB$56,18,FALSE)=0),0,ROUND(VLOOKUP($AN49,'StateTables 2026'!$A$6:$AB$56,18,FALSE)*IF(OR(VLOOKUP($AN49,'StateTables 2026'!$A$6:$AB$56,19,FALSE)="",VLOOKUP($AN49,'StateTables 2026'!$A$6:$AB$56,19,FALSE)=0),$N49,MIN($N49,MAX(0,VLOOKUP($AN49,'StateTables 2026'!$A$6:$AB$56,19,FALSE)-($AX49+$AB48-$AW49)))),2)))))</f>
      </c>
      <c r="V49" s="7">
        <f>IF($B49="","",IF($AN49="NY",IF(Inputs!$C$78,ROUND(SUMPRODUCT((MAX(0,($O49-$D49)*Inputs!$C$8-(IF($AU49="Married",5500,5000)+1000*$AS49))&gt;INDEX('Methodology &amp; Sources'!$B$434:$J$448,0,4))*(MAX(0,($O49-$D49)*Inputs!$C$8-(IF($AU49="Married",5500,5000)+1000*$AS49))-INDEX('Methodology &amp; Sources'!$B$434:$J$448,0,4))*INDEX('Methodology &amp; Sources'!$B$434:$J$448,0,4+2))/Inputs!$C$8+0.0425*$D49,2),0)+IF(Inputs!$C$79="Resident",ROUND(0.1675*$T49,2),IF(Inputs!$C$79="Nonresident",ROUND(0.005*MAX(0,($O49-$D49)-(IF($AU49="Married",7950,7400)+1000*$AS49)/Inputs!$C$8),2),0)),IF($AN49="PA",IF(Inputs!$C$80="None",Inputs!$C$27+ROUND(Inputs!$C$81*($C49+$D49),2),ROUND(IF(Inputs!$C$80="Resident",IF($B49&lt;DATE(2026,7,1),0.0374,0.03735),IF($B49&lt;DATE(2026,7,1),0.0343,0.03425))*($C49+$D49),2)),IF($BF49=0,ROUND(Inputs!$C$81*($C49+$D49),2),Inputs!$C$27+ROUND(Inputs!$C$81*($C49+$D49),2)))))</f>
      </c>
      <c r="W49" s="7">
        <f>IF($B49="","",IF($BF49=0,0,$BP49))</f>
      </c>
      <c r="X49" s="7">
        <f>IF($B49="","",SUM($E49:$K49)+$P49+$Q49+$R49+$S49+$T49+$U49+$V49+$W49)</f>
      </c>
      <c r="Y49" s="22">
        <f>IF($B49="","",$C49+$D49-$X49)</f>
      </c>
      <c r="Z49" s="7">
        <f>IF($B49="","",$Z48+$C49+$D49)</f>
      </c>
      <c r="AA49" s="7">
        <f>IF($B49="","",$AA48+$Y49)</f>
      </c>
      <c r="AB49" s="7">
        <f>IF($B49="","",$AB48+MIN($N49,MAX(0,'Methodology &amp; Sources'!$C$253-($AX49+$AB48-$AW49))))</f>
      </c>
      <c r="AC49" s="7">
        <f>IF($B49="","",$AC48+$E49+$F49)</f>
      </c>
      <c r="AD49" s="3">
        <f>IF($B49="","",IF(AND($AB48&lt;'Methodology &amp; Sources'!$C$253,$AB49&gt;='Methodology &amp; Sources'!$C$253),"★ Social Security maxed on this check — from the next check your net rises by about $"&amp;TEXT(ROUND('Methodology &amp; Sources'!$C$254*$N49,2),"#,##0.00")&amp;". ","")&amp;IF(AND($AC48&lt;Inputs!$C$91,$AC49&gt;=Inputs!$C$91),"★ 401(k) reaches the $"&amp;TEXT(Inputs!$C$91,"#,##0")&amp;" cap on this check — deferrals stop and net pay rises. ","")&amp;IF(AND($AG48&lt;'Methodology &amp; Sources'!$C$257,$AG49&gt;='Methodology &amp; Sources'!$C$257),"★ Wages pass $200,000 — the 0.9% Additional Medicare Tax starts here. ","")&amp;IF(AND($BJ49&gt;0,$H49&gt;0,$BG48&lt;MIN($BJ49,'Methodology &amp; Sources'!$C$263),$BG48+$H49&gt;=MIN($BJ49,'Methodology &amp; Sources'!$C$263)),"★ Health FSA election is now fully deferred for the year. ",""))</f>
      </c>
      <c r="AE49" s="41" t="n"/>
      <c r="AF49" s="7">
        <f>IF(OR($B49="",$AE49=""),"",$AE49-$Y49)</f>
      </c>
      <c r="AG49" s="7">
        <f>IF($B49="","",$AG48+$N49)</f>
      </c>
      <c r="AH49" s="7">
        <f>IF($B49="","",MAX(0,($M49-$D49)*Inputs!$C$8+$AP49-$AQ49-IF(Inputs!$C$13,0,IF(Inputs!$C$12="MFJ",'Methodology &amp; Sources'!$C$258,'Methodology &amp; Sources'!$C$259))))</f>
      </c>
      <c r="AI49" s="7">
        <f>IF($B49="","",$O49*Inputs!$C$8)</f>
      </c>
      <c r="AJ49" s="7">
        <f>IF($B49="","",MAX(0,$AI49-VLOOKUP($AN49,'StateTables 2026'!$A$6:$AB$56,12,FALSE)*$AT49-IF(($AS49+$AT49)&gt;=2,VLOOKUP($AN49,'StateTables 2026'!$A$6:$AB$56,8,FALSE),VLOOKUP($AN49,'StateTables 2026'!$A$6:$AB$56,7,FALSE))))</f>
      </c>
      <c r="AK49" s="7">
        <f>IF($B49="","",IFERROR(LOOKUP(2,1/((Events!$C$6:$C$17="Salary change")*(Events!$B$6:$B$17&lt;=$B49)*(Events!$B$6:$B$17&lt;&gt;"")),Events!$D$6:$D$17),IF(Inputs!$C$4="Annual salary",Inputs!$C$5,Inputs!$C$6)))</f>
      </c>
      <c r="AL49">
        <f>IF($B49="","",IFERROR(LOOKUP(2,1/((Events!$C$6:$C$17="401(k) change")*(Events!$B$6:$B$17&lt;=$B49)*(Events!$B$6:$B$17&lt;&gt;"")),Events!$D$6:$D$17),Inputs!$C$30))</f>
      </c>
      <c r="AM49" s="7">
        <f>IF($B49="","",IFERROR(LOOKUP(2,1/((Events!$C$6:$C$17="401(k) change")*(Events!$B$6:$B$17&lt;=$B49)*(Events!$B$6:$B$17&lt;&gt;"")),Events!$E$6:$E$17),Inputs!$D$30))</f>
      </c>
      <c r="AN49">
        <f>IF($B49="","",IFERROR(LOOKUP(2,1/((Events!$C$6:$C$17="State move")*(Events!$B$6:$B$17&lt;=$B49)*(Events!$B$6:$B$17&lt;&gt;"")),Events!$D$6:$D$17),Inputs!$C$21))</f>
      </c>
      <c r="AO49" s="7">
        <f>IF($B49="","",IFERROR(LOOKUP(2,1/((Events!$C$6:$C$17="W-4 change")*(Events!$B$6:$B$17&lt;=$B49)*(Events!$B$6:$B$17&lt;&gt;"")),Events!$D$6:$D$17),Inputs!$C$14))</f>
      </c>
      <c r="AP49" s="7">
        <f>IF($B49="","",IFERROR(LOOKUP(2,1/((Events!$C$6:$C$17="W-4 change")*(Events!$B$6:$B$17&lt;=$B49)*(Events!$B$6:$B$17&lt;&gt;"")),Events!$E$6:$E$17),Inputs!$C$15))</f>
      </c>
      <c r="AQ49" s="7">
        <f>IF($B49="","",IFERROR(LOOKUP(2,1/((Events!$C$6:$C$17="W-4 change")*(Events!$B$6:$B$17&lt;=$B49)*(Events!$B$6:$B$17&lt;&gt;"")),Events!$F$6:$F$17),Inputs!$C$16))</f>
      </c>
      <c r="AR49" s="7">
        <f>IF($B49="","",IFERROR(LOOKUP(2,1/((Events!$C$6:$C$17="W-4 change")*(Events!$B$6:$B$17&lt;=$B49)*(Events!$B$6:$B$17&lt;&gt;"")),Events!$G$6:$G$17),Inputs!$C$17))</f>
      </c>
      <c r="AS49" s="6">
        <f>IF($B49="","",IFERROR(LOOKUP(2,1/(((Events!$C$6:$C$17="State move")+(Events!$C$6:$C$17="State cert change"))*(Events!$B$6:$B$17&lt;=$B49)*(Events!$B$6:$B$17&lt;&gt;"")),Events!$F$6:$F$17),Inputs!$C$23))</f>
      </c>
      <c r="AT49" s="6">
        <f>IF($B49="","",IFERROR(LOOKUP(2,1/(((Events!$C$6:$C$17="State move")+(Events!$C$6:$C$17="State cert change"))*(Events!$B$6:$B$17&lt;=$B49)*(Events!$B$6:$B$17&lt;&gt;"")),Events!$G$6:$G$17),Inputs!$C$24))</f>
      </c>
      <c r="AU49">
        <f>IF($B49="","",IFERROR(LOOKUP(2,1/((Events!$C$6:$C$17="State move")*(Events!$B$6:$B$17&lt;=$B49)*(Events!$B$6:$B$17&lt;&gt;"")),Events!$E$6:$E$17),Inputs!$C$22))</f>
      </c>
      <c r="AV49" s="6">
        <f>IF($B49="","",1+COUNTIFS(Events!$C$6:$C$17,"Employer change",Events!$B$6:$B$17,"&lt;="&amp;$B49,Events!$B$6:$B$17,"&lt;&gt;"))</f>
      </c>
      <c r="AW49" s="7">
        <f>IF($B49="","",IF($AV49=1,Inputs!$C$49,IF(IFERROR(MATCH(IFERROR(LOOKUP(2,1/((Events!$C$6:$C$17="Employer change")*(Events!$B$6:$B$17&lt;=$B49)*(Events!$B$6:$B$17&lt;&gt;"")),Events!$B$6:$B$17),""),$B$6:$B$68,1),1)&lt;=1,Inputs!$C$49,INDEX($AB$6:$AB$68,MATCH(IFERROR(LOOKUP(2,1/((Events!$C$6:$C$17="Employer change")*(Events!$B$6:$B$17&lt;=$B49)*(Events!$B$6:$B$17&lt;&gt;"")),Events!$B$6:$B$17),""),$B$6:$B$68,1)-1))))</f>
      </c>
      <c r="AX49" s="7">
        <f>IF($B49="","",IF($AV49=1,Inputs!$C$49,IFERROR(LOOKUP(2,1/((Events!$C$6:$C$17="Employer change")*(Events!$B$6:$B$17&lt;=$B49)*(Events!$B$6:$B$17&lt;&gt;"")),Events!$D$6:$D$17),0)))</f>
      </c>
      <c r="AY49" s="7">
        <f>IF($B49="","",($O49-$D49)*Inputs!$C$8)</f>
      </c>
      <c r="AZ49" s="7">
        <f>IF($B49="","",IF($AN49="AL",MAX(0,$AY49-IF($AU49="Married",IF($AY49&lt;=25999,8500,MAX(5000,8500-175*CEILING(($AY49-25999)/500,1))),IF($AU49="Head of household",IF($AY49&lt;=25999,5200,MAX(2500,5200-135*CEILING(($AY49-25999)/500,1))),IF($AY49&lt;=25999,3000,MAX(2500,3000-25*CEILING(($AY49-25999)/500,1)))))-($P49-'Methodology &amp; Sources'!$C$260*$D49)*Inputs!$C$8-IF(OR($AU49="Married",$AU49="Head of household"),3000,1500)-$AT49*IF($AY49&lt;=50000,1000,IF($AY49&lt;=100000,500,300))),IF($AN49="AR",IF(MAX(0,$AY49-2470)&lt;97701,INT(MAX(0,$AY49-2470)/100)*100+50,MAX(0,$AY49-2470)),IF($AN49="DE",MAX(0,$AI49-3250),IF($AN49="HI",MAX(0,$AI49-1144*$AS49-4350),IF($AN49="KS",MAX(0,$AI49-(9160*IF($AU49="Married",2,1)+2320*$AT49+IF($AU49="Head of household",2320,0))),IF($AN49="MD",MAX(0,$AI49-3400-3200*$AS49),IF($AN49="MN",MAX(0,$AY49-5300*$AS49),IF($AN49="MO",MAX(0,$AI49-IF($AU49="Head of household",24150,IF($AU49="Married",IF(Inputs!$C$83,16100,32200),16100))),IF($AN49="MT",$AY49,IF($AN49="ND",($C49+$L49)*Inputs!$C$8,IF($AN49="NE",MAX(0,$AY49-2440*$AS49),IF($AN49="NJ",MAX(0,$AY49-1000*$AS49),IF($AN49="NY",MAX(0,$AY49-(IF($AU49="Married",7950,7400)+1000*$AS49)),IF($AN49="OH",MAX(0,$AY49-650*$AS49),IF($AN49="OK",MAX(0,$AY49-1000*$AS49),IF($AN49="RI",MAX(0,$AI49-1000*$AS49),IF($AN49="SC",MAX(0,$AI49-5000*$AS49-IF($AS49=0,0,MIN(0.1*$AI49,7500))),IF($AN49="VA",MAX(0,$AI49-IF($AU49="Married",17500,8750)-930*$AS49-800*$AT49),IF($AN49="VT",MAX(0,$AI49-5400*$AS49),IF($AN49="WI",MAX(0,$AI49-MAX(0,IF($AU49="Married",9461-0.2*MAX(0,$AI49-25727),6702-0.12*MAX(0,$AI49-17780)))-400*$AS49),IF($AN49="WV",MAX(0,$AI49-2000*$AS49),$AI49))))))))))))))))))))))</f>
      </c>
      <c r="BA49" s="7">
        <f>IF($B49="","",IF($BW49&lt;&gt;"",$BW49,IF($BX49&lt;&gt;"",$BX49,IF($BY49&lt;&gt;"",$BY49,0))))</f>
      </c>
      <c r="BB49" s="7">
        <f>IF($B49="","",IF($AN49="AR",-29*$AS49,IF($AN49="DE",-110*$AS49,IF($AN49="MD",$AZ49*Inputs!$C$74,IF($AN49="AZ",Inputs!$C$82*($M49-$D49)*Inputs!$C$8,IF($AN49="CO",0.044*MAX(0,$AY49-IF($AU49="Married",10000,5000)),IF($AN49="IA",MAX(0,0.038*MAX(0,$AY49-IF($AU49="Head of household",19500,IF($AU49="Married",26000,13000)))-40*$AS49),IF($AN49="ID",0.053*MAX(0,$AY49-IF($AU49="Married",32000,16094)),IF($AN49="IL",0.0495*MAX(0,$AY49-(2925*$AS49+1000*$AT49)),IF($AN49="IN",(0.0295+Inputs!$C$76)*MAX(0,$AY49-(1000*$AS49+1500*$AT49+3000*Inputs!$C$86)),IF($AN49="KY",0.035*MAX(0,$AI49-3360),IF($AN49="LA",IF(Inputs!$C$84="0",0.0309*$AI49,0.0309*MAX(0,$AI49-IF(Inputs!$C$84="2",25750,12875))),IF($AN49="MA",0.05*MIN(MAX(0,$AY49-MIN(($BD48+$Q49+$R49+$S49),2000)-IF($AS49=0,0,IF($AS49=1,4400,1000*$AS49+3400))),1107750)+0.09*MAX(0,MAX(0,$AY49-MIN(($BD48+$Q49+$R49+$S49),2000)-IF($AS49=0,0,IF($AS49=1,4400,1000*$AS49+3400)))-1107750)-IF($AU49="Head of household",120,0)-110*Inputs!$C$75,IF($AN49="MI",0.0425*MAX(0,$AY49-5900*$AS49),IF($AN49="MS",0.04*MAX(0,$AI49-IF($AU49="Head of household",3400,IF($AU49="Married",4600,2300))-Inputs!$C$85-10000),IF($AN49="OR",IF(OR($AU49="Married",AND($AU49="Single",$AS49&gt;=3)),SUMPRODUCT((MAX(0,$AY49-MIN(($P49-'Methodology &amp; Sources'!$C$260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Sources'!$B$461:$J$464,0,4))*(MAX(0,$AY49-MIN(($P49-'Methodology &amp; Sources'!$C$260*$D49)*Inputs!$C$8,IF(OR($AU49="Married",AND($AU49="Single",$AS49&gt;=3)),IF($AY49&lt;250000,8750,IF($AY49&lt;260000,7000,IF($AY49&lt;270000,5250,IF($AY49&lt;280000,3500,IF($AY49&lt;290000,1750,0))))),IF($AY49&lt;125000,8750,IF($AY49&lt;130000,7000,IF($AY49&lt;135000,5250,IF($AY49&lt;140000,3500,IF($AY49&lt;145000,1750,0)))))))-IF(OR($AU49="Married",AND($AU49="Single",$AS49&gt;=3)),5820,2910))-INDEX('Methodology &amp; Sources'!$B$461:$J$464,0,4))*INDEX('Methodology &amp; Sources'!$B$461:$J$464,0,4+2)),SUMPRODUCT((MAX(0,$AY49-MIN(($P49-'Methodology &amp; Sources'!$C$260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Sources'!$B$461:$J$464,0,1))*(MAX(0,$AY49-MIN(($P49-'Methodology &amp; Sources'!$C$260*$D49)*Inputs!$C$8,IF(OR($AU49="Married",AND($AU49="Single",$AS49&gt;=3)),IF($AY49&lt;250000,8750,IF($AY49&lt;260000,7000,IF($AY49&lt;270000,5250,IF($AY49&lt;280000,3500,IF($AY49&lt;290000,1750,0))))),IF($AY49&lt;125000,8750,IF($AY49&lt;130000,7000,IF($AY49&lt;135000,5250,IF($AY49&lt;140000,3500,IF($AY49&lt;145000,1750,0)))))))-IF(OR($AU49="Married",AND($AU49="Single",$AS49&gt;=3)),5820,2910))-INDEX('Methodology &amp; Sources'!$B$461:$J$464,0,1))*INDEX('Methodology &amp; Sources'!$B$461:$J$464,0,1+2)))+263-263*IF(IF($AU49="Married",$AY49&gt;200000,$AY49&gt;100000),0,$AS49),IF($AN49="PA",0.0307*(($O49+$E49+$G49)*Inputs!$C$8),IF($AN49="NY",IF($AU49="Married",IF($AZ49&gt;=2155350,0,IF($AZ49&gt;=1077550,0.48,IF($AZ49&gt;=373200,1.21,IF($AZ49&gt;=323200,0.21,IF($AZ49&gt;=211550,-0.19,IF($AZ49&gt;=157650,-2.8,IF($AZ49&gt;=107650,-0.8,IF($AZ49&gt;=96800,0.05,IF($AZ49&gt;=80650,-0.1,IF($AZ49&gt;=13900,0.4,IF($AZ49&gt;=11700,-0.3,IF($AZ49&gt;=8500,0.5,0)))))))))))),IF($AZ49&gt;=1077550,0,IF($AZ49&gt;=265400,4.29,IF($AZ49&gt;=215400,2.29,IF($AZ49&gt;=157650,2.29,IF($AZ49&gt;=107650,0.29,IF($AZ49&gt;=96800,0.05,IF($AZ49&gt;=80650,-0.1,IF($AZ49&gt;=13900,0.4,IF($AZ49&gt;=11700,-0.3,IF($AZ49&gt;=8500,0.5,0))))))))))),0))))))))))))))))))</f>
      </c>
      <c r="BC49" s="7">
        <f>IF($B49="","",IF($AN49="AL",0.05*$D49,IF($AN49="AR",0.039*$D49,IF($AN49="ID",0.053*$D49,IF($AN49="IN",(0.0295+Inputs!$C$76)*$D49,IF($AN49="KS",0.05*$D49,IF($AN49="MA",0.09*MIN($D49,MAX(0,MAX(0,$AY49-MIN(($BD48+$Q49+$R49+$S49),2000)-IF($AS49=0,0,IF($AS49=1,4400,1000*$AS49+3400)))+$D49-1107750))+0.05*($D49-MIN($D49,MAX(0,MAX(0,$AY49-MIN(($BD48+$Q49+$R49+$S49),2000)-IF($AS49=0,0,IF($AS49=1,4400,1000*$AS49+3400)))+$D49-1107750))),IF($AN49="MD",(0.065+Inputs!$C$74)*$D49,IF($AN49="MI",0.0425*$D49,IF($AN49="MN",0.0625*$D49,IF($AN49="MO",0.047*$D49,IF($AN49="MT",0.05*$D49,IF($AN49="ND",0.015*$D49,IF($AN49="NE",0.035*$D49,IF($AN49="NJ",IF(Inputs!$C$77="B",SUMPRODUCT(($D49*Inputs!$C$8&gt;INDEX('Methodology &amp; Sources'!$B$405:$J$412,0,4))*($D49*Inputs!$C$8-INDEX('Methodology &amp; Sources'!$B$405:$J$412,0,4))*INDEX('Methodology &amp; Sources'!$B$405:$J$412,0,4+2)),IF(Inputs!$C$77="C",SUMPRODUCT(($D49*Inputs!$C$8&gt;INDEX('Methodology &amp; Sources'!$B$405:$J$412,0,7))*($D49*Inputs!$C$8-INDEX('Methodology &amp; Sources'!$B$405:$J$412,0,7))*INDEX('Methodology &amp; Sources'!$B$405:$J$412,0,7+2)),IF(Inputs!$C$77="D",SUMPRODUCT(($D49*Inputs!$C$8&gt;INDEX('Methodology &amp; Sources'!$B$417:$J$429,0,1))*($D49*Inputs!$C$8-INDEX('Methodology &amp; Sources'!$B$417:$J$429,0,1))*INDEX('Methodology &amp; Sources'!$B$417:$J$429,0,1+2)),IF(Inputs!$C$77="E",SUMPRODUCT(($D49*Inputs!$C$8&gt;INDEX('Methodology &amp; Sources'!$B$417:$J$429,0,4))*($D49*Inputs!$C$8-INDEX('Methodology &amp; Sources'!$B$417:$J$429,0,4))*INDEX('Methodology &amp; Sources'!$B$417:$J$429,0,4+2)),SUMPRODUCT(($D49*Inputs!$C$8&gt;INDEX('Methodology &amp; Sources'!$B$405:$J$412,0,1))*($D49*Inputs!$C$8-INDEX('Methodology &amp; Sources'!$B$405:$J$412,0,1))*INDEX('Methodology &amp; Sources'!$B$405:$J$412,0,1+2))))))/Inputs!$C$8,IF($AN49="NY",0.117*$D49,IF($AN49="OH",0.0275*$D49,IF($AN49="OK",0.045*$D49,IF($AN49="OR",0.08*$D49,IF($AN49="WI",IF($AY49&lt;12760,0.0354,IF($AY49&lt;25520,0.0465,IF($AY49&lt;280950,0.053,0.0765)))*$D49,0))))))))))))))))))))</f>
      </c>
      <c r="BD49" s="7">
        <f>IF($B49="","",$BD48+$Q49+$R49+$S49)</f>
      </c>
      <c r="BE49" s="6">
        <f>IF($B49="",$BE48,$BE48+$BF49)</f>
      </c>
      <c r="BF49" s="6">
        <f>IF($B49="","",IF(AND(IF(YEAR(IF(Inputs!$C$7="Weekly",Inputs!$C$9+7*(($BE48+1)-1),IF(Inputs!$C$7="Biweekly",Inputs!$C$9+14*(($BE48+1)-1),IF(Inputs!$C$7="Semimonthly",DATE(YEAR(Inputs!$C$9),MONTH(Inputs!$C$9)+INT((($BE48+1)-1)/2),MIN(DAY(Inputs!$C$9),DAY(EOMONTH(DATE(YEAR(Inputs!$C$9),MONTH(Inputs!$C$9)+INT((($BE48+1)-1)/2),1),0))))+IF(MOD(($BE48+1)-1,2)=1,15,0),EDATE(Inputs!$C$9,($BE48+1)-1)))))&lt;&gt;2026,"",IF(Inputs!$C$7="Weekly",Inputs!$C$9+7*(($BE48+1)-1),IF(Inputs!$C$7="Biweekly",Inputs!$C$9+14*(($BE48+1)-1),IF(Inputs!$C$7="Semimonthly",DATE(YEAR(Inputs!$C$9),MONTH(Inputs!$C$9)+INT((($BE48+1)-1)/2),MIN(DAY(Inputs!$C$9),DAY(EOMONTH(DATE(YEAR(Inputs!$C$9),MONTH(Inputs!$C$9)+INT((($BE48+1)-1)/2),1),0))))+IF(MOD(($BE48+1)-1,2)=1,15,0),EDATE(Inputs!$C$9,($BE48+1)-1)))))&lt;&gt;"",$B49=IF(YEAR(IF(Inputs!$C$7="Weekly",Inputs!$C$9+7*(($BE48+1)-1),IF(Inputs!$C$7="Biweekly",Inputs!$C$9+14*(($BE48+1)-1),IF(Inputs!$C$7="Semimonthly",DATE(YEAR(Inputs!$C$9),MONTH(Inputs!$C$9)+INT((($BE48+1)-1)/2),MIN(DAY(Inputs!$C$9),DAY(EOMONTH(DATE(YEAR(Inputs!$C$9),MONTH(Inputs!$C$9)+INT((($BE48+1)-1)/2),1),0))))+IF(MOD(($BE48+1)-1,2)=1,15,0),EDATE(Inputs!$C$9,($BE48+1)-1)))))&lt;&gt;2026,"",IF(Inputs!$C$7="Weekly",Inputs!$C$9+7*(($BE48+1)-1),IF(Inputs!$C$7="Biweekly",Inputs!$C$9+14*(($BE48+1)-1),IF(Inputs!$C$7="Semimonthly",DATE(YEAR(Inputs!$C$9),MONTH(Inputs!$C$9)+INT((($BE48+1)-1)/2),MIN(DAY(Inputs!$C$9),DAY(EOMONTH(DATE(YEAR(Inputs!$C$9),MONTH(Inputs!$C$9)+INT((($BE48+1)-1)/2),1),0))))+IF(MOD(($BE48+1)-1,2)=1,15,0),EDATE(Inputs!$C$9,($BE48+1)-1)))))),1,0))</f>
      </c>
      <c r="BG49" s="7">
        <f>IF($B49="","",$BG48+$H49)</f>
      </c>
      <c r="BH49" s="7">
        <f>IF($B49="","",$BH48+$I49)</f>
      </c>
      <c r="BI49" s="7">
        <f>IF($B49="","",$BI48+$G49)</f>
      </c>
      <c r="BJ49" s="7">
        <f>IF($B49="","",IFERROR(LOOKUP(2,1/((((Events!$C$6:$C$17="Deduction start"))*(Events!$D$6:$D$17="Health FSA"))*(Events!$B$6:$B$17&lt;=$B49)*(Events!$B$6:$B$17&lt;&gt;"")),Events!$E$6:$E$17),Inputs!$D$38))</f>
      </c>
      <c r="BK49" s="7">
        <f>IF($B49="","",IFERROR(LOOKUP(2,1/((((Events!$C$6:$C$17="Deduction start"))*(Events!$D$6:$D$17="Dependent-care FSA"))*(Events!$B$6:$B$17&lt;=$B49)*(Events!$B$6:$B$17&lt;&gt;"")),Events!$E$6:$E$17),Inputs!$D$39))</f>
      </c>
      <c r="BL49" s="7">
        <f>IF($B49="","",IFERROR(LOOKUP(2,1/((((Events!$C$6:$C$17="Deduction start")+(Events!$C$6:$C$17="Deduction stop"))*(Events!$D$6:$D$17="HSA"))*(Events!$B$6:$B$17&lt;=$B49)*(Events!$B$6:$B$17&lt;&gt;"")),Events!$I$6:$I$17),Inputs!$D$35))</f>
      </c>
      <c r="BM49" s="7">
        <f>IF($B49="","",IFERROR(LOOKUP(2,1/((((Events!$C$6:$C$17="Deduction start")+(Events!$C$6:$C$17="Deduction stop"))*(Events!$D$6:$D$17="Premiums"))*(Events!$B$6:$B$17&lt;=$B49)*(Events!$B$6:$B$17&lt;&gt;"")),Events!$I$6:$I$17),Inputs!$D$40+Inputs!$D$41+Inputs!$D$42))</f>
      </c>
      <c r="BN49" s="7">
        <f>IF($B49="","",IFERROR(LOOKUP(2,1/((((Events!$C$6:$C$17="Deduction start")+(Events!$C$6:$C$17="Deduction stop"))*(Events!$D$6:$D$17="Commuter"))*(Events!$B$6:$B$17&lt;=$B49)*(Events!$B$6:$B$17&lt;&gt;"")),Events!$I$6:$I$17),Inputs!$D$43))</f>
      </c>
      <c r="BO49" s="7">
        <f>IF($B49="","",IFERROR(LOOKUP(2,1/((((Events!$C$6:$C$17="Deduction start")+(Events!$C$6:$C$17="Deduction stop"))*(Events!$D$6:$D$17="Other pre-tax"))*(Events!$B$6:$B$17&lt;=$B49)*(Events!$B$6:$B$17&lt;&gt;"")),Events!$I$6:$I$17),Inputs!$D$44))</f>
      </c>
      <c r="BP49" s="7">
        <f>IF($B49="","",IFERROR(LOOKUP(2,1/((((Events!$C$6:$C$17="Deduction start")+(Events!$C$6:$C$17="Deduction stop"))*(Events!$D$6:$D$17="Other post-tax"))*(Events!$B$6:$B$17&lt;=$B49)*(Events!$B$6:$B$17&lt;&gt;"")),Events!$I$6:$I$17),Inputs!$D$45))</f>
      </c>
      <c r="BQ49" s="6">
        <f>IF($B49="","",IFERROR(LOOKUP(2,1/((((Events!$C$6:$C$17="Deduction start")+(Events!$C$6:$C$17="Deduction stop"))*(Events!$D$6:$D$17="Health FSA"))*(Events!$B$6:$B$17&lt;=$B49)*(Events!$B$6:$B$17&lt;&gt;"")),Events!$J$6:$J$17),0))</f>
      </c>
      <c r="BR49" s="6">
        <f>IF($B49="","",IFERROR(LOOKUP(2,1/((((Events!$C$6:$C$17="Deduction start")+(Events!$C$6:$C$17="Deduction stop"))*(Events!$D$6:$D$17="Dependent-care FSA"))*(Events!$B$6:$B$17&lt;=$B49)*(Events!$B$6:$B$17&lt;&gt;"")),Events!$J$6:$J$17),0))</f>
      </c>
      <c r="BS49" s="6">
        <f>IF($B49="","",IF(SUMPRODUCT((Events!$C$6:$C$17="Deduction start")*(Events!$B$6:$B$17&lt;=$B49)*(Events!$B$6:$B$17&lt;&gt;"")*(Events!$D$6:$D$17="Health FSA"))&gt;0,1,0))</f>
      </c>
      <c r="BT49" s="6">
        <f>IF($B49="","",IF(SUMPRODUCT((Events!$C$6:$C$17="Deduction start")*(Events!$B$6:$B$17&lt;=$B49)*(Events!$B$6:$B$17&lt;&gt;"")*(Events!$D$6:$D$17="Dependent-care FSA"))&gt;0,1,0))</f>
      </c>
      <c r="BU49" s="24">
        <f>IF($B49="","",IF(Inputs!$C$13,SUMPRODUCT(($AH49&gt;=INDEX('Methodology &amp; Sources'!$B$279:$J$286,0,IF(Inputs!$C$12="MFJ",1,IF(Inputs!$C$12="HoH",7,4))))*INDEX('Methodology &amp; Sources'!$B$279:$J$286,0,IF(Inputs!$C$12="MFJ",1,IF(Inputs!$C$12="HoH",7,4))+2)),SUMPRODUCT(($AH49&gt;=INDEX('Methodology &amp; Sources'!$B$269:$J$276,0,IF(Inputs!$C$12="MFJ",1,IF(Inputs!$C$12="HoH",7,4))))*INDEX('Methodology &amp; Sources'!$B$269:$J$276,0,IF(Inputs!$C$12="MFJ",1,IF(Inputs!$C$12="HoH",7,4))+2))))</f>
      </c>
      <c r="BV49" s="24">
        <f>IF($B49="","",IF($BZ49&lt;&gt;"",$BZ49,IF($CA49&lt;&gt;"",$CA49,IF($CB49&lt;&gt;"",$CB49,IF($CC49&lt;&gt;"",$CC49,0)))))</f>
      </c>
      <c r="BW49" s="7">
        <f>IF($B49="","",IF($AN49="MD",IF(OR($AU49="Married",$AU49="Head of household"),SUMPRODUCT(($AZ49&gt;INDEX('Methodology &amp; Sources'!$B$364:$J$370,0,1))*($AZ49-INDEX('Methodology &amp; Sources'!$B$364:$J$370,0,1))*INDEX('Methodology &amp; Sources'!$B$364:$J$370,0,1+2)),SUMPRODUCT(($AZ49&gt;INDEX('Methodology &amp; Sources'!$B$353:$J$359,0,7))*($AZ49-INDEX('Methodology &amp; Sources'!$B$353:$J$359,0,7))*INDEX('Methodology &amp; Sources'!$B$353:$J$359,0,7+2))),IF($AN49="MO",SUMPRODUCT(($AZ49&gt;INDEX('Methodology &amp; Sources'!$B$375:$J$382,0,1))*($AZ49-INDEX('Methodology &amp; Sources'!$B$375:$J$382,0,1))*INDEX('Methodology &amp; Sources'!$B$375:$J$382,0,1+2)),IF($AN49="MT",IF($AU49="Head of household",SUMPRODUCT(($AZ49&gt;INDEX('Methodology &amp; Sources'!$B$387:$J$389,0,1))*($AZ49-INDEX('Methodology &amp; Sources'!$B$387:$J$389,0,1))*INDEX('Methodology &amp; Sources'!$B$387:$J$389,0,1+2)),IF($AU49="Married",SUMPRODUCT(($AZ49&gt;INDEX('Methodology &amp; Sources'!$B$375:$J$382,0,7))*($AZ49-INDEX('Methodology &amp; Sources'!$B$375:$J$382,0,7))*INDEX('Methodology &amp; Sources'!$B$375:$J$382,0,7+2)),SUMPRODUCT(($AZ49&gt;INDEX('Methodology &amp; Sources'!$B$375:$J$382,0,4))*($AZ49-INDEX('Methodology &amp; Sources'!$B$375:$J$382,0,4))*INDEX('Methodology &amp; Sources'!$B$375:$J$382,0,4+2)))),IF($AN49="ND",IF($AU49="Head of household",SUMPRODUCT(($AZ49&gt;INDEX('Methodology &amp; Sources'!$B$394:$J$400,0,1))*($AZ49-INDEX('Methodology &amp; Sources'!$B$394:$J$400,0,1))*INDEX('Methodology &amp; Sources'!$B$394:$J$400,0,1+2)),IF($AU49="Married",SUMPRODUCT(($AZ49&gt;INDEX('Methodology &amp; Sources'!$B$387:$J$389,0,7))*($AZ49-INDEX('Methodology &amp; Sources'!$B$387:$J$389,0,7))*INDEX('Methodology &amp; Sources'!$B$387:$J$389,0,7+2)),SUMPRODUCT(($AZ49&gt;INDEX('Methodology &amp; Sources'!$B$387:$J$389,0,4))*($AZ49-INDEX('Methodology &amp; Sources'!$B$387:$J$389,0,4))*INDEX('Methodology &amp; Sources'!$B$387:$J$389,0,4+2)))),IF($AN49="NJ",IF(Inputs!$C$77="B",SUMPRODUCT(($AZ49&gt;INDEX('Methodology &amp; Sources'!$B$405:$J$412,0,4))*($AZ49-INDEX('Methodology &amp; Sources'!$B$405:$J$412,0,4))*INDEX('Methodology &amp; Sources'!$B$405:$J$412,0,4+2)),IF(Inputs!$C$77="C",SUMPRODUCT(($AZ49&gt;INDEX('Methodology &amp; Sources'!$B$405:$J$412,0,7))*($AZ49-INDEX('Methodology &amp; Sources'!$B$405:$J$412,0,7))*INDEX('Methodology &amp; Sources'!$B$405:$J$412,0,7+2)),IF(Inputs!$C$77="D",SUMPRODUCT(($AZ49&gt;INDEX('Methodology &amp; Sources'!$B$417:$J$429,0,1))*($AZ49-INDEX('Methodology &amp; Sources'!$B$417:$J$429,0,1))*INDEX('Methodology &amp; Sources'!$B$417:$J$429,0,1+2)),IF(Inputs!$C$77="E",SUMPRODUCT(($AZ49&gt;INDEX('Methodology &amp; Sources'!$B$417:$J$429,0,4))*($AZ49-INDEX('Methodology &amp; Sources'!$B$417:$J$429,0,4))*INDEX('Methodology &amp; Sources'!$B$417:$J$429,0,4+2)),SUMPRODUCT(($AZ49&gt;INDEX('Methodology &amp; Sources'!$B$405:$J$412,0,1))*($AZ49-INDEX('Methodology &amp; Sources'!$B$405:$J$412,0,1))*INDEX('Methodology &amp; Sources'!$B$405:$J$412,0,1+2)))))),IF($AN49="NY",IF($AU49="Married",IF($AZ49&gt;=2155350,$AZ49*IF($AZ49&gt;25000000,0.117,IF($AZ49&gt;5000000,0.111,0.1045)),SUMPRODUCT(($AZ49&gt;INDEX('Methodology &amp; Sources'!$B$434:$J$448,0,1))*($AZ49-INDEX('Methodology &amp; Sources'!$B$434:$J$448,0,1))*INDEX('Methodology &amp; Sources'!$B$434:$J$448,0,1+2))),IF($AZ49&gt;=1077550,$AZ49*IF($AZ49&gt;25000000,0.117,IF($AZ49&gt;5000000,0.111,0.1045)),SUMPRODUCT(($AZ49&gt;INDEX('Methodology &amp; Sources'!$B$417:$J$429,0,7))*($AZ49-INDEX('Methodology &amp; Sources'!$B$417:$J$429,0,7))*INDEX('Methodology &amp; Sources'!$B$417:$J$429,0,7+2)))),"")))))))</f>
      </c>
      <c r="BX49" s="7">
        <f>IF($B49="","",IF($AN49="AL",IF(OR($AU49="Married",$AU49="Head of household"),SUMPRODUCT(($AZ49&gt;INDEX('Methodology &amp; Sources'!$B$332:$J$336,0,4))*($AZ49-INDEX('Methodology &amp; Sources'!$B$332:$J$336,0,4))*INDEX('Methodology &amp; Sources'!$B$332:$J$336,0,4+2)),SUMPRODUCT(($AZ49&gt;INDEX('Methodology &amp; Sources'!$B$332:$J$336,0,1))*($AZ49-INDEX('Methodology &amp; Sources'!$B$332:$J$336,0,1))*INDEX('Methodology &amp; Sources'!$B$332:$J$336,0,1+2))),IF($AN49="KS",IF($AU49="Married",SUMPRODUCT(($AZ49&gt;INDEX('Methodology &amp; Sources'!$B$353:$J$359,0,4))*($AZ49-INDEX('Methodology &amp; Sources'!$B$353:$J$359,0,4))*INDEX('Methodology &amp; Sources'!$B$353:$J$359,0,4+2)),SUMPRODUCT(($AZ49&gt;INDEX('Methodology &amp; Sources'!$B$353:$J$359,0,1))*($AZ49-INDEX('Methodology &amp; Sources'!$B$353:$J$359,0,1))*INDEX('Methodology &amp; Sources'!$B$353:$J$359,0,1+2))),IF($AN49="MN",IF($AU49="Married",SUMPRODUCT(($AZ49&gt;INDEX('Methodology &amp; Sources'!$B$364:$J$370,0,7))*($AZ49-INDEX('Methodology &amp; Sources'!$B$364:$J$370,0,7))*INDEX('Methodology &amp; Sources'!$B$364:$J$370,0,7+2)),SUMPRODUCT(($AZ49&gt;INDEX('Methodology &amp; Sources'!$B$364:$J$370,0,4))*($AZ49-INDEX('Methodology &amp; Sources'!$B$364:$J$370,0,4))*INDEX('Methodology &amp; Sources'!$B$364:$J$370,0,4+2))),IF($AN49="NE",MAX(IF($AU49="Married",SUMPRODUCT(($AZ49&gt;INDEX('Methodology &amp; Sources'!$B$394:$J$400,0,7))*($AZ49-INDEX('Methodology &amp; Sources'!$B$394:$J$400,0,7))*INDEX('Methodology &amp; Sources'!$B$394:$J$400,0,7+2)),SUMPRODUCT(($AZ49&gt;INDEX('Methodology &amp; Sources'!$B$394:$J$400,0,4))*($AZ49-INDEX('Methodology &amp; Sources'!$B$394:$J$400,0,4))*INDEX('Methodology &amp; Sources'!$B$394:$J$400,0,4+2))),0.015*$AZ49),IF($AN49="OH",IF($B49&gt;=DATE(2026,8,1),SUMPRODUCT(($AZ49&gt;INDEX('Methodology &amp; Sources'!$B$453:$J$456,0,1))*($AZ49-INDEX('Methodology &amp; Sources'!$B$453:$J$456,0,1))*INDEX('Methodology &amp; Sources'!$B$453:$J$456,0,1+2)),SUMPRODUCT(($AZ49&gt;INDEX('Methodology &amp; Sources'!$B$434:$J$448,0,7))*($AZ49-INDEX('Methodology &amp; Sources'!$B$434:$J$448,0,7))*INDEX('Methodology &amp; Sources'!$B$434:$J$448,0,7+2))),IF($AN49="OK",IF($AU49="Married",SUMPRODUCT(($AZ49&gt;INDEX('Methodology &amp; Sources'!$B$453:$J$456,0,7))*($AZ49-INDEX('Methodology &amp; Sources'!$B$453:$J$456,0,7))*INDEX('Methodology &amp; Sources'!$B$453:$J$456,0,7+2)),SUMPRODUCT(($AZ49&gt;INDEX('Methodology &amp; Sources'!$B$453:$J$456,0,4))*($AZ49-INDEX('Methodology &amp; Sources'!$B$453:$J$456,0,4))*INDEX('Methodology &amp; Sources'!$B$453:$J$456,0,4+2))),IF($AN49="RI",SUMPRODUCT(($AZ49&gt;INDEX('Methodology &amp; Sources'!$B$461:$J$464,0,7))*($AZ49-INDEX('Methodology &amp; Sources'!$B$461:$J$464,0,7))*INDEX('Methodology &amp; Sources'!$B$461:$J$464,0,7+2)),IF($AN49="VT",IF($AU49="Married",SUMPRODUCT(($AZ49&gt;INDEX('Methodology &amp; Sources'!$B$478:$J$482,0,1))*($AZ49-INDEX('Methodology &amp; Sources'!$B$478:$J$482,0,1))*INDEX('Methodology &amp; Sources'!$B$478:$J$482,0,1+2)),SUMPRODUCT(($AZ49&gt;INDEX('Methodology &amp; Sources'!$B$469:$J$473,0,7))*($AZ49-INDEX('Methodology &amp; Sources'!$B$469:$J$473,0,7))*INDEX('Methodology &amp; Sources'!$B$469:$J$473,0,7+2))),IF($AN49="WV",IF($AU49="Married",SUMPRODUCT(($AZ49&gt;INDEX('Methodology &amp; Sources'!$B$487:$J$491,0,7))*($AZ49-INDEX('Methodology &amp; Sources'!$B$487:$J$491,0,7))*INDEX('Methodology &amp; Sources'!$B$487:$J$491,0,7+2)),SUMPRODUCT(($AZ49&gt;INDEX('Methodology &amp; Sources'!$B$478:$J$482,0,7))*($AZ49-INDEX('Methodology &amp; Sources'!$B$478:$J$482,0,7))*INDEX('Methodology &amp; Sources'!$B$478:$J$482,0,7+2))),""))))))))))</f>
      </c>
      <c r="BY49" s="7">
        <f>IF($B49="","",IF($AN49="AR",SUMPRODUCT(($AZ49&gt;INDEX('Methodology &amp; Sources'!$B$332:$J$336,0,7))*($AZ49-INDEX('Methodology &amp; Sources'!$B$332:$J$336,0,7))*INDEX('Methodology &amp; Sources'!$B$332:$J$336,0,7+2)),IF($AN49="DE",SUMPRODUCT(($AZ49&gt;INDEX('Methodology &amp; Sources'!$B$341:$J$348,0,1))*($AZ49-INDEX('Methodology &amp; Sources'!$B$341:$J$348,0,1))*INDEX('Methodology &amp; Sources'!$B$341:$J$348,0,1+2)),IF($AN49="HI",IF($AU49="Married",SUMPRODUCT(($AZ49&gt;INDEX('Methodology &amp; Sources'!$B$341:$J$348,0,7))*($AZ49-INDEX('Methodology &amp; Sources'!$B$341:$J$348,0,7))*INDEX('Methodology &amp; Sources'!$B$341:$J$348,0,7+2)),SUMPRODUCT(($AZ49&gt;INDEX('Methodology &amp; Sources'!$B$341:$J$348,0,4))*($AZ49-INDEX('Methodology &amp; Sources'!$B$341:$J$348,0,4))*INDEX('Methodology &amp; Sources'!$B$341:$J$348,0,4+2))),IF($AN49="SC",SUMPRODUCT(($AZ49&gt;INDEX('Methodology &amp; Sources'!$B$469:$J$473,0,1))*($AZ49-INDEX('Methodology &amp; Sources'!$B$469:$J$473,0,1))*INDEX('Methodology &amp; Sources'!$B$469:$J$473,0,1+2)),IF($AN49="VA",SUMPRODUCT(($AZ49&gt;INDEX('Methodology &amp; Sources'!$B$469:$J$473,0,4))*($AZ49-INDEX('Methodology &amp; Sources'!$B$469:$J$473,0,4))*INDEX('Methodology &amp; Sources'!$B$469:$J$473,0,4+2)),IF($AN49="WI",SUMPRODUCT(($AZ49&gt;INDEX('Methodology &amp; Sources'!$B$478:$J$482,0,4))*($AZ49-INDEX('Methodology &amp; Sources'!$B$478:$J$482,0,4))*INDEX('Methodology &amp; Sources'!$B$478:$J$482,0,4+2)),"")))))))</f>
      </c>
      <c r="BZ49" s="24">
        <f>IF($B49="","",IF($AN49="NJ",IF(Inputs!$C$77="B",SUMPRODUCT(($AZ49&gt;=INDEX('Methodology &amp; Sources'!$B$405:$J$412,0,4))*INDEX('Methodology &amp; Sources'!$B$405:$J$412,0,4+2)),IF(Inputs!$C$77="C",SUMPRODUCT(($AZ49&gt;=INDEX('Methodology &amp; Sources'!$B$405:$J$412,0,7))*INDEX('Methodology &amp; Sources'!$B$405:$J$412,0,7+2)),IF(Inputs!$C$77="D",SUMPRODUCT(($AZ49&gt;=INDEX('Methodology &amp; Sources'!$B$417:$J$429,0,1))*INDEX('Methodology &amp; Sources'!$B$417:$J$429,0,1+2)),IF(Inputs!$C$77="E",SUMPRODUCT(($AZ49&gt;=INDEX('Methodology &amp; Sources'!$B$417:$J$429,0,4))*INDEX('Methodology &amp; Sources'!$B$417:$J$429,0,4+2)),SUMPRODUCT(($AZ49&gt;=INDEX('Methodology &amp; Sources'!$B$405:$J$412,0,1))*INDEX('Methodology &amp; Sources'!$B$405:$J$412,0,1+2)))))),IF($AN49="OR",IF(OR($AU49="Married",AND($AU49="Single",$AS49&gt;=3)),SUMPRODUCT((MAX(0,$AY49-MIN(($P49-'Methodology &amp; Sources'!$C$260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Sources'!$B$461:$J$464,0,4))*INDEX('Methodology &amp; Sources'!$B$461:$J$464,0,4+2)),SUMPRODUCT((MAX(0,$AY49-MIN(($P49-'Methodology &amp; Sources'!$C$260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Sources'!$B$461:$J$464,0,1))*INDEX('Methodology &amp; Sources'!$B$461:$J$464,0,1+2)))*IF(($P49-'Methodology &amp; Sources'!$C$260*$D49)*Inputs!$C$8&gt;=IF(OR($AU49="Married",AND($AU49="Single",$AS49&gt;=3)),IF($AY49&lt;250000,8750,IF($AY49&lt;260000,7000,IF($AY49&lt;270000,5250,IF($AY49&lt;280000,3500,IF($AY49&lt;290000,1750,0))))),IF($AY49&lt;125000,8750,IF($AY49&lt;130000,7000,IF($AY49&lt;135000,5250,IF($AY49&lt;140000,3500,IF($AY49&lt;145000,1750,0)))))),1,1-IF(Inputs!$C$13,SUMPRODUCT(($AH49&gt;=INDEX('Methodology &amp; Sources'!$B$279:$J$286,0,IF(Inputs!$C$12="MFJ",1,IF(Inputs!$C$12="HoH",7,4))))*INDEX('Methodology &amp; Sources'!$B$279:$J$286,0,IF(Inputs!$C$12="MFJ",1,IF(Inputs!$C$12="HoH",7,4))+2)),SUMPRODUCT(($AH49&gt;=INDEX('Methodology &amp; Sources'!$B$269:$J$276,0,IF(Inputs!$C$12="MFJ",1,IF(Inputs!$C$12="HoH",7,4))))*INDEX('Methodology &amp; Sources'!$B$269:$J$276,0,IF(Inputs!$C$12="MFJ",1,IF(Inputs!$C$12="HoH",7,4))+2)))),IF($AN49="MI",IF($AY49&gt;5900*$AS49,0.0425,0),""))))</f>
      </c>
      <c r="CA49" s="24">
        <f>IF($B49="","",IF($AN49="AL",IF(OR($AU49="Married",$AU49="Head of household"),SUMPRODUCT(($AZ49&gt;=INDEX('Methodology &amp; Sources'!$B$332:$J$336,0,4))*INDEX('Methodology &amp; Sources'!$B$332:$J$336,0,4+2)),SUMPRODUCT(($AZ49&gt;=INDEX('Methodology &amp; Sources'!$B$332:$J$336,0,1))*INDEX('Methodology &amp; Sources'!$B$332:$J$336,0,1+2)))*(1-IF(Inputs!$C$13,SUMPRODUCT(($AH49&gt;=INDEX('Methodology &amp; Sources'!$B$279:$J$286,0,IF(Inputs!$C$12="MFJ",1,IF(Inputs!$C$12="HoH",7,4))))*INDEX('Methodology &amp; Sources'!$B$279:$J$286,0,IF(Inputs!$C$12="MFJ",1,IF(Inputs!$C$12="HoH",7,4))+2)),SUMPRODUCT(($AH49&gt;=INDEX('Methodology &amp; Sources'!$B$269:$J$276,0,IF(Inputs!$C$12="MFJ",1,IF(Inputs!$C$12="HoH",7,4))))*INDEX('Methodology &amp; Sources'!$B$269:$J$276,0,IF(Inputs!$C$12="MFJ",1,IF(Inputs!$C$12="HoH",7,4))+2)))),IF($AN49="KS",IF($AU49="Married",SUMPRODUCT(($AZ49&gt;=INDEX('Methodology &amp; Sources'!$B$353:$J$359,0,4))*INDEX('Methodology &amp; Sources'!$B$353:$J$359,0,4+2)),SUMPRODUCT(($AZ49&gt;=INDEX('Methodology &amp; Sources'!$B$353:$J$359,0,1))*INDEX('Methodology &amp; Sources'!$B$353:$J$359,0,1+2))),IF($AN49="MD",IF(OR($AU49="Married",$AU49="Head of household"),SUMPRODUCT(($AZ49&gt;=INDEX('Methodology &amp; Sources'!$B$364:$J$370,0,1))*INDEX('Methodology &amp; Sources'!$B$364:$J$370,0,1+2)),SUMPRODUCT(($AZ49&gt;=INDEX('Methodology &amp; Sources'!$B$353:$J$359,0,7))*INDEX('Methodology &amp; Sources'!$B$353:$J$359,0,7+2)))+Inputs!$C$74,IF($AN49="MT",IF($AU49="Head of household",SUMPRODUCT(($AZ49&gt;=INDEX('Methodology &amp; Sources'!$B$387:$J$389,0,1))*INDEX('Methodology &amp; Sources'!$B$387:$J$389,0,1+2)),IF($AU49="Married",SUMPRODUCT(($AZ49&gt;=INDEX('Methodology &amp; Sources'!$B$375:$J$382,0,7))*INDEX('Methodology &amp; Sources'!$B$375:$J$382,0,7+2)),SUMPRODUCT(($AZ49&gt;=INDEX('Methodology &amp; Sources'!$B$375:$J$382,0,4))*INDEX('Methodology &amp; Sources'!$B$375:$J$382,0,4+2)))),IF($AN49="ND",IF($AU49="Head of household",SUMPRODUCT(($AZ49&gt;=INDEX('Methodology &amp; Sources'!$B$394:$J$400,0,1))*INDEX('Methodology &amp; Sources'!$B$394:$J$400,0,1+2)),IF($AU49="Married",SUMPRODUCT(($AZ49&gt;=INDEX('Methodology &amp; Sources'!$B$387:$J$389,0,7))*INDEX('Methodology &amp; Sources'!$B$387:$J$389,0,7+2)),SUMPRODUCT(($AZ49&gt;=INDEX('Methodology &amp; Sources'!$B$387:$J$389,0,4))*INDEX('Methodology &amp; Sources'!$B$387:$J$389,0,4+2)))),IF($AN49="NY",IF($AU49="Married",IF($AZ49&gt;=2155350,IF($AZ49&gt;25000000,0.117,IF($AZ49&gt;5000000,0.111,0.1045)),SUMPRODUCT(($AZ49&gt;=INDEX('Methodology &amp; Sources'!$B$434:$J$448,0,1))*INDEX('Methodology &amp; Sources'!$B$434:$J$448,0,1+2))),IF($AZ49&gt;=1077550,IF($AZ49&gt;25000000,0.117,IF($AZ49&gt;5000000,0.111,0.1045)),SUMPRODUCT(($AZ49&gt;=INDEX('Methodology &amp; Sources'!$B$417:$J$429,0,7))*INDEX('Methodology &amp; Sources'!$B$417:$J$429,0,7+2)))),"")))))))</f>
      </c>
      <c r="CB49" s="24">
        <f>IF($B49="","",IF($AN49="CA",SUMPRODUCT(($AJ49&gt;=INDEX('Methodology &amp; Sources'!$B$289:$J$298,0,IF($AU49="Married",4,IF($AU49="Head of household",7,1))))*INDEX('Methodology &amp; Sources'!$B$289:$J$298,0,IF($AU49="Married",4,IF($AU49="Head of household",7,1))+2)),IF($AN49="HI",IF($AU49="Married",SUMPRODUCT(($AZ49&gt;=INDEX('Methodology &amp; Sources'!$B$341:$J$348,0,7))*INDEX('Methodology &amp; Sources'!$B$341:$J$348,0,7+2)),SUMPRODUCT(($AZ49&gt;=INDEX('Methodology &amp; Sources'!$B$341:$J$348,0,4))*INDEX('Methodology &amp; Sources'!$B$341:$J$348,0,4+2))),IF($AN49="MN",IF($AU49="Married",SUMPRODUCT(($AZ49&gt;=INDEX('Methodology &amp; Sources'!$B$364:$J$370,0,7))*INDEX('Methodology &amp; Sources'!$B$364:$J$370,0,7+2)),SUMPRODUCT(($AZ49&gt;=INDEX('Methodology &amp; Sources'!$B$364:$J$370,0,4))*INDEX('Methodology &amp; Sources'!$B$364:$J$370,0,4+2))),IF($AN49="MO",SUMPRODUCT(($AZ49&gt;=INDEX('Methodology &amp; Sources'!$B$375:$J$382,0,1))*INDEX('Methodology &amp; Sources'!$B$375:$J$382,0,1+2)),IF($AN49="NE",MAX(IF($AU49="Married",SUMPRODUCT(($AZ49&gt;=INDEX('Methodology &amp; Sources'!$B$394:$J$400,0,7))*INDEX('Methodology &amp; Sources'!$B$394:$J$400,0,7+2)),SUMPRODUCT(($AZ49&gt;=INDEX('Methodology &amp; Sources'!$B$394:$J$400,0,4))*INDEX('Methodology &amp; Sources'!$B$394:$J$400,0,4+2))),0.015),IF($AN49="OH",IF($B49&gt;=DATE(2026,8,1),SUMPRODUCT(($AZ49&gt;=INDEX('Methodology &amp; Sources'!$B$453:$J$456,0,1))*INDEX('Methodology &amp; Sources'!$B$453:$J$456,0,1+2)),SUMPRODUCT(($AZ49&gt;=INDEX('Methodology &amp; Sources'!$B$434:$J$448,0,7))*INDEX('Methodology &amp; Sources'!$B$434:$J$448,0,7+2))),IF($AN49="OK",IF($AU49="Married",SUMPRODUCT(($AZ49&gt;=INDEX('Methodology &amp; Sources'!$B$453:$J$456,0,7))*INDEX('Methodology &amp; Sources'!$B$453:$J$456,0,7+2)),SUMPRODUCT(($AZ49&gt;=INDEX('Methodology &amp; Sources'!$B$453:$J$456,0,4))*INDEX('Methodology &amp; Sources'!$B$453:$J$456,0,4+2))),IF($AN49="RI",SUMPRODUCT(($AZ49&gt;=INDEX('Methodology &amp; Sources'!$B$461:$J$464,0,7))*INDEX('Methodology &amp; Sources'!$B$461:$J$464,0,7+2)),IF($AN49="SC",SUMPRODUCT(($AZ49&gt;=INDEX('Methodology &amp; Sources'!$B$469:$J$473,0,1))*INDEX('Methodology &amp; Sources'!$B$469:$J$473,0,1+2)),IF($AN49="VT",IF($AU49="Married",SUMPRODUCT(($AZ49&gt;=INDEX('Methodology &amp; Sources'!$B$478:$J$482,0,1))*INDEX('Methodology &amp; Sources'!$B$478:$J$482,0,1+2)),SUMPRODUCT(($AZ49&gt;=INDEX('Methodology &amp; Sources'!$B$469:$J$473,0,7))*INDEX('Methodology &amp; Sources'!$B$469:$J$473,0,7+2))),IF($AN49="WV",IF($AU49="Married",SUMPRODUCT(($AZ49&gt;=INDEX('Methodology &amp; Sources'!$B$487:$J$491,0,7))*INDEX('Methodology &amp; Sources'!$B$487:$J$491,0,7+2)),SUMPRODUCT(($AZ49&gt;=INDEX('Methodology &amp; Sources'!$B$478:$J$482,0,7))*INDEX('Methodology &amp; Sources'!$B$478:$J$482,0,7+2))),IF($AN49="IN",(0.0295+Inputs!$C$76),"")))))))))))))</f>
      </c>
      <c r="CC49" s="24">
        <f>IF($B49="","",IF($AN49="AR",SUMPRODUCT(($AZ49&gt;=INDEX('Methodology &amp; Sources'!$B$332:$J$336,0,7))*INDEX('Methodology &amp; Sources'!$B$332:$J$336,0,7+2)),IF($AN49="DE",SUMPRODUCT(($AZ49&gt;=INDEX('Methodology &amp; Sources'!$B$341:$J$348,0,1))*INDEX('Methodology &amp; Sources'!$B$341:$J$348,0,1+2)),IF($AN49="VA",SUMPRODUCT(($AZ49&gt;=INDEX('Methodology &amp; Sources'!$B$469:$J$473,0,4))*INDEX('Methodology &amp; Sources'!$B$469:$J$473,0,4+2)),IF($AN49="WI",SUMPRODUCT(($AZ49&gt;=INDEX('Methodology &amp; Sources'!$B$478:$J$482,0,4))*INDEX('Methodology &amp; Sources'!$B$478:$J$482,0,4+2)),IF($AN49="AZ",Inputs!$C$82,IF($AN49="CO",IF($AY49&gt;IF($AU49="Married",10000,5000),0.044,0),IF($AN49="IA",IF($AY49&gt;IF($AU49="Head of household",19500,IF($AU49="Married",26000,13000)),0.038,0),IF($AN49="ID",IF($AY49&gt;IF($AU49="Married",32000,16094),0.053,0),IF($AN49="IL",IF($AY49&gt;(2925*$AS49+1000*$AT49),0.0495,0),IF($AN49="KY",IF($AI49&gt;3360,0.035,0),IF($AN49="LA",0.0309,IF($AN49="MA",IF(MAX(0,$AY49-MIN(($BD48+$Q49+$R49+$S49),2000)-IF($AS49=0,0,IF($AS49=1,4400,1000*$AS49+3400)))&gt;=1107750,0.09,0.05),IF($AN49="MS",IF($AI49-IF($AU49="Head of household",3400,IF($AU49="Married",4600,2300))-Inputs!$C$85&gt;10000,0.04,0),IF($AN49="PA",0.0307,"")))))))))))))))</f>
      </c>
      <c r="CD49" s="21">
        <f>IF(YEAR(IF(Inputs!$C$7="Weekly",Inputs!$C$9+7*(($BE48+1)-1),IF(Inputs!$C$7="Biweekly",Inputs!$C$9+14*(($BE48+1)-1),IF(Inputs!$C$7="Semimonthly",DATE(YEAR(Inputs!$C$9),MONTH(Inputs!$C$9)+INT((($BE48+1)-1)/2),MIN(DAY(Inputs!$C$9),DAY(EOMONTH(DATE(YEAR(Inputs!$C$9),MONTH(Inputs!$C$9)+INT((($BE48+1)-1)/2),1),0))))+IF(MOD(($BE48+1)-1,2)=1,15,0),EDATE(Inputs!$C$9,($BE48+1)-1)))))&lt;&gt;2026,"",IF(Inputs!$C$7="Weekly",Inputs!$C$9+7*(($BE48+1)-1),IF(Inputs!$C$7="Biweekly",Inputs!$C$9+14*(($BE48+1)-1),IF(Inputs!$C$7="Semimonthly",DATE(YEAR(Inputs!$C$9),MONTH(Inputs!$C$9)+INT((($BE48+1)-1)/2),MIN(DAY(Inputs!$C$9),DAY(EOMONTH(DATE(YEAR(Inputs!$C$9),MONTH(Inputs!$C$9)+INT((($BE48+1)-1)/2),1),0))))+IF(MOD(($BE48+1)-1,2)=1,15,0),EDATE(Inputs!$C$9,($BE48+1)-1)))))</f>
      </c>
      <c r="CE49" s="21">
        <f>IF(SUMPRODUCT(MIN(IF((Inputs!$C$58:$C$67&gt;MAX($B$6:$B48))*(Inputs!$C$58:$C$67&gt;=DATE(2026,1,1))*(Inputs!$C$58:$C$67&lt;=DATE(2026,12,31)),Inputs!$C$58:$C$67,999999)))=999999,"",SUMPRODUCT(MIN(IF((Inputs!$C$58:$C$67&gt;MAX($B$6:$B48))*(Inputs!$C$58:$C$67&gt;=DATE(2026,1,1))*(Inputs!$C$58:$C$67&lt;=DATE(2026,12,31)),Inputs!$C$58:$C$67,999999))))</f>
      </c>
    </row>
    <row r="50">
      <c r="A50" t="n">
        <v>45</v>
      </c>
      <c r="B50" s="21">
        <f>IF(AND($CD50="",$CE50=""),"",IF($CE50="",$CD50,IF($CD50="",$CE50,MIN($CD50,$CE50))))</f>
      </c>
      <c r="C50" s="7">
        <f>IF($B50="","",IF($BF50=0,0,IF(Inputs!$C$4="Annual salary",ROUND($AK50/IF(AND(Inputs!$C$88="Actual paydays",MONTH(Inputs!$C$9)=1),MAX(1,MAX($BE$6:$BE$68)),Inputs!$C$8),2),$AK50)))</f>
      </c>
      <c r="D50" s="7">
        <f>IF($B50="","",SUMIF(Inputs!$C$58:$C$67,$B50,Inputs!$D$58:$D$67))</f>
      </c>
      <c r="E50" s="7">
        <f>IF($B50="","",ROUND(MAX(0,MIN(IF($AL50="Percent",$AM50*($C50+$D50),$AM50),MAX(0,Inputs!$C$91-$AC49))),2))</f>
      </c>
      <c r="F50" s="7">
        <f>IF($B50="","",ROUND(MAX(0,MIN(IF(Inputs!$C$32="Percent",Inputs!$D$32*($C50+$D50),Inputs!$D$32),MAX(0,Inputs!$C$91-$AC49-$E50))),2))</f>
      </c>
      <c r="G50" s="7">
        <f>IF($B50="","",IF($BF50=0,0,ROUND(MAX(0,MIN($BL50,Inputs!$C$92-Inputs!$C$54-$BI49)),2)))</f>
      </c>
      <c r="H50" s="7">
        <f>IF($B50="","",IF(OR($BF50=0,$BQ50=1),0,ROUND(MAX(0,MIN(IF($BS50=1,ROUND(MAX(0,MIN($BJ50,'Methodology &amp; Sources'!$C$263)-$BG49)/MAX(1,MAX($BE$6:$BE$68)-($BE49)),2),ROUND(MIN($BJ50,'Methodology &amp; Sources'!$C$263)/Inputs!$C$8,2)),MIN($BJ50,'Methodology &amp; Sources'!$C$263)-$BG49)),2)))</f>
      </c>
      <c r="I50" s="7">
        <f>IF($B50="","",IF(OR($BF50=0,$BR50=1),0,ROUND(MAX(0,MIN(IF($BT50=1,ROUND(MAX(0,MIN($BK50,IF(Inputs!$C$12="MFJ",'Methodology &amp; Sources'!$C$264,'Methodology &amp; Sources'!$C$265))-$BH49)/MAX(1,MAX($BE$6:$BE$68)-($BE49)),2),ROUND(MIN($BK50,IF(Inputs!$C$12="MFJ",'Methodology &amp; Sources'!$C$264,'Methodology &amp; Sources'!$C$265))/Inputs!$C$8,2)),MIN($BK50,IF(Inputs!$C$12="MFJ",'Methodology &amp; Sources'!$C$264,'Methodology &amp; Sources'!$C$265))-$BH49)),2)))</f>
      </c>
      <c r="J50" s="7">
        <f>IF($B50="","",IF($BF50=0,0,$BM50))</f>
      </c>
      <c r="K50" s="7">
        <f>IF($B50="","",IF($BF50=0,0,$BN50+$BO50))</f>
      </c>
      <c r="L50" s="7">
        <f>IF($B50="","",IF($BF50=0,0,Inputs!$D$46))</f>
      </c>
      <c r="M50" s="7">
        <f>IF($B50="","",$C50+$D50+$L50-$E50-$G50-$H50-$I50-$J50-$K50)</f>
      </c>
      <c r="N50" s="7">
        <f>IF($B50="","",$C50+$D50+$L50-$G50-$H50-$I50-$J50-$K50)</f>
      </c>
      <c r="O50" s="7">
        <f>IF($B50="","",$C50+$D50+$L50-$E50-$H50-$I50-$J50-$K50-IF(OR($AN50="CA",$AN50="NJ"),0,$G50))</f>
      </c>
      <c r="P50" s="7">
        <f>IF($B50="","",IF(Inputs!$C$18,0,ROUND(MAX(0,IF(Inputs!$C$13,SUMPRODUCT(($AH50&gt;INDEX('Methodology &amp; Sources'!$B$279:$J$286,0,IF(Inputs!$C$12="MFJ",1,IF(Inputs!$C$12="HoH",7,4))))*($AH50-INDEX('Methodology &amp; Sources'!$B$279:$J$286,0,IF(Inputs!$C$12="MFJ",1,IF(Inputs!$C$12="HoH",7,4))))*INDEX('Methodology &amp; Sources'!$B$279:$J$286,0,IF(Inputs!$C$12="MFJ",1,IF(Inputs!$C$12="HoH",7,4))+2)),SUMPRODUCT(($AH50&gt;INDEX('Methodology &amp; Sources'!$B$269:$J$276,0,IF(Inputs!$C$12="MFJ",1,IF(Inputs!$C$12="HoH",7,4))))*($AH50-INDEX('Methodology &amp; Sources'!$B$269:$J$276,0,IF(Inputs!$C$12="MFJ",1,IF(Inputs!$C$12="HoH",7,4))))*INDEX('Methodology &amp; Sources'!$B$269:$J$276,0,IF(Inputs!$C$12="MFJ",1,IF(Inputs!$C$12="HoH",7,4))+2)))/Inputs!$C$8-$AO50/Inputs!$C$8)+$AR50+IF(Inputs!$C$89="Aggregate",MAX(0,IF(Inputs!$C$13,SUMPRODUCT((($AH50+$D50)&gt;INDEX('Methodology &amp; Sources'!$B$279:$J$286,0,IF(Inputs!$C$12="MFJ",1,IF(Inputs!$C$12="HoH",7,4))))*(($AH50+$D50)-INDEX('Methodology &amp; Sources'!$B$279:$J$286,0,IF(Inputs!$C$12="MFJ",1,IF(Inputs!$C$12="HoH",7,4))))*INDEX('Methodology &amp; Sources'!$B$279:$J$286,0,IF(Inputs!$C$12="MFJ",1,IF(Inputs!$C$12="HoH",7,4))+2)),SUMPRODUCT((($AH50+$D50)&gt;INDEX('Methodology &amp; Sources'!$B$269:$J$276,0,IF(Inputs!$C$12="MFJ",1,IF(Inputs!$C$12="HoH",7,4))))*(($AH50+$D50)-INDEX('Methodology &amp; Sources'!$B$269:$J$276,0,IF(Inputs!$C$12="MFJ",1,IF(Inputs!$C$12="HoH",7,4))))*INDEX('Methodology &amp; Sources'!$B$269:$J$276,0,IF(Inputs!$C$12="MFJ",1,IF(Inputs!$C$12="HoH",7,4))+2)))-IF(Inputs!$C$13,SUMPRODUCT(($AH50&gt;INDEX('Methodology &amp; Sources'!$B$279:$J$286,0,IF(Inputs!$C$12="MFJ",1,IF(Inputs!$C$12="HoH",7,4))))*($AH50-INDEX('Methodology &amp; Sources'!$B$279:$J$286,0,IF(Inputs!$C$12="MFJ",1,IF(Inputs!$C$12="HoH",7,4))))*INDEX('Methodology &amp; Sources'!$B$279:$J$286,0,IF(Inputs!$C$12="MFJ",1,IF(Inputs!$C$12="HoH",7,4))+2)),SUMPRODUCT(($AH50&gt;INDEX('Methodology &amp; Sources'!$B$269:$J$276,0,IF(Inputs!$C$12="MFJ",1,IF(Inputs!$C$12="HoH",7,4))))*($AH50-INDEX('Methodology &amp; Sources'!$B$269:$J$276,0,IF(Inputs!$C$12="MFJ",1,IF(Inputs!$C$12="HoH",7,4))))*INDEX('Methodology &amp; Sources'!$B$269:$J$276,0,IF(Inputs!$C$12="MFJ",1,IF(Inputs!$C$12="HoH",7,4))+2)))),'Methodology &amp; Sources'!$C$260*$D50),2)))</f>
      </c>
      <c r="Q50" s="7">
        <f>IF($B50="","",ROUND('Methodology &amp; Sources'!$C$254*MIN($N50,MAX(0,'Methodology &amp; Sources'!$C$253-($AX50+$AB49-$AW50))),2))</f>
      </c>
      <c r="R50" s="7">
        <f>IF($B50="","",ROUND('Methodology &amp; Sources'!$C$255*$N50,2))</f>
      </c>
      <c r="S50" s="7">
        <f>IF($B50="","",ROUND('Methodology &amp; Sources'!$C$256*MAX(0,MIN($N50,$AG49+$N50-'Methodology &amp; Sources'!$C$257)),2))</f>
      </c>
      <c r="T50" s="7">
        <f>IF($B50="","",IF(Inputs!$C$26,0,IF($AN50="CA",ROUND(IF($AI50&lt;=IF(($AS50+$AT50)&gt;=2,VLOOKUP($AN50,'StateTables 2026'!$A$6:$AB$56,10,FALSE),VLOOKUP($AN50,'StateTables 2026'!$A$6:$AB$56,9,FALSE)),0,MAX(0,SUMPRODUCT(($AJ50&gt;INDEX('Methodology &amp; Sources'!$B$289:$J$298,0,IF($AU50="Married",4,IF($AU50="Head of household",7,1))))*($AJ50-INDEX('Methodology &amp; Sources'!$B$289:$J$298,0,IF($AU50="Married",4,IF($AU50="Head of household",7,1))))*INDEX('Methodology &amp; Sources'!$B$289:$J$298,0,IF($AU50="Married",4,IF($AU50="Head of household",7,1))+2))-VLOOKUP($AN50,'StateTables 2026'!$A$6:$AB$56,11,FALSE)*$AS50)/Inputs!$C$8)+Inputs!$C$25+VLOOKUP($AN50,'StateTables 2026'!$A$6:$AB$56,13,FALSE)*$D50,2),IF(VLOOKUP($AN50,'StateTables 2026'!$A$6:$AB$56,4,FALSE)="None",0,IF(ISNUMBER(SEARCH("MANUAL",VLOOKUP($AN50,'StateTables 2026'!$A$6:$AB$56,5,FALSE))),Inputs!$C$28,ROUND(MAX(0,$BA50+$BB50)/Inputs!$C$8+Inputs!$C$25+$BC50,2))))))</f>
      </c>
      <c r="U50" s="7">
        <f>IF($B50="","",IF(VLOOKUP($AN50,'StateTables 2026'!$A$6:$AB$56,24,FALSE)="flatq",IF(OR(MONTH($B50)=1,MONTH($B50)=4,MONTH($B50)=7,MONTH($B50)=10),VLOOKUP($AN50,'StateTables 2026'!$A$6:$AB$56,25,FALSE),0),IF(VLOOKUP($AN50,'StateTables 2026'!$A$6:$AB$56,24,FALSE)="dbl",MIN(ROUND(0.005*$N50,2),ROUND(0.6*52/Inputs!$C$8,2)),IF(OR(VLOOKUP($AN50,'StateTables 2026'!$A$6:$AB$56,15,FALSE)="",VLOOKUP($AN50,'StateTables 2026'!$A$6:$AB$56,15,FALSE)=0),0,ROUND(VLOOKUP($AN50,'StateTables 2026'!$A$6:$AB$56,15,FALSE)*IF(OR(VLOOKUP($AN50,'StateTables 2026'!$A$6:$AB$56,16,FALSE)="",VLOOKUP($AN50,'StateTables 2026'!$A$6:$AB$56,16,FALSE)=0),$N50,MIN($N50,MAX(0,VLOOKUP($AN50,'StateTables 2026'!$A$6:$AB$56,16,FALSE)-($AX50+$AB49-$AW50)))),2))))+IF(VLOOKUP($AN50,'StateTables 2026'!$A$6:$AB$56,27,FALSE)="flatq",IF(OR(MONTH($B50)=1,MONTH($B50)=4,MONTH($B50)=7,MONTH($B50)=10),VLOOKUP($AN50,'StateTables 2026'!$A$6:$AB$56,28,FALSE),0),IF(VLOOKUP($AN50,'StateTables 2026'!$A$6:$AB$56,27,FALSE)="dbl",MIN(ROUND(0.005*$N50,2),ROUND(0.6*52/Inputs!$C$8,2)),IF(OR(VLOOKUP($AN50,'StateTables 2026'!$A$6:$AB$56,18,FALSE)="",VLOOKUP($AN50,'StateTables 2026'!$A$6:$AB$56,18,FALSE)=0),0,ROUND(VLOOKUP($AN50,'StateTables 2026'!$A$6:$AB$56,18,FALSE)*IF(OR(VLOOKUP($AN50,'StateTables 2026'!$A$6:$AB$56,19,FALSE)="",VLOOKUP($AN50,'StateTables 2026'!$A$6:$AB$56,19,FALSE)=0),$N50,MIN($N50,MAX(0,VLOOKUP($AN50,'StateTables 2026'!$A$6:$AB$56,19,FALSE)-($AX50+$AB49-$AW50)))),2)))))</f>
      </c>
      <c r="V50" s="7">
        <f>IF($B50="","",IF($AN50="NY",IF(Inputs!$C$78,ROUND(SUMPRODUCT((MAX(0,($O50-$D50)*Inputs!$C$8-(IF($AU50="Married",5500,5000)+1000*$AS50))&gt;INDEX('Methodology &amp; Sources'!$B$434:$J$448,0,4))*(MAX(0,($O50-$D50)*Inputs!$C$8-(IF($AU50="Married",5500,5000)+1000*$AS50))-INDEX('Methodology &amp; Sources'!$B$434:$J$448,0,4))*INDEX('Methodology &amp; Sources'!$B$434:$J$448,0,4+2))/Inputs!$C$8+0.0425*$D50,2),0)+IF(Inputs!$C$79="Resident",ROUND(0.1675*$T50,2),IF(Inputs!$C$79="Nonresident",ROUND(0.005*MAX(0,($O50-$D50)-(IF($AU50="Married",7950,7400)+1000*$AS50)/Inputs!$C$8),2),0)),IF($AN50="PA",IF(Inputs!$C$80="None",Inputs!$C$27+ROUND(Inputs!$C$81*($C50+$D50),2),ROUND(IF(Inputs!$C$80="Resident",IF($B50&lt;DATE(2026,7,1),0.0374,0.03735),IF($B50&lt;DATE(2026,7,1),0.0343,0.03425))*($C50+$D50),2)),IF($BF50=0,ROUND(Inputs!$C$81*($C50+$D50),2),Inputs!$C$27+ROUND(Inputs!$C$81*($C50+$D50),2)))))</f>
      </c>
      <c r="W50" s="7">
        <f>IF($B50="","",IF($BF50=0,0,$BP50))</f>
      </c>
      <c r="X50" s="7">
        <f>IF($B50="","",SUM($E50:$K50)+$P50+$Q50+$R50+$S50+$T50+$U50+$V50+$W50)</f>
      </c>
      <c r="Y50" s="22">
        <f>IF($B50="","",$C50+$D50-$X50)</f>
      </c>
      <c r="Z50" s="7">
        <f>IF($B50="","",$Z49+$C50+$D50)</f>
      </c>
      <c r="AA50" s="7">
        <f>IF($B50="","",$AA49+$Y50)</f>
      </c>
      <c r="AB50" s="7">
        <f>IF($B50="","",$AB49+MIN($N50,MAX(0,'Methodology &amp; Sources'!$C$253-($AX50+$AB49-$AW50))))</f>
      </c>
      <c r="AC50" s="7">
        <f>IF($B50="","",$AC49+$E50+$F50)</f>
      </c>
      <c r="AD50" s="3">
        <f>IF($B50="","",IF(AND($AB49&lt;'Methodology &amp; Sources'!$C$253,$AB50&gt;='Methodology &amp; Sources'!$C$253),"★ Social Security maxed on this check — from the next check your net rises by about $"&amp;TEXT(ROUND('Methodology &amp; Sources'!$C$254*$N50,2),"#,##0.00")&amp;". ","")&amp;IF(AND($AC49&lt;Inputs!$C$91,$AC50&gt;=Inputs!$C$91),"★ 401(k) reaches the $"&amp;TEXT(Inputs!$C$91,"#,##0")&amp;" cap on this check — deferrals stop and net pay rises. ","")&amp;IF(AND($AG49&lt;'Methodology &amp; Sources'!$C$257,$AG50&gt;='Methodology &amp; Sources'!$C$257),"★ Wages pass $200,000 — the 0.9% Additional Medicare Tax starts here. ","")&amp;IF(AND($BJ50&gt;0,$H50&gt;0,$BG49&lt;MIN($BJ50,'Methodology &amp; Sources'!$C$263),$BG49+$H50&gt;=MIN($BJ50,'Methodology &amp; Sources'!$C$263)),"★ Health FSA election is now fully deferred for the year. ",""))</f>
      </c>
      <c r="AE50" s="41" t="n"/>
      <c r="AF50" s="7">
        <f>IF(OR($B50="",$AE50=""),"",$AE50-$Y50)</f>
      </c>
      <c r="AG50" s="7">
        <f>IF($B50="","",$AG49+$N50)</f>
      </c>
      <c r="AH50" s="7">
        <f>IF($B50="","",MAX(0,($M50-$D50)*Inputs!$C$8+$AP50-$AQ50-IF(Inputs!$C$13,0,IF(Inputs!$C$12="MFJ",'Methodology &amp; Sources'!$C$258,'Methodology &amp; Sources'!$C$259))))</f>
      </c>
      <c r="AI50" s="7">
        <f>IF($B50="","",$O50*Inputs!$C$8)</f>
      </c>
      <c r="AJ50" s="7">
        <f>IF($B50="","",MAX(0,$AI50-VLOOKUP($AN50,'StateTables 2026'!$A$6:$AB$56,12,FALSE)*$AT50-IF(($AS50+$AT50)&gt;=2,VLOOKUP($AN50,'StateTables 2026'!$A$6:$AB$56,8,FALSE),VLOOKUP($AN50,'StateTables 2026'!$A$6:$AB$56,7,FALSE))))</f>
      </c>
      <c r="AK50" s="7">
        <f>IF($B50="","",IFERROR(LOOKUP(2,1/((Events!$C$6:$C$17="Salary change")*(Events!$B$6:$B$17&lt;=$B50)*(Events!$B$6:$B$17&lt;&gt;"")),Events!$D$6:$D$17),IF(Inputs!$C$4="Annual salary",Inputs!$C$5,Inputs!$C$6)))</f>
      </c>
      <c r="AL50">
        <f>IF($B50="","",IFERROR(LOOKUP(2,1/((Events!$C$6:$C$17="401(k) change")*(Events!$B$6:$B$17&lt;=$B50)*(Events!$B$6:$B$17&lt;&gt;"")),Events!$D$6:$D$17),Inputs!$C$30))</f>
      </c>
      <c r="AM50" s="7">
        <f>IF($B50="","",IFERROR(LOOKUP(2,1/((Events!$C$6:$C$17="401(k) change")*(Events!$B$6:$B$17&lt;=$B50)*(Events!$B$6:$B$17&lt;&gt;"")),Events!$E$6:$E$17),Inputs!$D$30))</f>
      </c>
      <c r="AN50">
        <f>IF($B50="","",IFERROR(LOOKUP(2,1/((Events!$C$6:$C$17="State move")*(Events!$B$6:$B$17&lt;=$B50)*(Events!$B$6:$B$17&lt;&gt;"")),Events!$D$6:$D$17),Inputs!$C$21))</f>
      </c>
      <c r="AO50" s="7">
        <f>IF($B50="","",IFERROR(LOOKUP(2,1/((Events!$C$6:$C$17="W-4 change")*(Events!$B$6:$B$17&lt;=$B50)*(Events!$B$6:$B$17&lt;&gt;"")),Events!$D$6:$D$17),Inputs!$C$14))</f>
      </c>
      <c r="AP50" s="7">
        <f>IF($B50="","",IFERROR(LOOKUP(2,1/((Events!$C$6:$C$17="W-4 change")*(Events!$B$6:$B$17&lt;=$B50)*(Events!$B$6:$B$17&lt;&gt;"")),Events!$E$6:$E$17),Inputs!$C$15))</f>
      </c>
      <c r="AQ50" s="7">
        <f>IF($B50="","",IFERROR(LOOKUP(2,1/((Events!$C$6:$C$17="W-4 change")*(Events!$B$6:$B$17&lt;=$B50)*(Events!$B$6:$B$17&lt;&gt;"")),Events!$F$6:$F$17),Inputs!$C$16))</f>
      </c>
      <c r="AR50" s="7">
        <f>IF($B50="","",IFERROR(LOOKUP(2,1/((Events!$C$6:$C$17="W-4 change")*(Events!$B$6:$B$17&lt;=$B50)*(Events!$B$6:$B$17&lt;&gt;"")),Events!$G$6:$G$17),Inputs!$C$17))</f>
      </c>
      <c r="AS50" s="6">
        <f>IF($B50="","",IFERROR(LOOKUP(2,1/(((Events!$C$6:$C$17="State move")+(Events!$C$6:$C$17="State cert change"))*(Events!$B$6:$B$17&lt;=$B50)*(Events!$B$6:$B$17&lt;&gt;"")),Events!$F$6:$F$17),Inputs!$C$23))</f>
      </c>
      <c r="AT50" s="6">
        <f>IF($B50="","",IFERROR(LOOKUP(2,1/(((Events!$C$6:$C$17="State move")+(Events!$C$6:$C$17="State cert change"))*(Events!$B$6:$B$17&lt;=$B50)*(Events!$B$6:$B$17&lt;&gt;"")),Events!$G$6:$G$17),Inputs!$C$24))</f>
      </c>
      <c r="AU50">
        <f>IF($B50="","",IFERROR(LOOKUP(2,1/((Events!$C$6:$C$17="State move")*(Events!$B$6:$B$17&lt;=$B50)*(Events!$B$6:$B$17&lt;&gt;"")),Events!$E$6:$E$17),Inputs!$C$22))</f>
      </c>
      <c r="AV50" s="6">
        <f>IF($B50="","",1+COUNTIFS(Events!$C$6:$C$17,"Employer change",Events!$B$6:$B$17,"&lt;="&amp;$B50,Events!$B$6:$B$17,"&lt;&gt;"))</f>
      </c>
      <c r="AW50" s="7">
        <f>IF($B50="","",IF($AV50=1,Inputs!$C$49,IF(IFERROR(MATCH(IFERROR(LOOKUP(2,1/((Events!$C$6:$C$17="Employer change")*(Events!$B$6:$B$17&lt;=$B50)*(Events!$B$6:$B$17&lt;&gt;"")),Events!$B$6:$B$17),""),$B$6:$B$68,1),1)&lt;=1,Inputs!$C$49,INDEX($AB$6:$AB$68,MATCH(IFERROR(LOOKUP(2,1/((Events!$C$6:$C$17="Employer change")*(Events!$B$6:$B$17&lt;=$B50)*(Events!$B$6:$B$17&lt;&gt;"")),Events!$B$6:$B$17),""),$B$6:$B$68,1)-1))))</f>
      </c>
      <c r="AX50" s="7">
        <f>IF($B50="","",IF($AV50=1,Inputs!$C$49,IFERROR(LOOKUP(2,1/((Events!$C$6:$C$17="Employer change")*(Events!$B$6:$B$17&lt;=$B50)*(Events!$B$6:$B$17&lt;&gt;"")),Events!$D$6:$D$17),0)))</f>
      </c>
      <c r="AY50" s="7">
        <f>IF($B50="","",($O50-$D50)*Inputs!$C$8)</f>
      </c>
      <c r="AZ50" s="7">
        <f>IF($B50="","",IF($AN50="AL",MAX(0,$AY50-IF($AU50="Married",IF($AY50&lt;=25999,8500,MAX(5000,8500-175*CEILING(($AY50-25999)/500,1))),IF($AU50="Head of household",IF($AY50&lt;=25999,5200,MAX(2500,5200-135*CEILING(($AY50-25999)/500,1))),IF($AY50&lt;=25999,3000,MAX(2500,3000-25*CEILING(($AY50-25999)/500,1)))))-($P50-'Methodology &amp; Sources'!$C$260*$D50)*Inputs!$C$8-IF(OR($AU50="Married",$AU50="Head of household"),3000,1500)-$AT50*IF($AY50&lt;=50000,1000,IF($AY50&lt;=100000,500,300))),IF($AN50="AR",IF(MAX(0,$AY50-2470)&lt;97701,INT(MAX(0,$AY50-2470)/100)*100+50,MAX(0,$AY50-2470)),IF($AN50="DE",MAX(0,$AI50-3250),IF($AN50="HI",MAX(0,$AI50-1144*$AS50-4350),IF($AN50="KS",MAX(0,$AI50-(9160*IF($AU50="Married",2,1)+2320*$AT50+IF($AU50="Head of household",2320,0))),IF($AN50="MD",MAX(0,$AI50-3400-3200*$AS50),IF($AN50="MN",MAX(0,$AY50-5300*$AS50),IF($AN50="MO",MAX(0,$AI50-IF($AU50="Head of household",24150,IF($AU50="Married",IF(Inputs!$C$83,16100,32200),16100))),IF($AN50="MT",$AY50,IF($AN50="ND",($C50+$L50)*Inputs!$C$8,IF($AN50="NE",MAX(0,$AY50-2440*$AS50),IF($AN50="NJ",MAX(0,$AY50-1000*$AS50),IF($AN50="NY",MAX(0,$AY50-(IF($AU50="Married",7950,7400)+1000*$AS50)),IF($AN50="OH",MAX(0,$AY50-650*$AS50),IF($AN50="OK",MAX(0,$AY50-1000*$AS50),IF($AN50="RI",MAX(0,$AI50-1000*$AS50),IF($AN50="SC",MAX(0,$AI50-5000*$AS50-IF($AS50=0,0,MIN(0.1*$AI50,7500))),IF($AN50="VA",MAX(0,$AI50-IF($AU50="Married",17500,8750)-930*$AS50-800*$AT50),IF($AN50="VT",MAX(0,$AI50-5400*$AS50),IF($AN50="WI",MAX(0,$AI50-MAX(0,IF($AU50="Married",9461-0.2*MAX(0,$AI50-25727),6702-0.12*MAX(0,$AI50-17780)))-400*$AS50),IF($AN50="WV",MAX(0,$AI50-2000*$AS50),$AI50))))))))))))))))))))))</f>
      </c>
      <c r="BA50" s="7">
        <f>IF($B50="","",IF($BW50&lt;&gt;"",$BW50,IF($BX50&lt;&gt;"",$BX50,IF($BY50&lt;&gt;"",$BY50,0))))</f>
      </c>
      <c r="BB50" s="7">
        <f>IF($B50="","",IF($AN50="AR",-29*$AS50,IF($AN50="DE",-110*$AS50,IF($AN50="MD",$AZ50*Inputs!$C$74,IF($AN50="AZ",Inputs!$C$82*($M50-$D50)*Inputs!$C$8,IF($AN50="CO",0.044*MAX(0,$AY50-IF($AU50="Married",10000,5000)),IF($AN50="IA",MAX(0,0.038*MAX(0,$AY50-IF($AU50="Head of household",19500,IF($AU50="Married",26000,13000)))-40*$AS50),IF($AN50="ID",0.053*MAX(0,$AY50-IF($AU50="Married",32000,16094)),IF($AN50="IL",0.0495*MAX(0,$AY50-(2925*$AS50+1000*$AT50)),IF($AN50="IN",(0.0295+Inputs!$C$76)*MAX(0,$AY50-(1000*$AS50+1500*$AT50+3000*Inputs!$C$86)),IF($AN50="KY",0.035*MAX(0,$AI50-3360),IF($AN50="LA",IF(Inputs!$C$84="0",0.0309*$AI50,0.0309*MAX(0,$AI50-IF(Inputs!$C$84="2",25750,12875))),IF($AN50="MA",0.05*MIN(MAX(0,$AY50-MIN(($BD49+$Q50+$R50+$S50),2000)-IF($AS50=0,0,IF($AS50=1,4400,1000*$AS50+3400))),1107750)+0.09*MAX(0,MAX(0,$AY50-MIN(($BD49+$Q50+$R50+$S50),2000)-IF($AS50=0,0,IF($AS50=1,4400,1000*$AS50+3400)))-1107750)-IF($AU50="Head of household",120,0)-110*Inputs!$C$75,IF($AN50="MI",0.0425*MAX(0,$AY50-5900*$AS50),IF($AN50="MS",0.04*MAX(0,$AI50-IF($AU50="Head of household",3400,IF($AU50="Married",4600,2300))-Inputs!$C$85-10000),IF($AN50="OR",IF(OR($AU50="Married",AND($AU50="Single",$AS50&gt;=3)),SUMPRODUCT((MAX(0,$AY50-MIN(($P50-'Methodology &amp; Sources'!$C$260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Sources'!$B$461:$J$464,0,4))*(MAX(0,$AY50-MIN(($P50-'Methodology &amp; Sources'!$C$260*$D50)*Inputs!$C$8,IF(OR($AU50="Married",AND($AU50="Single",$AS50&gt;=3)),IF($AY50&lt;250000,8750,IF($AY50&lt;260000,7000,IF($AY50&lt;270000,5250,IF($AY50&lt;280000,3500,IF($AY50&lt;290000,1750,0))))),IF($AY50&lt;125000,8750,IF($AY50&lt;130000,7000,IF($AY50&lt;135000,5250,IF($AY50&lt;140000,3500,IF($AY50&lt;145000,1750,0)))))))-IF(OR($AU50="Married",AND($AU50="Single",$AS50&gt;=3)),5820,2910))-INDEX('Methodology &amp; Sources'!$B$461:$J$464,0,4))*INDEX('Methodology &amp; Sources'!$B$461:$J$464,0,4+2)),SUMPRODUCT((MAX(0,$AY50-MIN(($P50-'Methodology &amp; Sources'!$C$260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Sources'!$B$461:$J$464,0,1))*(MAX(0,$AY50-MIN(($P50-'Methodology &amp; Sources'!$C$260*$D50)*Inputs!$C$8,IF(OR($AU50="Married",AND($AU50="Single",$AS50&gt;=3)),IF($AY50&lt;250000,8750,IF($AY50&lt;260000,7000,IF($AY50&lt;270000,5250,IF($AY50&lt;280000,3500,IF($AY50&lt;290000,1750,0))))),IF($AY50&lt;125000,8750,IF($AY50&lt;130000,7000,IF($AY50&lt;135000,5250,IF($AY50&lt;140000,3500,IF($AY50&lt;145000,1750,0)))))))-IF(OR($AU50="Married",AND($AU50="Single",$AS50&gt;=3)),5820,2910))-INDEX('Methodology &amp; Sources'!$B$461:$J$464,0,1))*INDEX('Methodology &amp; Sources'!$B$461:$J$464,0,1+2)))+263-263*IF(IF($AU50="Married",$AY50&gt;200000,$AY50&gt;100000),0,$AS50),IF($AN50="PA",0.0307*(($O50+$E50+$G50)*Inputs!$C$8),IF($AN50="NY",IF($AU50="Married",IF($AZ50&gt;=2155350,0,IF($AZ50&gt;=1077550,0.48,IF($AZ50&gt;=373200,1.21,IF($AZ50&gt;=323200,0.21,IF($AZ50&gt;=211550,-0.19,IF($AZ50&gt;=157650,-2.8,IF($AZ50&gt;=107650,-0.8,IF($AZ50&gt;=96800,0.05,IF($AZ50&gt;=80650,-0.1,IF($AZ50&gt;=13900,0.4,IF($AZ50&gt;=11700,-0.3,IF($AZ50&gt;=8500,0.5,0)))))))))))),IF($AZ50&gt;=1077550,0,IF($AZ50&gt;=265400,4.29,IF($AZ50&gt;=215400,2.29,IF($AZ50&gt;=157650,2.29,IF($AZ50&gt;=107650,0.29,IF($AZ50&gt;=96800,0.05,IF($AZ50&gt;=80650,-0.1,IF($AZ50&gt;=13900,0.4,IF($AZ50&gt;=11700,-0.3,IF($AZ50&gt;=8500,0.5,0))))))))))),0))))))))))))))))))</f>
      </c>
      <c r="BC50" s="7">
        <f>IF($B50="","",IF($AN50="AL",0.05*$D50,IF($AN50="AR",0.039*$D50,IF($AN50="ID",0.053*$D50,IF($AN50="IN",(0.0295+Inputs!$C$76)*$D50,IF($AN50="KS",0.05*$D50,IF($AN50="MA",0.09*MIN($D50,MAX(0,MAX(0,$AY50-MIN(($BD49+$Q50+$R50+$S50),2000)-IF($AS50=0,0,IF($AS50=1,4400,1000*$AS50+3400)))+$D50-1107750))+0.05*($D50-MIN($D50,MAX(0,MAX(0,$AY50-MIN(($BD49+$Q50+$R50+$S50),2000)-IF($AS50=0,0,IF($AS50=1,4400,1000*$AS50+3400)))+$D50-1107750))),IF($AN50="MD",(0.065+Inputs!$C$74)*$D50,IF($AN50="MI",0.0425*$D50,IF($AN50="MN",0.0625*$D50,IF($AN50="MO",0.047*$D50,IF($AN50="MT",0.05*$D50,IF($AN50="ND",0.015*$D50,IF($AN50="NE",0.035*$D50,IF($AN50="NJ",IF(Inputs!$C$77="B",SUMPRODUCT(($D50*Inputs!$C$8&gt;INDEX('Methodology &amp; Sources'!$B$405:$J$412,0,4))*($D50*Inputs!$C$8-INDEX('Methodology &amp; Sources'!$B$405:$J$412,0,4))*INDEX('Methodology &amp; Sources'!$B$405:$J$412,0,4+2)),IF(Inputs!$C$77="C",SUMPRODUCT(($D50*Inputs!$C$8&gt;INDEX('Methodology &amp; Sources'!$B$405:$J$412,0,7))*($D50*Inputs!$C$8-INDEX('Methodology &amp; Sources'!$B$405:$J$412,0,7))*INDEX('Methodology &amp; Sources'!$B$405:$J$412,0,7+2)),IF(Inputs!$C$77="D",SUMPRODUCT(($D50*Inputs!$C$8&gt;INDEX('Methodology &amp; Sources'!$B$417:$J$429,0,1))*($D50*Inputs!$C$8-INDEX('Methodology &amp; Sources'!$B$417:$J$429,0,1))*INDEX('Methodology &amp; Sources'!$B$417:$J$429,0,1+2)),IF(Inputs!$C$77="E",SUMPRODUCT(($D50*Inputs!$C$8&gt;INDEX('Methodology &amp; Sources'!$B$417:$J$429,0,4))*($D50*Inputs!$C$8-INDEX('Methodology &amp; Sources'!$B$417:$J$429,0,4))*INDEX('Methodology &amp; Sources'!$B$417:$J$429,0,4+2)),SUMPRODUCT(($D50*Inputs!$C$8&gt;INDEX('Methodology &amp; Sources'!$B$405:$J$412,0,1))*($D50*Inputs!$C$8-INDEX('Methodology &amp; Sources'!$B$405:$J$412,0,1))*INDEX('Methodology &amp; Sources'!$B$405:$J$412,0,1+2))))))/Inputs!$C$8,IF($AN50="NY",0.117*$D50,IF($AN50="OH",0.0275*$D50,IF($AN50="OK",0.045*$D50,IF($AN50="OR",0.08*$D50,IF($AN50="WI",IF($AY50&lt;12760,0.0354,IF($AY50&lt;25520,0.0465,IF($AY50&lt;280950,0.053,0.0765)))*$D50,0))))))))))))))))))))</f>
      </c>
      <c r="BD50" s="7">
        <f>IF($B50="","",$BD49+$Q50+$R50+$S50)</f>
      </c>
      <c r="BE50" s="6">
        <f>IF($B50="",$BE49,$BE49+$BF50)</f>
      </c>
      <c r="BF50" s="6">
        <f>IF($B50="","",IF(AND(IF(YEAR(IF(Inputs!$C$7="Weekly",Inputs!$C$9+7*(($BE49+1)-1),IF(Inputs!$C$7="Biweekly",Inputs!$C$9+14*(($BE49+1)-1),IF(Inputs!$C$7="Semimonthly",DATE(YEAR(Inputs!$C$9),MONTH(Inputs!$C$9)+INT((($BE49+1)-1)/2),MIN(DAY(Inputs!$C$9),DAY(EOMONTH(DATE(YEAR(Inputs!$C$9),MONTH(Inputs!$C$9)+INT((($BE49+1)-1)/2),1),0))))+IF(MOD(($BE49+1)-1,2)=1,15,0),EDATE(Inputs!$C$9,($BE49+1)-1)))))&lt;&gt;2026,"",IF(Inputs!$C$7="Weekly",Inputs!$C$9+7*(($BE49+1)-1),IF(Inputs!$C$7="Biweekly",Inputs!$C$9+14*(($BE49+1)-1),IF(Inputs!$C$7="Semimonthly",DATE(YEAR(Inputs!$C$9),MONTH(Inputs!$C$9)+INT((($BE49+1)-1)/2),MIN(DAY(Inputs!$C$9),DAY(EOMONTH(DATE(YEAR(Inputs!$C$9),MONTH(Inputs!$C$9)+INT((($BE49+1)-1)/2),1),0))))+IF(MOD(($BE49+1)-1,2)=1,15,0),EDATE(Inputs!$C$9,($BE49+1)-1)))))&lt;&gt;"",$B50=IF(YEAR(IF(Inputs!$C$7="Weekly",Inputs!$C$9+7*(($BE49+1)-1),IF(Inputs!$C$7="Biweekly",Inputs!$C$9+14*(($BE49+1)-1),IF(Inputs!$C$7="Semimonthly",DATE(YEAR(Inputs!$C$9),MONTH(Inputs!$C$9)+INT((($BE49+1)-1)/2),MIN(DAY(Inputs!$C$9),DAY(EOMONTH(DATE(YEAR(Inputs!$C$9),MONTH(Inputs!$C$9)+INT((($BE49+1)-1)/2),1),0))))+IF(MOD(($BE49+1)-1,2)=1,15,0),EDATE(Inputs!$C$9,($BE49+1)-1)))))&lt;&gt;2026,"",IF(Inputs!$C$7="Weekly",Inputs!$C$9+7*(($BE49+1)-1),IF(Inputs!$C$7="Biweekly",Inputs!$C$9+14*(($BE49+1)-1),IF(Inputs!$C$7="Semimonthly",DATE(YEAR(Inputs!$C$9),MONTH(Inputs!$C$9)+INT((($BE49+1)-1)/2),MIN(DAY(Inputs!$C$9),DAY(EOMONTH(DATE(YEAR(Inputs!$C$9),MONTH(Inputs!$C$9)+INT((($BE49+1)-1)/2),1),0))))+IF(MOD(($BE49+1)-1,2)=1,15,0),EDATE(Inputs!$C$9,($BE49+1)-1)))))),1,0))</f>
      </c>
      <c r="BG50" s="7">
        <f>IF($B50="","",$BG49+$H50)</f>
      </c>
      <c r="BH50" s="7">
        <f>IF($B50="","",$BH49+$I50)</f>
      </c>
      <c r="BI50" s="7">
        <f>IF($B50="","",$BI49+$G50)</f>
      </c>
      <c r="BJ50" s="7">
        <f>IF($B50="","",IFERROR(LOOKUP(2,1/((((Events!$C$6:$C$17="Deduction start"))*(Events!$D$6:$D$17="Health FSA"))*(Events!$B$6:$B$17&lt;=$B50)*(Events!$B$6:$B$17&lt;&gt;"")),Events!$E$6:$E$17),Inputs!$D$38))</f>
      </c>
      <c r="BK50" s="7">
        <f>IF($B50="","",IFERROR(LOOKUP(2,1/((((Events!$C$6:$C$17="Deduction start"))*(Events!$D$6:$D$17="Dependent-care FSA"))*(Events!$B$6:$B$17&lt;=$B50)*(Events!$B$6:$B$17&lt;&gt;"")),Events!$E$6:$E$17),Inputs!$D$39))</f>
      </c>
      <c r="BL50" s="7">
        <f>IF($B50="","",IFERROR(LOOKUP(2,1/((((Events!$C$6:$C$17="Deduction start")+(Events!$C$6:$C$17="Deduction stop"))*(Events!$D$6:$D$17="HSA"))*(Events!$B$6:$B$17&lt;=$B50)*(Events!$B$6:$B$17&lt;&gt;"")),Events!$I$6:$I$17),Inputs!$D$35))</f>
      </c>
      <c r="BM50" s="7">
        <f>IF($B50="","",IFERROR(LOOKUP(2,1/((((Events!$C$6:$C$17="Deduction start")+(Events!$C$6:$C$17="Deduction stop"))*(Events!$D$6:$D$17="Premiums"))*(Events!$B$6:$B$17&lt;=$B50)*(Events!$B$6:$B$17&lt;&gt;"")),Events!$I$6:$I$17),Inputs!$D$40+Inputs!$D$41+Inputs!$D$42))</f>
      </c>
      <c r="BN50" s="7">
        <f>IF($B50="","",IFERROR(LOOKUP(2,1/((((Events!$C$6:$C$17="Deduction start")+(Events!$C$6:$C$17="Deduction stop"))*(Events!$D$6:$D$17="Commuter"))*(Events!$B$6:$B$17&lt;=$B50)*(Events!$B$6:$B$17&lt;&gt;"")),Events!$I$6:$I$17),Inputs!$D$43))</f>
      </c>
      <c r="BO50" s="7">
        <f>IF($B50="","",IFERROR(LOOKUP(2,1/((((Events!$C$6:$C$17="Deduction start")+(Events!$C$6:$C$17="Deduction stop"))*(Events!$D$6:$D$17="Other pre-tax"))*(Events!$B$6:$B$17&lt;=$B50)*(Events!$B$6:$B$17&lt;&gt;"")),Events!$I$6:$I$17),Inputs!$D$44))</f>
      </c>
      <c r="BP50" s="7">
        <f>IF($B50="","",IFERROR(LOOKUP(2,1/((((Events!$C$6:$C$17="Deduction start")+(Events!$C$6:$C$17="Deduction stop"))*(Events!$D$6:$D$17="Other post-tax"))*(Events!$B$6:$B$17&lt;=$B50)*(Events!$B$6:$B$17&lt;&gt;"")),Events!$I$6:$I$17),Inputs!$D$45))</f>
      </c>
      <c r="BQ50" s="6">
        <f>IF($B50="","",IFERROR(LOOKUP(2,1/((((Events!$C$6:$C$17="Deduction start")+(Events!$C$6:$C$17="Deduction stop"))*(Events!$D$6:$D$17="Health FSA"))*(Events!$B$6:$B$17&lt;=$B50)*(Events!$B$6:$B$17&lt;&gt;"")),Events!$J$6:$J$17),0))</f>
      </c>
      <c r="BR50" s="6">
        <f>IF($B50="","",IFERROR(LOOKUP(2,1/((((Events!$C$6:$C$17="Deduction start")+(Events!$C$6:$C$17="Deduction stop"))*(Events!$D$6:$D$17="Dependent-care FSA"))*(Events!$B$6:$B$17&lt;=$B50)*(Events!$B$6:$B$17&lt;&gt;"")),Events!$J$6:$J$17),0))</f>
      </c>
      <c r="BS50" s="6">
        <f>IF($B50="","",IF(SUMPRODUCT((Events!$C$6:$C$17="Deduction start")*(Events!$B$6:$B$17&lt;=$B50)*(Events!$B$6:$B$17&lt;&gt;"")*(Events!$D$6:$D$17="Health FSA"))&gt;0,1,0))</f>
      </c>
      <c r="BT50" s="6">
        <f>IF($B50="","",IF(SUMPRODUCT((Events!$C$6:$C$17="Deduction start")*(Events!$B$6:$B$17&lt;=$B50)*(Events!$B$6:$B$17&lt;&gt;"")*(Events!$D$6:$D$17="Dependent-care FSA"))&gt;0,1,0))</f>
      </c>
      <c r="BU50" s="24">
        <f>IF($B50="","",IF(Inputs!$C$13,SUMPRODUCT(($AH50&gt;=INDEX('Methodology &amp; Sources'!$B$279:$J$286,0,IF(Inputs!$C$12="MFJ",1,IF(Inputs!$C$12="HoH",7,4))))*INDEX('Methodology &amp; Sources'!$B$279:$J$286,0,IF(Inputs!$C$12="MFJ",1,IF(Inputs!$C$12="HoH",7,4))+2)),SUMPRODUCT(($AH50&gt;=INDEX('Methodology &amp; Sources'!$B$269:$J$276,0,IF(Inputs!$C$12="MFJ",1,IF(Inputs!$C$12="HoH",7,4))))*INDEX('Methodology &amp; Sources'!$B$269:$J$276,0,IF(Inputs!$C$12="MFJ",1,IF(Inputs!$C$12="HoH",7,4))+2))))</f>
      </c>
      <c r="BV50" s="24">
        <f>IF($B50="","",IF($BZ50&lt;&gt;"",$BZ50,IF($CA50&lt;&gt;"",$CA50,IF($CB50&lt;&gt;"",$CB50,IF($CC50&lt;&gt;"",$CC50,0)))))</f>
      </c>
      <c r="BW50" s="7">
        <f>IF($B50="","",IF($AN50="MD",IF(OR($AU50="Married",$AU50="Head of household"),SUMPRODUCT(($AZ50&gt;INDEX('Methodology &amp; Sources'!$B$364:$J$370,0,1))*($AZ50-INDEX('Methodology &amp; Sources'!$B$364:$J$370,0,1))*INDEX('Methodology &amp; Sources'!$B$364:$J$370,0,1+2)),SUMPRODUCT(($AZ50&gt;INDEX('Methodology &amp; Sources'!$B$353:$J$359,0,7))*($AZ50-INDEX('Methodology &amp; Sources'!$B$353:$J$359,0,7))*INDEX('Methodology &amp; Sources'!$B$353:$J$359,0,7+2))),IF($AN50="MO",SUMPRODUCT(($AZ50&gt;INDEX('Methodology &amp; Sources'!$B$375:$J$382,0,1))*($AZ50-INDEX('Methodology &amp; Sources'!$B$375:$J$382,0,1))*INDEX('Methodology &amp; Sources'!$B$375:$J$382,0,1+2)),IF($AN50="MT",IF($AU50="Head of household",SUMPRODUCT(($AZ50&gt;INDEX('Methodology &amp; Sources'!$B$387:$J$389,0,1))*($AZ50-INDEX('Methodology &amp; Sources'!$B$387:$J$389,0,1))*INDEX('Methodology &amp; Sources'!$B$387:$J$389,0,1+2)),IF($AU50="Married",SUMPRODUCT(($AZ50&gt;INDEX('Methodology &amp; Sources'!$B$375:$J$382,0,7))*($AZ50-INDEX('Methodology &amp; Sources'!$B$375:$J$382,0,7))*INDEX('Methodology &amp; Sources'!$B$375:$J$382,0,7+2)),SUMPRODUCT(($AZ50&gt;INDEX('Methodology &amp; Sources'!$B$375:$J$382,0,4))*($AZ50-INDEX('Methodology &amp; Sources'!$B$375:$J$382,0,4))*INDEX('Methodology &amp; Sources'!$B$375:$J$382,0,4+2)))),IF($AN50="ND",IF($AU50="Head of household",SUMPRODUCT(($AZ50&gt;INDEX('Methodology &amp; Sources'!$B$394:$J$400,0,1))*($AZ50-INDEX('Methodology &amp; Sources'!$B$394:$J$400,0,1))*INDEX('Methodology &amp; Sources'!$B$394:$J$400,0,1+2)),IF($AU50="Married",SUMPRODUCT(($AZ50&gt;INDEX('Methodology &amp; Sources'!$B$387:$J$389,0,7))*($AZ50-INDEX('Methodology &amp; Sources'!$B$387:$J$389,0,7))*INDEX('Methodology &amp; Sources'!$B$387:$J$389,0,7+2)),SUMPRODUCT(($AZ50&gt;INDEX('Methodology &amp; Sources'!$B$387:$J$389,0,4))*($AZ50-INDEX('Methodology &amp; Sources'!$B$387:$J$389,0,4))*INDEX('Methodology &amp; Sources'!$B$387:$J$389,0,4+2)))),IF($AN50="NJ",IF(Inputs!$C$77="B",SUMPRODUCT(($AZ50&gt;INDEX('Methodology &amp; Sources'!$B$405:$J$412,0,4))*($AZ50-INDEX('Methodology &amp; Sources'!$B$405:$J$412,0,4))*INDEX('Methodology &amp; Sources'!$B$405:$J$412,0,4+2)),IF(Inputs!$C$77="C",SUMPRODUCT(($AZ50&gt;INDEX('Methodology &amp; Sources'!$B$405:$J$412,0,7))*($AZ50-INDEX('Methodology &amp; Sources'!$B$405:$J$412,0,7))*INDEX('Methodology &amp; Sources'!$B$405:$J$412,0,7+2)),IF(Inputs!$C$77="D",SUMPRODUCT(($AZ50&gt;INDEX('Methodology &amp; Sources'!$B$417:$J$429,0,1))*($AZ50-INDEX('Methodology &amp; Sources'!$B$417:$J$429,0,1))*INDEX('Methodology &amp; Sources'!$B$417:$J$429,0,1+2)),IF(Inputs!$C$77="E",SUMPRODUCT(($AZ50&gt;INDEX('Methodology &amp; Sources'!$B$417:$J$429,0,4))*($AZ50-INDEX('Methodology &amp; Sources'!$B$417:$J$429,0,4))*INDEX('Methodology &amp; Sources'!$B$417:$J$429,0,4+2)),SUMPRODUCT(($AZ50&gt;INDEX('Methodology &amp; Sources'!$B$405:$J$412,0,1))*($AZ50-INDEX('Methodology &amp; Sources'!$B$405:$J$412,0,1))*INDEX('Methodology &amp; Sources'!$B$405:$J$412,0,1+2)))))),IF($AN50="NY",IF($AU50="Married",IF($AZ50&gt;=2155350,$AZ50*IF($AZ50&gt;25000000,0.117,IF($AZ50&gt;5000000,0.111,0.1045)),SUMPRODUCT(($AZ50&gt;INDEX('Methodology &amp; Sources'!$B$434:$J$448,0,1))*($AZ50-INDEX('Methodology &amp; Sources'!$B$434:$J$448,0,1))*INDEX('Methodology &amp; Sources'!$B$434:$J$448,0,1+2))),IF($AZ50&gt;=1077550,$AZ50*IF($AZ50&gt;25000000,0.117,IF($AZ50&gt;5000000,0.111,0.1045)),SUMPRODUCT(($AZ50&gt;INDEX('Methodology &amp; Sources'!$B$417:$J$429,0,7))*($AZ50-INDEX('Methodology &amp; Sources'!$B$417:$J$429,0,7))*INDEX('Methodology &amp; Sources'!$B$417:$J$429,0,7+2)))),"")))))))</f>
      </c>
      <c r="BX50" s="7">
        <f>IF($B50="","",IF($AN50="AL",IF(OR($AU50="Married",$AU50="Head of household"),SUMPRODUCT(($AZ50&gt;INDEX('Methodology &amp; Sources'!$B$332:$J$336,0,4))*($AZ50-INDEX('Methodology &amp; Sources'!$B$332:$J$336,0,4))*INDEX('Methodology &amp; Sources'!$B$332:$J$336,0,4+2)),SUMPRODUCT(($AZ50&gt;INDEX('Methodology &amp; Sources'!$B$332:$J$336,0,1))*($AZ50-INDEX('Methodology &amp; Sources'!$B$332:$J$336,0,1))*INDEX('Methodology &amp; Sources'!$B$332:$J$336,0,1+2))),IF($AN50="KS",IF($AU50="Married",SUMPRODUCT(($AZ50&gt;INDEX('Methodology &amp; Sources'!$B$353:$J$359,0,4))*($AZ50-INDEX('Methodology &amp; Sources'!$B$353:$J$359,0,4))*INDEX('Methodology &amp; Sources'!$B$353:$J$359,0,4+2)),SUMPRODUCT(($AZ50&gt;INDEX('Methodology &amp; Sources'!$B$353:$J$359,0,1))*($AZ50-INDEX('Methodology &amp; Sources'!$B$353:$J$359,0,1))*INDEX('Methodology &amp; Sources'!$B$353:$J$359,0,1+2))),IF($AN50="MN",IF($AU50="Married",SUMPRODUCT(($AZ50&gt;INDEX('Methodology &amp; Sources'!$B$364:$J$370,0,7))*($AZ50-INDEX('Methodology &amp; Sources'!$B$364:$J$370,0,7))*INDEX('Methodology &amp; Sources'!$B$364:$J$370,0,7+2)),SUMPRODUCT(($AZ50&gt;INDEX('Methodology &amp; Sources'!$B$364:$J$370,0,4))*($AZ50-INDEX('Methodology &amp; Sources'!$B$364:$J$370,0,4))*INDEX('Methodology &amp; Sources'!$B$364:$J$370,0,4+2))),IF($AN50="NE",MAX(IF($AU50="Married",SUMPRODUCT(($AZ50&gt;INDEX('Methodology &amp; Sources'!$B$394:$J$400,0,7))*($AZ50-INDEX('Methodology &amp; Sources'!$B$394:$J$400,0,7))*INDEX('Methodology &amp; Sources'!$B$394:$J$400,0,7+2)),SUMPRODUCT(($AZ50&gt;INDEX('Methodology &amp; Sources'!$B$394:$J$400,0,4))*($AZ50-INDEX('Methodology &amp; Sources'!$B$394:$J$400,0,4))*INDEX('Methodology &amp; Sources'!$B$394:$J$400,0,4+2))),0.015*$AZ50),IF($AN50="OH",IF($B50&gt;=DATE(2026,8,1),SUMPRODUCT(($AZ50&gt;INDEX('Methodology &amp; Sources'!$B$453:$J$456,0,1))*($AZ50-INDEX('Methodology &amp; Sources'!$B$453:$J$456,0,1))*INDEX('Methodology &amp; Sources'!$B$453:$J$456,0,1+2)),SUMPRODUCT(($AZ50&gt;INDEX('Methodology &amp; Sources'!$B$434:$J$448,0,7))*($AZ50-INDEX('Methodology &amp; Sources'!$B$434:$J$448,0,7))*INDEX('Methodology &amp; Sources'!$B$434:$J$448,0,7+2))),IF($AN50="OK",IF($AU50="Married",SUMPRODUCT(($AZ50&gt;INDEX('Methodology &amp; Sources'!$B$453:$J$456,0,7))*($AZ50-INDEX('Methodology &amp; Sources'!$B$453:$J$456,0,7))*INDEX('Methodology &amp; Sources'!$B$453:$J$456,0,7+2)),SUMPRODUCT(($AZ50&gt;INDEX('Methodology &amp; Sources'!$B$453:$J$456,0,4))*($AZ50-INDEX('Methodology &amp; Sources'!$B$453:$J$456,0,4))*INDEX('Methodology &amp; Sources'!$B$453:$J$456,0,4+2))),IF($AN50="RI",SUMPRODUCT(($AZ50&gt;INDEX('Methodology &amp; Sources'!$B$461:$J$464,0,7))*($AZ50-INDEX('Methodology &amp; Sources'!$B$461:$J$464,0,7))*INDEX('Methodology &amp; Sources'!$B$461:$J$464,0,7+2)),IF($AN50="VT",IF($AU50="Married",SUMPRODUCT(($AZ50&gt;INDEX('Methodology &amp; Sources'!$B$478:$J$482,0,1))*($AZ50-INDEX('Methodology &amp; Sources'!$B$478:$J$482,0,1))*INDEX('Methodology &amp; Sources'!$B$478:$J$482,0,1+2)),SUMPRODUCT(($AZ50&gt;INDEX('Methodology &amp; Sources'!$B$469:$J$473,0,7))*($AZ50-INDEX('Methodology &amp; Sources'!$B$469:$J$473,0,7))*INDEX('Methodology &amp; Sources'!$B$469:$J$473,0,7+2))),IF($AN50="WV",IF($AU50="Married",SUMPRODUCT(($AZ50&gt;INDEX('Methodology &amp; Sources'!$B$487:$J$491,0,7))*($AZ50-INDEX('Methodology &amp; Sources'!$B$487:$J$491,0,7))*INDEX('Methodology &amp; Sources'!$B$487:$J$491,0,7+2)),SUMPRODUCT(($AZ50&gt;INDEX('Methodology &amp; Sources'!$B$478:$J$482,0,7))*($AZ50-INDEX('Methodology &amp; Sources'!$B$478:$J$482,0,7))*INDEX('Methodology &amp; Sources'!$B$478:$J$482,0,7+2))),""))))))))))</f>
      </c>
      <c r="BY50" s="7">
        <f>IF($B50="","",IF($AN50="AR",SUMPRODUCT(($AZ50&gt;INDEX('Methodology &amp; Sources'!$B$332:$J$336,0,7))*($AZ50-INDEX('Methodology &amp; Sources'!$B$332:$J$336,0,7))*INDEX('Methodology &amp; Sources'!$B$332:$J$336,0,7+2)),IF($AN50="DE",SUMPRODUCT(($AZ50&gt;INDEX('Methodology &amp; Sources'!$B$341:$J$348,0,1))*($AZ50-INDEX('Methodology &amp; Sources'!$B$341:$J$348,0,1))*INDEX('Methodology &amp; Sources'!$B$341:$J$348,0,1+2)),IF($AN50="HI",IF($AU50="Married",SUMPRODUCT(($AZ50&gt;INDEX('Methodology &amp; Sources'!$B$341:$J$348,0,7))*($AZ50-INDEX('Methodology &amp; Sources'!$B$341:$J$348,0,7))*INDEX('Methodology &amp; Sources'!$B$341:$J$348,0,7+2)),SUMPRODUCT(($AZ50&gt;INDEX('Methodology &amp; Sources'!$B$341:$J$348,0,4))*($AZ50-INDEX('Methodology &amp; Sources'!$B$341:$J$348,0,4))*INDEX('Methodology &amp; Sources'!$B$341:$J$348,0,4+2))),IF($AN50="SC",SUMPRODUCT(($AZ50&gt;INDEX('Methodology &amp; Sources'!$B$469:$J$473,0,1))*($AZ50-INDEX('Methodology &amp; Sources'!$B$469:$J$473,0,1))*INDEX('Methodology &amp; Sources'!$B$469:$J$473,0,1+2)),IF($AN50="VA",SUMPRODUCT(($AZ50&gt;INDEX('Methodology &amp; Sources'!$B$469:$J$473,0,4))*($AZ50-INDEX('Methodology &amp; Sources'!$B$469:$J$473,0,4))*INDEX('Methodology &amp; Sources'!$B$469:$J$473,0,4+2)),IF($AN50="WI",SUMPRODUCT(($AZ50&gt;INDEX('Methodology &amp; Sources'!$B$478:$J$482,0,4))*($AZ50-INDEX('Methodology &amp; Sources'!$B$478:$J$482,0,4))*INDEX('Methodology &amp; Sources'!$B$478:$J$482,0,4+2)),"")))))))</f>
      </c>
      <c r="BZ50" s="24">
        <f>IF($B50="","",IF($AN50="NJ",IF(Inputs!$C$77="B",SUMPRODUCT(($AZ50&gt;=INDEX('Methodology &amp; Sources'!$B$405:$J$412,0,4))*INDEX('Methodology &amp; Sources'!$B$405:$J$412,0,4+2)),IF(Inputs!$C$77="C",SUMPRODUCT(($AZ50&gt;=INDEX('Methodology &amp; Sources'!$B$405:$J$412,0,7))*INDEX('Methodology &amp; Sources'!$B$405:$J$412,0,7+2)),IF(Inputs!$C$77="D",SUMPRODUCT(($AZ50&gt;=INDEX('Methodology &amp; Sources'!$B$417:$J$429,0,1))*INDEX('Methodology &amp; Sources'!$B$417:$J$429,0,1+2)),IF(Inputs!$C$77="E",SUMPRODUCT(($AZ50&gt;=INDEX('Methodology &amp; Sources'!$B$417:$J$429,0,4))*INDEX('Methodology &amp; Sources'!$B$417:$J$429,0,4+2)),SUMPRODUCT(($AZ50&gt;=INDEX('Methodology &amp; Sources'!$B$405:$J$412,0,1))*INDEX('Methodology &amp; Sources'!$B$405:$J$412,0,1+2)))))),IF($AN50="OR",IF(OR($AU50="Married",AND($AU50="Single",$AS50&gt;=3)),SUMPRODUCT((MAX(0,$AY50-MIN(($P50-'Methodology &amp; Sources'!$C$260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Sources'!$B$461:$J$464,0,4))*INDEX('Methodology &amp; Sources'!$B$461:$J$464,0,4+2)),SUMPRODUCT((MAX(0,$AY50-MIN(($P50-'Methodology &amp; Sources'!$C$260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Sources'!$B$461:$J$464,0,1))*INDEX('Methodology &amp; Sources'!$B$461:$J$464,0,1+2)))*IF(($P50-'Methodology &amp; Sources'!$C$260*$D50)*Inputs!$C$8&gt;=IF(OR($AU50="Married",AND($AU50="Single",$AS50&gt;=3)),IF($AY50&lt;250000,8750,IF($AY50&lt;260000,7000,IF($AY50&lt;270000,5250,IF($AY50&lt;280000,3500,IF($AY50&lt;290000,1750,0))))),IF($AY50&lt;125000,8750,IF($AY50&lt;130000,7000,IF($AY50&lt;135000,5250,IF($AY50&lt;140000,3500,IF($AY50&lt;145000,1750,0)))))),1,1-IF(Inputs!$C$13,SUMPRODUCT(($AH50&gt;=INDEX('Methodology &amp; Sources'!$B$279:$J$286,0,IF(Inputs!$C$12="MFJ",1,IF(Inputs!$C$12="HoH",7,4))))*INDEX('Methodology &amp; Sources'!$B$279:$J$286,0,IF(Inputs!$C$12="MFJ",1,IF(Inputs!$C$12="HoH",7,4))+2)),SUMPRODUCT(($AH50&gt;=INDEX('Methodology &amp; Sources'!$B$269:$J$276,0,IF(Inputs!$C$12="MFJ",1,IF(Inputs!$C$12="HoH",7,4))))*INDEX('Methodology &amp; Sources'!$B$269:$J$276,0,IF(Inputs!$C$12="MFJ",1,IF(Inputs!$C$12="HoH",7,4))+2)))),IF($AN50="MI",IF($AY50&gt;5900*$AS50,0.0425,0),""))))</f>
      </c>
      <c r="CA50" s="24">
        <f>IF($B50="","",IF($AN50="AL",IF(OR($AU50="Married",$AU50="Head of household"),SUMPRODUCT(($AZ50&gt;=INDEX('Methodology &amp; Sources'!$B$332:$J$336,0,4))*INDEX('Methodology &amp; Sources'!$B$332:$J$336,0,4+2)),SUMPRODUCT(($AZ50&gt;=INDEX('Methodology &amp; Sources'!$B$332:$J$336,0,1))*INDEX('Methodology &amp; Sources'!$B$332:$J$336,0,1+2)))*(1-IF(Inputs!$C$13,SUMPRODUCT(($AH50&gt;=INDEX('Methodology &amp; Sources'!$B$279:$J$286,0,IF(Inputs!$C$12="MFJ",1,IF(Inputs!$C$12="HoH",7,4))))*INDEX('Methodology &amp; Sources'!$B$279:$J$286,0,IF(Inputs!$C$12="MFJ",1,IF(Inputs!$C$12="HoH",7,4))+2)),SUMPRODUCT(($AH50&gt;=INDEX('Methodology &amp; Sources'!$B$269:$J$276,0,IF(Inputs!$C$12="MFJ",1,IF(Inputs!$C$12="HoH",7,4))))*INDEX('Methodology &amp; Sources'!$B$269:$J$276,0,IF(Inputs!$C$12="MFJ",1,IF(Inputs!$C$12="HoH",7,4))+2)))),IF($AN50="KS",IF($AU50="Married",SUMPRODUCT(($AZ50&gt;=INDEX('Methodology &amp; Sources'!$B$353:$J$359,0,4))*INDEX('Methodology &amp; Sources'!$B$353:$J$359,0,4+2)),SUMPRODUCT(($AZ50&gt;=INDEX('Methodology &amp; Sources'!$B$353:$J$359,0,1))*INDEX('Methodology &amp; Sources'!$B$353:$J$359,0,1+2))),IF($AN50="MD",IF(OR($AU50="Married",$AU50="Head of household"),SUMPRODUCT(($AZ50&gt;=INDEX('Methodology &amp; Sources'!$B$364:$J$370,0,1))*INDEX('Methodology &amp; Sources'!$B$364:$J$370,0,1+2)),SUMPRODUCT(($AZ50&gt;=INDEX('Methodology &amp; Sources'!$B$353:$J$359,0,7))*INDEX('Methodology &amp; Sources'!$B$353:$J$359,0,7+2)))+Inputs!$C$74,IF($AN50="MT",IF($AU50="Head of household",SUMPRODUCT(($AZ50&gt;=INDEX('Methodology &amp; Sources'!$B$387:$J$389,0,1))*INDEX('Methodology &amp; Sources'!$B$387:$J$389,0,1+2)),IF($AU50="Married",SUMPRODUCT(($AZ50&gt;=INDEX('Methodology &amp; Sources'!$B$375:$J$382,0,7))*INDEX('Methodology &amp; Sources'!$B$375:$J$382,0,7+2)),SUMPRODUCT(($AZ50&gt;=INDEX('Methodology &amp; Sources'!$B$375:$J$382,0,4))*INDEX('Methodology &amp; Sources'!$B$375:$J$382,0,4+2)))),IF($AN50="ND",IF($AU50="Head of household",SUMPRODUCT(($AZ50&gt;=INDEX('Methodology &amp; Sources'!$B$394:$J$400,0,1))*INDEX('Methodology &amp; Sources'!$B$394:$J$400,0,1+2)),IF($AU50="Married",SUMPRODUCT(($AZ50&gt;=INDEX('Methodology &amp; Sources'!$B$387:$J$389,0,7))*INDEX('Methodology &amp; Sources'!$B$387:$J$389,0,7+2)),SUMPRODUCT(($AZ50&gt;=INDEX('Methodology &amp; Sources'!$B$387:$J$389,0,4))*INDEX('Methodology &amp; Sources'!$B$387:$J$389,0,4+2)))),IF($AN50="NY",IF($AU50="Married",IF($AZ50&gt;=2155350,IF($AZ50&gt;25000000,0.117,IF($AZ50&gt;5000000,0.111,0.1045)),SUMPRODUCT(($AZ50&gt;=INDEX('Methodology &amp; Sources'!$B$434:$J$448,0,1))*INDEX('Methodology &amp; Sources'!$B$434:$J$448,0,1+2))),IF($AZ50&gt;=1077550,IF($AZ50&gt;25000000,0.117,IF($AZ50&gt;5000000,0.111,0.1045)),SUMPRODUCT(($AZ50&gt;=INDEX('Methodology &amp; Sources'!$B$417:$J$429,0,7))*INDEX('Methodology &amp; Sources'!$B$417:$J$429,0,7+2)))),"")))))))</f>
      </c>
      <c r="CB50" s="24">
        <f>IF($B50="","",IF($AN50="CA",SUMPRODUCT(($AJ50&gt;=INDEX('Methodology &amp; Sources'!$B$289:$J$298,0,IF($AU50="Married",4,IF($AU50="Head of household",7,1))))*INDEX('Methodology &amp; Sources'!$B$289:$J$298,0,IF($AU50="Married",4,IF($AU50="Head of household",7,1))+2)),IF($AN50="HI",IF($AU50="Married",SUMPRODUCT(($AZ50&gt;=INDEX('Methodology &amp; Sources'!$B$341:$J$348,0,7))*INDEX('Methodology &amp; Sources'!$B$341:$J$348,0,7+2)),SUMPRODUCT(($AZ50&gt;=INDEX('Methodology &amp; Sources'!$B$341:$J$348,0,4))*INDEX('Methodology &amp; Sources'!$B$341:$J$348,0,4+2))),IF($AN50="MN",IF($AU50="Married",SUMPRODUCT(($AZ50&gt;=INDEX('Methodology &amp; Sources'!$B$364:$J$370,0,7))*INDEX('Methodology &amp; Sources'!$B$364:$J$370,0,7+2)),SUMPRODUCT(($AZ50&gt;=INDEX('Methodology &amp; Sources'!$B$364:$J$370,0,4))*INDEX('Methodology &amp; Sources'!$B$364:$J$370,0,4+2))),IF($AN50="MO",SUMPRODUCT(($AZ50&gt;=INDEX('Methodology &amp; Sources'!$B$375:$J$382,0,1))*INDEX('Methodology &amp; Sources'!$B$375:$J$382,0,1+2)),IF($AN50="NE",MAX(IF($AU50="Married",SUMPRODUCT(($AZ50&gt;=INDEX('Methodology &amp; Sources'!$B$394:$J$400,0,7))*INDEX('Methodology &amp; Sources'!$B$394:$J$400,0,7+2)),SUMPRODUCT(($AZ50&gt;=INDEX('Methodology &amp; Sources'!$B$394:$J$400,0,4))*INDEX('Methodology &amp; Sources'!$B$394:$J$400,0,4+2))),0.015),IF($AN50="OH",IF($B50&gt;=DATE(2026,8,1),SUMPRODUCT(($AZ50&gt;=INDEX('Methodology &amp; Sources'!$B$453:$J$456,0,1))*INDEX('Methodology &amp; Sources'!$B$453:$J$456,0,1+2)),SUMPRODUCT(($AZ50&gt;=INDEX('Methodology &amp; Sources'!$B$434:$J$448,0,7))*INDEX('Methodology &amp; Sources'!$B$434:$J$448,0,7+2))),IF($AN50="OK",IF($AU50="Married",SUMPRODUCT(($AZ50&gt;=INDEX('Methodology &amp; Sources'!$B$453:$J$456,0,7))*INDEX('Methodology &amp; Sources'!$B$453:$J$456,0,7+2)),SUMPRODUCT(($AZ50&gt;=INDEX('Methodology &amp; Sources'!$B$453:$J$456,0,4))*INDEX('Methodology &amp; Sources'!$B$453:$J$456,0,4+2))),IF($AN50="RI",SUMPRODUCT(($AZ50&gt;=INDEX('Methodology &amp; Sources'!$B$461:$J$464,0,7))*INDEX('Methodology &amp; Sources'!$B$461:$J$464,0,7+2)),IF($AN50="SC",SUMPRODUCT(($AZ50&gt;=INDEX('Methodology &amp; Sources'!$B$469:$J$473,0,1))*INDEX('Methodology &amp; Sources'!$B$469:$J$473,0,1+2)),IF($AN50="VT",IF($AU50="Married",SUMPRODUCT(($AZ50&gt;=INDEX('Methodology &amp; Sources'!$B$478:$J$482,0,1))*INDEX('Methodology &amp; Sources'!$B$478:$J$482,0,1+2)),SUMPRODUCT(($AZ50&gt;=INDEX('Methodology &amp; Sources'!$B$469:$J$473,0,7))*INDEX('Methodology &amp; Sources'!$B$469:$J$473,0,7+2))),IF($AN50="WV",IF($AU50="Married",SUMPRODUCT(($AZ50&gt;=INDEX('Methodology &amp; Sources'!$B$487:$J$491,0,7))*INDEX('Methodology &amp; Sources'!$B$487:$J$491,0,7+2)),SUMPRODUCT(($AZ50&gt;=INDEX('Methodology &amp; Sources'!$B$478:$J$482,0,7))*INDEX('Methodology &amp; Sources'!$B$478:$J$482,0,7+2))),IF($AN50="IN",(0.0295+Inputs!$C$76),"")))))))))))))</f>
      </c>
      <c r="CC50" s="24">
        <f>IF($B50="","",IF($AN50="AR",SUMPRODUCT(($AZ50&gt;=INDEX('Methodology &amp; Sources'!$B$332:$J$336,0,7))*INDEX('Methodology &amp; Sources'!$B$332:$J$336,0,7+2)),IF($AN50="DE",SUMPRODUCT(($AZ50&gt;=INDEX('Methodology &amp; Sources'!$B$341:$J$348,0,1))*INDEX('Methodology &amp; Sources'!$B$341:$J$348,0,1+2)),IF($AN50="VA",SUMPRODUCT(($AZ50&gt;=INDEX('Methodology &amp; Sources'!$B$469:$J$473,0,4))*INDEX('Methodology &amp; Sources'!$B$469:$J$473,0,4+2)),IF($AN50="WI",SUMPRODUCT(($AZ50&gt;=INDEX('Methodology &amp; Sources'!$B$478:$J$482,0,4))*INDEX('Methodology &amp; Sources'!$B$478:$J$482,0,4+2)),IF($AN50="AZ",Inputs!$C$82,IF($AN50="CO",IF($AY50&gt;IF($AU50="Married",10000,5000),0.044,0),IF($AN50="IA",IF($AY50&gt;IF($AU50="Head of household",19500,IF($AU50="Married",26000,13000)),0.038,0),IF($AN50="ID",IF($AY50&gt;IF($AU50="Married",32000,16094),0.053,0),IF($AN50="IL",IF($AY50&gt;(2925*$AS50+1000*$AT50),0.0495,0),IF($AN50="KY",IF($AI50&gt;3360,0.035,0),IF($AN50="LA",0.0309,IF($AN50="MA",IF(MAX(0,$AY50-MIN(($BD49+$Q50+$R50+$S50),2000)-IF($AS50=0,0,IF($AS50=1,4400,1000*$AS50+3400)))&gt;=1107750,0.09,0.05),IF($AN50="MS",IF($AI50-IF($AU50="Head of household",3400,IF($AU50="Married",4600,2300))-Inputs!$C$85&gt;10000,0.04,0),IF($AN50="PA",0.0307,"")))))))))))))))</f>
      </c>
      <c r="CD50" s="21">
        <f>IF(YEAR(IF(Inputs!$C$7="Weekly",Inputs!$C$9+7*(($BE49+1)-1),IF(Inputs!$C$7="Biweekly",Inputs!$C$9+14*(($BE49+1)-1),IF(Inputs!$C$7="Semimonthly",DATE(YEAR(Inputs!$C$9),MONTH(Inputs!$C$9)+INT((($BE49+1)-1)/2),MIN(DAY(Inputs!$C$9),DAY(EOMONTH(DATE(YEAR(Inputs!$C$9),MONTH(Inputs!$C$9)+INT((($BE49+1)-1)/2),1),0))))+IF(MOD(($BE49+1)-1,2)=1,15,0),EDATE(Inputs!$C$9,($BE49+1)-1)))))&lt;&gt;2026,"",IF(Inputs!$C$7="Weekly",Inputs!$C$9+7*(($BE49+1)-1),IF(Inputs!$C$7="Biweekly",Inputs!$C$9+14*(($BE49+1)-1),IF(Inputs!$C$7="Semimonthly",DATE(YEAR(Inputs!$C$9),MONTH(Inputs!$C$9)+INT((($BE49+1)-1)/2),MIN(DAY(Inputs!$C$9),DAY(EOMONTH(DATE(YEAR(Inputs!$C$9),MONTH(Inputs!$C$9)+INT((($BE49+1)-1)/2),1),0))))+IF(MOD(($BE49+1)-1,2)=1,15,0),EDATE(Inputs!$C$9,($BE49+1)-1)))))</f>
      </c>
      <c r="CE50" s="21">
        <f>IF(SUMPRODUCT(MIN(IF((Inputs!$C$58:$C$67&gt;MAX($B$6:$B49))*(Inputs!$C$58:$C$67&gt;=DATE(2026,1,1))*(Inputs!$C$58:$C$67&lt;=DATE(2026,12,31)),Inputs!$C$58:$C$67,999999)))=999999,"",SUMPRODUCT(MIN(IF((Inputs!$C$58:$C$67&gt;MAX($B$6:$B49))*(Inputs!$C$58:$C$67&gt;=DATE(2026,1,1))*(Inputs!$C$58:$C$67&lt;=DATE(2026,12,31)),Inputs!$C$58:$C$67,999999))))</f>
      </c>
    </row>
    <row r="51">
      <c r="A51" t="n">
        <v>46</v>
      </c>
      <c r="B51" s="21">
        <f>IF(AND($CD51="",$CE51=""),"",IF($CE51="",$CD51,IF($CD51="",$CE51,MIN($CD51,$CE51))))</f>
      </c>
      <c r="C51" s="7">
        <f>IF($B51="","",IF($BF51=0,0,IF(Inputs!$C$4="Annual salary",ROUND($AK51/IF(AND(Inputs!$C$88="Actual paydays",MONTH(Inputs!$C$9)=1),MAX(1,MAX($BE$6:$BE$68)),Inputs!$C$8),2),$AK51)))</f>
      </c>
      <c r="D51" s="7">
        <f>IF($B51="","",SUMIF(Inputs!$C$58:$C$67,$B51,Inputs!$D$58:$D$67))</f>
      </c>
      <c r="E51" s="7">
        <f>IF($B51="","",ROUND(MAX(0,MIN(IF($AL51="Percent",$AM51*($C51+$D51),$AM51),MAX(0,Inputs!$C$91-$AC50))),2))</f>
      </c>
      <c r="F51" s="7">
        <f>IF($B51="","",ROUND(MAX(0,MIN(IF(Inputs!$C$32="Percent",Inputs!$D$32*($C51+$D51),Inputs!$D$32),MAX(0,Inputs!$C$91-$AC50-$E51))),2))</f>
      </c>
      <c r="G51" s="7">
        <f>IF($B51="","",IF($BF51=0,0,ROUND(MAX(0,MIN($BL51,Inputs!$C$92-Inputs!$C$54-$BI50)),2)))</f>
      </c>
      <c r="H51" s="7">
        <f>IF($B51="","",IF(OR($BF51=0,$BQ51=1),0,ROUND(MAX(0,MIN(IF($BS51=1,ROUND(MAX(0,MIN($BJ51,'Methodology &amp; Sources'!$C$263)-$BG50)/MAX(1,MAX($BE$6:$BE$68)-($BE50)),2),ROUND(MIN($BJ51,'Methodology &amp; Sources'!$C$263)/Inputs!$C$8,2)),MIN($BJ51,'Methodology &amp; Sources'!$C$263)-$BG50)),2)))</f>
      </c>
      <c r="I51" s="7">
        <f>IF($B51="","",IF(OR($BF51=0,$BR51=1),0,ROUND(MAX(0,MIN(IF($BT51=1,ROUND(MAX(0,MIN($BK51,IF(Inputs!$C$12="MFJ",'Methodology &amp; Sources'!$C$264,'Methodology &amp; Sources'!$C$265))-$BH50)/MAX(1,MAX($BE$6:$BE$68)-($BE50)),2),ROUND(MIN($BK51,IF(Inputs!$C$12="MFJ",'Methodology &amp; Sources'!$C$264,'Methodology &amp; Sources'!$C$265))/Inputs!$C$8,2)),MIN($BK51,IF(Inputs!$C$12="MFJ",'Methodology &amp; Sources'!$C$264,'Methodology &amp; Sources'!$C$265))-$BH50)),2)))</f>
      </c>
      <c r="J51" s="7">
        <f>IF($B51="","",IF($BF51=0,0,$BM51))</f>
      </c>
      <c r="K51" s="7">
        <f>IF($B51="","",IF($BF51=0,0,$BN51+$BO51))</f>
      </c>
      <c r="L51" s="7">
        <f>IF($B51="","",IF($BF51=0,0,Inputs!$D$46))</f>
      </c>
      <c r="M51" s="7">
        <f>IF($B51="","",$C51+$D51+$L51-$E51-$G51-$H51-$I51-$J51-$K51)</f>
      </c>
      <c r="N51" s="7">
        <f>IF($B51="","",$C51+$D51+$L51-$G51-$H51-$I51-$J51-$K51)</f>
      </c>
      <c r="O51" s="7">
        <f>IF($B51="","",$C51+$D51+$L51-$E51-$H51-$I51-$J51-$K51-IF(OR($AN51="CA",$AN51="NJ"),0,$G51))</f>
      </c>
      <c r="P51" s="7">
        <f>IF($B51="","",IF(Inputs!$C$18,0,ROUND(MAX(0,IF(Inputs!$C$13,SUMPRODUCT(($AH51&gt;INDEX('Methodology &amp; Sources'!$B$279:$J$286,0,IF(Inputs!$C$12="MFJ",1,IF(Inputs!$C$12="HoH",7,4))))*($AH51-INDEX('Methodology &amp; Sources'!$B$279:$J$286,0,IF(Inputs!$C$12="MFJ",1,IF(Inputs!$C$12="HoH",7,4))))*INDEX('Methodology &amp; Sources'!$B$279:$J$286,0,IF(Inputs!$C$12="MFJ",1,IF(Inputs!$C$12="HoH",7,4))+2)),SUMPRODUCT(($AH51&gt;INDEX('Methodology &amp; Sources'!$B$269:$J$276,0,IF(Inputs!$C$12="MFJ",1,IF(Inputs!$C$12="HoH",7,4))))*($AH51-INDEX('Methodology &amp; Sources'!$B$269:$J$276,0,IF(Inputs!$C$12="MFJ",1,IF(Inputs!$C$12="HoH",7,4))))*INDEX('Methodology &amp; Sources'!$B$269:$J$276,0,IF(Inputs!$C$12="MFJ",1,IF(Inputs!$C$12="HoH",7,4))+2)))/Inputs!$C$8-$AO51/Inputs!$C$8)+$AR51+IF(Inputs!$C$89="Aggregate",MAX(0,IF(Inputs!$C$13,SUMPRODUCT((($AH51+$D51)&gt;INDEX('Methodology &amp; Sources'!$B$279:$J$286,0,IF(Inputs!$C$12="MFJ",1,IF(Inputs!$C$12="HoH",7,4))))*(($AH51+$D51)-INDEX('Methodology &amp; Sources'!$B$279:$J$286,0,IF(Inputs!$C$12="MFJ",1,IF(Inputs!$C$12="HoH",7,4))))*INDEX('Methodology &amp; Sources'!$B$279:$J$286,0,IF(Inputs!$C$12="MFJ",1,IF(Inputs!$C$12="HoH",7,4))+2)),SUMPRODUCT((($AH51+$D51)&gt;INDEX('Methodology &amp; Sources'!$B$269:$J$276,0,IF(Inputs!$C$12="MFJ",1,IF(Inputs!$C$12="HoH",7,4))))*(($AH51+$D51)-INDEX('Methodology &amp; Sources'!$B$269:$J$276,0,IF(Inputs!$C$12="MFJ",1,IF(Inputs!$C$12="HoH",7,4))))*INDEX('Methodology &amp; Sources'!$B$269:$J$276,0,IF(Inputs!$C$12="MFJ",1,IF(Inputs!$C$12="HoH",7,4))+2)))-IF(Inputs!$C$13,SUMPRODUCT(($AH51&gt;INDEX('Methodology &amp; Sources'!$B$279:$J$286,0,IF(Inputs!$C$12="MFJ",1,IF(Inputs!$C$12="HoH",7,4))))*($AH51-INDEX('Methodology &amp; Sources'!$B$279:$J$286,0,IF(Inputs!$C$12="MFJ",1,IF(Inputs!$C$12="HoH",7,4))))*INDEX('Methodology &amp; Sources'!$B$279:$J$286,0,IF(Inputs!$C$12="MFJ",1,IF(Inputs!$C$12="HoH",7,4))+2)),SUMPRODUCT(($AH51&gt;INDEX('Methodology &amp; Sources'!$B$269:$J$276,0,IF(Inputs!$C$12="MFJ",1,IF(Inputs!$C$12="HoH",7,4))))*($AH51-INDEX('Methodology &amp; Sources'!$B$269:$J$276,0,IF(Inputs!$C$12="MFJ",1,IF(Inputs!$C$12="HoH",7,4))))*INDEX('Methodology &amp; Sources'!$B$269:$J$276,0,IF(Inputs!$C$12="MFJ",1,IF(Inputs!$C$12="HoH",7,4))+2)))),'Methodology &amp; Sources'!$C$260*$D51),2)))</f>
      </c>
      <c r="Q51" s="7">
        <f>IF($B51="","",ROUND('Methodology &amp; Sources'!$C$254*MIN($N51,MAX(0,'Methodology &amp; Sources'!$C$253-($AX51+$AB50-$AW51))),2))</f>
      </c>
      <c r="R51" s="7">
        <f>IF($B51="","",ROUND('Methodology &amp; Sources'!$C$255*$N51,2))</f>
      </c>
      <c r="S51" s="7">
        <f>IF($B51="","",ROUND('Methodology &amp; Sources'!$C$256*MAX(0,MIN($N51,$AG50+$N51-'Methodology &amp; Sources'!$C$257)),2))</f>
      </c>
      <c r="T51" s="7">
        <f>IF($B51="","",IF(Inputs!$C$26,0,IF($AN51="CA",ROUND(IF($AI51&lt;=IF(($AS51+$AT51)&gt;=2,VLOOKUP($AN51,'StateTables 2026'!$A$6:$AB$56,10,FALSE),VLOOKUP($AN51,'StateTables 2026'!$A$6:$AB$56,9,FALSE)),0,MAX(0,SUMPRODUCT(($AJ51&gt;INDEX('Methodology &amp; Sources'!$B$289:$J$298,0,IF($AU51="Married",4,IF($AU51="Head of household",7,1))))*($AJ51-INDEX('Methodology &amp; Sources'!$B$289:$J$298,0,IF($AU51="Married",4,IF($AU51="Head of household",7,1))))*INDEX('Methodology &amp; Sources'!$B$289:$J$298,0,IF($AU51="Married",4,IF($AU51="Head of household",7,1))+2))-VLOOKUP($AN51,'StateTables 2026'!$A$6:$AB$56,11,FALSE)*$AS51)/Inputs!$C$8)+Inputs!$C$25+VLOOKUP($AN51,'StateTables 2026'!$A$6:$AB$56,13,FALSE)*$D51,2),IF(VLOOKUP($AN51,'StateTables 2026'!$A$6:$AB$56,4,FALSE)="None",0,IF(ISNUMBER(SEARCH("MANUAL",VLOOKUP($AN51,'StateTables 2026'!$A$6:$AB$56,5,FALSE))),Inputs!$C$28,ROUND(MAX(0,$BA51+$BB51)/Inputs!$C$8+Inputs!$C$25+$BC51,2))))))</f>
      </c>
      <c r="U51" s="7">
        <f>IF($B51="","",IF(VLOOKUP($AN51,'StateTables 2026'!$A$6:$AB$56,24,FALSE)="flatq",IF(OR(MONTH($B51)=1,MONTH($B51)=4,MONTH($B51)=7,MONTH($B51)=10),VLOOKUP($AN51,'StateTables 2026'!$A$6:$AB$56,25,FALSE),0),IF(VLOOKUP($AN51,'StateTables 2026'!$A$6:$AB$56,24,FALSE)="dbl",MIN(ROUND(0.005*$N51,2),ROUND(0.6*52/Inputs!$C$8,2)),IF(OR(VLOOKUP($AN51,'StateTables 2026'!$A$6:$AB$56,15,FALSE)="",VLOOKUP($AN51,'StateTables 2026'!$A$6:$AB$56,15,FALSE)=0),0,ROUND(VLOOKUP($AN51,'StateTables 2026'!$A$6:$AB$56,15,FALSE)*IF(OR(VLOOKUP($AN51,'StateTables 2026'!$A$6:$AB$56,16,FALSE)="",VLOOKUP($AN51,'StateTables 2026'!$A$6:$AB$56,16,FALSE)=0),$N51,MIN($N51,MAX(0,VLOOKUP($AN51,'StateTables 2026'!$A$6:$AB$56,16,FALSE)-($AX51+$AB50-$AW51)))),2))))+IF(VLOOKUP($AN51,'StateTables 2026'!$A$6:$AB$56,27,FALSE)="flatq",IF(OR(MONTH($B51)=1,MONTH($B51)=4,MONTH($B51)=7,MONTH($B51)=10),VLOOKUP($AN51,'StateTables 2026'!$A$6:$AB$56,28,FALSE),0),IF(VLOOKUP($AN51,'StateTables 2026'!$A$6:$AB$56,27,FALSE)="dbl",MIN(ROUND(0.005*$N51,2),ROUND(0.6*52/Inputs!$C$8,2)),IF(OR(VLOOKUP($AN51,'StateTables 2026'!$A$6:$AB$56,18,FALSE)="",VLOOKUP($AN51,'StateTables 2026'!$A$6:$AB$56,18,FALSE)=0),0,ROUND(VLOOKUP($AN51,'StateTables 2026'!$A$6:$AB$56,18,FALSE)*IF(OR(VLOOKUP($AN51,'StateTables 2026'!$A$6:$AB$56,19,FALSE)="",VLOOKUP($AN51,'StateTables 2026'!$A$6:$AB$56,19,FALSE)=0),$N51,MIN($N51,MAX(0,VLOOKUP($AN51,'StateTables 2026'!$A$6:$AB$56,19,FALSE)-($AX51+$AB50-$AW51)))),2)))))</f>
      </c>
      <c r="V51" s="7">
        <f>IF($B51="","",IF($AN51="NY",IF(Inputs!$C$78,ROUND(SUMPRODUCT((MAX(0,($O51-$D51)*Inputs!$C$8-(IF($AU51="Married",5500,5000)+1000*$AS51))&gt;INDEX('Methodology &amp; Sources'!$B$434:$J$448,0,4))*(MAX(0,($O51-$D51)*Inputs!$C$8-(IF($AU51="Married",5500,5000)+1000*$AS51))-INDEX('Methodology &amp; Sources'!$B$434:$J$448,0,4))*INDEX('Methodology &amp; Sources'!$B$434:$J$448,0,4+2))/Inputs!$C$8+0.0425*$D51,2),0)+IF(Inputs!$C$79="Resident",ROUND(0.1675*$T51,2),IF(Inputs!$C$79="Nonresident",ROUND(0.005*MAX(0,($O51-$D51)-(IF($AU51="Married",7950,7400)+1000*$AS51)/Inputs!$C$8),2),0)),IF($AN51="PA",IF(Inputs!$C$80="None",Inputs!$C$27+ROUND(Inputs!$C$81*($C51+$D51),2),ROUND(IF(Inputs!$C$80="Resident",IF($B51&lt;DATE(2026,7,1),0.0374,0.03735),IF($B51&lt;DATE(2026,7,1),0.0343,0.03425))*($C51+$D51),2)),IF($BF51=0,ROUND(Inputs!$C$81*($C51+$D51),2),Inputs!$C$27+ROUND(Inputs!$C$81*($C51+$D51),2)))))</f>
      </c>
      <c r="W51" s="7">
        <f>IF($B51="","",IF($BF51=0,0,$BP51))</f>
      </c>
      <c r="X51" s="7">
        <f>IF($B51="","",SUM($E51:$K51)+$P51+$Q51+$R51+$S51+$T51+$U51+$V51+$W51)</f>
      </c>
      <c r="Y51" s="22">
        <f>IF($B51="","",$C51+$D51-$X51)</f>
      </c>
      <c r="Z51" s="7">
        <f>IF($B51="","",$Z50+$C51+$D51)</f>
      </c>
      <c r="AA51" s="7">
        <f>IF($B51="","",$AA50+$Y51)</f>
      </c>
      <c r="AB51" s="7">
        <f>IF($B51="","",$AB50+MIN($N51,MAX(0,'Methodology &amp; Sources'!$C$253-($AX51+$AB50-$AW51))))</f>
      </c>
      <c r="AC51" s="7">
        <f>IF($B51="","",$AC50+$E51+$F51)</f>
      </c>
      <c r="AD51" s="3">
        <f>IF($B51="","",IF(AND($AB50&lt;'Methodology &amp; Sources'!$C$253,$AB51&gt;='Methodology &amp; Sources'!$C$253),"★ Social Security maxed on this check — from the next check your net rises by about $"&amp;TEXT(ROUND('Methodology &amp; Sources'!$C$254*$N51,2),"#,##0.00")&amp;". ","")&amp;IF(AND($AC50&lt;Inputs!$C$91,$AC51&gt;=Inputs!$C$91),"★ 401(k) reaches the $"&amp;TEXT(Inputs!$C$91,"#,##0")&amp;" cap on this check — deferrals stop and net pay rises. ","")&amp;IF(AND($AG50&lt;'Methodology &amp; Sources'!$C$257,$AG51&gt;='Methodology &amp; Sources'!$C$257),"★ Wages pass $200,000 — the 0.9% Additional Medicare Tax starts here. ","")&amp;IF(AND($BJ51&gt;0,$H51&gt;0,$BG50&lt;MIN($BJ51,'Methodology &amp; Sources'!$C$263),$BG50+$H51&gt;=MIN($BJ51,'Methodology &amp; Sources'!$C$263)),"★ Health FSA election is now fully deferred for the year. ",""))</f>
      </c>
      <c r="AE51" s="41" t="n"/>
      <c r="AF51" s="7">
        <f>IF(OR($B51="",$AE51=""),"",$AE51-$Y51)</f>
      </c>
      <c r="AG51" s="7">
        <f>IF($B51="","",$AG50+$N51)</f>
      </c>
      <c r="AH51" s="7">
        <f>IF($B51="","",MAX(0,($M51-$D51)*Inputs!$C$8+$AP51-$AQ51-IF(Inputs!$C$13,0,IF(Inputs!$C$12="MFJ",'Methodology &amp; Sources'!$C$258,'Methodology &amp; Sources'!$C$259))))</f>
      </c>
      <c r="AI51" s="7">
        <f>IF($B51="","",$O51*Inputs!$C$8)</f>
      </c>
      <c r="AJ51" s="7">
        <f>IF($B51="","",MAX(0,$AI51-VLOOKUP($AN51,'StateTables 2026'!$A$6:$AB$56,12,FALSE)*$AT51-IF(($AS51+$AT51)&gt;=2,VLOOKUP($AN51,'StateTables 2026'!$A$6:$AB$56,8,FALSE),VLOOKUP($AN51,'StateTables 2026'!$A$6:$AB$56,7,FALSE))))</f>
      </c>
      <c r="AK51" s="7">
        <f>IF($B51="","",IFERROR(LOOKUP(2,1/((Events!$C$6:$C$17="Salary change")*(Events!$B$6:$B$17&lt;=$B51)*(Events!$B$6:$B$17&lt;&gt;"")),Events!$D$6:$D$17),IF(Inputs!$C$4="Annual salary",Inputs!$C$5,Inputs!$C$6)))</f>
      </c>
      <c r="AL51">
        <f>IF($B51="","",IFERROR(LOOKUP(2,1/((Events!$C$6:$C$17="401(k) change")*(Events!$B$6:$B$17&lt;=$B51)*(Events!$B$6:$B$17&lt;&gt;"")),Events!$D$6:$D$17),Inputs!$C$30))</f>
      </c>
      <c r="AM51" s="7">
        <f>IF($B51="","",IFERROR(LOOKUP(2,1/((Events!$C$6:$C$17="401(k) change")*(Events!$B$6:$B$17&lt;=$B51)*(Events!$B$6:$B$17&lt;&gt;"")),Events!$E$6:$E$17),Inputs!$D$30))</f>
      </c>
      <c r="AN51">
        <f>IF($B51="","",IFERROR(LOOKUP(2,1/((Events!$C$6:$C$17="State move")*(Events!$B$6:$B$17&lt;=$B51)*(Events!$B$6:$B$17&lt;&gt;"")),Events!$D$6:$D$17),Inputs!$C$21))</f>
      </c>
      <c r="AO51" s="7">
        <f>IF($B51="","",IFERROR(LOOKUP(2,1/((Events!$C$6:$C$17="W-4 change")*(Events!$B$6:$B$17&lt;=$B51)*(Events!$B$6:$B$17&lt;&gt;"")),Events!$D$6:$D$17),Inputs!$C$14))</f>
      </c>
      <c r="AP51" s="7">
        <f>IF($B51="","",IFERROR(LOOKUP(2,1/((Events!$C$6:$C$17="W-4 change")*(Events!$B$6:$B$17&lt;=$B51)*(Events!$B$6:$B$17&lt;&gt;"")),Events!$E$6:$E$17),Inputs!$C$15))</f>
      </c>
      <c r="AQ51" s="7">
        <f>IF($B51="","",IFERROR(LOOKUP(2,1/((Events!$C$6:$C$17="W-4 change")*(Events!$B$6:$B$17&lt;=$B51)*(Events!$B$6:$B$17&lt;&gt;"")),Events!$F$6:$F$17),Inputs!$C$16))</f>
      </c>
      <c r="AR51" s="7">
        <f>IF($B51="","",IFERROR(LOOKUP(2,1/((Events!$C$6:$C$17="W-4 change")*(Events!$B$6:$B$17&lt;=$B51)*(Events!$B$6:$B$17&lt;&gt;"")),Events!$G$6:$G$17),Inputs!$C$17))</f>
      </c>
      <c r="AS51" s="6">
        <f>IF($B51="","",IFERROR(LOOKUP(2,1/(((Events!$C$6:$C$17="State move")+(Events!$C$6:$C$17="State cert change"))*(Events!$B$6:$B$17&lt;=$B51)*(Events!$B$6:$B$17&lt;&gt;"")),Events!$F$6:$F$17),Inputs!$C$23))</f>
      </c>
      <c r="AT51" s="6">
        <f>IF($B51="","",IFERROR(LOOKUP(2,1/(((Events!$C$6:$C$17="State move")+(Events!$C$6:$C$17="State cert change"))*(Events!$B$6:$B$17&lt;=$B51)*(Events!$B$6:$B$17&lt;&gt;"")),Events!$G$6:$G$17),Inputs!$C$24))</f>
      </c>
      <c r="AU51">
        <f>IF($B51="","",IFERROR(LOOKUP(2,1/((Events!$C$6:$C$17="State move")*(Events!$B$6:$B$17&lt;=$B51)*(Events!$B$6:$B$17&lt;&gt;"")),Events!$E$6:$E$17),Inputs!$C$22))</f>
      </c>
      <c r="AV51" s="6">
        <f>IF($B51="","",1+COUNTIFS(Events!$C$6:$C$17,"Employer change",Events!$B$6:$B$17,"&lt;="&amp;$B51,Events!$B$6:$B$17,"&lt;&gt;"))</f>
      </c>
      <c r="AW51" s="7">
        <f>IF($B51="","",IF($AV51=1,Inputs!$C$49,IF(IFERROR(MATCH(IFERROR(LOOKUP(2,1/((Events!$C$6:$C$17="Employer change")*(Events!$B$6:$B$17&lt;=$B51)*(Events!$B$6:$B$17&lt;&gt;"")),Events!$B$6:$B$17),""),$B$6:$B$68,1),1)&lt;=1,Inputs!$C$49,INDEX($AB$6:$AB$68,MATCH(IFERROR(LOOKUP(2,1/((Events!$C$6:$C$17="Employer change")*(Events!$B$6:$B$17&lt;=$B51)*(Events!$B$6:$B$17&lt;&gt;"")),Events!$B$6:$B$17),""),$B$6:$B$68,1)-1))))</f>
      </c>
      <c r="AX51" s="7">
        <f>IF($B51="","",IF($AV51=1,Inputs!$C$49,IFERROR(LOOKUP(2,1/((Events!$C$6:$C$17="Employer change")*(Events!$B$6:$B$17&lt;=$B51)*(Events!$B$6:$B$17&lt;&gt;"")),Events!$D$6:$D$17),0)))</f>
      </c>
      <c r="AY51" s="7">
        <f>IF($B51="","",($O51-$D51)*Inputs!$C$8)</f>
      </c>
      <c r="AZ51" s="7">
        <f>IF($B51="","",IF($AN51="AL",MAX(0,$AY51-IF($AU51="Married",IF($AY51&lt;=25999,8500,MAX(5000,8500-175*CEILING(($AY51-25999)/500,1))),IF($AU51="Head of household",IF($AY51&lt;=25999,5200,MAX(2500,5200-135*CEILING(($AY51-25999)/500,1))),IF($AY51&lt;=25999,3000,MAX(2500,3000-25*CEILING(($AY51-25999)/500,1)))))-($P51-'Methodology &amp; Sources'!$C$260*$D51)*Inputs!$C$8-IF(OR($AU51="Married",$AU51="Head of household"),3000,1500)-$AT51*IF($AY51&lt;=50000,1000,IF($AY51&lt;=100000,500,300))),IF($AN51="AR",IF(MAX(0,$AY51-2470)&lt;97701,INT(MAX(0,$AY51-2470)/100)*100+50,MAX(0,$AY51-2470)),IF($AN51="DE",MAX(0,$AI51-3250),IF($AN51="HI",MAX(0,$AI51-1144*$AS51-4350),IF($AN51="KS",MAX(0,$AI51-(9160*IF($AU51="Married",2,1)+2320*$AT51+IF($AU51="Head of household",2320,0))),IF($AN51="MD",MAX(0,$AI51-3400-3200*$AS51),IF($AN51="MN",MAX(0,$AY51-5300*$AS51),IF($AN51="MO",MAX(0,$AI51-IF($AU51="Head of household",24150,IF($AU51="Married",IF(Inputs!$C$83,16100,32200),16100))),IF($AN51="MT",$AY51,IF($AN51="ND",($C51+$L51)*Inputs!$C$8,IF($AN51="NE",MAX(0,$AY51-2440*$AS51),IF($AN51="NJ",MAX(0,$AY51-1000*$AS51),IF($AN51="NY",MAX(0,$AY51-(IF($AU51="Married",7950,7400)+1000*$AS51)),IF($AN51="OH",MAX(0,$AY51-650*$AS51),IF($AN51="OK",MAX(0,$AY51-1000*$AS51),IF($AN51="RI",MAX(0,$AI51-1000*$AS51),IF($AN51="SC",MAX(0,$AI51-5000*$AS51-IF($AS51=0,0,MIN(0.1*$AI51,7500))),IF($AN51="VA",MAX(0,$AI51-IF($AU51="Married",17500,8750)-930*$AS51-800*$AT51),IF($AN51="VT",MAX(0,$AI51-5400*$AS51),IF($AN51="WI",MAX(0,$AI51-MAX(0,IF($AU51="Married",9461-0.2*MAX(0,$AI51-25727),6702-0.12*MAX(0,$AI51-17780)))-400*$AS51),IF($AN51="WV",MAX(0,$AI51-2000*$AS51),$AI51))))))))))))))))))))))</f>
      </c>
      <c r="BA51" s="7">
        <f>IF($B51="","",IF($BW51&lt;&gt;"",$BW51,IF($BX51&lt;&gt;"",$BX51,IF($BY51&lt;&gt;"",$BY51,0))))</f>
      </c>
      <c r="BB51" s="7">
        <f>IF($B51="","",IF($AN51="AR",-29*$AS51,IF($AN51="DE",-110*$AS51,IF($AN51="MD",$AZ51*Inputs!$C$74,IF($AN51="AZ",Inputs!$C$82*($M51-$D51)*Inputs!$C$8,IF($AN51="CO",0.044*MAX(0,$AY51-IF($AU51="Married",10000,5000)),IF($AN51="IA",MAX(0,0.038*MAX(0,$AY51-IF($AU51="Head of household",19500,IF($AU51="Married",26000,13000)))-40*$AS51),IF($AN51="ID",0.053*MAX(0,$AY51-IF($AU51="Married",32000,16094)),IF($AN51="IL",0.0495*MAX(0,$AY51-(2925*$AS51+1000*$AT51)),IF($AN51="IN",(0.0295+Inputs!$C$76)*MAX(0,$AY51-(1000*$AS51+1500*$AT51+3000*Inputs!$C$86)),IF($AN51="KY",0.035*MAX(0,$AI51-3360),IF($AN51="LA",IF(Inputs!$C$84="0",0.0309*$AI51,0.0309*MAX(0,$AI51-IF(Inputs!$C$84="2",25750,12875))),IF($AN51="MA",0.05*MIN(MAX(0,$AY51-MIN(($BD50+$Q51+$R51+$S51),2000)-IF($AS51=0,0,IF($AS51=1,4400,1000*$AS51+3400))),1107750)+0.09*MAX(0,MAX(0,$AY51-MIN(($BD50+$Q51+$R51+$S51),2000)-IF($AS51=0,0,IF($AS51=1,4400,1000*$AS51+3400)))-1107750)-IF($AU51="Head of household",120,0)-110*Inputs!$C$75,IF($AN51="MI",0.0425*MAX(0,$AY51-5900*$AS51),IF($AN51="MS",0.04*MAX(0,$AI51-IF($AU51="Head of household",3400,IF($AU51="Married",4600,2300))-Inputs!$C$85-10000),IF($AN51="OR",IF(OR($AU51="Married",AND($AU51="Single",$AS51&gt;=3)),SUMPRODUCT((MAX(0,$AY51-MIN(($P51-'Methodology &amp; Sources'!$C$260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Sources'!$B$461:$J$464,0,4))*(MAX(0,$AY51-MIN(($P51-'Methodology &amp; Sources'!$C$260*$D51)*Inputs!$C$8,IF(OR($AU51="Married",AND($AU51="Single",$AS51&gt;=3)),IF($AY51&lt;250000,8750,IF($AY51&lt;260000,7000,IF($AY51&lt;270000,5250,IF($AY51&lt;280000,3500,IF($AY51&lt;290000,1750,0))))),IF($AY51&lt;125000,8750,IF($AY51&lt;130000,7000,IF($AY51&lt;135000,5250,IF($AY51&lt;140000,3500,IF($AY51&lt;145000,1750,0)))))))-IF(OR($AU51="Married",AND($AU51="Single",$AS51&gt;=3)),5820,2910))-INDEX('Methodology &amp; Sources'!$B$461:$J$464,0,4))*INDEX('Methodology &amp; Sources'!$B$461:$J$464,0,4+2)),SUMPRODUCT((MAX(0,$AY51-MIN(($P51-'Methodology &amp; Sources'!$C$260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Sources'!$B$461:$J$464,0,1))*(MAX(0,$AY51-MIN(($P51-'Methodology &amp; Sources'!$C$260*$D51)*Inputs!$C$8,IF(OR($AU51="Married",AND($AU51="Single",$AS51&gt;=3)),IF($AY51&lt;250000,8750,IF($AY51&lt;260000,7000,IF($AY51&lt;270000,5250,IF($AY51&lt;280000,3500,IF($AY51&lt;290000,1750,0))))),IF($AY51&lt;125000,8750,IF($AY51&lt;130000,7000,IF($AY51&lt;135000,5250,IF($AY51&lt;140000,3500,IF($AY51&lt;145000,1750,0)))))))-IF(OR($AU51="Married",AND($AU51="Single",$AS51&gt;=3)),5820,2910))-INDEX('Methodology &amp; Sources'!$B$461:$J$464,0,1))*INDEX('Methodology &amp; Sources'!$B$461:$J$464,0,1+2)))+263-263*IF(IF($AU51="Married",$AY51&gt;200000,$AY51&gt;100000),0,$AS51),IF($AN51="PA",0.0307*(($O51+$E51+$G51)*Inputs!$C$8),IF($AN51="NY",IF($AU51="Married",IF($AZ51&gt;=2155350,0,IF($AZ51&gt;=1077550,0.48,IF($AZ51&gt;=373200,1.21,IF($AZ51&gt;=323200,0.21,IF($AZ51&gt;=211550,-0.19,IF($AZ51&gt;=157650,-2.8,IF($AZ51&gt;=107650,-0.8,IF($AZ51&gt;=96800,0.05,IF($AZ51&gt;=80650,-0.1,IF($AZ51&gt;=13900,0.4,IF($AZ51&gt;=11700,-0.3,IF($AZ51&gt;=8500,0.5,0)))))))))))),IF($AZ51&gt;=1077550,0,IF($AZ51&gt;=265400,4.29,IF($AZ51&gt;=215400,2.29,IF($AZ51&gt;=157650,2.29,IF($AZ51&gt;=107650,0.29,IF($AZ51&gt;=96800,0.05,IF($AZ51&gt;=80650,-0.1,IF($AZ51&gt;=13900,0.4,IF($AZ51&gt;=11700,-0.3,IF($AZ51&gt;=8500,0.5,0))))))))))),0))))))))))))))))))</f>
      </c>
      <c r="BC51" s="7">
        <f>IF($B51="","",IF($AN51="AL",0.05*$D51,IF($AN51="AR",0.039*$D51,IF($AN51="ID",0.053*$D51,IF($AN51="IN",(0.0295+Inputs!$C$76)*$D51,IF($AN51="KS",0.05*$D51,IF($AN51="MA",0.09*MIN($D51,MAX(0,MAX(0,$AY51-MIN(($BD50+$Q51+$R51+$S51),2000)-IF($AS51=0,0,IF($AS51=1,4400,1000*$AS51+3400)))+$D51-1107750))+0.05*($D51-MIN($D51,MAX(0,MAX(0,$AY51-MIN(($BD50+$Q51+$R51+$S51),2000)-IF($AS51=0,0,IF($AS51=1,4400,1000*$AS51+3400)))+$D51-1107750))),IF($AN51="MD",(0.065+Inputs!$C$74)*$D51,IF($AN51="MI",0.0425*$D51,IF($AN51="MN",0.0625*$D51,IF($AN51="MO",0.047*$D51,IF($AN51="MT",0.05*$D51,IF($AN51="ND",0.015*$D51,IF($AN51="NE",0.035*$D51,IF($AN51="NJ",IF(Inputs!$C$77="B",SUMPRODUCT(($D51*Inputs!$C$8&gt;INDEX('Methodology &amp; Sources'!$B$405:$J$412,0,4))*($D51*Inputs!$C$8-INDEX('Methodology &amp; Sources'!$B$405:$J$412,0,4))*INDEX('Methodology &amp; Sources'!$B$405:$J$412,0,4+2)),IF(Inputs!$C$77="C",SUMPRODUCT(($D51*Inputs!$C$8&gt;INDEX('Methodology &amp; Sources'!$B$405:$J$412,0,7))*($D51*Inputs!$C$8-INDEX('Methodology &amp; Sources'!$B$405:$J$412,0,7))*INDEX('Methodology &amp; Sources'!$B$405:$J$412,0,7+2)),IF(Inputs!$C$77="D",SUMPRODUCT(($D51*Inputs!$C$8&gt;INDEX('Methodology &amp; Sources'!$B$417:$J$429,0,1))*($D51*Inputs!$C$8-INDEX('Methodology &amp; Sources'!$B$417:$J$429,0,1))*INDEX('Methodology &amp; Sources'!$B$417:$J$429,0,1+2)),IF(Inputs!$C$77="E",SUMPRODUCT(($D51*Inputs!$C$8&gt;INDEX('Methodology &amp; Sources'!$B$417:$J$429,0,4))*($D51*Inputs!$C$8-INDEX('Methodology &amp; Sources'!$B$417:$J$429,0,4))*INDEX('Methodology &amp; Sources'!$B$417:$J$429,0,4+2)),SUMPRODUCT(($D51*Inputs!$C$8&gt;INDEX('Methodology &amp; Sources'!$B$405:$J$412,0,1))*($D51*Inputs!$C$8-INDEX('Methodology &amp; Sources'!$B$405:$J$412,0,1))*INDEX('Methodology &amp; Sources'!$B$405:$J$412,0,1+2))))))/Inputs!$C$8,IF($AN51="NY",0.117*$D51,IF($AN51="OH",0.0275*$D51,IF($AN51="OK",0.045*$D51,IF($AN51="OR",0.08*$D51,IF($AN51="WI",IF($AY51&lt;12760,0.0354,IF($AY51&lt;25520,0.0465,IF($AY51&lt;280950,0.053,0.0765)))*$D51,0))))))))))))))))))))</f>
      </c>
      <c r="BD51" s="7">
        <f>IF($B51="","",$BD50+$Q51+$R51+$S51)</f>
      </c>
      <c r="BE51" s="6">
        <f>IF($B51="",$BE50,$BE50+$BF51)</f>
      </c>
      <c r="BF51" s="6">
        <f>IF($B51="","",IF(AND(IF(YEAR(IF(Inputs!$C$7="Weekly",Inputs!$C$9+7*(($BE50+1)-1),IF(Inputs!$C$7="Biweekly",Inputs!$C$9+14*(($BE50+1)-1),IF(Inputs!$C$7="Semimonthly",DATE(YEAR(Inputs!$C$9),MONTH(Inputs!$C$9)+INT((($BE50+1)-1)/2),MIN(DAY(Inputs!$C$9),DAY(EOMONTH(DATE(YEAR(Inputs!$C$9),MONTH(Inputs!$C$9)+INT((($BE50+1)-1)/2),1),0))))+IF(MOD(($BE50+1)-1,2)=1,15,0),EDATE(Inputs!$C$9,($BE50+1)-1)))))&lt;&gt;2026,"",IF(Inputs!$C$7="Weekly",Inputs!$C$9+7*(($BE50+1)-1),IF(Inputs!$C$7="Biweekly",Inputs!$C$9+14*(($BE50+1)-1),IF(Inputs!$C$7="Semimonthly",DATE(YEAR(Inputs!$C$9),MONTH(Inputs!$C$9)+INT((($BE50+1)-1)/2),MIN(DAY(Inputs!$C$9),DAY(EOMONTH(DATE(YEAR(Inputs!$C$9),MONTH(Inputs!$C$9)+INT((($BE50+1)-1)/2),1),0))))+IF(MOD(($BE50+1)-1,2)=1,15,0),EDATE(Inputs!$C$9,($BE50+1)-1)))))&lt;&gt;"",$B51=IF(YEAR(IF(Inputs!$C$7="Weekly",Inputs!$C$9+7*(($BE50+1)-1),IF(Inputs!$C$7="Biweekly",Inputs!$C$9+14*(($BE50+1)-1),IF(Inputs!$C$7="Semimonthly",DATE(YEAR(Inputs!$C$9),MONTH(Inputs!$C$9)+INT((($BE50+1)-1)/2),MIN(DAY(Inputs!$C$9),DAY(EOMONTH(DATE(YEAR(Inputs!$C$9),MONTH(Inputs!$C$9)+INT((($BE50+1)-1)/2),1),0))))+IF(MOD(($BE50+1)-1,2)=1,15,0),EDATE(Inputs!$C$9,($BE50+1)-1)))))&lt;&gt;2026,"",IF(Inputs!$C$7="Weekly",Inputs!$C$9+7*(($BE50+1)-1),IF(Inputs!$C$7="Biweekly",Inputs!$C$9+14*(($BE50+1)-1),IF(Inputs!$C$7="Semimonthly",DATE(YEAR(Inputs!$C$9),MONTH(Inputs!$C$9)+INT((($BE50+1)-1)/2),MIN(DAY(Inputs!$C$9),DAY(EOMONTH(DATE(YEAR(Inputs!$C$9),MONTH(Inputs!$C$9)+INT((($BE50+1)-1)/2),1),0))))+IF(MOD(($BE50+1)-1,2)=1,15,0),EDATE(Inputs!$C$9,($BE50+1)-1)))))),1,0))</f>
      </c>
      <c r="BG51" s="7">
        <f>IF($B51="","",$BG50+$H51)</f>
      </c>
      <c r="BH51" s="7">
        <f>IF($B51="","",$BH50+$I51)</f>
      </c>
      <c r="BI51" s="7">
        <f>IF($B51="","",$BI50+$G51)</f>
      </c>
      <c r="BJ51" s="7">
        <f>IF($B51="","",IFERROR(LOOKUP(2,1/((((Events!$C$6:$C$17="Deduction start"))*(Events!$D$6:$D$17="Health FSA"))*(Events!$B$6:$B$17&lt;=$B51)*(Events!$B$6:$B$17&lt;&gt;"")),Events!$E$6:$E$17),Inputs!$D$38))</f>
      </c>
      <c r="BK51" s="7">
        <f>IF($B51="","",IFERROR(LOOKUP(2,1/((((Events!$C$6:$C$17="Deduction start"))*(Events!$D$6:$D$17="Dependent-care FSA"))*(Events!$B$6:$B$17&lt;=$B51)*(Events!$B$6:$B$17&lt;&gt;"")),Events!$E$6:$E$17),Inputs!$D$39))</f>
      </c>
      <c r="BL51" s="7">
        <f>IF($B51="","",IFERROR(LOOKUP(2,1/((((Events!$C$6:$C$17="Deduction start")+(Events!$C$6:$C$17="Deduction stop"))*(Events!$D$6:$D$17="HSA"))*(Events!$B$6:$B$17&lt;=$B51)*(Events!$B$6:$B$17&lt;&gt;"")),Events!$I$6:$I$17),Inputs!$D$35))</f>
      </c>
      <c r="BM51" s="7">
        <f>IF($B51="","",IFERROR(LOOKUP(2,1/((((Events!$C$6:$C$17="Deduction start")+(Events!$C$6:$C$17="Deduction stop"))*(Events!$D$6:$D$17="Premiums"))*(Events!$B$6:$B$17&lt;=$B51)*(Events!$B$6:$B$17&lt;&gt;"")),Events!$I$6:$I$17),Inputs!$D$40+Inputs!$D$41+Inputs!$D$42))</f>
      </c>
      <c r="BN51" s="7">
        <f>IF($B51="","",IFERROR(LOOKUP(2,1/((((Events!$C$6:$C$17="Deduction start")+(Events!$C$6:$C$17="Deduction stop"))*(Events!$D$6:$D$17="Commuter"))*(Events!$B$6:$B$17&lt;=$B51)*(Events!$B$6:$B$17&lt;&gt;"")),Events!$I$6:$I$17),Inputs!$D$43))</f>
      </c>
      <c r="BO51" s="7">
        <f>IF($B51="","",IFERROR(LOOKUP(2,1/((((Events!$C$6:$C$17="Deduction start")+(Events!$C$6:$C$17="Deduction stop"))*(Events!$D$6:$D$17="Other pre-tax"))*(Events!$B$6:$B$17&lt;=$B51)*(Events!$B$6:$B$17&lt;&gt;"")),Events!$I$6:$I$17),Inputs!$D$44))</f>
      </c>
      <c r="BP51" s="7">
        <f>IF($B51="","",IFERROR(LOOKUP(2,1/((((Events!$C$6:$C$17="Deduction start")+(Events!$C$6:$C$17="Deduction stop"))*(Events!$D$6:$D$17="Other post-tax"))*(Events!$B$6:$B$17&lt;=$B51)*(Events!$B$6:$B$17&lt;&gt;"")),Events!$I$6:$I$17),Inputs!$D$45))</f>
      </c>
      <c r="BQ51" s="6">
        <f>IF($B51="","",IFERROR(LOOKUP(2,1/((((Events!$C$6:$C$17="Deduction start")+(Events!$C$6:$C$17="Deduction stop"))*(Events!$D$6:$D$17="Health FSA"))*(Events!$B$6:$B$17&lt;=$B51)*(Events!$B$6:$B$17&lt;&gt;"")),Events!$J$6:$J$17),0))</f>
      </c>
      <c r="BR51" s="6">
        <f>IF($B51="","",IFERROR(LOOKUP(2,1/((((Events!$C$6:$C$17="Deduction start")+(Events!$C$6:$C$17="Deduction stop"))*(Events!$D$6:$D$17="Dependent-care FSA"))*(Events!$B$6:$B$17&lt;=$B51)*(Events!$B$6:$B$17&lt;&gt;"")),Events!$J$6:$J$17),0))</f>
      </c>
      <c r="BS51" s="6">
        <f>IF($B51="","",IF(SUMPRODUCT((Events!$C$6:$C$17="Deduction start")*(Events!$B$6:$B$17&lt;=$B51)*(Events!$B$6:$B$17&lt;&gt;"")*(Events!$D$6:$D$17="Health FSA"))&gt;0,1,0))</f>
      </c>
      <c r="BT51" s="6">
        <f>IF($B51="","",IF(SUMPRODUCT((Events!$C$6:$C$17="Deduction start")*(Events!$B$6:$B$17&lt;=$B51)*(Events!$B$6:$B$17&lt;&gt;"")*(Events!$D$6:$D$17="Dependent-care FSA"))&gt;0,1,0))</f>
      </c>
      <c r="BU51" s="24">
        <f>IF($B51="","",IF(Inputs!$C$13,SUMPRODUCT(($AH51&gt;=INDEX('Methodology &amp; Sources'!$B$279:$J$286,0,IF(Inputs!$C$12="MFJ",1,IF(Inputs!$C$12="HoH",7,4))))*INDEX('Methodology &amp; Sources'!$B$279:$J$286,0,IF(Inputs!$C$12="MFJ",1,IF(Inputs!$C$12="HoH",7,4))+2)),SUMPRODUCT(($AH51&gt;=INDEX('Methodology &amp; Sources'!$B$269:$J$276,0,IF(Inputs!$C$12="MFJ",1,IF(Inputs!$C$12="HoH",7,4))))*INDEX('Methodology &amp; Sources'!$B$269:$J$276,0,IF(Inputs!$C$12="MFJ",1,IF(Inputs!$C$12="HoH",7,4))+2))))</f>
      </c>
      <c r="BV51" s="24">
        <f>IF($B51="","",IF($BZ51&lt;&gt;"",$BZ51,IF($CA51&lt;&gt;"",$CA51,IF($CB51&lt;&gt;"",$CB51,IF($CC51&lt;&gt;"",$CC51,0)))))</f>
      </c>
      <c r="BW51" s="7">
        <f>IF($B51="","",IF($AN51="MD",IF(OR($AU51="Married",$AU51="Head of household"),SUMPRODUCT(($AZ51&gt;INDEX('Methodology &amp; Sources'!$B$364:$J$370,0,1))*($AZ51-INDEX('Methodology &amp; Sources'!$B$364:$J$370,0,1))*INDEX('Methodology &amp; Sources'!$B$364:$J$370,0,1+2)),SUMPRODUCT(($AZ51&gt;INDEX('Methodology &amp; Sources'!$B$353:$J$359,0,7))*($AZ51-INDEX('Methodology &amp; Sources'!$B$353:$J$359,0,7))*INDEX('Methodology &amp; Sources'!$B$353:$J$359,0,7+2))),IF($AN51="MO",SUMPRODUCT(($AZ51&gt;INDEX('Methodology &amp; Sources'!$B$375:$J$382,0,1))*($AZ51-INDEX('Methodology &amp; Sources'!$B$375:$J$382,0,1))*INDEX('Methodology &amp; Sources'!$B$375:$J$382,0,1+2)),IF($AN51="MT",IF($AU51="Head of household",SUMPRODUCT(($AZ51&gt;INDEX('Methodology &amp; Sources'!$B$387:$J$389,0,1))*($AZ51-INDEX('Methodology &amp; Sources'!$B$387:$J$389,0,1))*INDEX('Methodology &amp; Sources'!$B$387:$J$389,0,1+2)),IF($AU51="Married",SUMPRODUCT(($AZ51&gt;INDEX('Methodology &amp; Sources'!$B$375:$J$382,0,7))*($AZ51-INDEX('Methodology &amp; Sources'!$B$375:$J$382,0,7))*INDEX('Methodology &amp; Sources'!$B$375:$J$382,0,7+2)),SUMPRODUCT(($AZ51&gt;INDEX('Methodology &amp; Sources'!$B$375:$J$382,0,4))*($AZ51-INDEX('Methodology &amp; Sources'!$B$375:$J$382,0,4))*INDEX('Methodology &amp; Sources'!$B$375:$J$382,0,4+2)))),IF($AN51="ND",IF($AU51="Head of household",SUMPRODUCT(($AZ51&gt;INDEX('Methodology &amp; Sources'!$B$394:$J$400,0,1))*($AZ51-INDEX('Methodology &amp; Sources'!$B$394:$J$400,0,1))*INDEX('Methodology &amp; Sources'!$B$394:$J$400,0,1+2)),IF($AU51="Married",SUMPRODUCT(($AZ51&gt;INDEX('Methodology &amp; Sources'!$B$387:$J$389,0,7))*($AZ51-INDEX('Methodology &amp; Sources'!$B$387:$J$389,0,7))*INDEX('Methodology &amp; Sources'!$B$387:$J$389,0,7+2)),SUMPRODUCT(($AZ51&gt;INDEX('Methodology &amp; Sources'!$B$387:$J$389,0,4))*($AZ51-INDEX('Methodology &amp; Sources'!$B$387:$J$389,0,4))*INDEX('Methodology &amp; Sources'!$B$387:$J$389,0,4+2)))),IF($AN51="NJ",IF(Inputs!$C$77="B",SUMPRODUCT(($AZ51&gt;INDEX('Methodology &amp; Sources'!$B$405:$J$412,0,4))*($AZ51-INDEX('Methodology &amp; Sources'!$B$405:$J$412,0,4))*INDEX('Methodology &amp; Sources'!$B$405:$J$412,0,4+2)),IF(Inputs!$C$77="C",SUMPRODUCT(($AZ51&gt;INDEX('Methodology &amp; Sources'!$B$405:$J$412,0,7))*($AZ51-INDEX('Methodology &amp; Sources'!$B$405:$J$412,0,7))*INDEX('Methodology &amp; Sources'!$B$405:$J$412,0,7+2)),IF(Inputs!$C$77="D",SUMPRODUCT(($AZ51&gt;INDEX('Methodology &amp; Sources'!$B$417:$J$429,0,1))*($AZ51-INDEX('Methodology &amp; Sources'!$B$417:$J$429,0,1))*INDEX('Methodology &amp; Sources'!$B$417:$J$429,0,1+2)),IF(Inputs!$C$77="E",SUMPRODUCT(($AZ51&gt;INDEX('Methodology &amp; Sources'!$B$417:$J$429,0,4))*($AZ51-INDEX('Methodology &amp; Sources'!$B$417:$J$429,0,4))*INDEX('Methodology &amp; Sources'!$B$417:$J$429,0,4+2)),SUMPRODUCT(($AZ51&gt;INDEX('Methodology &amp; Sources'!$B$405:$J$412,0,1))*($AZ51-INDEX('Methodology &amp; Sources'!$B$405:$J$412,0,1))*INDEX('Methodology &amp; Sources'!$B$405:$J$412,0,1+2)))))),IF($AN51="NY",IF($AU51="Married",IF($AZ51&gt;=2155350,$AZ51*IF($AZ51&gt;25000000,0.117,IF($AZ51&gt;5000000,0.111,0.1045)),SUMPRODUCT(($AZ51&gt;INDEX('Methodology &amp; Sources'!$B$434:$J$448,0,1))*($AZ51-INDEX('Methodology &amp; Sources'!$B$434:$J$448,0,1))*INDEX('Methodology &amp; Sources'!$B$434:$J$448,0,1+2))),IF($AZ51&gt;=1077550,$AZ51*IF($AZ51&gt;25000000,0.117,IF($AZ51&gt;5000000,0.111,0.1045)),SUMPRODUCT(($AZ51&gt;INDEX('Methodology &amp; Sources'!$B$417:$J$429,0,7))*($AZ51-INDEX('Methodology &amp; Sources'!$B$417:$J$429,0,7))*INDEX('Methodology &amp; Sources'!$B$417:$J$429,0,7+2)))),"")))))))</f>
      </c>
      <c r="BX51" s="7">
        <f>IF($B51="","",IF($AN51="AL",IF(OR($AU51="Married",$AU51="Head of household"),SUMPRODUCT(($AZ51&gt;INDEX('Methodology &amp; Sources'!$B$332:$J$336,0,4))*($AZ51-INDEX('Methodology &amp; Sources'!$B$332:$J$336,0,4))*INDEX('Methodology &amp; Sources'!$B$332:$J$336,0,4+2)),SUMPRODUCT(($AZ51&gt;INDEX('Methodology &amp; Sources'!$B$332:$J$336,0,1))*($AZ51-INDEX('Methodology &amp; Sources'!$B$332:$J$336,0,1))*INDEX('Methodology &amp; Sources'!$B$332:$J$336,0,1+2))),IF($AN51="KS",IF($AU51="Married",SUMPRODUCT(($AZ51&gt;INDEX('Methodology &amp; Sources'!$B$353:$J$359,0,4))*($AZ51-INDEX('Methodology &amp; Sources'!$B$353:$J$359,0,4))*INDEX('Methodology &amp; Sources'!$B$353:$J$359,0,4+2)),SUMPRODUCT(($AZ51&gt;INDEX('Methodology &amp; Sources'!$B$353:$J$359,0,1))*($AZ51-INDEX('Methodology &amp; Sources'!$B$353:$J$359,0,1))*INDEX('Methodology &amp; Sources'!$B$353:$J$359,0,1+2))),IF($AN51="MN",IF($AU51="Married",SUMPRODUCT(($AZ51&gt;INDEX('Methodology &amp; Sources'!$B$364:$J$370,0,7))*($AZ51-INDEX('Methodology &amp; Sources'!$B$364:$J$370,0,7))*INDEX('Methodology &amp; Sources'!$B$364:$J$370,0,7+2)),SUMPRODUCT(($AZ51&gt;INDEX('Methodology &amp; Sources'!$B$364:$J$370,0,4))*($AZ51-INDEX('Methodology &amp; Sources'!$B$364:$J$370,0,4))*INDEX('Methodology &amp; Sources'!$B$364:$J$370,0,4+2))),IF($AN51="NE",MAX(IF($AU51="Married",SUMPRODUCT(($AZ51&gt;INDEX('Methodology &amp; Sources'!$B$394:$J$400,0,7))*($AZ51-INDEX('Methodology &amp; Sources'!$B$394:$J$400,0,7))*INDEX('Methodology &amp; Sources'!$B$394:$J$400,0,7+2)),SUMPRODUCT(($AZ51&gt;INDEX('Methodology &amp; Sources'!$B$394:$J$400,0,4))*($AZ51-INDEX('Methodology &amp; Sources'!$B$394:$J$400,0,4))*INDEX('Methodology &amp; Sources'!$B$394:$J$400,0,4+2))),0.015*$AZ51),IF($AN51="OH",IF($B51&gt;=DATE(2026,8,1),SUMPRODUCT(($AZ51&gt;INDEX('Methodology &amp; Sources'!$B$453:$J$456,0,1))*($AZ51-INDEX('Methodology &amp; Sources'!$B$453:$J$456,0,1))*INDEX('Methodology &amp; Sources'!$B$453:$J$456,0,1+2)),SUMPRODUCT(($AZ51&gt;INDEX('Methodology &amp; Sources'!$B$434:$J$448,0,7))*($AZ51-INDEX('Methodology &amp; Sources'!$B$434:$J$448,0,7))*INDEX('Methodology &amp; Sources'!$B$434:$J$448,0,7+2))),IF($AN51="OK",IF($AU51="Married",SUMPRODUCT(($AZ51&gt;INDEX('Methodology &amp; Sources'!$B$453:$J$456,0,7))*($AZ51-INDEX('Methodology &amp; Sources'!$B$453:$J$456,0,7))*INDEX('Methodology &amp; Sources'!$B$453:$J$456,0,7+2)),SUMPRODUCT(($AZ51&gt;INDEX('Methodology &amp; Sources'!$B$453:$J$456,0,4))*($AZ51-INDEX('Methodology &amp; Sources'!$B$453:$J$456,0,4))*INDEX('Methodology &amp; Sources'!$B$453:$J$456,0,4+2))),IF($AN51="RI",SUMPRODUCT(($AZ51&gt;INDEX('Methodology &amp; Sources'!$B$461:$J$464,0,7))*($AZ51-INDEX('Methodology &amp; Sources'!$B$461:$J$464,0,7))*INDEX('Methodology &amp; Sources'!$B$461:$J$464,0,7+2)),IF($AN51="VT",IF($AU51="Married",SUMPRODUCT(($AZ51&gt;INDEX('Methodology &amp; Sources'!$B$478:$J$482,0,1))*($AZ51-INDEX('Methodology &amp; Sources'!$B$478:$J$482,0,1))*INDEX('Methodology &amp; Sources'!$B$478:$J$482,0,1+2)),SUMPRODUCT(($AZ51&gt;INDEX('Methodology &amp; Sources'!$B$469:$J$473,0,7))*($AZ51-INDEX('Methodology &amp; Sources'!$B$469:$J$473,0,7))*INDEX('Methodology &amp; Sources'!$B$469:$J$473,0,7+2))),IF($AN51="WV",IF($AU51="Married",SUMPRODUCT(($AZ51&gt;INDEX('Methodology &amp; Sources'!$B$487:$J$491,0,7))*($AZ51-INDEX('Methodology &amp; Sources'!$B$487:$J$491,0,7))*INDEX('Methodology &amp; Sources'!$B$487:$J$491,0,7+2)),SUMPRODUCT(($AZ51&gt;INDEX('Methodology &amp; Sources'!$B$478:$J$482,0,7))*($AZ51-INDEX('Methodology &amp; Sources'!$B$478:$J$482,0,7))*INDEX('Methodology &amp; Sources'!$B$478:$J$482,0,7+2))),""))))))))))</f>
      </c>
      <c r="BY51" s="7">
        <f>IF($B51="","",IF($AN51="AR",SUMPRODUCT(($AZ51&gt;INDEX('Methodology &amp; Sources'!$B$332:$J$336,0,7))*($AZ51-INDEX('Methodology &amp; Sources'!$B$332:$J$336,0,7))*INDEX('Methodology &amp; Sources'!$B$332:$J$336,0,7+2)),IF($AN51="DE",SUMPRODUCT(($AZ51&gt;INDEX('Methodology &amp; Sources'!$B$341:$J$348,0,1))*($AZ51-INDEX('Methodology &amp; Sources'!$B$341:$J$348,0,1))*INDEX('Methodology &amp; Sources'!$B$341:$J$348,0,1+2)),IF($AN51="HI",IF($AU51="Married",SUMPRODUCT(($AZ51&gt;INDEX('Methodology &amp; Sources'!$B$341:$J$348,0,7))*($AZ51-INDEX('Methodology &amp; Sources'!$B$341:$J$348,0,7))*INDEX('Methodology &amp; Sources'!$B$341:$J$348,0,7+2)),SUMPRODUCT(($AZ51&gt;INDEX('Methodology &amp; Sources'!$B$341:$J$348,0,4))*($AZ51-INDEX('Methodology &amp; Sources'!$B$341:$J$348,0,4))*INDEX('Methodology &amp; Sources'!$B$341:$J$348,0,4+2))),IF($AN51="SC",SUMPRODUCT(($AZ51&gt;INDEX('Methodology &amp; Sources'!$B$469:$J$473,0,1))*($AZ51-INDEX('Methodology &amp; Sources'!$B$469:$J$473,0,1))*INDEX('Methodology &amp; Sources'!$B$469:$J$473,0,1+2)),IF($AN51="VA",SUMPRODUCT(($AZ51&gt;INDEX('Methodology &amp; Sources'!$B$469:$J$473,0,4))*($AZ51-INDEX('Methodology &amp; Sources'!$B$469:$J$473,0,4))*INDEX('Methodology &amp; Sources'!$B$469:$J$473,0,4+2)),IF($AN51="WI",SUMPRODUCT(($AZ51&gt;INDEX('Methodology &amp; Sources'!$B$478:$J$482,0,4))*($AZ51-INDEX('Methodology &amp; Sources'!$B$478:$J$482,0,4))*INDEX('Methodology &amp; Sources'!$B$478:$J$482,0,4+2)),"")))))))</f>
      </c>
      <c r="BZ51" s="24">
        <f>IF($B51="","",IF($AN51="NJ",IF(Inputs!$C$77="B",SUMPRODUCT(($AZ51&gt;=INDEX('Methodology &amp; Sources'!$B$405:$J$412,0,4))*INDEX('Methodology &amp; Sources'!$B$405:$J$412,0,4+2)),IF(Inputs!$C$77="C",SUMPRODUCT(($AZ51&gt;=INDEX('Methodology &amp; Sources'!$B$405:$J$412,0,7))*INDEX('Methodology &amp; Sources'!$B$405:$J$412,0,7+2)),IF(Inputs!$C$77="D",SUMPRODUCT(($AZ51&gt;=INDEX('Methodology &amp; Sources'!$B$417:$J$429,0,1))*INDEX('Methodology &amp; Sources'!$B$417:$J$429,0,1+2)),IF(Inputs!$C$77="E",SUMPRODUCT(($AZ51&gt;=INDEX('Methodology &amp; Sources'!$B$417:$J$429,0,4))*INDEX('Methodology &amp; Sources'!$B$417:$J$429,0,4+2)),SUMPRODUCT(($AZ51&gt;=INDEX('Methodology &amp; Sources'!$B$405:$J$412,0,1))*INDEX('Methodology &amp; Sources'!$B$405:$J$412,0,1+2)))))),IF($AN51="OR",IF(OR($AU51="Married",AND($AU51="Single",$AS51&gt;=3)),SUMPRODUCT((MAX(0,$AY51-MIN(($P51-'Methodology &amp; Sources'!$C$260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Sources'!$B$461:$J$464,0,4))*INDEX('Methodology &amp; Sources'!$B$461:$J$464,0,4+2)),SUMPRODUCT((MAX(0,$AY51-MIN(($P51-'Methodology &amp; Sources'!$C$260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Sources'!$B$461:$J$464,0,1))*INDEX('Methodology &amp; Sources'!$B$461:$J$464,0,1+2)))*IF(($P51-'Methodology &amp; Sources'!$C$260*$D51)*Inputs!$C$8&gt;=IF(OR($AU51="Married",AND($AU51="Single",$AS51&gt;=3)),IF($AY51&lt;250000,8750,IF($AY51&lt;260000,7000,IF($AY51&lt;270000,5250,IF($AY51&lt;280000,3500,IF($AY51&lt;290000,1750,0))))),IF($AY51&lt;125000,8750,IF($AY51&lt;130000,7000,IF($AY51&lt;135000,5250,IF($AY51&lt;140000,3500,IF($AY51&lt;145000,1750,0)))))),1,1-IF(Inputs!$C$13,SUMPRODUCT(($AH51&gt;=INDEX('Methodology &amp; Sources'!$B$279:$J$286,0,IF(Inputs!$C$12="MFJ",1,IF(Inputs!$C$12="HoH",7,4))))*INDEX('Methodology &amp; Sources'!$B$279:$J$286,0,IF(Inputs!$C$12="MFJ",1,IF(Inputs!$C$12="HoH",7,4))+2)),SUMPRODUCT(($AH51&gt;=INDEX('Methodology &amp; Sources'!$B$269:$J$276,0,IF(Inputs!$C$12="MFJ",1,IF(Inputs!$C$12="HoH",7,4))))*INDEX('Methodology &amp; Sources'!$B$269:$J$276,0,IF(Inputs!$C$12="MFJ",1,IF(Inputs!$C$12="HoH",7,4))+2)))),IF($AN51="MI",IF($AY51&gt;5900*$AS51,0.0425,0),""))))</f>
      </c>
      <c r="CA51" s="24">
        <f>IF($B51="","",IF($AN51="AL",IF(OR($AU51="Married",$AU51="Head of household"),SUMPRODUCT(($AZ51&gt;=INDEX('Methodology &amp; Sources'!$B$332:$J$336,0,4))*INDEX('Methodology &amp; Sources'!$B$332:$J$336,0,4+2)),SUMPRODUCT(($AZ51&gt;=INDEX('Methodology &amp; Sources'!$B$332:$J$336,0,1))*INDEX('Methodology &amp; Sources'!$B$332:$J$336,0,1+2)))*(1-IF(Inputs!$C$13,SUMPRODUCT(($AH51&gt;=INDEX('Methodology &amp; Sources'!$B$279:$J$286,0,IF(Inputs!$C$12="MFJ",1,IF(Inputs!$C$12="HoH",7,4))))*INDEX('Methodology &amp; Sources'!$B$279:$J$286,0,IF(Inputs!$C$12="MFJ",1,IF(Inputs!$C$12="HoH",7,4))+2)),SUMPRODUCT(($AH51&gt;=INDEX('Methodology &amp; Sources'!$B$269:$J$276,0,IF(Inputs!$C$12="MFJ",1,IF(Inputs!$C$12="HoH",7,4))))*INDEX('Methodology &amp; Sources'!$B$269:$J$276,0,IF(Inputs!$C$12="MFJ",1,IF(Inputs!$C$12="HoH",7,4))+2)))),IF($AN51="KS",IF($AU51="Married",SUMPRODUCT(($AZ51&gt;=INDEX('Methodology &amp; Sources'!$B$353:$J$359,0,4))*INDEX('Methodology &amp; Sources'!$B$353:$J$359,0,4+2)),SUMPRODUCT(($AZ51&gt;=INDEX('Methodology &amp; Sources'!$B$353:$J$359,0,1))*INDEX('Methodology &amp; Sources'!$B$353:$J$359,0,1+2))),IF($AN51="MD",IF(OR($AU51="Married",$AU51="Head of household"),SUMPRODUCT(($AZ51&gt;=INDEX('Methodology &amp; Sources'!$B$364:$J$370,0,1))*INDEX('Methodology &amp; Sources'!$B$364:$J$370,0,1+2)),SUMPRODUCT(($AZ51&gt;=INDEX('Methodology &amp; Sources'!$B$353:$J$359,0,7))*INDEX('Methodology &amp; Sources'!$B$353:$J$359,0,7+2)))+Inputs!$C$74,IF($AN51="MT",IF($AU51="Head of household",SUMPRODUCT(($AZ51&gt;=INDEX('Methodology &amp; Sources'!$B$387:$J$389,0,1))*INDEX('Methodology &amp; Sources'!$B$387:$J$389,0,1+2)),IF($AU51="Married",SUMPRODUCT(($AZ51&gt;=INDEX('Methodology &amp; Sources'!$B$375:$J$382,0,7))*INDEX('Methodology &amp; Sources'!$B$375:$J$382,0,7+2)),SUMPRODUCT(($AZ51&gt;=INDEX('Methodology &amp; Sources'!$B$375:$J$382,0,4))*INDEX('Methodology &amp; Sources'!$B$375:$J$382,0,4+2)))),IF($AN51="ND",IF($AU51="Head of household",SUMPRODUCT(($AZ51&gt;=INDEX('Methodology &amp; Sources'!$B$394:$J$400,0,1))*INDEX('Methodology &amp; Sources'!$B$394:$J$400,0,1+2)),IF($AU51="Married",SUMPRODUCT(($AZ51&gt;=INDEX('Methodology &amp; Sources'!$B$387:$J$389,0,7))*INDEX('Methodology &amp; Sources'!$B$387:$J$389,0,7+2)),SUMPRODUCT(($AZ51&gt;=INDEX('Methodology &amp; Sources'!$B$387:$J$389,0,4))*INDEX('Methodology &amp; Sources'!$B$387:$J$389,0,4+2)))),IF($AN51="NY",IF($AU51="Married",IF($AZ51&gt;=2155350,IF($AZ51&gt;25000000,0.117,IF($AZ51&gt;5000000,0.111,0.1045)),SUMPRODUCT(($AZ51&gt;=INDEX('Methodology &amp; Sources'!$B$434:$J$448,0,1))*INDEX('Methodology &amp; Sources'!$B$434:$J$448,0,1+2))),IF($AZ51&gt;=1077550,IF($AZ51&gt;25000000,0.117,IF($AZ51&gt;5000000,0.111,0.1045)),SUMPRODUCT(($AZ51&gt;=INDEX('Methodology &amp; Sources'!$B$417:$J$429,0,7))*INDEX('Methodology &amp; Sources'!$B$417:$J$429,0,7+2)))),"")))))))</f>
      </c>
      <c r="CB51" s="24">
        <f>IF($B51="","",IF($AN51="CA",SUMPRODUCT(($AJ51&gt;=INDEX('Methodology &amp; Sources'!$B$289:$J$298,0,IF($AU51="Married",4,IF($AU51="Head of household",7,1))))*INDEX('Methodology &amp; Sources'!$B$289:$J$298,0,IF($AU51="Married",4,IF($AU51="Head of household",7,1))+2)),IF($AN51="HI",IF($AU51="Married",SUMPRODUCT(($AZ51&gt;=INDEX('Methodology &amp; Sources'!$B$341:$J$348,0,7))*INDEX('Methodology &amp; Sources'!$B$341:$J$348,0,7+2)),SUMPRODUCT(($AZ51&gt;=INDEX('Methodology &amp; Sources'!$B$341:$J$348,0,4))*INDEX('Methodology &amp; Sources'!$B$341:$J$348,0,4+2))),IF($AN51="MN",IF($AU51="Married",SUMPRODUCT(($AZ51&gt;=INDEX('Methodology &amp; Sources'!$B$364:$J$370,0,7))*INDEX('Methodology &amp; Sources'!$B$364:$J$370,0,7+2)),SUMPRODUCT(($AZ51&gt;=INDEX('Methodology &amp; Sources'!$B$364:$J$370,0,4))*INDEX('Methodology &amp; Sources'!$B$364:$J$370,0,4+2))),IF($AN51="MO",SUMPRODUCT(($AZ51&gt;=INDEX('Methodology &amp; Sources'!$B$375:$J$382,0,1))*INDEX('Methodology &amp; Sources'!$B$375:$J$382,0,1+2)),IF($AN51="NE",MAX(IF($AU51="Married",SUMPRODUCT(($AZ51&gt;=INDEX('Methodology &amp; Sources'!$B$394:$J$400,0,7))*INDEX('Methodology &amp; Sources'!$B$394:$J$400,0,7+2)),SUMPRODUCT(($AZ51&gt;=INDEX('Methodology &amp; Sources'!$B$394:$J$400,0,4))*INDEX('Methodology &amp; Sources'!$B$394:$J$400,0,4+2))),0.015),IF($AN51="OH",IF($B51&gt;=DATE(2026,8,1),SUMPRODUCT(($AZ51&gt;=INDEX('Methodology &amp; Sources'!$B$453:$J$456,0,1))*INDEX('Methodology &amp; Sources'!$B$453:$J$456,0,1+2)),SUMPRODUCT(($AZ51&gt;=INDEX('Methodology &amp; Sources'!$B$434:$J$448,0,7))*INDEX('Methodology &amp; Sources'!$B$434:$J$448,0,7+2))),IF($AN51="OK",IF($AU51="Married",SUMPRODUCT(($AZ51&gt;=INDEX('Methodology &amp; Sources'!$B$453:$J$456,0,7))*INDEX('Methodology &amp; Sources'!$B$453:$J$456,0,7+2)),SUMPRODUCT(($AZ51&gt;=INDEX('Methodology &amp; Sources'!$B$453:$J$456,0,4))*INDEX('Methodology &amp; Sources'!$B$453:$J$456,0,4+2))),IF($AN51="RI",SUMPRODUCT(($AZ51&gt;=INDEX('Methodology &amp; Sources'!$B$461:$J$464,0,7))*INDEX('Methodology &amp; Sources'!$B$461:$J$464,0,7+2)),IF($AN51="SC",SUMPRODUCT(($AZ51&gt;=INDEX('Methodology &amp; Sources'!$B$469:$J$473,0,1))*INDEX('Methodology &amp; Sources'!$B$469:$J$473,0,1+2)),IF($AN51="VT",IF($AU51="Married",SUMPRODUCT(($AZ51&gt;=INDEX('Methodology &amp; Sources'!$B$478:$J$482,0,1))*INDEX('Methodology &amp; Sources'!$B$478:$J$482,0,1+2)),SUMPRODUCT(($AZ51&gt;=INDEX('Methodology &amp; Sources'!$B$469:$J$473,0,7))*INDEX('Methodology &amp; Sources'!$B$469:$J$473,0,7+2))),IF($AN51="WV",IF($AU51="Married",SUMPRODUCT(($AZ51&gt;=INDEX('Methodology &amp; Sources'!$B$487:$J$491,0,7))*INDEX('Methodology &amp; Sources'!$B$487:$J$491,0,7+2)),SUMPRODUCT(($AZ51&gt;=INDEX('Methodology &amp; Sources'!$B$478:$J$482,0,7))*INDEX('Methodology &amp; Sources'!$B$478:$J$482,0,7+2))),IF($AN51="IN",(0.0295+Inputs!$C$76),"")))))))))))))</f>
      </c>
      <c r="CC51" s="24">
        <f>IF($B51="","",IF($AN51="AR",SUMPRODUCT(($AZ51&gt;=INDEX('Methodology &amp; Sources'!$B$332:$J$336,0,7))*INDEX('Methodology &amp; Sources'!$B$332:$J$336,0,7+2)),IF($AN51="DE",SUMPRODUCT(($AZ51&gt;=INDEX('Methodology &amp; Sources'!$B$341:$J$348,0,1))*INDEX('Methodology &amp; Sources'!$B$341:$J$348,0,1+2)),IF($AN51="VA",SUMPRODUCT(($AZ51&gt;=INDEX('Methodology &amp; Sources'!$B$469:$J$473,0,4))*INDEX('Methodology &amp; Sources'!$B$469:$J$473,0,4+2)),IF($AN51="WI",SUMPRODUCT(($AZ51&gt;=INDEX('Methodology &amp; Sources'!$B$478:$J$482,0,4))*INDEX('Methodology &amp; Sources'!$B$478:$J$482,0,4+2)),IF($AN51="AZ",Inputs!$C$82,IF($AN51="CO",IF($AY51&gt;IF($AU51="Married",10000,5000),0.044,0),IF($AN51="IA",IF($AY51&gt;IF($AU51="Head of household",19500,IF($AU51="Married",26000,13000)),0.038,0),IF($AN51="ID",IF($AY51&gt;IF($AU51="Married",32000,16094),0.053,0),IF($AN51="IL",IF($AY51&gt;(2925*$AS51+1000*$AT51),0.0495,0),IF($AN51="KY",IF($AI51&gt;3360,0.035,0),IF($AN51="LA",0.0309,IF($AN51="MA",IF(MAX(0,$AY51-MIN(($BD50+$Q51+$R51+$S51),2000)-IF($AS51=0,0,IF($AS51=1,4400,1000*$AS51+3400)))&gt;=1107750,0.09,0.05),IF($AN51="MS",IF($AI51-IF($AU51="Head of household",3400,IF($AU51="Married",4600,2300))-Inputs!$C$85&gt;10000,0.04,0),IF($AN51="PA",0.0307,"")))))))))))))))</f>
      </c>
      <c r="CD51" s="21">
        <f>IF(YEAR(IF(Inputs!$C$7="Weekly",Inputs!$C$9+7*(($BE50+1)-1),IF(Inputs!$C$7="Biweekly",Inputs!$C$9+14*(($BE50+1)-1),IF(Inputs!$C$7="Semimonthly",DATE(YEAR(Inputs!$C$9),MONTH(Inputs!$C$9)+INT((($BE50+1)-1)/2),MIN(DAY(Inputs!$C$9),DAY(EOMONTH(DATE(YEAR(Inputs!$C$9),MONTH(Inputs!$C$9)+INT((($BE50+1)-1)/2),1),0))))+IF(MOD(($BE50+1)-1,2)=1,15,0),EDATE(Inputs!$C$9,($BE50+1)-1)))))&lt;&gt;2026,"",IF(Inputs!$C$7="Weekly",Inputs!$C$9+7*(($BE50+1)-1),IF(Inputs!$C$7="Biweekly",Inputs!$C$9+14*(($BE50+1)-1),IF(Inputs!$C$7="Semimonthly",DATE(YEAR(Inputs!$C$9),MONTH(Inputs!$C$9)+INT((($BE50+1)-1)/2),MIN(DAY(Inputs!$C$9),DAY(EOMONTH(DATE(YEAR(Inputs!$C$9),MONTH(Inputs!$C$9)+INT((($BE50+1)-1)/2),1),0))))+IF(MOD(($BE50+1)-1,2)=1,15,0),EDATE(Inputs!$C$9,($BE50+1)-1)))))</f>
      </c>
      <c r="CE51" s="21">
        <f>IF(SUMPRODUCT(MIN(IF((Inputs!$C$58:$C$67&gt;MAX($B$6:$B50))*(Inputs!$C$58:$C$67&gt;=DATE(2026,1,1))*(Inputs!$C$58:$C$67&lt;=DATE(2026,12,31)),Inputs!$C$58:$C$67,999999)))=999999,"",SUMPRODUCT(MIN(IF((Inputs!$C$58:$C$67&gt;MAX($B$6:$B50))*(Inputs!$C$58:$C$67&gt;=DATE(2026,1,1))*(Inputs!$C$58:$C$67&lt;=DATE(2026,12,31)),Inputs!$C$58:$C$67,999999))))</f>
      </c>
    </row>
    <row r="52">
      <c r="A52" t="n">
        <v>47</v>
      </c>
      <c r="B52" s="21">
        <f>IF(AND($CD52="",$CE52=""),"",IF($CE52="",$CD52,IF($CD52="",$CE52,MIN($CD52,$CE52))))</f>
      </c>
      <c r="C52" s="7">
        <f>IF($B52="","",IF($BF52=0,0,IF(Inputs!$C$4="Annual salary",ROUND($AK52/IF(AND(Inputs!$C$88="Actual paydays",MONTH(Inputs!$C$9)=1),MAX(1,MAX($BE$6:$BE$68)),Inputs!$C$8),2),$AK52)))</f>
      </c>
      <c r="D52" s="7">
        <f>IF($B52="","",SUMIF(Inputs!$C$58:$C$67,$B52,Inputs!$D$58:$D$67))</f>
      </c>
      <c r="E52" s="7">
        <f>IF($B52="","",ROUND(MAX(0,MIN(IF($AL52="Percent",$AM52*($C52+$D52),$AM52),MAX(0,Inputs!$C$91-$AC51))),2))</f>
      </c>
      <c r="F52" s="7">
        <f>IF($B52="","",ROUND(MAX(0,MIN(IF(Inputs!$C$32="Percent",Inputs!$D$32*($C52+$D52),Inputs!$D$32),MAX(0,Inputs!$C$91-$AC51-$E52))),2))</f>
      </c>
      <c r="G52" s="7">
        <f>IF($B52="","",IF($BF52=0,0,ROUND(MAX(0,MIN($BL52,Inputs!$C$92-Inputs!$C$54-$BI51)),2)))</f>
      </c>
      <c r="H52" s="7">
        <f>IF($B52="","",IF(OR($BF52=0,$BQ52=1),0,ROUND(MAX(0,MIN(IF($BS52=1,ROUND(MAX(0,MIN($BJ52,'Methodology &amp; Sources'!$C$263)-$BG51)/MAX(1,MAX($BE$6:$BE$68)-($BE51)),2),ROUND(MIN($BJ52,'Methodology &amp; Sources'!$C$263)/Inputs!$C$8,2)),MIN($BJ52,'Methodology &amp; Sources'!$C$263)-$BG51)),2)))</f>
      </c>
      <c r="I52" s="7">
        <f>IF($B52="","",IF(OR($BF52=0,$BR52=1),0,ROUND(MAX(0,MIN(IF($BT52=1,ROUND(MAX(0,MIN($BK52,IF(Inputs!$C$12="MFJ",'Methodology &amp; Sources'!$C$264,'Methodology &amp; Sources'!$C$265))-$BH51)/MAX(1,MAX($BE$6:$BE$68)-($BE51)),2),ROUND(MIN($BK52,IF(Inputs!$C$12="MFJ",'Methodology &amp; Sources'!$C$264,'Methodology &amp; Sources'!$C$265))/Inputs!$C$8,2)),MIN($BK52,IF(Inputs!$C$12="MFJ",'Methodology &amp; Sources'!$C$264,'Methodology &amp; Sources'!$C$265))-$BH51)),2)))</f>
      </c>
      <c r="J52" s="7">
        <f>IF($B52="","",IF($BF52=0,0,$BM52))</f>
      </c>
      <c r="K52" s="7">
        <f>IF($B52="","",IF($BF52=0,0,$BN52+$BO52))</f>
      </c>
      <c r="L52" s="7">
        <f>IF($B52="","",IF($BF52=0,0,Inputs!$D$46))</f>
      </c>
      <c r="M52" s="7">
        <f>IF($B52="","",$C52+$D52+$L52-$E52-$G52-$H52-$I52-$J52-$K52)</f>
      </c>
      <c r="N52" s="7">
        <f>IF($B52="","",$C52+$D52+$L52-$G52-$H52-$I52-$J52-$K52)</f>
      </c>
      <c r="O52" s="7">
        <f>IF($B52="","",$C52+$D52+$L52-$E52-$H52-$I52-$J52-$K52-IF(OR($AN52="CA",$AN52="NJ"),0,$G52))</f>
      </c>
      <c r="P52" s="7">
        <f>IF($B52="","",IF(Inputs!$C$18,0,ROUND(MAX(0,IF(Inputs!$C$13,SUMPRODUCT(($AH52&gt;INDEX('Methodology &amp; Sources'!$B$279:$J$286,0,IF(Inputs!$C$12="MFJ",1,IF(Inputs!$C$12="HoH",7,4))))*($AH52-INDEX('Methodology &amp; Sources'!$B$279:$J$286,0,IF(Inputs!$C$12="MFJ",1,IF(Inputs!$C$12="HoH",7,4))))*INDEX('Methodology &amp; Sources'!$B$279:$J$286,0,IF(Inputs!$C$12="MFJ",1,IF(Inputs!$C$12="HoH",7,4))+2)),SUMPRODUCT(($AH52&gt;INDEX('Methodology &amp; Sources'!$B$269:$J$276,0,IF(Inputs!$C$12="MFJ",1,IF(Inputs!$C$12="HoH",7,4))))*($AH52-INDEX('Methodology &amp; Sources'!$B$269:$J$276,0,IF(Inputs!$C$12="MFJ",1,IF(Inputs!$C$12="HoH",7,4))))*INDEX('Methodology &amp; Sources'!$B$269:$J$276,0,IF(Inputs!$C$12="MFJ",1,IF(Inputs!$C$12="HoH",7,4))+2)))/Inputs!$C$8-$AO52/Inputs!$C$8)+$AR52+IF(Inputs!$C$89="Aggregate",MAX(0,IF(Inputs!$C$13,SUMPRODUCT((($AH52+$D52)&gt;INDEX('Methodology &amp; Sources'!$B$279:$J$286,0,IF(Inputs!$C$12="MFJ",1,IF(Inputs!$C$12="HoH",7,4))))*(($AH52+$D52)-INDEX('Methodology &amp; Sources'!$B$279:$J$286,0,IF(Inputs!$C$12="MFJ",1,IF(Inputs!$C$12="HoH",7,4))))*INDEX('Methodology &amp; Sources'!$B$279:$J$286,0,IF(Inputs!$C$12="MFJ",1,IF(Inputs!$C$12="HoH",7,4))+2)),SUMPRODUCT((($AH52+$D52)&gt;INDEX('Methodology &amp; Sources'!$B$269:$J$276,0,IF(Inputs!$C$12="MFJ",1,IF(Inputs!$C$12="HoH",7,4))))*(($AH52+$D52)-INDEX('Methodology &amp; Sources'!$B$269:$J$276,0,IF(Inputs!$C$12="MFJ",1,IF(Inputs!$C$12="HoH",7,4))))*INDEX('Methodology &amp; Sources'!$B$269:$J$276,0,IF(Inputs!$C$12="MFJ",1,IF(Inputs!$C$12="HoH",7,4))+2)))-IF(Inputs!$C$13,SUMPRODUCT(($AH52&gt;INDEX('Methodology &amp; Sources'!$B$279:$J$286,0,IF(Inputs!$C$12="MFJ",1,IF(Inputs!$C$12="HoH",7,4))))*($AH52-INDEX('Methodology &amp; Sources'!$B$279:$J$286,0,IF(Inputs!$C$12="MFJ",1,IF(Inputs!$C$12="HoH",7,4))))*INDEX('Methodology &amp; Sources'!$B$279:$J$286,0,IF(Inputs!$C$12="MFJ",1,IF(Inputs!$C$12="HoH",7,4))+2)),SUMPRODUCT(($AH52&gt;INDEX('Methodology &amp; Sources'!$B$269:$J$276,0,IF(Inputs!$C$12="MFJ",1,IF(Inputs!$C$12="HoH",7,4))))*($AH52-INDEX('Methodology &amp; Sources'!$B$269:$J$276,0,IF(Inputs!$C$12="MFJ",1,IF(Inputs!$C$12="HoH",7,4))))*INDEX('Methodology &amp; Sources'!$B$269:$J$276,0,IF(Inputs!$C$12="MFJ",1,IF(Inputs!$C$12="HoH",7,4))+2)))),'Methodology &amp; Sources'!$C$260*$D52),2)))</f>
      </c>
      <c r="Q52" s="7">
        <f>IF($B52="","",ROUND('Methodology &amp; Sources'!$C$254*MIN($N52,MAX(0,'Methodology &amp; Sources'!$C$253-($AX52+$AB51-$AW52))),2))</f>
      </c>
      <c r="R52" s="7">
        <f>IF($B52="","",ROUND('Methodology &amp; Sources'!$C$255*$N52,2))</f>
      </c>
      <c r="S52" s="7">
        <f>IF($B52="","",ROUND('Methodology &amp; Sources'!$C$256*MAX(0,MIN($N52,$AG51+$N52-'Methodology &amp; Sources'!$C$257)),2))</f>
      </c>
      <c r="T52" s="7">
        <f>IF($B52="","",IF(Inputs!$C$26,0,IF($AN52="CA",ROUND(IF($AI52&lt;=IF(($AS52+$AT52)&gt;=2,VLOOKUP($AN52,'StateTables 2026'!$A$6:$AB$56,10,FALSE),VLOOKUP($AN52,'StateTables 2026'!$A$6:$AB$56,9,FALSE)),0,MAX(0,SUMPRODUCT(($AJ52&gt;INDEX('Methodology &amp; Sources'!$B$289:$J$298,0,IF($AU52="Married",4,IF($AU52="Head of household",7,1))))*($AJ52-INDEX('Methodology &amp; Sources'!$B$289:$J$298,0,IF($AU52="Married",4,IF($AU52="Head of household",7,1))))*INDEX('Methodology &amp; Sources'!$B$289:$J$298,0,IF($AU52="Married",4,IF($AU52="Head of household",7,1))+2))-VLOOKUP($AN52,'StateTables 2026'!$A$6:$AB$56,11,FALSE)*$AS52)/Inputs!$C$8)+Inputs!$C$25+VLOOKUP($AN52,'StateTables 2026'!$A$6:$AB$56,13,FALSE)*$D52,2),IF(VLOOKUP($AN52,'StateTables 2026'!$A$6:$AB$56,4,FALSE)="None",0,IF(ISNUMBER(SEARCH("MANUAL",VLOOKUP($AN52,'StateTables 2026'!$A$6:$AB$56,5,FALSE))),Inputs!$C$28,ROUND(MAX(0,$BA52+$BB52)/Inputs!$C$8+Inputs!$C$25+$BC52,2))))))</f>
      </c>
      <c r="U52" s="7">
        <f>IF($B52="","",IF(VLOOKUP($AN52,'StateTables 2026'!$A$6:$AB$56,24,FALSE)="flatq",IF(OR(MONTH($B52)=1,MONTH($B52)=4,MONTH($B52)=7,MONTH($B52)=10),VLOOKUP($AN52,'StateTables 2026'!$A$6:$AB$56,25,FALSE),0),IF(VLOOKUP($AN52,'StateTables 2026'!$A$6:$AB$56,24,FALSE)="dbl",MIN(ROUND(0.005*$N52,2),ROUND(0.6*52/Inputs!$C$8,2)),IF(OR(VLOOKUP($AN52,'StateTables 2026'!$A$6:$AB$56,15,FALSE)="",VLOOKUP($AN52,'StateTables 2026'!$A$6:$AB$56,15,FALSE)=0),0,ROUND(VLOOKUP($AN52,'StateTables 2026'!$A$6:$AB$56,15,FALSE)*IF(OR(VLOOKUP($AN52,'StateTables 2026'!$A$6:$AB$56,16,FALSE)="",VLOOKUP($AN52,'StateTables 2026'!$A$6:$AB$56,16,FALSE)=0),$N52,MIN($N52,MAX(0,VLOOKUP($AN52,'StateTables 2026'!$A$6:$AB$56,16,FALSE)-($AX52+$AB51-$AW52)))),2))))+IF(VLOOKUP($AN52,'StateTables 2026'!$A$6:$AB$56,27,FALSE)="flatq",IF(OR(MONTH($B52)=1,MONTH($B52)=4,MONTH($B52)=7,MONTH($B52)=10),VLOOKUP($AN52,'StateTables 2026'!$A$6:$AB$56,28,FALSE),0),IF(VLOOKUP($AN52,'StateTables 2026'!$A$6:$AB$56,27,FALSE)="dbl",MIN(ROUND(0.005*$N52,2),ROUND(0.6*52/Inputs!$C$8,2)),IF(OR(VLOOKUP($AN52,'StateTables 2026'!$A$6:$AB$56,18,FALSE)="",VLOOKUP($AN52,'StateTables 2026'!$A$6:$AB$56,18,FALSE)=0),0,ROUND(VLOOKUP($AN52,'StateTables 2026'!$A$6:$AB$56,18,FALSE)*IF(OR(VLOOKUP($AN52,'StateTables 2026'!$A$6:$AB$56,19,FALSE)="",VLOOKUP($AN52,'StateTables 2026'!$A$6:$AB$56,19,FALSE)=0),$N52,MIN($N52,MAX(0,VLOOKUP($AN52,'StateTables 2026'!$A$6:$AB$56,19,FALSE)-($AX52+$AB51-$AW52)))),2)))))</f>
      </c>
      <c r="V52" s="7">
        <f>IF($B52="","",IF($AN52="NY",IF(Inputs!$C$78,ROUND(SUMPRODUCT((MAX(0,($O52-$D52)*Inputs!$C$8-(IF($AU52="Married",5500,5000)+1000*$AS52))&gt;INDEX('Methodology &amp; Sources'!$B$434:$J$448,0,4))*(MAX(0,($O52-$D52)*Inputs!$C$8-(IF($AU52="Married",5500,5000)+1000*$AS52))-INDEX('Methodology &amp; Sources'!$B$434:$J$448,0,4))*INDEX('Methodology &amp; Sources'!$B$434:$J$448,0,4+2))/Inputs!$C$8+0.0425*$D52,2),0)+IF(Inputs!$C$79="Resident",ROUND(0.1675*$T52,2),IF(Inputs!$C$79="Nonresident",ROUND(0.005*MAX(0,($O52-$D52)-(IF($AU52="Married",7950,7400)+1000*$AS52)/Inputs!$C$8),2),0)),IF($AN52="PA",IF(Inputs!$C$80="None",Inputs!$C$27+ROUND(Inputs!$C$81*($C52+$D52),2),ROUND(IF(Inputs!$C$80="Resident",IF($B52&lt;DATE(2026,7,1),0.0374,0.03735),IF($B52&lt;DATE(2026,7,1),0.0343,0.03425))*($C52+$D52),2)),IF($BF52=0,ROUND(Inputs!$C$81*($C52+$D52),2),Inputs!$C$27+ROUND(Inputs!$C$81*($C52+$D52),2)))))</f>
      </c>
      <c r="W52" s="7">
        <f>IF($B52="","",IF($BF52=0,0,$BP52))</f>
      </c>
      <c r="X52" s="7">
        <f>IF($B52="","",SUM($E52:$K52)+$P52+$Q52+$R52+$S52+$T52+$U52+$V52+$W52)</f>
      </c>
      <c r="Y52" s="22">
        <f>IF($B52="","",$C52+$D52-$X52)</f>
      </c>
      <c r="Z52" s="7">
        <f>IF($B52="","",$Z51+$C52+$D52)</f>
      </c>
      <c r="AA52" s="7">
        <f>IF($B52="","",$AA51+$Y52)</f>
      </c>
      <c r="AB52" s="7">
        <f>IF($B52="","",$AB51+MIN($N52,MAX(0,'Methodology &amp; Sources'!$C$253-($AX52+$AB51-$AW52))))</f>
      </c>
      <c r="AC52" s="7">
        <f>IF($B52="","",$AC51+$E52+$F52)</f>
      </c>
      <c r="AD52" s="3">
        <f>IF($B52="","",IF(AND($AB51&lt;'Methodology &amp; Sources'!$C$253,$AB52&gt;='Methodology &amp; Sources'!$C$253),"★ Social Security maxed on this check — from the next check your net rises by about $"&amp;TEXT(ROUND('Methodology &amp; Sources'!$C$254*$N52,2),"#,##0.00")&amp;". ","")&amp;IF(AND($AC51&lt;Inputs!$C$91,$AC52&gt;=Inputs!$C$91),"★ 401(k) reaches the $"&amp;TEXT(Inputs!$C$91,"#,##0")&amp;" cap on this check — deferrals stop and net pay rises. ","")&amp;IF(AND($AG51&lt;'Methodology &amp; Sources'!$C$257,$AG52&gt;='Methodology &amp; Sources'!$C$257),"★ Wages pass $200,000 — the 0.9% Additional Medicare Tax starts here. ","")&amp;IF(AND($BJ52&gt;0,$H52&gt;0,$BG51&lt;MIN($BJ52,'Methodology &amp; Sources'!$C$263),$BG51+$H52&gt;=MIN($BJ52,'Methodology &amp; Sources'!$C$263)),"★ Health FSA election is now fully deferred for the year. ",""))</f>
      </c>
      <c r="AE52" s="41" t="n"/>
      <c r="AF52" s="7">
        <f>IF(OR($B52="",$AE52=""),"",$AE52-$Y52)</f>
      </c>
      <c r="AG52" s="7">
        <f>IF($B52="","",$AG51+$N52)</f>
      </c>
      <c r="AH52" s="7">
        <f>IF($B52="","",MAX(0,($M52-$D52)*Inputs!$C$8+$AP52-$AQ52-IF(Inputs!$C$13,0,IF(Inputs!$C$12="MFJ",'Methodology &amp; Sources'!$C$258,'Methodology &amp; Sources'!$C$259))))</f>
      </c>
      <c r="AI52" s="7">
        <f>IF($B52="","",$O52*Inputs!$C$8)</f>
      </c>
      <c r="AJ52" s="7">
        <f>IF($B52="","",MAX(0,$AI52-VLOOKUP($AN52,'StateTables 2026'!$A$6:$AB$56,12,FALSE)*$AT52-IF(($AS52+$AT52)&gt;=2,VLOOKUP($AN52,'StateTables 2026'!$A$6:$AB$56,8,FALSE),VLOOKUP($AN52,'StateTables 2026'!$A$6:$AB$56,7,FALSE))))</f>
      </c>
      <c r="AK52" s="7">
        <f>IF($B52="","",IFERROR(LOOKUP(2,1/((Events!$C$6:$C$17="Salary change")*(Events!$B$6:$B$17&lt;=$B52)*(Events!$B$6:$B$17&lt;&gt;"")),Events!$D$6:$D$17),IF(Inputs!$C$4="Annual salary",Inputs!$C$5,Inputs!$C$6)))</f>
      </c>
      <c r="AL52">
        <f>IF($B52="","",IFERROR(LOOKUP(2,1/((Events!$C$6:$C$17="401(k) change")*(Events!$B$6:$B$17&lt;=$B52)*(Events!$B$6:$B$17&lt;&gt;"")),Events!$D$6:$D$17),Inputs!$C$30))</f>
      </c>
      <c r="AM52" s="7">
        <f>IF($B52="","",IFERROR(LOOKUP(2,1/((Events!$C$6:$C$17="401(k) change")*(Events!$B$6:$B$17&lt;=$B52)*(Events!$B$6:$B$17&lt;&gt;"")),Events!$E$6:$E$17),Inputs!$D$30))</f>
      </c>
      <c r="AN52">
        <f>IF($B52="","",IFERROR(LOOKUP(2,1/((Events!$C$6:$C$17="State move")*(Events!$B$6:$B$17&lt;=$B52)*(Events!$B$6:$B$17&lt;&gt;"")),Events!$D$6:$D$17),Inputs!$C$21))</f>
      </c>
      <c r="AO52" s="7">
        <f>IF($B52="","",IFERROR(LOOKUP(2,1/((Events!$C$6:$C$17="W-4 change")*(Events!$B$6:$B$17&lt;=$B52)*(Events!$B$6:$B$17&lt;&gt;"")),Events!$D$6:$D$17),Inputs!$C$14))</f>
      </c>
      <c r="AP52" s="7">
        <f>IF($B52="","",IFERROR(LOOKUP(2,1/((Events!$C$6:$C$17="W-4 change")*(Events!$B$6:$B$17&lt;=$B52)*(Events!$B$6:$B$17&lt;&gt;"")),Events!$E$6:$E$17),Inputs!$C$15))</f>
      </c>
      <c r="AQ52" s="7">
        <f>IF($B52="","",IFERROR(LOOKUP(2,1/((Events!$C$6:$C$17="W-4 change")*(Events!$B$6:$B$17&lt;=$B52)*(Events!$B$6:$B$17&lt;&gt;"")),Events!$F$6:$F$17),Inputs!$C$16))</f>
      </c>
      <c r="AR52" s="7">
        <f>IF($B52="","",IFERROR(LOOKUP(2,1/((Events!$C$6:$C$17="W-4 change")*(Events!$B$6:$B$17&lt;=$B52)*(Events!$B$6:$B$17&lt;&gt;"")),Events!$G$6:$G$17),Inputs!$C$17))</f>
      </c>
      <c r="AS52" s="6">
        <f>IF($B52="","",IFERROR(LOOKUP(2,1/(((Events!$C$6:$C$17="State move")+(Events!$C$6:$C$17="State cert change"))*(Events!$B$6:$B$17&lt;=$B52)*(Events!$B$6:$B$17&lt;&gt;"")),Events!$F$6:$F$17),Inputs!$C$23))</f>
      </c>
      <c r="AT52" s="6">
        <f>IF($B52="","",IFERROR(LOOKUP(2,1/(((Events!$C$6:$C$17="State move")+(Events!$C$6:$C$17="State cert change"))*(Events!$B$6:$B$17&lt;=$B52)*(Events!$B$6:$B$17&lt;&gt;"")),Events!$G$6:$G$17),Inputs!$C$24))</f>
      </c>
      <c r="AU52">
        <f>IF($B52="","",IFERROR(LOOKUP(2,1/((Events!$C$6:$C$17="State move")*(Events!$B$6:$B$17&lt;=$B52)*(Events!$B$6:$B$17&lt;&gt;"")),Events!$E$6:$E$17),Inputs!$C$22))</f>
      </c>
      <c r="AV52" s="6">
        <f>IF($B52="","",1+COUNTIFS(Events!$C$6:$C$17,"Employer change",Events!$B$6:$B$17,"&lt;="&amp;$B52,Events!$B$6:$B$17,"&lt;&gt;"))</f>
      </c>
      <c r="AW52" s="7">
        <f>IF($B52="","",IF($AV52=1,Inputs!$C$49,IF(IFERROR(MATCH(IFERROR(LOOKUP(2,1/((Events!$C$6:$C$17="Employer change")*(Events!$B$6:$B$17&lt;=$B52)*(Events!$B$6:$B$17&lt;&gt;"")),Events!$B$6:$B$17),""),$B$6:$B$68,1),1)&lt;=1,Inputs!$C$49,INDEX($AB$6:$AB$68,MATCH(IFERROR(LOOKUP(2,1/((Events!$C$6:$C$17="Employer change")*(Events!$B$6:$B$17&lt;=$B52)*(Events!$B$6:$B$17&lt;&gt;"")),Events!$B$6:$B$17),""),$B$6:$B$68,1)-1))))</f>
      </c>
      <c r="AX52" s="7">
        <f>IF($B52="","",IF($AV52=1,Inputs!$C$49,IFERROR(LOOKUP(2,1/((Events!$C$6:$C$17="Employer change")*(Events!$B$6:$B$17&lt;=$B52)*(Events!$B$6:$B$17&lt;&gt;"")),Events!$D$6:$D$17),0)))</f>
      </c>
      <c r="AY52" s="7">
        <f>IF($B52="","",($O52-$D52)*Inputs!$C$8)</f>
      </c>
      <c r="AZ52" s="7">
        <f>IF($B52="","",IF($AN52="AL",MAX(0,$AY52-IF($AU52="Married",IF($AY52&lt;=25999,8500,MAX(5000,8500-175*CEILING(($AY52-25999)/500,1))),IF($AU52="Head of household",IF($AY52&lt;=25999,5200,MAX(2500,5200-135*CEILING(($AY52-25999)/500,1))),IF($AY52&lt;=25999,3000,MAX(2500,3000-25*CEILING(($AY52-25999)/500,1)))))-($P52-'Methodology &amp; Sources'!$C$260*$D52)*Inputs!$C$8-IF(OR($AU52="Married",$AU52="Head of household"),3000,1500)-$AT52*IF($AY52&lt;=50000,1000,IF($AY52&lt;=100000,500,300))),IF($AN52="AR",IF(MAX(0,$AY52-2470)&lt;97701,INT(MAX(0,$AY52-2470)/100)*100+50,MAX(0,$AY52-2470)),IF($AN52="DE",MAX(0,$AI52-3250),IF($AN52="HI",MAX(0,$AI52-1144*$AS52-4350),IF($AN52="KS",MAX(0,$AI52-(9160*IF($AU52="Married",2,1)+2320*$AT52+IF($AU52="Head of household",2320,0))),IF($AN52="MD",MAX(0,$AI52-3400-3200*$AS52),IF($AN52="MN",MAX(0,$AY52-5300*$AS52),IF($AN52="MO",MAX(0,$AI52-IF($AU52="Head of household",24150,IF($AU52="Married",IF(Inputs!$C$83,16100,32200),16100))),IF($AN52="MT",$AY52,IF($AN52="ND",($C52+$L52)*Inputs!$C$8,IF($AN52="NE",MAX(0,$AY52-2440*$AS52),IF($AN52="NJ",MAX(0,$AY52-1000*$AS52),IF($AN52="NY",MAX(0,$AY52-(IF($AU52="Married",7950,7400)+1000*$AS52)),IF($AN52="OH",MAX(0,$AY52-650*$AS52),IF($AN52="OK",MAX(0,$AY52-1000*$AS52),IF($AN52="RI",MAX(0,$AI52-1000*$AS52),IF($AN52="SC",MAX(0,$AI52-5000*$AS52-IF($AS52=0,0,MIN(0.1*$AI52,7500))),IF($AN52="VA",MAX(0,$AI52-IF($AU52="Married",17500,8750)-930*$AS52-800*$AT52),IF($AN52="VT",MAX(0,$AI52-5400*$AS52),IF($AN52="WI",MAX(0,$AI52-MAX(0,IF($AU52="Married",9461-0.2*MAX(0,$AI52-25727),6702-0.12*MAX(0,$AI52-17780)))-400*$AS52),IF($AN52="WV",MAX(0,$AI52-2000*$AS52),$AI52))))))))))))))))))))))</f>
      </c>
      <c r="BA52" s="7">
        <f>IF($B52="","",IF($BW52&lt;&gt;"",$BW52,IF($BX52&lt;&gt;"",$BX52,IF($BY52&lt;&gt;"",$BY52,0))))</f>
      </c>
      <c r="BB52" s="7">
        <f>IF($B52="","",IF($AN52="AR",-29*$AS52,IF($AN52="DE",-110*$AS52,IF($AN52="MD",$AZ52*Inputs!$C$74,IF($AN52="AZ",Inputs!$C$82*($M52-$D52)*Inputs!$C$8,IF($AN52="CO",0.044*MAX(0,$AY52-IF($AU52="Married",10000,5000)),IF($AN52="IA",MAX(0,0.038*MAX(0,$AY52-IF($AU52="Head of household",19500,IF($AU52="Married",26000,13000)))-40*$AS52),IF($AN52="ID",0.053*MAX(0,$AY52-IF($AU52="Married",32000,16094)),IF($AN52="IL",0.0495*MAX(0,$AY52-(2925*$AS52+1000*$AT52)),IF($AN52="IN",(0.0295+Inputs!$C$76)*MAX(0,$AY52-(1000*$AS52+1500*$AT52+3000*Inputs!$C$86)),IF($AN52="KY",0.035*MAX(0,$AI52-3360),IF($AN52="LA",IF(Inputs!$C$84="0",0.0309*$AI52,0.0309*MAX(0,$AI52-IF(Inputs!$C$84="2",25750,12875))),IF($AN52="MA",0.05*MIN(MAX(0,$AY52-MIN(($BD51+$Q52+$R52+$S52),2000)-IF($AS52=0,0,IF($AS52=1,4400,1000*$AS52+3400))),1107750)+0.09*MAX(0,MAX(0,$AY52-MIN(($BD51+$Q52+$R52+$S52),2000)-IF($AS52=0,0,IF($AS52=1,4400,1000*$AS52+3400)))-1107750)-IF($AU52="Head of household",120,0)-110*Inputs!$C$75,IF($AN52="MI",0.0425*MAX(0,$AY52-5900*$AS52),IF($AN52="MS",0.04*MAX(0,$AI52-IF($AU52="Head of household",3400,IF($AU52="Married",4600,2300))-Inputs!$C$85-10000),IF($AN52="OR",IF(OR($AU52="Married",AND($AU52="Single",$AS52&gt;=3)),SUMPRODUCT((MAX(0,$AY52-MIN(($P52-'Methodology &amp; Sources'!$C$260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Sources'!$B$461:$J$464,0,4))*(MAX(0,$AY52-MIN(($P52-'Methodology &amp; Sources'!$C$260*$D52)*Inputs!$C$8,IF(OR($AU52="Married",AND($AU52="Single",$AS52&gt;=3)),IF($AY52&lt;250000,8750,IF($AY52&lt;260000,7000,IF($AY52&lt;270000,5250,IF($AY52&lt;280000,3500,IF($AY52&lt;290000,1750,0))))),IF($AY52&lt;125000,8750,IF($AY52&lt;130000,7000,IF($AY52&lt;135000,5250,IF($AY52&lt;140000,3500,IF($AY52&lt;145000,1750,0)))))))-IF(OR($AU52="Married",AND($AU52="Single",$AS52&gt;=3)),5820,2910))-INDEX('Methodology &amp; Sources'!$B$461:$J$464,0,4))*INDEX('Methodology &amp; Sources'!$B$461:$J$464,0,4+2)),SUMPRODUCT((MAX(0,$AY52-MIN(($P52-'Methodology &amp; Sources'!$C$260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Sources'!$B$461:$J$464,0,1))*(MAX(0,$AY52-MIN(($P52-'Methodology &amp; Sources'!$C$260*$D52)*Inputs!$C$8,IF(OR($AU52="Married",AND($AU52="Single",$AS52&gt;=3)),IF($AY52&lt;250000,8750,IF($AY52&lt;260000,7000,IF($AY52&lt;270000,5250,IF($AY52&lt;280000,3500,IF($AY52&lt;290000,1750,0))))),IF($AY52&lt;125000,8750,IF($AY52&lt;130000,7000,IF($AY52&lt;135000,5250,IF($AY52&lt;140000,3500,IF($AY52&lt;145000,1750,0)))))))-IF(OR($AU52="Married",AND($AU52="Single",$AS52&gt;=3)),5820,2910))-INDEX('Methodology &amp; Sources'!$B$461:$J$464,0,1))*INDEX('Methodology &amp; Sources'!$B$461:$J$464,0,1+2)))+263-263*IF(IF($AU52="Married",$AY52&gt;200000,$AY52&gt;100000),0,$AS52),IF($AN52="PA",0.0307*(($O52+$E52+$G52)*Inputs!$C$8),IF($AN52="NY",IF($AU52="Married",IF($AZ52&gt;=2155350,0,IF($AZ52&gt;=1077550,0.48,IF($AZ52&gt;=373200,1.21,IF($AZ52&gt;=323200,0.21,IF($AZ52&gt;=211550,-0.19,IF($AZ52&gt;=157650,-2.8,IF($AZ52&gt;=107650,-0.8,IF($AZ52&gt;=96800,0.05,IF($AZ52&gt;=80650,-0.1,IF($AZ52&gt;=13900,0.4,IF($AZ52&gt;=11700,-0.3,IF($AZ52&gt;=8500,0.5,0)))))))))))),IF($AZ52&gt;=1077550,0,IF($AZ52&gt;=265400,4.29,IF($AZ52&gt;=215400,2.29,IF($AZ52&gt;=157650,2.29,IF($AZ52&gt;=107650,0.29,IF($AZ52&gt;=96800,0.05,IF($AZ52&gt;=80650,-0.1,IF($AZ52&gt;=13900,0.4,IF($AZ52&gt;=11700,-0.3,IF($AZ52&gt;=8500,0.5,0))))))))))),0))))))))))))))))))</f>
      </c>
      <c r="BC52" s="7">
        <f>IF($B52="","",IF($AN52="AL",0.05*$D52,IF($AN52="AR",0.039*$D52,IF($AN52="ID",0.053*$D52,IF($AN52="IN",(0.0295+Inputs!$C$76)*$D52,IF($AN52="KS",0.05*$D52,IF($AN52="MA",0.09*MIN($D52,MAX(0,MAX(0,$AY52-MIN(($BD51+$Q52+$R52+$S52),2000)-IF($AS52=0,0,IF($AS52=1,4400,1000*$AS52+3400)))+$D52-1107750))+0.05*($D52-MIN($D52,MAX(0,MAX(0,$AY52-MIN(($BD51+$Q52+$R52+$S52),2000)-IF($AS52=0,0,IF($AS52=1,4400,1000*$AS52+3400)))+$D52-1107750))),IF($AN52="MD",(0.065+Inputs!$C$74)*$D52,IF($AN52="MI",0.0425*$D52,IF($AN52="MN",0.0625*$D52,IF($AN52="MO",0.047*$D52,IF($AN52="MT",0.05*$D52,IF($AN52="ND",0.015*$D52,IF($AN52="NE",0.035*$D52,IF($AN52="NJ",IF(Inputs!$C$77="B",SUMPRODUCT(($D52*Inputs!$C$8&gt;INDEX('Methodology &amp; Sources'!$B$405:$J$412,0,4))*($D52*Inputs!$C$8-INDEX('Methodology &amp; Sources'!$B$405:$J$412,0,4))*INDEX('Methodology &amp; Sources'!$B$405:$J$412,0,4+2)),IF(Inputs!$C$77="C",SUMPRODUCT(($D52*Inputs!$C$8&gt;INDEX('Methodology &amp; Sources'!$B$405:$J$412,0,7))*($D52*Inputs!$C$8-INDEX('Methodology &amp; Sources'!$B$405:$J$412,0,7))*INDEX('Methodology &amp; Sources'!$B$405:$J$412,0,7+2)),IF(Inputs!$C$77="D",SUMPRODUCT(($D52*Inputs!$C$8&gt;INDEX('Methodology &amp; Sources'!$B$417:$J$429,0,1))*($D52*Inputs!$C$8-INDEX('Methodology &amp; Sources'!$B$417:$J$429,0,1))*INDEX('Methodology &amp; Sources'!$B$417:$J$429,0,1+2)),IF(Inputs!$C$77="E",SUMPRODUCT(($D52*Inputs!$C$8&gt;INDEX('Methodology &amp; Sources'!$B$417:$J$429,0,4))*($D52*Inputs!$C$8-INDEX('Methodology &amp; Sources'!$B$417:$J$429,0,4))*INDEX('Methodology &amp; Sources'!$B$417:$J$429,0,4+2)),SUMPRODUCT(($D52*Inputs!$C$8&gt;INDEX('Methodology &amp; Sources'!$B$405:$J$412,0,1))*($D52*Inputs!$C$8-INDEX('Methodology &amp; Sources'!$B$405:$J$412,0,1))*INDEX('Methodology &amp; Sources'!$B$405:$J$412,0,1+2))))))/Inputs!$C$8,IF($AN52="NY",0.117*$D52,IF($AN52="OH",0.0275*$D52,IF($AN52="OK",0.045*$D52,IF($AN52="OR",0.08*$D52,IF($AN52="WI",IF($AY52&lt;12760,0.0354,IF($AY52&lt;25520,0.0465,IF($AY52&lt;280950,0.053,0.0765)))*$D52,0))))))))))))))))))))</f>
      </c>
      <c r="BD52" s="7">
        <f>IF($B52="","",$BD51+$Q52+$R52+$S52)</f>
      </c>
      <c r="BE52" s="6">
        <f>IF($B52="",$BE51,$BE51+$BF52)</f>
      </c>
      <c r="BF52" s="6">
        <f>IF($B52="","",IF(AND(IF(YEAR(IF(Inputs!$C$7="Weekly",Inputs!$C$9+7*(($BE51+1)-1),IF(Inputs!$C$7="Biweekly",Inputs!$C$9+14*(($BE51+1)-1),IF(Inputs!$C$7="Semimonthly",DATE(YEAR(Inputs!$C$9),MONTH(Inputs!$C$9)+INT((($BE51+1)-1)/2),MIN(DAY(Inputs!$C$9),DAY(EOMONTH(DATE(YEAR(Inputs!$C$9),MONTH(Inputs!$C$9)+INT((($BE51+1)-1)/2),1),0))))+IF(MOD(($BE51+1)-1,2)=1,15,0),EDATE(Inputs!$C$9,($BE51+1)-1)))))&lt;&gt;2026,"",IF(Inputs!$C$7="Weekly",Inputs!$C$9+7*(($BE51+1)-1),IF(Inputs!$C$7="Biweekly",Inputs!$C$9+14*(($BE51+1)-1),IF(Inputs!$C$7="Semimonthly",DATE(YEAR(Inputs!$C$9),MONTH(Inputs!$C$9)+INT((($BE51+1)-1)/2),MIN(DAY(Inputs!$C$9),DAY(EOMONTH(DATE(YEAR(Inputs!$C$9),MONTH(Inputs!$C$9)+INT((($BE51+1)-1)/2),1),0))))+IF(MOD(($BE51+1)-1,2)=1,15,0),EDATE(Inputs!$C$9,($BE51+1)-1)))))&lt;&gt;"",$B52=IF(YEAR(IF(Inputs!$C$7="Weekly",Inputs!$C$9+7*(($BE51+1)-1),IF(Inputs!$C$7="Biweekly",Inputs!$C$9+14*(($BE51+1)-1),IF(Inputs!$C$7="Semimonthly",DATE(YEAR(Inputs!$C$9),MONTH(Inputs!$C$9)+INT((($BE51+1)-1)/2),MIN(DAY(Inputs!$C$9),DAY(EOMONTH(DATE(YEAR(Inputs!$C$9),MONTH(Inputs!$C$9)+INT((($BE51+1)-1)/2),1),0))))+IF(MOD(($BE51+1)-1,2)=1,15,0),EDATE(Inputs!$C$9,($BE51+1)-1)))))&lt;&gt;2026,"",IF(Inputs!$C$7="Weekly",Inputs!$C$9+7*(($BE51+1)-1),IF(Inputs!$C$7="Biweekly",Inputs!$C$9+14*(($BE51+1)-1),IF(Inputs!$C$7="Semimonthly",DATE(YEAR(Inputs!$C$9),MONTH(Inputs!$C$9)+INT((($BE51+1)-1)/2),MIN(DAY(Inputs!$C$9),DAY(EOMONTH(DATE(YEAR(Inputs!$C$9),MONTH(Inputs!$C$9)+INT((($BE51+1)-1)/2),1),0))))+IF(MOD(($BE51+1)-1,2)=1,15,0),EDATE(Inputs!$C$9,($BE51+1)-1)))))),1,0))</f>
      </c>
      <c r="BG52" s="7">
        <f>IF($B52="","",$BG51+$H52)</f>
      </c>
      <c r="BH52" s="7">
        <f>IF($B52="","",$BH51+$I52)</f>
      </c>
      <c r="BI52" s="7">
        <f>IF($B52="","",$BI51+$G52)</f>
      </c>
      <c r="BJ52" s="7">
        <f>IF($B52="","",IFERROR(LOOKUP(2,1/((((Events!$C$6:$C$17="Deduction start"))*(Events!$D$6:$D$17="Health FSA"))*(Events!$B$6:$B$17&lt;=$B52)*(Events!$B$6:$B$17&lt;&gt;"")),Events!$E$6:$E$17),Inputs!$D$38))</f>
      </c>
      <c r="BK52" s="7">
        <f>IF($B52="","",IFERROR(LOOKUP(2,1/((((Events!$C$6:$C$17="Deduction start"))*(Events!$D$6:$D$17="Dependent-care FSA"))*(Events!$B$6:$B$17&lt;=$B52)*(Events!$B$6:$B$17&lt;&gt;"")),Events!$E$6:$E$17),Inputs!$D$39))</f>
      </c>
      <c r="BL52" s="7">
        <f>IF($B52="","",IFERROR(LOOKUP(2,1/((((Events!$C$6:$C$17="Deduction start")+(Events!$C$6:$C$17="Deduction stop"))*(Events!$D$6:$D$17="HSA"))*(Events!$B$6:$B$17&lt;=$B52)*(Events!$B$6:$B$17&lt;&gt;"")),Events!$I$6:$I$17),Inputs!$D$35))</f>
      </c>
      <c r="BM52" s="7">
        <f>IF($B52="","",IFERROR(LOOKUP(2,1/((((Events!$C$6:$C$17="Deduction start")+(Events!$C$6:$C$17="Deduction stop"))*(Events!$D$6:$D$17="Premiums"))*(Events!$B$6:$B$17&lt;=$B52)*(Events!$B$6:$B$17&lt;&gt;"")),Events!$I$6:$I$17),Inputs!$D$40+Inputs!$D$41+Inputs!$D$42))</f>
      </c>
      <c r="BN52" s="7">
        <f>IF($B52="","",IFERROR(LOOKUP(2,1/((((Events!$C$6:$C$17="Deduction start")+(Events!$C$6:$C$17="Deduction stop"))*(Events!$D$6:$D$17="Commuter"))*(Events!$B$6:$B$17&lt;=$B52)*(Events!$B$6:$B$17&lt;&gt;"")),Events!$I$6:$I$17),Inputs!$D$43))</f>
      </c>
      <c r="BO52" s="7">
        <f>IF($B52="","",IFERROR(LOOKUP(2,1/((((Events!$C$6:$C$17="Deduction start")+(Events!$C$6:$C$17="Deduction stop"))*(Events!$D$6:$D$17="Other pre-tax"))*(Events!$B$6:$B$17&lt;=$B52)*(Events!$B$6:$B$17&lt;&gt;"")),Events!$I$6:$I$17),Inputs!$D$44))</f>
      </c>
      <c r="BP52" s="7">
        <f>IF($B52="","",IFERROR(LOOKUP(2,1/((((Events!$C$6:$C$17="Deduction start")+(Events!$C$6:$C$17="Deduction stop"))*(Events!$D$6:$D$17="Other post-tax"))*(Events!$B$6:$B$17&lt;=$B52)*(Events!$B$6:$B$17&lt;&gt;"")),Events!$I$6:$I$17),Inputs!$D$45))</f>
      </c>
      <c r="BQ52" s="6">
        <f>IF($B52="","",IFERROR(LOOKUP(2,1/((((Events!$C$6:$C$17="Deduction start")+(Events!$C$6:$C$17="Deduction stop"))*(Events!$D$6:$D$17="Health FSA"))*(Events!$B$6:$B$17&lt;=$B52)*(Events!$B$6:$B$17&lt;&gt;"")),Events!$J$6:$J$17),0))</f>
      </c>
      <c r="BR52" s="6">
        <f>IF($B52="","",IFERROR(LOOKUP(2,1/((((Events!$C$6:$C$17="Deduction start")+(Events!$C$6:$C$17="Deduction stop"))*(Events!$D$6:$D$17="Dependent-care FSA"))*(Events!$B$6:$B$17&lt;=$B52)*(Events!$B$6:$B$17&lt;&gt;"")),Events!$J$6:$J$17),0))</f>
      </c>
      <c r="BS52" s="6">
        <f>IF($B52="","",IF(SUMPRODUCT((Events!$C$6:$C$17="Deduction start")*(Events!$B$6:$B$17&lt;=$B52)*(Events!$B$6:$B$17&lt;&gt;"")*(Events!$D$6:$D$17="Health FSA"))&gt;0,1,0))</f>
      </c>
      <c r="BT52" s="6">
        <f>IF($B52="","",IF(SUMPRODUCT((Events!$C$6:$C$17="Deduction start")*(Events!$B$6:$B$17&lt;=$B52)*(Events!$B$6:$B$17&lt;&gt;"")*(Events!$D$6:$D$17="Dependent-care FSA"))&gt;0,1,0))</f>
      </c>
      <c r="BU52" s="24">
        <f>IF($B52="","",IF(Inputs!$C$13,SUMPRODUCT(($AH52&gt;=INDEX('Methodology &amp; Sources'!$B$279:$J$286,0,IF(Inputs!$C$12="MFJ",1,IF(Inputs!$C$12="HoH",7,4))))*INDEX('Methodology &amp; Sources'!$B$279:$J$286,0,IF(Inputs!$C$12="MFJ",1,IF(Inputs!$C$12="HoH",7,4))+2)),SUMPRODUCT(($AH52&gt;=INDEX('Methodology &amp; Sources'!$B$269:$J$276,0,IF(Inputs!$C$12="MFJ",1,IF(Inputs!$C$12="HoH",7,4))))*INDEX('Methodology &amp; Sources'!$B$269:$J$276,0,IF(Inputs!$C$12="MFJ",1,IF(Inputs!$C$12="HoH",7,4))+2))))</f>
      </c>
      <c r="BV52" s="24">
        <f>IF($B52="","",IF($BZ52&lt;&gt;"",$BZ52,IF($CA52&lt;&gt;"",$CA52,IF($CB52&lt;&gt;"",$CB52,IF($CC52&lt;&gt;"",$CC52,0)))))</f>
      </c>
      <c r="BW52" s="7">
        <f>IF($B52="","",IF($AN52="MD",IF(OR($AU52="Married",$AU52="Head of household"),SUMPRODUCT(($AZ52&gt;INDEX('Methodology &amp; Sources'!$B$364:$J$370,0,1))*($AZ52-INDEX('Methodology &amp; Sources'!$B$364:$J$370,0,1))*INDEX('Methodology &amp; Sources'!$B$364:$J$370,0,1+2)),SUMPRODUCT(($AZ52&gt;INDEX('Methodology &amp; Sources'!$B$353:$J$359,0,7))*($AZ52-INDEX('Methodology &amp; Sources'!$B$353:$J$359,0,7))*INDEX('Methodology &amp; Sources'!$B$353:$J$359,0,7+2))),IF($AN52="MO",SUMPRODUCT(($AZ52&gt;INDEX('Methodology &amp; Sources'!$B$375:$J$382,0,1))*($AZ52-INDEX('Methodology &amp; Sources'!$B$375:$J$382,0,1))*INDEX('Methodology &amp; Sources'!$B$375:$J$382,0,1+2)),IF($AN52="MT",IF($AU52="Head of household",SUMPRODUCT(($AZ52&gt;INDEX('Methodology &amp; Sources'!$B$387:$J$389,0,1))*($AZ52-INDEX('Methodology &amp; Sources'!$B$387:$J$389,0,1))*INDEX('Methodology &amp; Sources'!$B$387:$J$389,0,1+2)),IF($AU52="Married",SUMPRODUCT(($AZ52&gt;INDEX('Methodology &amp; Sources'!$B$375:$J$382,0,7))*($AZ52-INDEX('Methodology &amp; Sources'!$B$375:$J$382,0,7))*INDEX('Methodology &amp; Sources'!$B$375:$J$382,0,7+2)),SUMPRODUCT(($AZ52&gt;INDEX('Methodology &amp; Sources'!$B$375:$J$382,0,4))*($AZ52-INDEX('Methodology &amp; Sources'!$B$375:$J$382,0,4))*INDEX('Methodology &amp; Sources'!$B$375:$J$382,0,4+2)))),IF($AN52="ND",IF($AU52="Head of household",SUMPRODUCT(($AZ52&gt;INDEX('Methodology &amp; Sources'!$B$394:$J$400,0,1))*($AZ52-INDEX('Methodology &amp; Sources'!$B$394:$J$400,0,1))*INDEX('Methodology &amp; Sources'!$B$394:$J$400,0,1+2)),IF($AU52="Married",SUMPRODUCT(($AZ52&gt;INDEX('Methodology &amp; Sources'!$B$387:$J$389,0,7))*($AZ52-INDEX('Methodology &amp; Sources'!$B$387:$J$389,0,7))*INDEX('Methodology &amp; Sources'!$B$387:$J$389,0,7+2)),SUMPRODUCT(($AZ52&gt;INDEX('Methodology &amp; Sources'!$B$387:$J$389,0,4))*($AZ52-INDEX('Methodology &amp; Sources'!$B$387:$J$389,0,4))*INDEX('Methodology &amp; Sources'!$B$387:$J$389,0,4+2)))),IF($AN52="NJ",IF(Inputs!$C$77="B",SUMPRODUCT(($AZ52&gt;INDEX('Methodology &amp; Sources'!$B$405:$J$412,0,4))*($AZ52-INDEX('Methodology &amp; Sources'!$B$405:$J$412,0,4))*INDEX('Methodology &amp; Sources'!$B$405:$J$412,0,4+2)),IF(Inputs!$C$77="C",SUMPRODUCT(($AZ52&gt;INDEX('Methodology &amp; Sources'!$B$405:$J$412,0,7))*($AZ52-INDEX('Methodology &amp; Sources'!$B$405:$J$412,0,7))*INDEX('Methodology &amp; Sources'!$B$405:$J$412,0,7+2)),IF(Inputs!$C$77="D",SUMPRODUCT(($AZ52&gt;INDEX('Methodology &amp; Sources'!$B$417:$J$429,0,1))*($AZ52-INDEX('Methodology &amp; Sources'!$B$417:$J$429,0,1))*INDEX('Methodology &amp; Sources'!$B$417:$J$429,0,1+2)),IF(Inputs!$C$77="E",SUMPRODUCT(($AZ52&gt;INDEX('Methodology &amp; Sources'!$B$417:$J$429,0,4))*($AZ52-INDEX('Methodology &amp; Sources'!$B$417:$J$429,0,4))*INDEX('Methodology &amp; Sources'!$B$417:$J$429,0,4+2)),SUMPRODUCT(($AZ52&gt;INDEX('Methodology &amp; Sources'!$B$405:$J$412,0,1))*($AZ52-INDEX('Methodology &amp; Sources'!$B$405:$J$412,0,1))*INDEX('Methodology &amp; Sources'!$B$405:$J$412,0,1+2)))))),IF($AN52="NY",IF($AU52="Married",IF($AZ52&gt;=2155350,$AZ52*IF($AZ52&gt;25000000,0.117,IF($AZ52&gt;5000000,0.111,0.1045)),SUMPRODUCT(($AZ52&gt;INDEX('Methodology &amp; Sources'!$B$434:$J$448,0,1))*($AZ52-INDEX('Methodology &amp; Sources'!$B$434:$J$448,0,1))*INDEX('Methodology &amp; Sources'!$B$434:$J$448,0,1+2))),IF($AZ52&gt;=1077550,$AZ52*IF($AZ52&gt;25000000,0.117,IF($AZ52&gt;5000000,0.111,0.1045)),SUMPRODUCT(($AZ52&gt;INDEX('Methodology &amp; Sources'!$B$417:$J$429,0,7))*($AZ52-INDEX('Methodology &amp; Sources'!$B$417:$J$429,0,7))*INDEX('Methodology &amp; Sources'!$B$417:$J$429,0,7+2)))),"")))))))</f>
      </c>
      <c r="BX52" s="7">
        <f>IF($B52="","",IF($AN52="AL",IF(OR($AU52="Married",$AU52="Head of household"),SUMPRODUCT(($AZ52&gt;INDEX('Methodology &amp; Sources'!$B$332:$J$336,0,4))*($AZ52-INDEX('Methodology &amp; Sources'!$B$332:$J$336,0,4))*INDEX('Methodology &amp; Sources'!$B$332:$J$336,0,4+2)),SUMPRODUCT(($AZ52&gt;INDEX('Methodology &amp; Sources'!$B$332:$J$336,0,1))*($AZ52-INDEX('Methodology &amp; Sources'!$B$332:$J$336,0,1))*INDEX('Methodology &amp; Sources'!$B$332:$J$336,0,1+2))),IF($AN52="KS",IF($AU52="Married",SUMPRODUCT(($AZ52&gt;INDEX('Methodology &amp; Sources'!$B$353:$J$359,0,4))*($AZ52-INDEX('Methodology &amp; Sources'!$B$353:$J$359,0,4))*INDEX('Methodology &amp; Sources'!$B$353:$J$359,0,4+2)),SUMPRODUCT(($AZ52&gt;INDEX('Methodology &amp; Sources'!$B$353:$J$359,0,1))*($AZ52-INDEX('Methodology &amp; Sources'!$B$353:$J$359,0,1))*INDEX('Methodology &amp; Sources'!$B$353:$J$359,0,1+2))),IF($AN52="MN",IF($AU52="Married",SUMPRODUCT(($AZ52&gt;INDEX('Methodology &amp; Sources'!$B$364:$J$370,0,7))*($AZ52-INDEX('Methodology &amp; Sources'!$B$364:$J$370,0,7))*INDEX('Methodology &amp; Sources'!$B$364:$J$370,0,7+2)),SUMPRODUCT(($AZ52&gt;INDEX('Methodology &amp; Sources'!$B$364:$J$370,0,4))*($AZ52-INDEX('Methodology &amp; Sources'!$B$364:$J$370,0,4))*INDEX('Methodology &amp; Sources'!$B$364:$J$370,0,4+2))),IF($AN52="NE",MAX(IF($AU52="Married",SUMPRODUCT(($AZ52&gt;INDEX('Methodology &amp; Sources'!$B$394:$J$400,0,7))*($AZ52-INDEX('Methodology &amp; Sources'!$B$394:$J$400,0,7))*INDEX('Methodology &amp; Sources'!$B$394:$J$400,0,7+2)),SUMPRODUCT(($AZ52&gt;INDEX('Methodology &amp; Sources'!$B$394:$J$400,0,4))*($AZ52-INDEX('Methodology &amp; Sources'!$B$394:$J$400,0,4))*INDEX('Methodology &amp; Sources'!$B$394:$J$400,0,4+2))),0.015*$AZ52),IF($AN52="OH",IF($B52&gt;=DATE(2026,8,1),SUMPRODUCT(($AZ52&gt;INDEX('Methodology &amp; Sources'!$B$453:$J$456,0,1))*($AZ52-INDEX('Methodology &amp; Sources'!$B$453:$J$456,0,1))*INDEX('Methodology &amp; Sources'!$B$453:$J$456,0,1+2)),SUMPRODUCT(($AZ52&gt;INDEX('Methodology &amp; Sources'!$B$434:$J$448,0,7))*($AZ52-INDEX('Methodology &amp; Sources'!$B$434:$J$448,0,7))*INDEX('Methodology &amp; Sources'!$B$434:$J$448,0,7+2))),IF($AN52="OK",IF($AU52="Married",SUMPRODUCT(($AZ52&gt;INDEX('Methodology &amp; Sources'!$B$453:$J$456,0,7))*($AZ52-INDEX('Methodology &amp; Sources'!$B$453:$J$456,0,7))*INDEX('Methodology &amp; Sources'!$B$453:$J$456,0,7+2)),SUMPRODUCT(($AZ52&gt;INDEX('Methodology &amp; Sources'!$B$453:$J$456,0,4))*($AZ52-INDEX('Methodology &amp; Sources'!$B$453:$J$456,0,4))*INDEX('Methodology &amp; Sources'!$B$453:$J$456,0,4+2))),IF($AN52="RI",SUMPRODUCT(($AZ52&gt;INDEX('Methodology &amp; Sources'!$B$461:$J$464,0,7))*($AZ52-INDEX('Methodology &amp; Sources'!$B$461:$J$464,0,7))*INDEX('Methodology &amp; Sources'!$B$461:$J$464,0,7+2)),IF($AN52="VT",IF($AU52="Married",SUMPRODUCT(($AZ52&gt;INDEX('Methodology &amp; Sources'!$B$478:$J$482,0,1))*($AZ52-INDEX('Methodology &amp; Sources'!$B$478:$J$482,0,1))*INDEX('Methodology &amp; Sources'!$B$478:$J$482,0,1+2)),SUMPRODUCT(($AZ52&gt;INDEX('Methodology &amp; Sources'!$B$469:$J$473,0,7))*($AZ52-INDEX('Methodology &amp; Sources'!$B$469:$J$473,0,7))*INDEX('Methodology &amp; Sources'!$B$469:$J$473,0,7+2))),IF($AN52="WV",IF($AU52="Married",SUMPRODUCT(($AZ52&gt;INDEX('Methodology &amp; Sources'!$B$487:$J$491,0,7))*($AZ52-INDEX('Methodology &amp; Sources'!$B$487:$J$491,0,7))*INDEX('Methodology &amp; Sources'!$B$487:$J$491,0,7+2)),SUMPRODUCT(($AZ52&gt;INDEX('Methodology &amp; Sources'!$B$478:$J$482,0,7))*($AZ52-INDEX('Methodology &amp; Sources'!$B$478:$J$482,0,7))*INDEX('Methodology &amp; Sources'!$B$478:$J$482,0,7+2))),""))))))))))</f>
      </c>
      <c r="BY52" s="7">
        <f>IF($B52="","",IF($AN52="AR",SUMPRODUCT(($AZ52&gt;INDEX('Methodology &amp; Sources'!$B$332:$J$336,0,7))*($AZ52-INDEX('Methodology &amp; Sources'!$B$332:$J$336,0,7))*INDEX('Methodology &amp; Sources'!$B$332:$J$336,0,7+2)),IF($AN52="DE",SUMPRODUCT(($AZ52&gt;INDEX('Methodology &amp; Sources'!$B$341:$J$348,0,1))*($AZ52-INDEX('Methodology &amp; Sources'!$B$341:$J$348,0,1))*INDEX('Methodology &amp; Sources'!$B$341:$J$348,0,1+2)),IF($AN52="HI",IF($AU52="Married",SUMPRODUCT(($AZ52&gt;INDEX('Methodology &amp; Sources'!$B$341:$J$348,0,7))*($AZ52-INDEX('Methodology &amp; Sources'!$B$341:$J$348,0,7))*INDEX('Methodology &amp; Sources'!$B$341:$J$348,0,7+2)),SUMPRODUCT(($AZ52&gt;INDEX('Methodology &amp; Sources'!$B$341:$J$348,0,4))*($AZ52-INDEX('Methodology &amp; Sources'!$B$341:$J$348,0,4))*INDEX('Methodology &amp; Sources'!$B$341:$J$348,0,4+2))),IF($AN52="SC",SUMPRODUCT(($AZ52&gt;INDEX('Methodology &amp; Sources'!$B$469:$J$473,0,1))*($AZ52-INDEX('Methodology &amp; Sources'!$B$469:$J$473,0,1))*INDEX('Methodology &amp; Sources'!$B$469:$J$473,0,1+2)),IF($AN52="VA",SUMPRODUCT(($AZ52&gt;INDEX('Methodology &amp; Sources'!$B$469:$J$473,0,4))*($AZ52-INDEX('Methodology &amp; Sources'!$B$469:$J$473,0,4))*INDEX('Methodology &amp; Sources'!$B$469:$J$473,0,4+2)),IF($AN52="WI",SUMPRODUCT(($AZ52&gt;INDEX('Methodology &amp; Sources'!$B$478:$J$482,0,4))*($AZ52-INDEX('Methodology &amp; Sources'!$B$478:$J$482,0,4))*INDEX('Methodology &amp; Sources'!$B$478:$J$482,0,4+2)),"")))))))</f>
      </c>
      <c r="BZ52" s="24">
        <f>IF($B52="","",IF($AN52="NJ",IF(Inputs!$C$77="B",SUMPRODUCT(($AZ52&gt;=INDEX('Methodology &amp; Sources'!$B$405:$J$412,0,4))*INDEX('Methodology &amp; Sources'!$B$405:$J$412,0,4+2)),IF(Inputs!$C$77="C",SUMPRODUCT(($AZ52&gt;=INDEX('Methodology &amp; Sources'!$B$405:$J$412,0,7))*INDEX('Methodology &amp; Sources'!$B$405:$J$412,0,7+2)),IF(Inputs!$C$77="D",SUMPRODUCT(($AZ52&gt;=INDEX('Methodology &amp; Sources'!$B$417:$J$429,0,1))*INDEX('Methodology &amp; Sources'!$B$417:$J$429,0,1+2)),IF(Inputs!$C$77="E",SUMPRODUCT(($AZ52&gt;=INDEX('Methodology &amp; Sources'!$B$417:$J$429,0,4))*INDEX('Methodology &amp; Sources'!$B$417:$J$429,0,4+2)),SUMPRODUCT(($AZ52&gt;=INDEX('Methodology &amp; Sources'!$B$405:$J$412,0,1))*INDEX('Methodology &amp; Sources'!$B$405:$J$412,0,1+2)))))),IF($AN52="OR",IF(OR($AU52="Married",AND($AU52="Single",$AS52&gt;=3)),SUMPRODUCT((MAX(0,$AY52-MIN(($P52-'Methodology &amp; Sources'!$C$260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Sources'!$B$461:$J$464,0,4))*INDEX('Methodology &amp; Sources'!$B$461:$J$464,0,4+2)),SUMPRODUCT((MAX(0,$AY52-MIN(($P52-'Methodology &amp; Sources'!$C$260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Sources'!$B$461:$J$464,0,1))*INDEX('Methodology &amp; Sources'!$B$461:$J$464,0,1+2)))*IF(($P52-'Methodology &amp; Sources'!$C$260*$D52)*Inputs!$C$8&gt;=IF(OR($AU52="Married",AND($AU52="Single",$AS52&gt;=3)),IF($AY52&lt;250000,8750,IF($AY52&lt;260000,7000,IF($AY52&lt;270000,5250,IF($AY52&lt;280000,3500,IF($AY52&lt;290000,1750,0))))),IF($AY52&lt;125000,8750,IF($AY52&lt;130000,7000,IF($AY52&lt;135000,5250,IF($AY52&lt;140000,3500,IF($AY52&lt;145000,1750,0)))))),1,1-IF(Inputs!$C$13,SUMPRODUCT(($AH52&gt;=INDEX('Methodology &amp; Sources'!$B$279:$J$286,0,IF(Inputs!$C$12="MFJ",1,IF(Inputs!$C$12="HoH",7,4))))*INDEX('Methodology &amp; Sources'!$B$279:$J$286,0,IF(Inputs!$C$12="MFJ",1,IF(Inputs!$C$12="HoH",7,4))+2)),SUMPRODUCT(($AH52&gt;=INDEX('Methodology &amp; Sources'!$B$269:$J$276,0,IF(Inputs!$C$12="MFJ",1,IF(Inputs!$C$12="HoH",7,4))))*INDEX('Methodology &amp; Sources'!$B$269:$J$276,0,IF(Inputs!$C$12="MFJ",1,IF(Inputs!$C$12="HoH",7,4))+2)))),IF($AN52="MI",IF($AY52&gt;5900*$AS52,0.0425,0),""))))</f>
      </c>
      <c r="CA52" s="24">
        <f>IF($B52="","",IF($AN52="AL",IF(OR($AU52="Married",$AU52="Head of household"),SUMPRODUCT(($AZ52&gt;=INDEX('Methodology &amp; Sources'!$B$332:$J$336,0,4))*INDEX('Methodology &amp; Sources'!$B$332:$J$336,0,4+2)),SUMPRODUCT(($AZ52&gt;=INDEX('Methodology &amp; Sources'!$B$332:$J$336,0,1))*INDEX('Methodology &amp; Sources'!$B$332:$J$336,0,1+2)))*(1-IF(Inputs!$C$13,SUMPRODUCT(($AH52&gt;=INDEX('Methodology &amp; Sources'!$B$279:$J$286,0,IF(Inputs!$C$12="MFJ",1,IF(Inputs!$C$12="HoH",7,4))))*INDEX('Methodology &amp; Sources'!$B$279:$J$286,0,IF(Inputs!$C$12="MFJ",1,IF(Inputs!$C$12="HoH",7,4))+2)),SUMPRODUCT(($AH52&gt;=INDEX('Methodology &amp; Sources'!$B$269:$J$276,0,IF(Inputs!$C$12="MFJ",1,IF(Inputs!$C$12="HoH",7,4))))*INDEX('Methodology &amp; Sources'!$B$269:$J$276,0,IF(Inputs!$C$12="MFJ",1,IF(Inputs!$C$12="HoH",7,4))+2)))),IF($AN52="KS",IF($AU52="Married",SUMPRODUCT(($AZ52&gt;=INDEX('Methodology &amp; Sources'!$B$353:$J$359,0,4))*INDEX('Methodology &amp; Sources'!$B$353:$J$359,0,4+2)),SUMPRODUCT(($AZ52&gt;=INDEX('Methodology &amp; Sources'!$B$353:$J$359,0,1))*INDEX('Methodology &amp; Sources'!$B$353:$J$359,0,1+2))),IF($AN52="MD",IF(OR($AU52="Married",$AU52="Head of household"),SUMPRODUCT(($AZ52&gt;=INDEX('Methodology &amp; Sources'!$B$364:$J$370,0,1))*INDEX('Methodology &amp; Sources'!$B$364:$J$370,0,1+2)),SUMPRODUCT(($AZ52&gt;=INDEX('Methodology &amp; Sources'!$B$353:$J$359,0,7))*INDEX('Methodology &amp; Sources'!$B$353:$J$359,0,7+2)))+Inputs!$C$74,IF($AN52="MT",IF($AU52="Head of household",SUMPRODUCT(($AZ52&gt;=INDEX('Methodology &amp; Sources'!$B$387:$J$389,0,1))*INDEX('Methodology &amp; Sources'!$B$387:$J$389,0,1+2)),IF($AU52="Married",SUMPRODUCT(($AZ52&gt;=INDEX('Methodology &amp; Sources'!$B$375:$J$382,0,7))*INDEX('Methodology &amp; Sources'!$B$375:$J$382,0,7+2)),SUMPRODUCT(($AZ52&gt;=INDEX('Methodology &amp; Sources'!$B$375:$J$382,0,4))*INDEX('Methodology &amp; Sources'!$B$375:$J$382,0,4+2)))),IF($AN52="ND",IF($AU52="Head of household",SUMPRODUCT(($AZ52&gt;=INDEX('Methodology &amp; Sources'!$B$394:$J$400,0,1))*INDEX('Methodology &amp; Sources'!$B$394:$J$400,0,1+2)),IF($AU52="Married",SUMPRODUCT(($AZ52&gt;=INDEX('Methodology &amp; Sources'!$B$387:$J$389,0,7))*INDEX('Methodology &amp; Sources'!$B$387:$J$389,0,7+2)),SUMPRODUCT(($AZ52&gt;=INDEX('Methodology &amp; Sources'!$B$387:$J$389,0,4))*INDEX('Methodology &amp; Sources'!$B$387:$J$389,0,4+2)))),IF($AN52="NY",IF($AU52="Married",IF($AZ52&gt;=2155350,IF($AZ52&gt;25000000,0.117,IF($AZ52&gt;5000000,0.111,0.1045)),SUMPRODUCT(($AZ52&gt;=INDEX('Methodology &amp; Sources'!$B$434:$J$448,0,1))*INDEX('Methodology &amp; Sources'!$B$434:$J$448,0,1+2))),IF($AZ52&gt;=1077550,IF($AZ52&gt;25000000,0.117,IF($AZ52&gt;5000000,0.111,0.1045)),SUMPRODUCT(($AZ52&gt;=INDEX('Methodology &amp; Sources'!$B$417:$J$429,0,7))*INDEX('Methodology &amp; Sources'!$B$417:$J$429,0,7+2)))),"")))))))</f>
      </c>
      <c r="CB52" s="24">
        <f>IF($B52="","",IF($AN52="CA",SUMPRODUCT(($AJ52&gt;=INDEX('Methodology &amp; Sources'!$B$289:$J$298,0,IF($AU52="Married",4,IF($AU52="Head of household",7,1))))*INDEX('Methodology &amp; Sources'!$B$289:$J$298,0,IF($AU52="Married",4,IF($AU52="Head of household",7,1))+2)),IF($AN52="HI",IF($AU52="Married",SUMPRODUCT(($AZ52&gt;=INDEX('Methodology &amp; Sources'!$B$341:$J$348,0,7))*INDEX('Methodology &amp; Sources'!$B$341:$J$348,0,7+2)),SUMPRODUCT(($AZ52&gt;=INDEX('Methodology &amp; Sources'!$B$341:$J$348,0,4))*INDEX('Methodology &amp; Sources'!$B$341:$J$348,0,4+2))),IF($AN52="MN",IF($AU52="Married",SUMPRODUCT(($AZ52&gt;=INDEX('Methodology &amp; Sources'!$B$364:$J$370,0,7))*INDEX('Methodology &amp; Sources'!$B$364:$J$370,0,7+2)),SUMPRODUCT(($AZ52&gt;=INDEX('Methodology &amp; Sources'!$B$364:$J$370,0,4))*INDEX('Methodology &amp; Sources'!$B$364:$J$370,0,4+2))),IF($AN52="MO",SUMPRODUCT(($AZ52&gt;=INDEX('Methodology &amp; Sources'!$B$375:$J$382,0,1))*INDEX('Methodology &amp; Sources'!$B$375:$J$382,0,1+2)),IF($AN52="NE",MAX(IF($AU52="Married",SUMPRODUCT(($AZ52&gt;=INDEX('Methodology &amp; Sources'!$B$394:$J$400,0,7))*INDEX('Methodology &amp; Sources'!$B$394:$J$400,0,7+2)),SUMPRODUCT(($AZ52&gt;=INDEX('Methodology &amp; Sources'!$B$394:$J$400,0,4))*INDEX('Methodology &amp; Sources'!$B$394:$J$400,0,4+2))),0.015),IF($AN52="OH",IF($B52&gt;=DATE(2026,8,1),SUMPRODUCT(($AZ52&gt;=INDEX('Methodology &amp; Sources'!$B$453:$J$456,0,1))*INDEX('Methodology &amp; Sources'!$B$453:$J$456,0,1+2)),SUMPRODUCT(($AZ52&gt;=INDEX('Methodology &amp; Sources'!$B$434:$J$448,0,7))*INDEX('Methodology &amp; Sources'!$B$434:$J$448,0,7+2))),IF($AN52="OK",IF($AU52="Married",SUMPRODUCT(($AZ52&gt;=INDEX('Methodology &amp; Sources'!$B$453:$J$456,0,7))*INDEX('Methodology &amp; Sources'!$B$453:$J$456,0,7+2)),SUMPRODUCT(($AZ52&gt;=INDEX('Methodology &amp; Sources'!$B$453:$J$456,0,4))*INDEX('Methodology &amp; Sources'!$B$453:$J$456,0,4+2))),IF($AN52="RI",SUMPRODUCT(($AZ52&gt;=INDEX('Methodology &amp; Sources'!$B$461:$J$464,0,7))*INDEX('Methodology &amp; Sources'!$B$461:$J$464,0,7+2)),IF($AN52="SC",SUMPRODUCT(($AZ52&gt;=INDEX('Methodology &amp; Sources'!$B$469:$J$473,0,1))*INDEX('Methodology &amp; Sources'!$B$469:$J$473,0,1+2)),IF($AN52="VT",IF($AU52="Married",SUMPRODUCT(($AZ52&gt;=INDEX('Methodology &amp; Sources'!$B$478:$J$482,0,1))*INDEX('Methodology &amp; Sources'!$B$478:$J$482,0,1+2)),SUMPRODUCT(($AZ52&gt;=INDEX('Methodology &amp; Sources'!$B$469:$J$473,0,7))*INDEX('Methodology &amp; Sources'!$B$469:$J$473,0,7+2))),IF($AN52="WV",IF($AU52="Married",SUMPRODUCT(($AZ52&gt;=INDEX('Methodology &amp; Sources'!$B$487:$J$491,0,7))*INDEX('Methodology &amp; Sources'!$B$487:$J$491,0,7+2)),SUMPRODUCT(($AZ52&gt;=INDEX('Methodology &amp; Sources'!$B$478:$J$482,0,7))*INDEX('Methodology &amp; Sources'!$B$478:$J$482,0,7+2))),IF($AN52="IN",(0.0295+Inputs!$C$76),"")))))))))))))</f>
      </c>
      <c r="CC52" s="24">
        <f>IF($B52="","",IF($AN52="AR",SUMPRODUCT(($AZ52&gt;=INDEX('Methodology &amp; Sources'!$B$332:$J$336,0,7))*INDEX('Methodology &amp; Sources'!$B$332:$J$336,0,7+2)),IF($AN52="DE",SUMPRODUCT(($AZ52&gt;=INDEX('Methodology &amp; Sources'!$B$341:$J$348,0,1))*INDEX('Methodology &amp; Sources'!$B$341:$J$348,0,1+2)),IF($AN52="VA",SUMPRODUCT(($AZ52&gt;=INDEX('Methodology &amp; Sources'!$B$469:$J$473,0,4))*INDEX('Methodology &amp; Sources'!$B$469:$J$473,0,4+2)),IF($AN52="WI",SUMPRODUCT(($AZ52&gt;=INDEX('Methodology &amp; Sources'!$B$478:$J$482,0,4))*INDEX('Methodology &amp; Sources'!$B$478:$J$482,0,4+2)),IF($AN52="AZ",Inputs!$C$82,IF($AN52="CO",IF($AY52&gt;IF($AU52="Married",10000,5000),0.044,0),IF($AN52="IA",IF($AY52&gt;IF($AU52="Head of household",19500,IF($AU52="Married",26000,13000)),0.038,0),IF($AN52="ID",IF($AY52&gt;IF($AU52="Married",32000,16094),0.053,0),IF($AN52="IL",IF($AY52&gt;(2925*$AS52+1000*$AT52),0.0495,0),IF($AN52="KY",IF($AI52&gt;3360,0.035,0),IF($AN52="LA",0.0309,IF($AN52="MA",IF(MAX(0,$AY52-MIN(($BD51+$Q52+$R52+$S52),2000)-IF($AS52=0,0,IF($AS52=1,4400,1000*$AS52+3400)))&gt;=1107750,0.09,0.05),IF($AN52="MS",IF($AI52-IF($AU52="Head of household",3400,IF($AU52="Married",4600,2300))-Inputs!$C$85&gt;10000,0.04,0),IF($AN52="PA",0.0307,"")))))))))))))))</f>
      </c>
      <c r="CD52" s="21">
        <f>IF(YEAR(IF(Inputs!$C$7="Weekly",Inputs!$C$9+7*(($BE51+1)-1),IF(Inputs!$C$7="Biweekly",Inputs!$C$9+14*(($BE51+1)-1),IF(Inputs!$C$7="Semimonthly",DATE(YEAR(Inputs!$C$9),MONTH(Inputs!$C$9)+INT((($BE51+1)-1)/2),MIN(DAY(Inputs!$C$9),DAY(EOMONTH(DATE(YEAR(Inputs!$C$9),MONTH(Inputs!$C$9)+INT((($BE51+1)-1)/2),1),0))))+IF(MOD(($BE51+1)-1,2)=1,15,0),EDATE(Inputs!$C$9,($BE51+1)-1)))))&lt;&gt;2026,"",IF(Inputs!$C$7="Weekly",Inputs!$C$9+7*(($BE51+1)-1),IF(Inputs!$C$7="Biweekly",Inputs!$C$9+14*(($BE51+1)-1),IF(Inputs!$C$7="Semimonthly",DATE(YEAR(Inputs!$C$9),MONTH(Inputs!$C$9)+INT((($BE51+1)-1)/2),MIN(DAY(Inputs!$C$9),DAY(EOMONTH(DATE(YEAR(Inputs!$C$9),MONTH(Inputs!$C$9)+INT((($BE51+1)-1)/2),1),0))))+IF(MOD(($BE51+1)-1,2)=1,15,0),EDATE(Inputs!$C$9,($BE51+1)-1)))))</f>
      </c>
      <c r="CE52" s="21">
        <f>IF(SUMPRODUCT(MIN(IF((Inputs!$C$58:$C$67&gt;MAX($B$6:$B51))*(Inputs!$C$58:$C$67&gt;=DATE(2026,1,1))*(Inputs!$C$58:$C$67&lt;=DATE(2026,12,31)),Inputs!$C$58:$C$67,999999)))=999999,"",SUMPRODUCT(MIN(IF((Inputs!$C$58:$C$67&gt;MAX($B$6:$B51))*(Inputs!$C$58:$C$67&gt;=DATE(2026,1,1))*(Inputs!$C$58:$C$67&lt;=DATE(2026,12,31)),Inputs!$C$58:$C$67,999999))))</f>
      </c>
    </row>
    <row r="53">
      <c r="A53" t="n">
        <v>48</v>
      </c>
      <c r="B53" s="21">
        <f>IF(AND($CD53="",$CE53=""),"",IF($CE53="",$CD53,IF($CD53="",$CE53,MIN($CD53,$CE53))))</f>
      </c>
      <c r="C53" s="7">
        <f>IF($B53="","",IF($BF53=0,0,IF(Inputs!$C$4="Annual salary",ROUND($AK53/IF(AND(Inputs!$C$88="Actual paydays",MONTH(Inputs!$C$9)=1),MAX(1,MAX($BE$6:$BE$68)),Inputs!$C$8),2),$AK53)))</f>
      </c>
      <c r="D53" s="7">
        <f>IF($B53="","",SUMIF(Inputs!$C$58:$C$67,$B53,Inputs!$D$58:$D$67))</f>
      </c>
      <c r="E53" s="7">
        <f>IF($B53="","",ROUND(MAX(0,MIN(IF($AL53="Percent",$AM53*($C53+$D53),$AM53),MAX(0,Inputs!$C$91-$AC52))),2))</f>
      </c>
      <c r="F53" s="7">
        <f>IF($B53="","",ROUND(MAX(0,MIN(IF(Inputs!$C$32="Percent",Inputs!$D$32*($C53+$D53),Inputs!$D$32),MAX(0,Inputs!$C$91-$AC52-$E53))),2))</f>
      </c>
      <c r="G53" s="7">
        <f>IF($B53="","",IF($BF53=0,0,ROUND(MAX(0,MIN($BL53,Inputs!$C$92-Inputs!$C$54-$BI52)),2)))</f>
      </c>
      <c r="H53" s="7">
        <f>IF($B53="","",IF(OR($BF53=0,$BQ53=1),0,ROUND(MAX(0,MIN(IF($BS53=1,ROUND(MAX(0,MIN($BJ53,'Methodology &amp; Sources'!$C$263)-$BG52)/MAX(1,MAX($BE$6:$BE$68)-($BE52)),2),ROUND(MIN($BJ53,'Methodology &amp; Sources'!$C$263)/Inputs!$C$8,2)),MIN($BJ53,'Methodology &amp; Sources'!$C$263)-$BG52)),2)))</f>
      </c>
      <c r="I53" s="7">
        <f>IF($B53="","",IF(OR($BF53=0,$BR53=1),0,ROUND(MAX(0,MIN(IF($BT53=1,ROUND(MAX(0,MIN($BK53,IF(Inputs!$C$12="MFJ",'Methodology &amp; Sources'!$C$264,'Methodology &amp; Sources'!$C$265))-$BH52)/MAX(1,MAX($BE$6:$BE$68)-($BE52)),2),ROUND(MIN($BK53,IF(Inputs!$C$12="MFJ",'Methodology &amp; Sources'!$C$264,'Methodology &amp; Sources'!$C$265))/Inputs!$C$8,2)),MIN($BK53,IF(Inputs!$C$12="MFJ",'Methodology &amp; Sources'!$C$264,'Methodology &amp; Sources'!$C$265))-$BH52)),2)))</f>
      </c>
      <c r="J53" s="7">
        <f>IF($B53="","",IF($BF53=0,0,$BM53))</f>
      </c>
      <c r="K53" s="7">
        <f>IF($B53="","",IF($BF53=0,0,$BN53+$BO53))</f>
      </c>
      <c r="L53" s="7">
        <f>IF($B53="","",IF($BF53=0,0,Inputs!$D$46))</f>
      </c>
      <c r="M53" s="7">
        <f>IF($B53="","",$C53+$D53+$L53-$E53-$G53-$H53-$I53-$J53-$K53)</f>
      </c>
      <c r="N53" s="7">
        <f>IF($B53="","",$C53+$D53+$L53-$G53-$H53-$I53-$J53-$K53)</f>
      </c>
      <c r="O53" s="7">
        <f>IF($B53="","",$C53+$D53+$L53-$E53-$H53-$I53-$J53-$K53-IF(OR($AN53="CA",$AN53="NJ"),0,$G53))</f>
      </c>
      <c r="P53" s="7">
        <f>IF($B53="","",IF(Inputs!$C$18,0,ROUND(MAX(0,IF(Inputs!$C$13,SUMPRODUCT(($AH53&gt;INDEX('Methodology &amp; Sources'!$B$279:$J$286,0,IF(Inputs!$C$12="MFJ",1,IF(Inputs!$C$12="HoH",7,4))))*($AH53-INDEX('Methodology &amp; Sources'!$B$279:$J$286,0,IF(Inputs!$C$12="MFJ",1,IF(Inputs!$C$12="HoH",7,4))))*INDEX('Methodology &amp; Sources'!$B$279:$J$286,0,IF(Inputs!$C$12="MFJ",1,IF(Inputs!$C$12="HoH",7,4))+2)),SUMPRODUCT(($AH53&gt;INDEX('Methodology &amp; Sources'!$B$269:$J$276,0,IF(Inputs!$C$12="MFJ",1,IF(Inputs!$C$12="HoH",7,4))))*($AH53-INDEX('Methodology &amp; Sources'!$B$269:$J$276,0,IF(Inputs!$C$12="MFJ",1,IF(Inputs!$C$12="HoH",7,4))))*INDEX('Methodology &amp; Sources'!$B$269:$J$276,0,IF(Inputs!$C$12="MFJ",1,IF(Inputs!$C$12="HoH",7,4))+2)))/Inputs!$C$8-$AO53/Inputs!$C$8)+$AR53+IF(Inputs!$C$89="Aggregate",MAX(0,IF(Inputs!$C$13,SUMPRODUCT((($AH53+$D53)&gt;INDEX('Methodology &amp; Sources'!$B$279:$J$286,0,IF(Inputs!$C$12="MFJ",1,IF(Inputs!$C$12="HoH",7,4))))*(($AH53+$D53)-INDEX('Methodology &amp; Sources'!$B$279:$J$286,0,IF(Inputs!$C$12="MFJ",1,IF(Inputs!$C$12="HoH",7,4))))*INDEX('Methodology &amp; Sources'!$B$279:$J$286,0,IF(Inputs!$C$12="MFJ",1,IF(Inputs!$C$12="HoH",7,4))+2)),SUMPRODUCT((($AH53+$D53)&gt;INDEX('Methodology &amp; Sources'!$B$269:$J$276,0,IF(Inputs!$C$12="MFJ",1,IF(Inputs!$C$12="HoH",7,4))))*(($AH53+$D53)-INDEX('Methodology &amp; Sources'!$B$269:$J$276,0,IF(Inputs!$C$12="MFJ",1,IF(Inputs!$C$12="HoH",7,4))))*INDEX('Methodology &amp; Sources'!$B$269:$J$276,0,IF(Inputs!$C$12="MFJ",1,IF(Inputs!$C$12="HoH",7,4))+2)))-IF(Inputs!$C$13,SUMPRODUCT(($AH53&gt;INDEX('Methodology &amp; Sources'!$B$279:$J$286,0,IF(Inputs!$C$12="MFJ",1,IF(Inputs!$C$12="HoH",7,4))))*($AH53-INDEX('Methodology &amp; Sources'!$B$279:$J$286,0,IF(Inputs!$C$12="MFJ",1,IF(Inputs!$C$12="HoH",7,4))))*INDEX('Methodology &amp; Sources'!$B$279:$J$286,0,IF(Inputs!$C$12="MFJ",1,IF(Inputs!$C$12="HoH",7,4))+2)),SUMPRODUCT(($AH53&gt;INDEX('Methodology &amp; Sources'!$B$269:$J$276,0,IF(Inputs!$C$12="MFJ",1,IF(Inputs!$C$12="HoH",7,4))))*($AH53-INDEX('Methodology &amp; Sources'!$B$269:$J$276,0,IF(Inputs!$C$12="MFJ",1,IF(Inputs!$C$12="HoH",7,4))))*INDEX('Methodology &amp; Sources'!$B$269:$J$276,0,IF(Inputs!$C$12="MFJ",1,IF(Inputs!$C$12="HoH",7,4))+2)))),'Methodology &amp; Sources'!$C$260*$D53),2)))</f>
      </c>
      <c r="Q53" s="7">
        <f>IF($B53="","",ROUND('Methodology &amp; Sources'!$C$254*MIN($N53,MAX(0,'Methodology &amp; Sources'!$C$253-($AX53+$AB52-$AW53))),2))</f>
      </c>
      <c r="R53" s="7">
        <f>IF($B53="","",ROUND('Methodology &amp; Sources'!$C$255*$N53,2))</f>
      </c>
      <c r="S53" s="7">
        <f>IF($B53="","",ROUND('Methodology &amp; Sources'!$C$256*MAX(0,MIN($N53,$AG52+$N53-'Methodology &amp; Sources'!$C$257)),2))</f>
      </c>
      <c r="T53" s="7">
        <f>IF($B53="","",IF(Inputs!$C$26,0,IF($AN53="CA",ROUND(IF($AI53&lt;=IF(($AS53+$AT53)&gt;=2,VLOOKUP($AN53,'StateTables 2026'!$A$6:$AB$56,10,FALSE),VLOOKUP($AN53,'StateTables 2026'!$A$6:$AB$56,9,FALSE)),0,MAX(0,SUMPRODUCT(($AJ53&gt;INDEX('Methodology &amp; Sources'!$B$289:$J$298,0,IF($AU53="Married",4,IF($AU53="Head of household",7,1))))*($AJ53-INDEX('Methodology &amp; Sources'!$B$289:$J$298,0,IF($AU53="Married",4,IF($AU53="Head of household",7,1))))*INDEX('Methodology &amp; Sources'!$B$289:$J$298,0,IF($AU53="Married",4,IF($AU53="Head of household",7,1))+2))-VLOOKUP($AN53,'StateTables 2026'!$A$6:$AB$56,11,FALSE)*$AS53)/Inputs!$C$8)+Inputs!$C$25+VLOOKUP($AN53,'StateTables 2026'!$A$6:$AB$56,13,FALSE)*$D53,2),IF(VLOOKUP($AN53,'StateTables 2026'!$A$6:$AB$56,4,FALSE)="None",0,IF(ISNUMBER(SEARCH("MANUAL",VLOOKUP($AN53,'StateTables 2026'!$A$6:$AB$56,5,FALSE))),Inputs!$C$28,ROUND(MAX(0,$BA53+$BB53)/Inputs!$C$8+Inputs!$C$25+$BC53,2))))))</f>
      </c>
      <c r="U53" s="7">
        <f>IF($B53="","",IF(VLOOKUP($AN53,'StateTables 2026'!$A$6:$AB$56,24,FALSE)="flatq",IF(OR(MONTH($B53)=1,MONTH($B53)=4,MONTH($B53)=7,MONTH($B53)=10),VLOOKUP($AN53,'StateTables 2026'!$A$6:$AB$56,25,FALSE),0),IF(VLOOKUP($AN53,'StateTables 2026'!$A$6:$AB$56,24,FALSE)="dbl",MIN(ROUND(0.005*$N53,2),ROUND(0.6*52/Inputs!$C$8,2)),IF(OR(VLOOKUP($AN53,'StateTables 2026'!$A$6:$AB$56,15,FALSE)="",VLOOKUP($AN53,'StateTables 2026'!$A$6:$AB$56,15,FALSE)=0),0,ROUND(VLOOKUP($AN53,'StateTables 2026'!$A$6:$AB$56,15,FALSE)*IF(OR(VLOOKUP($AN53,'StateTables 2026'!$A$6:$AB$56,16,FALSE)="",VLOOKUP($AN53,'StateTables 2026'!$A$6:$AB$56,16,FALSE)=0),$N53,MIN($N53,MAX(0,VLOOKUP($AN53,'StateTables 2026'!$A$6:$AB$56,16,FALSE)-($AX53+$AB52-$AW53)))),2))))+IF(VLOOKUP($AN53,'StateTables 2026'!$A$6:$AB$56,27,FALSE)="flatq",IF(OR(MONTH($B53)=1,MONTH($B53)=4,MONTH($B53)=7,MONTH($B53)=10),VLOOKUP($AN53,'StateTables 2026'!$A$6:$AB$56,28,FALSE),0),IF(VLOOKUP($AN53,'StateTables 2026'!$A$6:$AB$56,27,FALSE)="dbl",MIN(ROUND(0.005*$N53,2),ROUND(0.6*52/Inputs!$C$8,2)),IF(OR(VLOOKUP($AN53,'StateTables 2026'!$A$6:$AB$56,18,FALSE)="",VLOOKUP($AN53,'StateTables 2026'!$A$6:$AB$56,18,FALSE)=0),0,ROUND(VLOOKUP($AN53,'StateTables 2026'!$A$6:$AB$56,18,FALSE)*IF(OR(VLOOKUP($AN53,'StateTables 2026'!$A$6:$AB$56,19,FALSE)="",VLOOKUP($AN53,'StateTables 2026'!$A$6:$AB$56,19,FALSE)=0),$N53,MIN($N53,MAX(0,VLOOKUP($AN53,'StateTables 2026'!$A$6:$AB$56,19,FALSE)-($AX53+$AB52-$AW53)))),2)))))</f>
      </c>
      <c r="V53" s="7">
        <f>IF($B53="","",IF($AN53="NY",IF(Inputs!$C$78,ROUND(SUMPRODUCT((MAX(0,($O53-$D53)*Inputs!$C$8-(IF($AU53="Married",5500,5000)+1000*$AS53))&gt;INDEX('Methodology &amp; Sources'!$B$434:$J$448,0,4))*(MAX(0,($O53-$D53)*Inputs!$C$8-(IF($AU53="Married",5500,5000)+1000*$AS53))-INDEX('Methodology &amp; Sources'!$B$434:$J$448,0,4))*INDEX('Methodology &amp; Sources'!$B$434:$J$448,0,4+2))/Inputs!$C$8+0.0425*$D53,2),0)+IF(Inputs!$C$79="Resident",ROUND(0.1675*$T53,2),IF(Inputs!$C$79="Nonresident",ROUND(0.005*MAX(0,($O53-$D53)-(IF($AU53="Married",7950,7400)+1000*$AS53)/Inputs!$C$8),2),0)),IF($AN53="PA",IF(Inputs!$C$80="None",Inputs!$C$27+ROUND(Inputs!$C$81*($C53+$D53),2),ROUND(IF(Inputs!$C$80="Resident",IF($B53&lt;DATE(2026,7,1),0.0374,0.03735),IF($B53&lt;DATE(2026,7,1),0.0343,0.03425))*($C53+$D53),2)),IF($BF53=0,ROUND(Inputs!$C$81*($C53+$D53),2),Inputs!$C$27+ROUND(Inputs!$C$81*($C53+$D53),2)))))</f>
      </c>
      <c r="W53" s="7">
        <f>IF($B53="","",IF($BF53=0,0,$BP53))</f>
      </c>
      <c r="X53" s="7">
        <f>IF($B53="","",SUM($E53:$K53)+$P53+$Q53+$R53+$S53+$T53+$U53+$V53+$W53)</f>
      </c>
      <c r="Y53" s="22">
        <f>IF($B53="","",$C53+$D53-$X53)</f>
      </c>
      <c r="Z53" s="7">
        <f>IF($B53="","",$Z52+$C53+$D53)</f>
      </c>
      <c r="AA53" s="7">
        <f>IF($B53="","",$AA52+$Y53)</f>
      </c>
      <c r="AB53" s="7">
        <f>IF($B53="","",$AB52+MIN($N53,MAX(0,'Methodology &amp; Sources'!$C$253-($AX53+$AB52-$AW53))))</f>
      </c>
      <c r="AC53" s="7">
        <f>IF($B53="","",$AC52+$E53+$F53)</f>
      </c>
      <c r="AD53" s="3">
        <f>IF($B53="","",IF(AND($AB52&lt;'Methodology &amp; Sources'!$C$253,$AB53&gt;='Methodology &amp; Sources'!$C$253),"★ Social Security maxed on this check — from the next check your net rises by about $"&amp;TEXT(ROUND('Methodology &amp; Sources'!$C$254*$N53,2),"#,##0.00")&amp;". ","")&amp;IF(AND($AC52&lt;Inputs!$C$91,$AC53&gt;=Inputs!$C$91),"★ 401(k) reaches the $"&amp;TEXT(Inputs!$C$91,"#,##0")&amp;" cap on this check — deferrals stop and net pay rises. ","")&amp;IF(AND($AG52&lt;'Methodology &amp; Sources'!$C$257,$AG53&gt;='Methodology &amp; Sources'!$C$257),"★ Wages pass $200,000 — the 0.9% Additional Medicare Tax starts here. ","")&amp;IF(AND($BJ53&gt;0,$H53&gt;0,$BG52&lt;MIN($BJ53,'Methodology &amp; Sources'!$C$263),$BG52+$H53&gt;=MIN($BJ53,'Methodology &amp; Sources'!$C$263)),"★ Health FSA election is now fully deferred for the year. ",""))</f>
      </c>
      <c r="AE53" s="41" t="n"/>
      <c r="AF53" s="7">
        <f>IF(OR($B53="",$AE53=""),"",$AE53-$Y53)</f>
      </c>
      <c r="AG53" s="7">
        <f>IF($B53="","",$AG52+$N53)</f>
      </c>
      <c r="AH53" s="7">
        <f>IF($B53="","",MAX(0,($M53-$D53)*Inputs!$C$8+$AP53-$AQ53-IF(Inputs!$C$13,0,IF(Inputs!$C$12="MFJ",'Methodology &amp; Sources'!$C$258,'Methodology &amp; Sources'!$C$259))))</f>
      </c>
      <c r="AI53" s="7">
        <f>IF($B53="","",$O53*Inputs!$C$8)</f>
      </c>
      <c r="AJ53" s="7">
        <f>IF($B53="","",MAX(0,$AI53-VLOOKUP($AN53,'StateTables 2026'!$A$6:$AB$56,12,FALSE)*$AT53-IF(($AS53+$AT53)&gt;=2,VLOOKUP($AN53,'StateTables 2026'!$A$6:$AB$56,8,FALSE),VLOOKUP($AN53,'StateTables 2026'!$A$6:$AB$56,7,FALSE))))</f>
      </c>
      <c r="AK53" s="7">
        <f>IF($B53="","",IFERROR(LOOKUP(2,1/((Events!$C$6:$C$17="Salary change")*(Events!$B$6:$B$17&lt;=$B53)*(Events!$B$6:$B$17&lt;&gt;"")),Events!$D$6:$D$17),IF(Inputs!$C$4="Annual salary",Inputs!$C$5,Inputs!$C$6)))</f>
      </c>
      <c r="AL53">
        <f>IF($B53="","",IFERROR(LOOKUP(2,1/((Events!$C$6:$C$17="401(k) change")*(Events!$B$6:$B$17&lt;=$B53)*(Events!$B$6:$B$17&lt;&gt;"")),Events!$D$6:$D$17),Inputs!$C$30))</f>
      </c>
      <c r="AM53" s="7">
        <f>IF($B53="","",IFERROR(LOOKUP(2,1/((Events!$C$6:$C$17="401(k) change")*(Events!$B$6:$B$17&lt;=$B53)*(Events!$B$6:$B$17&lt;&gt;"")),Events!$E$6:$E$17),Inputs!$D$30))</f>
      </c>
      <c r="AN53">
        <f>IF($B53="","",IFERROR(LOOKUP(2,1/((Events!$C$6:$C$17="State move")*(Events!$B$6:$B$17&lt;=$B53)*(Events!$B$6:$B$17&lt;&gt;"")),Events!$D$6:$D$17),Inputs!$C$21))</f>
      </c>
      <c r="AO53" s="7">
        <f>IF($B53="","",IFERROR(LOOKUP(2,1/((Events!$C$6:$C$17="W-4 change")*(Events!$B$6:$B$17&lt;=$B53)*(Events!$B$6:$B$17&lt;&gt;"")),Events!$D$6:$D$17),Inputs!$C$14))</f>
      </c>
      <c r="AP53" s="7">
        <f>IF($B53="","",IFERROR(LOOKUP(2,1/((Events!$C$6:$C$17="W-4 change")*(Events!$B$6:$B$17&lt;=$B53)*(Events!$B$6:$B$17&lt;&gt;"")),Events!$E$6:$E$17),Inputs!$C$15))</f>
      </c>
      <c r="AQ53" s="7">
        <f>IF($B53="","",IFERROR(LOOKUP(2,1/((Events!$C$6:$C$17="W-4 change")*(Events!$B$6:$B$17&lt;=$B53)*(Events!$B$6:$B$17&lt;&gt;"")),Events!$F$6:$F$17),Inputs!$C$16))</f>
      </c>
      <c r="AR53" s="7">
        <f>IF($B53="","",IFERROR(LOOKUP(2,1/((Events!$C$6:$C$17="W-4 change")*(Events!$B$6:$B$17&lt;=$B53)*(Events!$B$6:$B$17&lt;&gt;"")),Events!$G$6:$G$17),Inputs!$C$17))</f>
      </c>
      <c r="AS53" s="6">
        <f>IF($B53="","",IFERROR(LOOKUP(2,1/(((Events!$C$6:$C$17="State move")+(Events!$C$6:$C$17="State cert change"))*(Events!$B$6:$B$17&lt;=$B53)*(Events!$B$6:$B$17&lt;&gt;"")),Events!$F$6:$F$17),Inputs!$C$23))</f>
      </c>
      <c r="AT53" s="6">
        <f>IF($B53="","",IFERROR(LOOKUP(2,1/(((Events!$C$6:$C$17="State move")+(Events!$C$6:$C$17="State cert change"))*(Events!$B$6:$B$17&lt;=$B53)*(Events!$B$6:$B$17&lt;&gt;"")),Events!$G$6:$G$17),Inputs!$C$24))</f>
      </c>
      <c r="AU53">
        <f>IF($B53="","",IFERROR(LOOKUP(2,1/((Events!$C$6:$C$17="State move")*(Events!$B$6:$B$17&lt;=$B53)*(Events!$B$6:$B$17&lt;&gt;"")),Events!$E$6:$E$17),Inputs!$C$22))</f>
      </c>
      <c r="AV53" s="6">
        <f>IF($B53="","",1+COUNTIFS(Events!$C$6:$C$17,"Employer change",Events!$B$6:$B$17,"&lt;="&amp;$B53,Events!$B$6:$B$17,"&lt;&gt;"))</f>
      </c>
      <c r="AW53" s="7">
        <f>IF($B53="","",IF($AV53=1,Inputs!$C$49,IF(IFERROR(MATCH(IFERROR(LOOKUP(2,1/((Events!$C$6:$C$17="Employer change")*(Events!$B$6:$B$17&lt;=$B53)*(Events!$B$6:$B$17&lt;&gt;"")),Events!$B$6:$B$17),""),$B$6:$B$68,1),1)&lt;=1,Inputs!$C$49,INDEX($AB$6:$AB$68,MATCH(IFERROR(LOOKUP(2,1/((Events!$C$6:$C$17="Employer change")*(Events!$B$6:$B$17&lt;=$B53)*(Events!$B$6:$B$17&lt;&gt;"")),Events!$B$6:$B$17),""),$B$6:$B$68,1)-1))))</f>
      </c>
      <c r="AX53" s="7">
        <f>IF($B53="","",IF($AV53=1,Inputs!$C$49,IFERROR(LOOKUP(2,1/((Events!$C$6:$C$17="Employer change")*(Events!$B$6:$B$17&lt;=$B53)*(Events!$B$6:$B$17&lt;&gt;"")),Events!$D$6:$D$17),0)))</f>
      </c>
      <c r="AY53" s="7">
        <f>IF($B53="","",($O53-$D53)*Inputs!$C$8)</f>
      </c>
      <c r="AZ53" s="7">
        <f>IF($B53="","",IF($AN53="AL",MAX(0,$AY53-IF($AU53="Married",IF($AY53&lt;=25999,8500,MAX(5000,8500-175*CEILING(($AY53-25999)/500,1))),IF($AU53="Head of household",IF($AY53&lt;=25999,5200,MAX(2500,5200-135*CEILING(($AY53-25999)/500,1))),IF($AY53&lt;=25999,3000,MAX(2500,3000-25*CEILING(($AY53-25999)/500,1)))))-($P53-'Methodology &amp; Sources'!$C$260*$D53)*Inputs!$C$8-IF(OR($AU53="Married",$AU53="Head of household"),3000,1500)-$AT53*IF($AY53&lt;=50000,1000,IF($AY53&lt;=100000,500,300))),IF($AN53="AR",IF(MAX(0,$AY53-2470)&lt;97701,INT(MAX(0,$AY53-2470)/100)*100+50,MAX(0,$AY53-2470)),IF($AN53="DE",MAX(0,$AI53-3250),IF($AN53="HI",MAX(0,$AI53-1144*$AS53-4350),IF($AN53="KS",MAX(0,$AI53-(9160*IF($AU53="Married",2,1)+2320*$AT53+IF($AU53="Head of household",2320,0))),IF($AN53="MD",MAX(0,$AI53-3400-3200*$AS53),IF($AN53="MN",MAX(0,$AY53-5300*$AS53),IF($AN53="MO",MAX(0,$AI53-IF($AU53="Head of household",24150,IF($AU53="Married",IF(Inputs!$C$83,16100,32200),16100))),IF($AN53="MT",$AY53,IF($AN53="ND",($C53+$L53)*Inputs!$C$8,IF($AN53="NE",MAX(0,$AY53-2440*$AS53),IF($AN53="NJ",MAX(0,$AY53-1000*$AS53),IF($AN53="NY",MAX(0,$AY53-(IF($AU53="Married",7950,7400)+1000*$AS53)),IF($AN53="OH",MAX(0,$AY53-650*$AS53),IF($AN53="OK",MAX(0,$AY53-1000*$AS53),IF($AN53="RI",MAX(0,$AI53-1000*$AS53),IF($AN53="SC",MAX(0,$AI53-5000*$AS53-IF($AS53=0,0,MIN(0.1*$AI53,7500))),IF($AN53="VA",MAX(0,$AI53-IF($AU53="Married",17500,8750)-930*$AS53-800*$AT53),IF($AN53="VT",MAX(0,$AI53-5400*$AS53),IF($AN53="WI",MAX(0,$AI53-MAX(0,IF($AU53="Married",9461-0.2*MAX(0,$AI53-25727),6702-0.12*MAX(0,$AI53-17780)))-400*$AS53),IF($AN53="WV",MAX(0,$AI53-2000*$AS53),$AI53))))))))))))))))))))))</f>
      </c>
      <c r="BA53" s="7">
        <f>IF($B53="","",IF($BW53&lt;&gt;"",$BW53,IF($BX53&lt;&gt;"",$BX53,IF($BY53&lt;&gt;"",$BY53,0))))</f>
      </c>
      <c r="BB53" s="7">
        <f>IF($B53="","",IF($AN53="AR",-29*$AS53,IF($AN53="DE",-110*$AS53,IF($AN53="MD",$AZ53*Inputs!$C$74,IF($AN53="AZ",Inputs!$C$82*($M53-$D53)*Inputs!$C$8,IF($AN53="CO",0.044*MAX(0,$AY53-IF($AU53="Married",10000,5000)),IF($AN53="IA",MAX(0,0.038*MAX(0,$AY53-IF($AU53="Head of household",19500,IF($AU53="Married",26000,13000)))-40*$AS53),IF($AN53="ID",0.053*MAX(0,$AY53-IF($AU53="Married",32000,16094)),IF($AN53="IL",0.0495*MAX(0,$AY53-(2925*$AS53+1000*$AT53)),IF($AN53="IN",(0.0295+Inputs!$C$76)*MAX(0,$AY53-(1000*$AS53+1500*$AT53+3000*Inputs!$C$86)),IF($AN53="KY",0.035*MAX(0,$AI53-3360),IF($AN53="LA",IF(Inputs!$C$84="0",0.0309*$AI53,0.0309*MAX(0,$AI53-IF(Inputs!$C$84="2",25750,12875))),IF($AN53="MA",0.05*MIN(MAX(0,$AY53-MIN(($BD52+$Q53+$R53+$S53),2000)-IF($AS53=0,0,IF($AS53=1,4400,1000*$AS53+3400))),1107750)+0.09*MAX(0,MAX(0,$AY53-MIN(($BD52+$Q53+$R53+$S53),2000)-IF($AS53=0,0,IF($AS53=1,4400,1000*$AS53+3400)))-1107750)-IF($AU53="Head of household",120,0)-110*Inputs!$C$75,IF($AN53="MI",0.0425*MAX(0,$AY53-5900*$AS53),IF($AN53="MS",0.04*MAX(0,$AI53-IF($AU53="Head of household",3400,IF($AU53="Married",4600,2300))-Inputs!$C$85-10000),IF($AN53="OR",IF(OR($AU53="Married",AND($AU53="Single",$AS53&gt;=3)),SUMPRODUCT((MAX(0,$AY53-MIN(($P53-'Methodology &amp; Sources'!$C$260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Sources'!$B$461:$J$464,0,4))*(MAX(0,$AY53-MIN(($P53-'Methodology &amp; Sources'!$C$260*$D53)*Inputs!$C$8,IF(OR($AU53="Married",AND($AU53="Single",$AS53&gt;=3)),IF($AY53&lt;250000,8750,IF($AY53&lt;260000,7000,IF($AY53&lt;270000,5250,IF($AY53&lt;280000,3500,IF($AY53&lt;290000,1750,0))))),IF($AY53&lt;125000,8750,IF($AY53&lt;130000,7000,IF($AY53&lt;135000,5250,IF($AY53&lt;140000,3500,IF($AY53&lt;145000,1750,0)))))))-IF(OR($AU53="Married",AND($AU53="Single",$AS53&gt;=3)),5820,2910))-INDEX('Methodology &amp; Sources'!$B$461:$J$464,0,4))*INDEX('Methodology &amp; Sources'!$B$461:$J$464,0,4+2)),SUMPRODUCT((MAX(0,$AY53-MIN(($P53-'Methodology &amp; Sources'!$C$260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Sources'!$B$461:$J$464,0,1))*(MAX(0,$AY53-MIN(($P53-'Methodology &amp; Sources'!$C$260*$D53)*Inputs!$C$8,IF(OR($AU53="Married",AND($AU53="Single",$AS53&gt;=3)),IF($AY53&lt;250000,8750,IF($AY53&lt;260000,7000,IF($AY53&lt;270000,5250,IF($AY53&lt;280000,3500,IF($AY53&lt;290000,1750,0))))),IF($AY53&lt;125000,8750,IF($AY53&lt;130000,7000,IF($AY53&lt;135000,5250,IF($AY53&lt;140000,3500,IF($AY53&lt;145000,1750,0)))))))-IF(OR($AU53="Married",AND($AU53="Single",$AS53&gt;=3)),5820,2910))-INDEX('Methodology &amp; Sources'!$B$461:$J$464,0,1))*INDEX('Methodology &amp; Sources'!$B$461:$J$464,0,1+2)))+263-263*IF(IF($AU53="Married",$AY53&gt;200000,$AY53&gt;100000),0,$AS53),IF($AN53="PA",0.0307*(($O53+$E53+$G53)*Inputs!$C$8),IF($AN53="NY",IF($AU53="Married",IF($AZ53&gt;=2155350,0,IF($AZ53&gt;=1077550,0.48,IF($AZ53&gt;=373200,1.21,IF($AZ53&gt;=323200,0.21,IF($AZ53&gt;=211550,-0.19,IF($AZ53&gt;=157650,-2.8,IF($AZ53&gt;=107650,-0.8,IF($AZ53&gt;=96800,0.05,IF($AZ53&gt;=80650,-0.1,IF($AZ53&gt;=13900,0.4,IF($AZ53&gt;=11700,-0.3,IF($AZ53&gt;=8500,0.5,0)))))))))))),IF($AZ53&gt;=1077550,0,IF($AZ53&gt;=265400,4.29,IF($AZ53&gt;=215400,2.29,IF($AZ53&gt;=157650,2.29,IF($AZ53&gt;=107650,0.29,IF($AZ53&gt;=96800,0.05,IF($AZ53&gt;=80650,-0.1,IF($AZ53&gt;=13900,0.4,IF($AZ53&gt;=11700,-0.3,IF($AZ53&gt;=8500,0.5,0))))))))))),0))))))))))))))))))</f>
      </c>
      <c r="BC53" s="7">
        <f>IF($B53="","",IF($AN53="AL",0.05*$D53,IF($AN53="AR",0.039*$D53,IF($AN53="ID",0.053*$D53,IF($AN53="IN",(0.0295+Inputs!$C$76)*$D53,IF($AN53="KS",0.05*$D53,IF($AN53="MA",0.09*MIN($D53,MAX(0,MAX(0,$AY53-MIN(($BD52+$Q53+$R53+$S53),2000)-IF($AS53=0,0,IF($AS53=1,4400,1000*$AS53+3400)))+$D53-1107750))+0.05*($D53-MIN($D53,MAX(0,MAX(0,$AY53-MIN(($BD52+$Q53+$R53+$S53),2000)-IF($AS53=0,0,IF($AS53=1,4400,1000*$AS53+3400)))+$D53-1107750))),IF($AN53="MD",(0.065+Inputs!$C$74)*$D53,IF($AN53="MI",0.0425*$D53,IF($AN53="MN",0.0625*$D53,IF($AN53="MO",0.047*$D53,IF($AN53="MT",0.05*$D53,IF($AN53="ND",0.015*$D53,IF($AN53="NE",0.035*$D53,IF($AN53="NJ",IF(Inputs!$C$77="B",SUMPRODUCT(($D53*Inputs!$C$8&gt;INDEX('Methodology &amp; Sources'!$B$405:$J$412,0,4))*($D53*Inputs!$C$8-INDEX('Methodology &amp; Sources'!$B$405:$J$412,0,4))*INDEX('Methodology &amp; Sources'!$B$405:$J$412,0,4+2)),IF(Inputs!$C$77="C",SUMPRODUCT(($D53*Inputs!$C$8&gt;INDEX('Methodology &amp; Sources'!$B$405:$J$412,0,7))*($D53*Inputs!$C$8-INDEX('Methodology &amp; Sources'!$B$405:$J$412,0,7))*INDEX('Methodology &amp; Sources'!$B$405:$J$412,0,7+2)),IF(Inputs!$C$77="D",SUMPRODUCT(($D53*Inputs!$C$8&gt;INDEX('Methodology &amp; Sources'!$B$417:$J$429,0,1))*($D53*Inputs!$C$8-INDEX('Methodology &amp; Sources'!$B$417:$J$429,0,1))*INDEX('Methodology &amp; Sources'!$B$417:$J$429,0,1+2)),IF(Inputs!$C$77="E",SUMPRODUCT(($D53*Inputs!$C$8&gt;INDEX('Methodology &amp; Sources'!$B$417:$J$429,0,4))*($D53*Inputs!$C$8-INDEX('Methodology &amp; Sources'!$B$417:$J$429,0,4))*INDEX('Methodology &amp; Sources'!$B$417:$J$429,0,4+2)),SUMPRODUCT(($D53*Inputs!$C$8&gt;INDEX('Methodology &amp; Sources'!$B$405:$J$412,0,1))*($D53*Inputs!$C$8-INDEX('Methodology &amp; Sources'!$B$405:$J$412,0,1))*INDEX('Methodology &amp; Sources'!$B$405:$J$412,0,1+2))))))/Inputs!$C$8,IF($AN53="NY",0.117*$D53,IF($AN53="OH",0.0275*$D53,IF($AN53="OK",0.045*$D53,IF($AN53="OR",0.08*$D53,IF($AN53="WI",IF($AY53&lt;12760,0.0354,IF($AY53&lt;25520,0.0465,IF($AY53&lt;280950,0.053,0.0765)))*$D53,0))))))))))))))))))))</f>
      </c>
      <c r="BD53" s="7">
        <f>IF($B53="","",$BD52+$Q53+$R53+$S53)</f>
      </c>
      <c r="BE53" s="6">
        <f>IF($B53="",$BE52,$BE52+$BF53)</f>
      </c>
      <c r="BF53" s="6">
        <f>IF($B53="","",IF(AND(IF(YEAR(IF(Inputs!$C$7="Weekly",Inputs!$C$9+7*(($BE52+1)-1),IF(Inputs!$C$7="Biweekly",Inputs!$C$9+14*(($BE52+1)-1),IF(Inputs!$C$7="Semimonthly",DATE(YEAR(Inputs!$C$9),MONTH(Inputs!$C$9)+INT((($BE52+1)-1)/2),MIN(DAY(Inputs!$C$9),DAY(EOMONTH(DATE(YEAR(Inputs!$C$9),MONTH(Inputs!$C$9)+INT((($BE52+1)-1)/2),1),0))))+IF(MOD(($BE52+1)-1,2)=1,15,0),EDATE(Inputs!$C$9,($BE52+1)-1)))))&lt;&gt;2026,"",IF(Inputs!$C$7="Weekly",Inputs!$C$9+7*(($BE52+1)-1),IF(Inputs!$C$7="Biweekly",Inputs!$C$9+14*(($BE52+1)-1),IF(Inputs!$C$7="Semimonthly",DATE(YEAR(Inputs!$C$9),MONTH(Inputs!$C$9)+INT((($BE52+1)-1)/2),MIN(DAY(Inputs!$C$9),DAY(EOMONTH(DATE(YEAR(Inputs!$C$9),MONTH(Inputs!$C$9)+INT((($BE52+1)-1)/2),1),0))))+IF(MOD(($BE52+1)-1,2)=1,15,0),EDATE(Inputs!$C$9,($BE52+1)-1)))))&lt;&gt;"",$B53=IF(YEAR(IF(Inputs!$C$7="Weekly",Inputs!$C$9+7*(($BE52+1)-1),IF(Inputs!$C$7="Biweekly",Inputs!$C$9+14*(($BE52+1)-1),IF(Inputs!$C$7="Semimonthly",DATE(YEAR(Inputs!$C$9),MONTH(Inputs!$C$9)+INT((($BE52+1)-1)/2),MIN(DAY(Inputs!$C$9),DAY(EOMONTH(DATE(YEAR(Inputs!$C$9),MONTH(Inputs!$C$9)+INT((($BE52+1)-1)/2),1),0))))+IF(MOD(($BE52+1)-1,2)=1,15,0),EDATE(Inputs!$C$9,($BE52+1)-1)))))&lt;&gt;2026,"",IF(Inputs!$C$7="Weekly",Inputs!$C$9+7*(($BE52+1)-1),IF(Inputs!$C$7="Biweekly",Inputs!$C$9+14*(($BE52+1)-1),IF(Inputs!$C$7="Semimonthly",DATE(YEAR(Inputs!$C$9),MONTH(Inputs!$C$9)+INT((($BE52+1)-1)/2),MIN(DAY(Inputs!$C$9),DAY(EOMONTH(DATE(YEAR(Inputs!$C$9),MONTH(Inputs!$C$9)+INT((($BE52+1)-1)/2),1),0))))+IF(MOD(($BE52+1)-1,2)=1,15,0),EDATE(Inputs!$C$9,($BE52+1)-1)))))),1,0))</f>
      </c>
      <c r="BG53" s="7">
        <f>IF($B53="","",$BG52+$H53)</f>
      </c>
      <c r="BH53" s="7">
        <f>IF($B53="","",$BH52+$I53)</f>
      </c>
      <c r="BI53" s="7">
        <f>IF($B53="","",$BI52+$G53)</f>
      </c>
      <c r="BJ53" s="7">
        <f>IF($B53="","",IFERROR(LOOKUP(2,1/((((Events!$C$6:$C$17="Deduction start"))*(Events!$D$6:$D$17="Health FSA"))*(Events!$B$6:$B$17&lt;=$B53)*(Events!$B$6:$B$17&lt;&gt;"")),Events!$E$6:$E$17),Inputs!$D$38))</f>
      </c>
      <c r="BK53" s="7">
        <f>IF($B53="","",IFERROR(LOOKUP(2,1/((((Events!$C$6:$C$17="Deduction start"))*(Events!$D$6:$D$17="Dependent-care FSA"))*(Events!$B$6:$B$17&lt;=$B53)*(Events!$B$6:$B$17&lt;&gt;"")),Events!$E$6:$E$17),Inputs!$D$39))</f>
      </c>
      <c r="BL53" s="7">
        <f>IF($B53="","",IFERROR(LOOKUP(2,1/((((Events!$C$6:$C$17="Deduction start")+(Events!$C$6:$C$17="Deduction stop"))*(Events!$D$6:$D$17="HSA"))*(Events!$B$6:$B$17&lt;=$B53)*(Events!$B$6:$B$17&lt;&gt;"")),Events!$I$6:$I$17),Inputs!$D$35))</f>
      </c>
      <c r="BM53" s="7">
        <f>IF($B53="","",IFERROR(LOOKUP(2,1/((((Events!$C$6:$C$17="Deduction start")+(Events!$C$6:$C$17="Deduction stop"))*(Events!$D$6:$D$17="Premiums"))*(Events!$B$6:$B$17&lt;=$B53)*(Events!$B$6:$B$17&lt;&gt;"")),Events!$I$6:$I$17),Inputs!$D$40+Inputs!$D$41+Inputs!$D$42))</f>
      </c>
      <c r="BN53" s="7">
        <f>IF($B53="","",IFERROR(LOOKUP(2,1/((((Events!$C$6:$C$17="Deduction start")+(Events!$C$6:$C$17="Deduction stop"))*(Events!$D$6:$D$17="Commuter"))*(Events!$B$6:$B$17&lt;=$B53)*(Events!$B$6:$B$17&lt;&gt;"")),Events!$I$6:$I$17),Inputs!$D$43))</f>
      </c>
      <c r="BO53" s="7">
        <f>IF($B53="","",IFERROR(LOOKUP(2,1/((((Events!$C$6:$C$17="Deduction start")+(Events!$C$6:$C$17="Deduction stop"))*(Events!$D$6:$D$17="Other pre-tax"))*(Events!$B$6:$B$17&lt;=$B53)*(Events!$B$6:$B$17&lt;&gt;"")),Events!$I$6:$I$17),Inputs!$D$44))</f>
      </c>
      <c r="BP53" s="7">
        <f>IF($B53="","",IFERROR(LOOKUP(2,1/((((Events!$C$6:$C$17="Deduction start")+(Events!$C$6:$C$17="Deduction stop"))*(Events!$D$6:$D$17="Other post-tax"))*(Events!$B$6:$B$17&lt;=$B53)*(Events!$B$6:$B$17&lt;&gt;"")),Events!$I$6:$I$17),Inputs!$D$45))</f>
      </c>
      <c r="BQ53" s="6">
        <f>IF($B53="","",IFERROR(LOOKUP(2,1/((((Events!$C$6:$C$17="Deduction start")+(Events!$C$6:$C$17="Deduction stop"))*(Events!$D$6:$D$17="Health FSA"))*(Events!$B$6:$B$17&lt;=$B53)*(Events!$B$6:$B$17&lt;&gt;"")),Events!$J$6:$J$17),0))</f>
      </c>
      <c r="BR53" s="6">
        <f>IF($B53="","",IFERROR(LOOKUP(2,1/((((Events!$C$6:$C$17="Deduction start")+(Events!$C$6:$C$17="Deduction stop"))*(Events!$D$6:$D$17="Dependent-care FSA"))*(Events!$B$6:$B$17&lt;=$B53)*(Events!$B$6:$B$17&lt;&gt;"")),Events!$J$6:$J$17),0))</f>
      </c>
      <c r="BS53" s="6">
        <f>IF($B53="","",IF(SUMPRODUCT((Events!$C$6:$C$17="Deduction start")*(Events!$B$6:$B$17&lt;=$B53)*(Events!$B$6:$B$17&lt;&gt;"")*(Events!$D$6:$D$17="Health FSA"))&gt;0,1,0))</f>
      </c>
      <c r="BT53" s="6">
        <f>IF($B53="","",IF(SUMPRODUCT((Events!$C$6:$C$17="Deduction start")*(Events!$B$6:$B$17&lt;=$B53)*(Events!$B$6:$B$17&lt;&gt;"")*(Events!$D$6:$D$17="Dependent-care FSA"))&gt;0,1,0))</f>
      </c>
      <c r="BU53" s="24">
        <f>IF($B53="","",IF(Inputs!$C$13,SUMPRODUCT(($AH53&gt;=INDEX('Methodology &amp; Sources'!$B$279:$J$286,0,IF(Inputs!$C$12="MFJ",1,IF(Inputs!$C$12="HoH",7,4))))*INDEX('Methodology &amp; Sources'!$B$279:$J$286,0,IF(Inputs!$C$12="MFJ",1,IF(Inputs!$C$12="HoH",7,4))+2)),SUMPRODUCT(($AH53&gt;=INDEX('Methodology &amp; Sources'!$B$269:$J$276,0,IF(Inputs!$C$12="MFJ",1,IF(Inputs!$C$12="HoH",7,4))))*INDEX('Methodology &amp; Sources'!$B$269:$J$276,0,IF(Inputs!$C$12="MFJ",1,IF(Inputs!$C$12="HoH",7,4))+2))))</f>
      </c>
      <c r="BV53" s="24">
        <f>IF($B53="","",IF($BZ53&lt;&gt;"",$BZ53,IF($CA53&lt;&gt;"",$CA53,IF($CB53&lt;&gt;"",$CB53,IF($CC53&lt;&gt;"",$CC53,0)))))</f>
      </c>
      <c r="BW53" s="7">
        <f>IF($B53="","",IF($AN53="MD",IF(OR($AU53="Married",$AU53="Head of household"),SUMPRODUCT(($AZ53&gt;INDEX('Methodology &amp; Sources'!$B$364:$J$370,0,1))*($AZ53-INDEX('Methodology &amp; Sources'!$B$364:$J$370,0,1))*INDEX('Methodology &amp; Sources'!$B$364:$J$370,0,1+2)),SUMPRODUCT(($AZ53&gt;INDEX('Methodology &amp; Sources'!$B$353:$J$359,0,7))*($AZ53-INDEX('Methodology &amp; Sources'!$B$353:$J$359,0,7))*INDEX('Methodology &amp; Sources'!$B$353:$J$359,0,7+2))),IF($AN53="MO",SUMPRODUCT(($AZ53&gt;INDEX('Methodology &amp; Sources'!$B$375:$J$382,0,1))*($AZ53-INDEX('Methodology &amp; Sources'!$B$375:$J$382,0,1))*INDEX('Methodology &amp; Sources'!$B$375:$J$382,0,1+2)),IF($AN53="MT",IF($AU53="Head of household",SUMPRODUCT(($AZ53&gt;INDEX('Methodology &amp; Sources'!$B$387:$J$389,0,1))*($AZ53-INDEX('Methodology &amp; Sources'!$B$387:$J$389,0,1))*INDEX('Methodology &amp; Sources'!$B$387:$J$389,0,1+2)),IF($AU53="Married",SUMPRODUCT(($AZ53&gt;INDEX('Methodology &amp; Sources'!$B$375:$J$382,0,7))*($AZ53-INDEX('Methodology &amp; Sources'!$B$375:$J$382,0,7))*INDEX('Methodology &amp; Sources'!$B$375:$J$382,0,7+2)),SUMPRODUCT(($AZ53&gt;INDEX('Methodology &amp; Sources'!$B$375:$J$382,0,4))*($AZ53-INDEX('Methodology &amp; Sources'!$B$375:$J$382,0,4))*INDEX('Methodology &amp; Sources'!$B$375:$J$382,0,4+2)))),IF($AN53="ND",IF($AU53="Head of household",SUMPRODUCT(($AZ53&gt;INDEX('Methodology &amp; Sources'!$B$394:$J$400,0,1))*($AZ53-INDEX('Methodology &amp; Sources'!$B$394:$J$400,0,1))*INDEX('Methodology &amp; Sources'!$B$394:$J$400,0,1+2)),IF($AU53="Married",SUMPRODUCT(($AZ53&gt;INDEX('Methodology &amp; Sources'!$B$387:$J$389,0,7))*($AZ53-INDEX('Methodology &amp; Sources'!$B$387:$J$389,0,7))*INDEX('Methodology &amp; Sources'!$B$387:$J$389,0,7+2)),SUMPRODUCT(($AZ53&gt;INDEX('Methodology &amp; Sources'!$B$387:$J$389,0,4))*($AZ53-INDEX('Methodology &amp; Sources'!$B$387:$J$389,0,4))*INDEX('Methodology &amp; Sources'!$B$387:$J$389,0,4+2)))),IF($AN53="NJ",IF(Inputs!$C$77="B",SUMPRODUCT(($AZ53&gt;INDEX('Methodology &amp; Sources'!$B$405:$J$412,0,4))*($AZ53-INDEX('Methodology &amp; Sources'!$B$405:$J$412,0,4))*INDEX('Methodology &amp; Sources'!$B$405:$J$412,0,4+2)),IF(Inputs!$C$77="C",SUMPRODUCT(($AZ53&gt;INDEX('Methodology &amp; Sources'!$B$405:$J$412,0,7))*($AZ53-INDEX('Methodology &amp; Sources'!$B$405:$J$412,0,7))*INDEX('Methodology &amp; Sources'!$B$405:$J$412,0,7+2)),IF(Inputs!$C$77="D",SUMPRODUCT(($AZ53&gt;INDEX('Methodology &amp; Sources'!$B$417:$J$429,0,1))*($AZ53-INDEX('Methodology &amp; Sources'!$B$417:$J$429,0,1))*INDEX('Methodology &amp; Sources'!$B$417:$J$429,0,1+2)),IF(Inputs!$C$77="E",SUMPRODUCT(($AZ53&gt;INDEX('Methodology &amp; Sources'!$B$417:$J$429,0,4))*($AZ53-INDEX('Methodology &amp; Sources'!$B$417:$J$429,0,4))*INDEX('Methodology &amp; Sources'!$B$417:$J$429,0,4+2)),SUMPRODUCT(($AZ53&gt;INDEX('Methodology &amp; Sources'!$B$405:$J$412,0,1))*($AZ53-INDEX('Methodology &amp; Sources'!$B$405:$J$412,0,1))*INDEX('Methodology &amp; Sources'!$B$405:$J$412,0,1+2)))))),IF($AN53="NY",IF($AU53="Married",IF($AZ53&gt;=2155350,$AZ53*IF($AZ53&gt;25000000,0.117,IF($AZ53&gt;5000000,0.111,0.1045)),SUMPRODUCT(($AZ53&gt;INDEX('Methodology &amp; Sources'!$B$434:$J$448,0,1))*($AZ53-INDEX('Methodology &amp; Sources'!$B$434:$J$448,0,1))*INDEX('Methodology &amp; Sources'!$B$434:$J$448,0,1+2))),IF($AZ53&gt;=1077550,$AZ53*IF($AZ53&gt;25000000,0.117,IF($AZ53&gt;5000000,0.111,0.1045)),SUMPRODUCT(($AZ53&gt;INDEX('Methodology &amp; Sources'!$B$417:$J$429,0,7))*($AZ53-INDEX('Methodology &amp; Sources'!$B$417:$J$429,0,7))*INDEX('Methodology &amp; Sources'!$B$417:$J$429,0,7+2)))),"")))))))</f>
      </c>
      <c r="BX53" s="7">
        <f>IF($B53="","",IF($AN53="AL",IF(OR($AU53="Married",$AU53="Head of household"),SUMPRODUCT(($AZ53&gt;INDEX('Methodology &amp; Sources'!$B$332:$J$336,0,4))*($AZ53-INDEX('Methodology &amp; Sources'!$B$332:$J$336,0,4))*INDEX('Methodology &amp; Sources'!$B$332:$J$336,0,4+2)),SUMPRODUCT(($AZ53&gt;INDEX('Methodology &amp; Sources'!$B$332:$J$336,0,1))*($AZ53-INDEX('Methodology &amp; Sources'!$B$332:$J$336,0,1))*INDEX('Methodology &amp; Sources'!$B$332:$J$336,0,1+2))),IF($AN53="KS",IF($AU53="Married",SUMPRODUCT(($AZ53&gt;INDEX('Methodology &amp; Sources'!$B$353:$J$359,0,4))*($AZ53-INDEX('Methodology &amp; Sources'!$B$353:$J$359,0,4))*INDEX('Methodology &amp; Sources'!$B$353:$J$359,0,4+2)),SUMPRODUCT(($AZ53&gt;INDEX('Methodology &amp; Sources'!$B$353:$J$359,0,1))*($AZ53-INDEX('Methodology &amp; Sources'!$B$353:$J$359,0,1))*INDEX('Methodology &amp; Sources'!$B$353:$J$359,0,1+2))),IF($AN53="MN",IF($AU53="Married",SUMPRODUCT(($AZ53&gt;INDEX('Methodology &amp; Sources'!$B$364:$J$370,0,7))*($AZ53-INDEX('Methodology &amp; Sources'!$B$364:$J$370,0,7))*INDEX('Methodology &amp; Sources'!$B$364:$J$370,0,7+2)),SUMPRODUCT(($AZ53&gt;INDEX('Methodology &amp; Sources'!$B$364:$J$370,0,4))*($AZ53-INDEX('Methodology &amp; Sources'!$B$364:$J$370,0,4))*INDEX('Methodology &amp; Sources'!$B$364:$J$370,0,4+2))),IF($AN53="NE",MAX(IF($AU53="Married",SUMPRODUCT(($AZ53&gt;INDEX('Methodology &amp; Sources'!$B$394:$J$400,0,7))*($AZ53-INDEX('Methodology &amp; Sources'!$B$394:$J$400,0,7))*INDEX('Methodology &amp; Sources'!$B$394:$J$400,0,7+2)),SUMPRODUCT(($AZ53&gt;INDEX('Methodology &amp; Sources'!$B$394:$J$400,0,4))*($AZ53-INDEX('Methodology &amp; Sources'!$B$394:$J$400,0,4))*INDEX('Methodology &amp; Sources'!$B$394:$J$400,0,4+2))),0.015*$AZ53),IF($AN53="OH",IF($B53&gt;=DATE(2026,8,1),SUMPRODUCT(($AZ53&gt;INDEX('Methodology &amp; Sources'!$B$453:$J$456,0,1))*($AZ53-INDEX('Methodology &amp; Sources'!$B$453:$J$456,0,1))*INDEX('Methodology &amp; Sources'!$B$453:$J$456,0,1+2)),SUMPRODUCT(($AZ53&gt;INDEX('Methodology &amp; Sources'!$B$434:$J$448,0,7))*($AZ53-INDEX('Methodology &amp; Sources'!$B$434:$J$448,0,7))*INDEX('Methodology &amp; Sources'!$B$434:$J$448,0,7+2))),IF($AN53="OK",IF($AU53="Married",SUMPRODUCT(($AZ53&gt;INDEX('Methodology &amp; Sources'!$B$453:$J$456,0,7))*($AZ53-INDEX('Methodology &amp; Sources'!$B$453:$J$456,0,7))*INDEX('Methodology &amp; Sources'!$B$453:$J$456,0,7+2)),SUMPRODUCT(($AZ53&gt;INDEX('Methodology &amp; Sources'!$B$453:$J$456,0,4))*($AZ53-INDEX('Methodology &amp; Sources'!$B$453:$J$456,0,4))*INDEX('Methodology &amp; Sources'!$B$453:$J$456,0,4+2))),IF($AN53="RI",SUMPRODUCT(($AZ53&gt;INDEX('Methodology &amp; Sources'!$B$461:$J$464,0,7))*($AZ53-INDEX('Methodology &amp; Sources'!$B$461:$J$464,0,7))*INDEX('Methodology &amp; Sources'!$B$461:$J$464,0,7+2)),IF($AN53="VT",IF($AU53="Married",SUMPRODUCT(($AZ53&gt;INDEX('Methodology &amp; Sources'!$B$478:$J$482,0,1))*($AZ53-INDEX('Methodology &amp; Sources'!$B$478:$J$482,0,1))*INDEX('Methodology &amp; Sources'!$B$478:$J$482,0,1+2)),SUMPRODUCT(($AZ53&gt;INDEX('Methodology &amp; Sources'!$B$469:$J$473,0,7))*($AZ53-INDEX('Methodology &amp; Sources'!$B$469:$J$473,0,7))*INDEX('Methodology &amp; Sources'!$B$469:$J$473,0,7+2))),IF($AN53="WV",IF($AU53="Married",SUMPRODUCT(($AZ53&gt;INDEX('Methodology &amp; Sources'!$B$487:$J$491,0,7))*($AZ53-INDEX('Methodology &amp; Sources'!$B$487:$J$491,0,7))*INDEX('Methodology &amp; Sources'!$B$487:$J$491,0,7+2)),SUMPRODUCT(($AZ53&gt;INDEX('Methodology &amp; Sources'!$B$478:$J$482,0,7))*($AZ53-INDEX('Methodology &amp; Sources'!$B$478:$J$482,0,7))*INDEX('Methodology &amp; Sources'!$B$478:$J$482,0,7+2))),""))))))))))</f>
      </c>
      <c r="BY53" s="7">
        <f>IF($B53="","",IF($AN53="AR",SUMPRODUCT(($AZ53&gt;INDEX('Methodology &amp; Sources'!$B$332:$J$336,0,7))*($AZ53-INDEX('Methodology &amp; Sources'!$B$332:$J$336,0,7))*INDEX('Methodology &amp; Sources'!$B$332:$J$336,0,7+2)),IF($AN53="DE",SUMPRODUCT(($AZ53&gt;INDEX('Methodology &amp; Sources'!$B$341:$J$348,0,1))*($AZ53-INDEX('Methodology &amp; Sources'!$B$341:$J$348,0,1))*INDEX('Methodology &amp; Sources'!$B$341:$J$348,0,1+2)),IF($AN53="HI",IF($AU53="Married",SUMPRODUCT(($AZ53&gt;INDEX('Methodology &amp; Sources'!$B$341:$J$348,0,7))*($AZ53-INDEX('Methodology &amp; Sources'!$B$341:$J$348,0,7))*INDEX('Methodology &amp; Sources'!$B$341:$J$348,0,7+2)),SUMPRODUCT(($AZ53&gt;INDEX('Methodology &amp; Sources'!$B$341:$J$348,0,4))*($AZ53-INDEX('Methodology &amp; Sources'!$B$341:$J$348,0,4))*INDEX('Methodology &amp; Sources'!$B$341:$J$348,0,4+2))),IF($AN53="SC",SUMPRODUCT(($AZ53&gt;INDEX('Methodology &amp; Sources'!$B$469:$J$473,0,1))*($AZ53-INDEX('Methodology &amp; Sources'!$B$469:$J$473,0,1))*INDEX('Methodology &amp; Sources'!$B$469:$J$473,0,1+2)),IF($AN53="VA",SUMPRODUCT(($AZ53&gt;INDEX('Methodology &amp; Sources'!$B$469:$J$473,0,4))*($AZ53-INDEX('Methodology &amp; Sources'!$B$469:$J$473,0,4))*INDEX('Methodology &amp; Sources'!$B$469:$J$473,0,4+2)),IF($AN53="WI",SUMPRODUCT(($AZ53&gt;INDEX('Methodology &amp; Sources'!$B$478:$J$482,0,4))*($AZ53-INDEX('Methodology &amp; Sources'!$B$478:$J$482,0,4))*INDEX('Methodology &amp; Sources'!$B$478:$J$482,0,4+2)),"")))))))</f>
      </c>
      <c r="BZ53" s="24">
        <f>IF($B53="","",IF($AN53="NJ",IF(Inputs!$C$77="B",SUMPRODUCT(($AZ53&gt;=INDEX('Methodology &amp; Sources'!$B$405:$J$412,0,4))*INDEX('Methodology &amp; Sources'!$B$405:$J$412,0,4+2)),IF(Inputs!$C$77="C",SUMPRODUCT(($AZ53&gt;=INDEX('Methodology &amp; Sources'!$B$405:$J$412,0,7))*INDEX('Methodology &amp; Sources'!$B$405:$J$412,0,7+2)),IF(Inputs!$C$77="D",SUMPRODUCT(($AZ53&gt;=INDEX('Methodology &amp; Sources'!$B$417:$J$429,0,1))*INDEX('Methodology &amp; Sources'!$B$417:$J$429,0,1+2)),IF(Inputs!$C$77="E",SUMPRODUCT(($AZ53&gt;=INDEX('Methodology &amp; Sources'!$B$417:$J$429,0,4))*INDEX('Methodology &amp; Sources'!$B$417:$J$429,0,4+2)),SUMPRODUCT(($AZ53&gt;=INDEX('Methodology &amp; Sources'!$B$405:$J$412,0,1))*INDEX('Methodology &amp; Sources'!$B$405:$J$412,0,1+2)))))),IF($AN53="OR",IF(OR($AU53="Married",AND($AU53="Single",$AS53&gt;=3)),SUMPRODUCT((MAX(0,$AY53-MIN(($P53-'Methodology &amp; Sources'!$C$260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Sources'!$B$461:$J$464,0,4))*INDEX('Methodology &amp; Sources'!$B$461:$J$464,0,4+2)),SUMPRODUCT((MAX(0,$AY53-MIN(($P53-'Methodology &amp; Sources'!$C$260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Sources'!$B$461:$J$464,0,1))*INDEX('Methodology &amp; Sources'!$B$461:$J$464,0,1+2)))*IF(($P53-'Methodology &amp; Sources'!$C$260*$D53)*Inputs!$C$8&gt;=IF(OR($AU53="Married",AND($AU53="Single",$AS53&gt;=3)),IF($AY53&lt;250000,8750,IF($AY53&lt;260000,7000,IF($AY53&lt;270000,5250,IF($AY53&lt;280000,3500,IF($AY53&lt;290000,1750,0))))),IF($AY53&lt;125000,8750,IF($AY53&lt;130000,7000,IF($AY53&lt;135000,5250,IF($AY53&lt;140000,3500,IF($AY53&lt;145000,1750,0)))))),1,1-IF(Inputs!$C$13,SUMPRODUCT(($AH53&gt;=INDEX('Methodology &amp; Sources'!$B$279:$J$286,0,IF(Inputs!$C$12="MFJ",1,IF(Inputs!$C$12="HoH",7,4))))*INDEX('Methodology &amp; Sources'!$B$279:$J$286,0,IF(Inputs!$C$12="MFJ",1,IF(Inputs!$C$12="HoH",7,4))+2)),SUMPRODUCT(($AH53&gt;=INDEX('Methodology &amp; Sources'!$B$269:$J$276,0,IF(Inputs!$C$12="MFJ",1,IF(Inputs!$C$12="HoH",7,4))))*INDEX('Methodology &amp; Sources'!$B$269:$J$276,0,IF(Inputs!$C$12="MFJ",1,IF(Inputs!$C$12="HoH",7,4))+2)))),IF($AN53="MI",IF($AY53&gt;5900*$AS53,0.0425,0),""))))</f>
      </c>
      <c r="CA53" s="24">
        <f>IF($B53="","",IF($AN53="AL",IF(OR($AU53="Married",$AU53="Head of household"),SUMPRODUCT(($AZ53&gt;=INDEX('Methodology &amp; Sources'!$B$332:$J$336,0,4))*INDEX('Methodology &amp; Sources'!$B$332:$J$336,0,4+2)),SUMPRODUCT(($AZ53&gt;=INDEX('Methodology &amp; Sources'!$B$332:$J$336,0,1))*INDEX('Methodology &amp; Sources'!$B$332:$J$336,0,1+2)))*(1-IF(Inputs!$C$13,SUMPRODUCT(($AH53&gt;=INDEX('Methodology &amp; Sources'!$B$279:$J$286,0,IF(Inputs!$C$12="MFJ",1,IF(Inputs!$C$12="HoH",7,4))))*INDEX('Methodology &amp; Sources'!$B$279:$J$286,0,IF(Inputs!$C$12="MFJ",1,IF(Inputs!$C$12="HoH",7,4))+2)),SUMPRODUCT(($AH53&gt;=INDEX('Methodology &amp; Sources'!$B$269:$J$276,0,IF(Inputs!$C$12="MFJ",1,IF(Inputs!$C$12="HoH",7,4))))*INDEX('Methodology &amp; Sources'!$B$269:$J$276,0,IF(Inputs!$C$12="MFJ",1,IF(Inputs!$C$12="HoH",7,4))+2)))),IF($AN53="KS",IF($AU53="Married",SUMPRODUCT(($AZ53&gt;=INDEX('Methodology &amp; Sources'!$B$353:$J$359,0,4))*INDEX('Methodology &amp; Sources'!$B$353:$J$359,0,4+2)),SUMPRODUCT(($AZ53&gt;=INDEX('Methodology &amp; Sources'!$B$353:$J$359,0,1))*INDEX('Methodology &amp; Sources'!$B$353:$J$359,0,1+2))),IF($AN53="MD",IF(OR($AU53="Married",$AU53="Head of household"),SUMPRODUCT(($AZ53&gt;=INDEX('Methodology &amp; Sources'!$B$364:$J$370,0,1))*INDEX('Methodology &amp; Sources'!$B$364:$J$370,0,1+2)),SUMPRODUCT(($AZ53&gt;=INDEX('Methodology &amp; Sources'!$B$353:$J$359,0,7))*INDEX('Methodology &amp; Sources'!$B$353:$J$359,0,7+2)))+Inputs!$C$74,IF($AN53="MT",IF($AU53="Head of household",SUMPRODUCT(($AZ53&gt;=INDEX('Methodology &amp; Sources'!$B$387:$J$389,0,1))*INDEX('Methodology &amp; Sources'!$B$387:$J$389,0,1+2)),IF($AU53="Married",SUMPRODUCT(($AZ53&gt;=INDEX('Methodology &amp; Sources'!$B$375:$J$382,0,7))*INDEX('Methodology &amp; Sources'!$B$375:$J$382,0,7+2)),SUMPRODUCT(($AZ53&gt;=INDEX('Methodology &amp; Sources'!$B$375:$J$382,0,4))*INDEX('Methodology &amp; Sources'!$B$375:$J$382,0,4+2)))),IF($AN53="ND",IF($AU53="Head of household",SUMPRODUCT(($AZ53&gt;=INDEX('Methodology &amp; Sources'!$B$394:$J$400,0,1))*INDEX('Methodology &amp; Sources'!$B$394:$J$400,0,1+2)),IF($AU53="Married",SUMPRODUCT(($AZ53&gt;=INDEX('Methodology &amp; Sources'!$B$387:$J$389,0,7))*INDEX('Methodology &amp; Sources'!$B$387:$J$389,0,7+2)),SUMPRODUCT(($AZ53&gt;=INDEX('Methodology &amp; Sources'!$B$387:$J$389,0,4))*INDEX('Methodology &amp; Sources'!$B$387:$J$389,0,4+2)))),IF($AN53="NY",IF($AU53="Married",IF($AZ53&gt;=2155350,IF($AZ53&gt;25000000,0.117,IF($AZ53&gt;5000000,0.111,0.1045)),SUMPRODUCT(($AZ53&gt;=INDEX('Methodology &amp; Sources'!$B$434:$J$448,0,1))*INDEX('Methodology &amp; Sources'!$B$434:$J$448,0,1+2))),IF($AZ53&gt;=1077550,IF($AZ53&gt;25000000,0.117,IF($AZ53&gt;5000000,0.111,0.1045)),SUMPRODUCT(($AZ53&gt;=INDEX('Methodology &amp; Sources'!$B$417:$J$429,0,7))*INDEX('Methodology &amp; Sources'!$B$417:$J$429,0,7+2)))),"")))))))</f>
      </c>
      <c r="CB53" s="24">
        <f>IF($B53="","",IF($AN53="CA",SUMPRODUCT(($AJ53&gt;=INDEX('Methodology &amp; Sources'!$B$289:$J$298,0,IF($AU53="Married",4,IF($AU53="Head of household",7,1))))*INDEX('Methodology &amp; Sources'!$B$289:$J$298,0,IF($AU53="Married",4,IF($AU53="Head of household",7,1))+2)),IF($AN53="HI",IF($AU53="Married",SUMPRODUCT(($AZ53&gt;=INDEX('Methodology &amp; Sources'!$B$341:$J$348,0,7))*INDEX('Methodology &amp; Sources'!$B$341:$J$348,0,7+2)),SUMPRODUCT(($AZ53&gt;=INDEX('Methodology &amp; Sources'!$B$341:$J$348,0,4))*INDEX('Methodology &amp; Sources'!$B$341:$J$348,0,4+2))),IF($AN53="MN",IF($AU53="Married",SUMPRODUCT(($AZ53&gt;=INDEX('Methodology &amp; Sources'!$B$364:$J$370,0,7))*INDEX('Methodology &amp; Sources'!$B$364:$J$370,0,7+2)),SUMPRODUCT(($AZ53&gt;=INDEX('Methodology &amp; Sources'!$B$364:$J$370,0,4))*INDEX('Methodology &amp; Sources'!$B$364:$J$370,0,4+2))),IF($AN53="MO",SUMPRODUCT(($AZ53&gt;=INDEX('Methodology &amp; Sources'!$B$375:$J$382,0,1))*INDEX('Methodology &amp; Sources'!$B$375:$J$382,0,1+2)),IF($AN53="NE",MAX(IF($AU53="Married",SUMPRODUCT(($AZ53&gt;=INDEX('Methodology &amp; Sources'!$B$394:$J$400,0,7))*INDEX('Methodology &amp; Sources'!$B$394:$J$400,0,7+2)),SUMPRODUCT(($AZ53&gt;=INDEX('Methodology &amp; Sources'!$B$394:$J$400,0,4))*INDEX('Methodology &amp; Sources'!$B$394:$J$400,0,4+2))),0.015),IF($AN53="OH",IF($B53&gt;=DATE(2026,8,1),SUMPRODUCT(($AZ53&gt;=INDEX('Methodology &amp; Sources'!$B$453:$J$456,0,1))*INDEX('Methodology &amp; Sources'!$B$453:$J$456,0,1+2)),SUMPRODUCT(($AZ53&gt;=INDEX('Methodology &amp; Sources'!$B$434:$J$448,0,7))*INDEX('Methodology &amp; Sources'!$B$434:$J$448,0,7+2))),IF($AN53="OK",IF($AU53="Married",SUMPRODUCT(($AZ53&gt;=INDEX('Methodology &amp; Sources'!$B$453:$J$456,0,7))*INDEX('Methodology &amp; Sources'!$B$453:$J$456,0,7+2)),SUMPRODUCT(($AZ53&gt;=INDEX('Methodology &amp; Sources'!$B$453:$J$456,0,4))*INDEX('Methodology &amp; Sources'!$B$453:$J$456,0,4+2))),IF($AN53="RI",SUMPRODUCT(($AZ53&gt;=INDEX('Methodology &amp; Sources'!$B$461:$J$464,0,7))*INDEX('Methodology &amp; Sources'!$B$461:$J$464,0,7+2)),IF($AN53="SC",SUMPRODUCT(($AZ53&gt;=INDEX('Methodology &amp; Sources'!$B$469:$J$473,0,1))*INDEX('Methodology &amp; Sources'!$B$469:$J$473,0,1+2)),IF($AN53="VT",IF($AU53="Married",SUMPRODUCT(($AZ53&gt;=INDEX('Methodology &amp; Sources'!$B$478:$J$482,0,1))*INDEX('Methodology &amp; Sources'!$B$478:$J$482,0,1+2)),SUMPRODUCT(($AZ53&gt;=INDEX('Methodology &amp; Sources'!$B$469:$J$473,0,7))*INDEX('Methodology &amp; Sources'!$B$469:$J$473,0,7+2))),IF($AN53="WV",IF($AU53="Married",SUMPRODUCT(($AZ53&gt;=INDEX('Methodology &amp; Sources'!$B$487:$J$491,0,7))*INDEX('Methodology &amp; Sources'!$B$487:$J$491,0,7+2)),SUMPRODUCT(($AZ53&gt;=INDEX('Methodology &amp; Sources'!$B$478:$J$482,0,7))*INDEX('Methodology &amp; Sources'!$B$478:$J$482,0,7+2))),IF($AN53="IN",(0.0295+Inputs!$C$76),"")))))))))))))</f>
      </c>
      <c r="CC53" s="24">
        <f>IF($B53="","",IF($AN53="AR",SUMPRODUCT(($AZ53&gt;=INDEX('Methodology &amp; Sources'!$B$332:$J$336,0,7))*INDEX('Methodology &amp; Sources'!$B$332:$J$336,0,7+2)),IF($AN53="DE",SUMPRODUCT(($AZ53&gt;=INDEX('Methodology &amp; Sources'!$B$341:$J$348,0,1))*INDEX('Methodology &amp; Sources'!$B$341:$J$348,0,1+2)),IF($AN53="VA",SUMPRODUCT(($AZ53&gt;=INDEX('Methodology &amp; Sources'!$B$469:$J$473,0,4))*INDEX('Methodology &amp; Sources'!$B$469:$J$473,0,4+2)),IF($AN53="WI",SUMPRODUCT(($AZ53&gt;=INDEX('Methodology &amp; Sources'!$B$478:$J$482,0,4))*INDEX('Methodology &amp; Sources'!$B$478:$J$482,0,4+2)),IF($AN53="AZ",Inputs!$C$82,IF($AN53="CO",IF($AY53&gt;IF($AU53="Married",10000,5000),0.044,0),IF($AN53="IA",IF($AY53&gt;IF($AU53="Head of household",19500,IF($AU53="Married",26000,13000)),0.038,0),IF($AN53="ID",IF($AY53&gt;IF($AU53="Married",32000,16094),0.053,0),IF($AN53="IL",IF($AY53&gt;(2925*$AS53+1000*$AT53),0.0495,0),IF($AN53="KY",IF($AI53&gt;3360,0.035,0),IF($AN53="LA",0.0309,IF($AN53="MA",IF(MAX(0,$AY53-MIN(($BD52+$Q53+$R53+$S53),2000)-IF($AS53=0,0,IF($AS53=1,4400,1000*$AS53+3400)))&gt;=1107750,0.09,0.05),IF($AN53="MS",IF($AI53-IF($AU53="Head of household",3400,IF($AU53="Married",4600,2300))-Inputs!$C$85&gt;10000,0.04,0),IF($AN53="PA",0.0307,"")))))))))))))))</f>
      </c>
      <c r="CD53" s="21">
        <f>IF(YEAR(IF(Inputs!$C$7="Weekly",Inputs!$C$9+7*(($BE52+1)-1),IF(Inputs!$C$7="Biweekly",Inputs!$C$9+14*(($BE52+1)-1),IF(Inputs!$C$7="Semimonthly",DATE(YEAR(Inputs!$C$9),MONTH(Inputs!$C$9)+INT((($BE52+1)-1)/2),MIN(DAY(Inputs!$C$9),DAY(EOMONTH(DATE(YEAR(Inputs!$C$9),MONTH(Inputs!$C$9)+INT((($BE52+1)-1)/2),1),0))))+IF(MOD(($BE52+1)-1,2)=1,15,0),EDATE(Inputs!$C$9,($BE52+1)-1)))))&lt;&gt;2026,"",IF(Inputs!$C$7="Weekly",Inputs!$C$9+7*(($BE52+1)-1),IF(Inputs!$C$7="Biweekly",Inputs!$C$9+14*(($BE52+1)-1),IF(Inputs!$C$7="Semimonthly",DATE(YEAR(Inputs!$C$9),MONTH(Inputs!$C$9)+INT((($BE52+1)-1)/2),MIN(DAY(Inputs!$C$9),DAY(EOMONTH(DATE(YEAR(Inputs!$C$9),MONTH(Inputs!$C$9)+INT((($BE52+1)-1)/2),1),0))))+IF(MOD(($BE52+1)-1,2)=1,15,0),EDATE(Inputs!$C$9,($BE52+1)-1)))))</f>
      </c>
      <c r="CE53" s="21">
        <f>IF(SUMPRODUCT(MIN(IF((Inputs!$C$58:$C$67&gt;MAX($B$6:$B52))*(Inputs!$C$58:$C$67&gt;=DATE(2026,1,1))*(Inputs!$C$58:$C$67&lt;=DATE(2026,12,31)),Inputs!$C$58:$C$67,999999)))=999999,"",SUMPRODUCT(MIN(IF((Inputs!$C$58:$C$67&gt;MAX($B$6:$B52))*(Inputs!$C$58:$C$67&gt;=DATE(2026,1,1))*(Inputs!$C$58:$C$67&lt;=DATE(2026,12,31)),Inputs!$C$58:$C$67,999999))))</f>
      </c>
    </row>
    <row r="54">
      <c r="A54" t="n">
        <v>49</v>
      </c>
      <c r="B54" s="21">
        <f>IF(AND($CD54="",$CE54=""),"",IF($CE54="",$CD54,IF($CD54="",$CE54,MIN($CD54,$CE54))))</f>
      </c>
      <c r="C54" s="7">
        <f>IF($B54="","",IF($BF54=0,0,IF(Inputs!$C$4="Annual salary",ROUND($AK54/IF(AND(Inputs!$C$88="Actual paydays",MONTH(Inputs!$C$9)=1),MAX(1,MAX($BE$6:$BE$68)),Inputs!$C$8),2),$AK54)))</f>
      </c>
      <c r="D54" s="7">
        <f>IF($B54="","",SUMIF(Inputs!$C$58:$C$67,$B54,Inputs!$D$58:$D$67))</f>
      </c>
      <c r="E54" s="7">
        <f>IF($B54="","",ROUND(MAX(0,MIN(IF($AL54="Percent",$AM54*($C54+$D54),$AM54),MAX(0,Inputs!$C$91-$AC53))),2))</f>
      </c>
      <c r="F54" s="7">
        <f>IF($B54="","",ROUND(MAX(0,MIN(IF(Inputs!$C$32="Percent",Inputs!$D$32*($C54+$D54),Inputs!$D$32),MAX(0,Inputs!$C$91-$AC53-$E54))),2))</f>
      </c>
      <c r="G54" s="7">
        <f>IF($B54="","",IF($BF54=0,0,ROUND(MAX(0,MIN($BL54,Inputs!$C$92-Inputs!$C$54-$BI53)),2)))</f>
      </c>
      <c r="H54" s="7">
        <f>IF($B54="","",IF(OR($BF54=0,$BQ54=1),0,ROUND(MAX(0,MIN(IF($BS54=1,ROUND(MAX(0,MIN($BJ54,'Methodology &amp; Sources'!$C$263)-$BG53)/MAX(1,MAX($BE$6:$BE$68)-($BE53)),2),ROUND(MIN($BJ54,'Methodology &amp; Sources'!$C$263)/Inputs!$C$8,2)),MIN($BJ54,'Methodology &amp; Sources'!$C$263)-$BG53)),2)))</f>
      </c>
      <c r="I54" s="7">
        <f>IF($B54="","",IF(OR($BF54=0,$BR54=1),0,ROUND(MAX(0,MIN(IF($BT54=1,ROUND(MAX(0,MIN($BK54,IF(Inputs!$C$12="MFJ",'Methodology &amp; Sources'!$C$264,'Methodology &amp; Sources'!$C$265))-$BH53)/MAX(1,MAX($BE$6:$BE$68)-($BE53)),2),ROUND(MIN($BK54,IF(Inputs!$C$12="MFJ",'Methodology &amp; Sources'!$C$264,'Methodology &amp; Sources'!$C$265))/Inputs!$C$8,2)),MIN($BK54,IF(Inputs!$C$12="MFJ",'Methodology &amp; Sources'!$C$264,'Methodology &amp; Sources'!$C$265))-$BH53)),2)))</f>
      </c>
      <c r="J54" s="7">
        <f>IF($B54="","",IF($BF54=0,0,$BM54))</f>
      </c>
      <c r="K54" s="7">
        <f>IF($B54="","",IF($BF54=0,0,$BN54+$BO54))</f>
      </c>
      <c r="L54" s="7">
        <f>IF($B54="","",IF($BF54=0,0,Inputs!$D$46))</f>
      </c>
      <c r="M54" s="7">
        <f>IF($B54="","",$C54+$D54+$L54-$E54-$G54-$H54-$I54-$J54-$K54)</f>
      </c>
      <c r="N54" s="7">
        <f>IF($B54="","",$C54+$D54+$L54-$G54-$H54-$I54-$J54-$K54)</f>
      </c>
      <c r="O54" s="7">
        <f>IF($B54="","",$C54+$D54+$L54-$E54-$H54-$I54-$J54-$K54-IF(OR($AN54="CA",$AN54="NJ"),0,$G54))</f>
      </c>
      <c r="P54" s="7">
        <f>IF($B54="","",IF(Inputs!$C$18,0,ROUND(MAX(0,IF(Inputs!$C$13,SUMPRODUCT(($AH54&gt;INDEX('Methodology &amp; Sources'!$B$279:$J$286,0,IF(Inputs!$C$12="MFJ",1,IF(Inputs!$C$12="HoH",7,4))))*($AH54-INDEX('Methodology &amp; Sources'!$B$279:$J$286,0,IF(Inputs!$C$12="MFJ",1,IF(Inputs!$C$12="HoH",7,4))))*INDEX('Methodology &amp; Sources'!$B$279:$J$286,0,IF(Inputs!$C$12="MFJ",1,IF(Inputs!$C$12="HoH",7,4))+2)),SUMPRODUCT(($AH54&gt;INDEX('Methodology &amp; Sources'!$B$269:$J$276,0,IF(Inputs!$C$12="MFJ",1,IF(Inputs!$C$12="HoH",7,4))))*($AH54-INDEX('Methodology &amp; Sources'!$B$269:$J$276,0,IF(Inputs!$C$12="MFJ",1,IF(Inputs!$C$12="HoH",7,4))))*INDEX('Methodology &amp; Sources'!$B$269:$J$276,0,IF(Inputs!$C$12="MFJ",1,IF(Inputs!$C$12="HoH",7,4))+2)))/Inputs!$C$8-$AO54/Inputs!$C$8)+$AR54+IF(Inputs!$C$89="Aggregate",MAX(0,IF(Inputs!$C$13,SUMPRODUCT((($AH54+$D54)&gt;INDEX('Methodology &amp; Sources'!$B$279:$J$286,0,IF(Inputs!$C$12="MFJ",1,IF(Inputs!$C$12="HoH",7,4))))*(($AH54+$D54)-INDEX('Methodology &amp; Sources'!$B$279:$J$286,0,IF(Inputs!$C$12="MFJ",1,IF(Inputs!$C$12="HoH",7,4))))*INDEX('Methodology &amp; Sources'!$B$279:$J$286,0,IF(Inputs!$C$12="MFJ",1,IF(Inputs!$C$12="HoH",7,4))+2)),SUMPRODUCT((($AH54+$D54)&gt;INDEX('Methodology &amp; Sources'!$B$269:$J$276,0,IF(Inputs!$C$12="MFJ",1,IF(Inputs!$C$12="HoH",7,4))))*(($AH54+$D54)-INDEX('Methodology &amp; Sources'!$B$269:$J$276,0,IF(Inputs!$C$12="MFJ",1,IF(Inputs!$C$12="HoH",7,4))))*INDEX('Methodology &amp; Sources'!$B$269:$J$276,0,IF(Inputs!$C$12="MFJ",1,IF(Inputs!$C$12="HoH",7,4))+2)))-IF(Inputs!$C$13,SUMPRODUCT(($AH54&gt;INDEX('Methodology &amp; Sources'!$B$279:$J$286,0,IF(Inputs!$C$12="MFJ",1,IF(Inputs!$C$12="HoH",7,4))))*($AH54-INDEX('Methodology &amp; Sources'!$B$279:$J$286,0,IF(Inputs!$C$12="MFJ",1,IF(Inputs!$C$12="HoH",7,4))))*INDEX('Methodology &amp; Sources'!$B$279:$J$286,0,IF(Inputs!$C$12="MFJ",1,IF(Inputs!$C$12="HoH",7,4))+2)),SUMPRODUCT(($AH54&gt;INDEX('Methodology &amp; Sources'!$B$269:$J$276,0,IF(Inputs!$C$12="MFJ",1,IF(Inputs!$C$12="HoH",7,4))))*($AH54-INDEX('Methodology &amp; Sources'!$B$269:$J$276,0,IF(Inputs!$C$12="MFJ",1,IF(Inputs!$C$12="HoH",7,4))))*INDEX('Methodology &amp; Sources'!$B$269:$J$276,0,IF(Inputs!$C$12="MFJ",1,IF(Inputs!$C$12="HoH",7,4))+2)))),'Methodology &amp; Sources'!$C$260*$D54),2)))</f>
      </c>
      <c r="Q54" s="7">
        <f>IF($B54="","",ROUND('Methodology &amp; Sources'!$C$254*MIN($N54,MAX(0,'Methodology &amp; Sources'!$C$253-($AX54+$AB53-$AW54))),2))</f>
      </c>
      <c r="R54" s="7">
        <f>IF($B54="","",ROUND('Methodology &amp; Sources'!$C$255*$N54,2))</f>
      </c>
      <c r="S54" s="7">
        <f>IF($B54="","",ROUND('Methodology &amp; Sources'!$C$256*MAX(0,MIN($N54,$AG53+$N54-'Methodology &amp; Sources'!$C$257)),2))</f>
      </c>
      <c r="T54" s="7">
        <f>IF($B54="","",IF(Inputs!$C$26,0,IF($AN54="CA",ROUND(IF($AI54&lt;=IF(($AS54+$AT54)&gt;=2,VLOOKUP($AN54,'StateTables 2026'!$A$6:$AB$56,10,FALSE),VLOOKUP($AN54,'StateTables 2026'!$A$6:$AB$56,9,FALSE)),0,MAX(0,SUMPRODUCT(($AJ54&gt;INDEX('Methodology &amp; Sources'!$B$289:$J$298,0,IF($AU54="Married",4,IF($AU54="Head of household",7,1))))*($AJ54-INDEX('Methodology &amp; Sources'!$B$289:$J$298,0,IF($AU54="Married",4,IF($AU54="Head of household",7,1))))*INDEX('Methodology &amp; Sources'!$B$289:$J$298,0,IF($AU54="Married",4,IF($AU54="Head of household",7,1))+2))-VLOOKUP($AN54,'StateTables 2026'!$A$6:$AB$56,11,FALSE)*$AS54)/Inputs!$C$8)+Inputs!$C$25+VLOOKUP($AN54,'StateTables 2026'!$A$6:$AB$56,13,FALSE)*$D54,2),IF(VLOOKUP($AN54,'StateTables 2026'!$A$6:$AB$56,4,FALSE)="None",0,IF(ISNUMBER(SEARCH("MANUAL",VLOOKUP($AN54,'StateTables 2026'!$A$6:$AB$56,5,FALSE))),Inputs!$C$28,ROUND(MAX(0,$BA54+$BB54)/Inputs!$C$8+Inputs!$C$25+$BC54,2))))))</f>
      </c>
      <c r="U54" s="7">
        <f>IF($B54="","",IF(VLOOKUP($AN54,'StateTables 2026'!$A$6:$AB$56,24,FALSE)="flatq",IF(OR(MONTH($B54)=1,MONTH($B54)=4,MONTH($B54)=7,MONTH($B54)=10),VLOOKUP($AN54,'StateTables 2026'!$A$6:$AB$56,25,FALSE),0),IF(VLOOKUP($AN54,'StateTables 2026'!$A$6:$AB$56,24,FALSE)="dbl",MIN(ROUND(0.005*$N54,2),ROUND(0.6*52/Inputs!$C$8,2)),IF(OR(VLOOKUP($AN54,'StateTables 2026'!$A$6:$AB$56,15,FALSE)="",VLOOKUP($AN54,'StateTables 2026'!$A$6:$AB$56,15,FALSE)=0),0,ROUND(VLOOKUP($AN54,'StateTables 2026'!$A$6:$AB$56,15,FALSE)*IF(OR(VLOOKUP($AN54,'StateTables 2026'!$A$6:$AB$56,16,FALSE)="",VLOOKUP($AN54,'StateTables 2026'!$A$6:$AB$56,16,FALSE)=0),$N54,MIN($N54,MAX(0,VLOOKUP($AN54,'StateTables 2026'!$A$6:$AB$56,16,FALSE)-($AX54+$AB53-$AW54)))),2))))+IF(VLOOKUP($AN54,'StateTables 2026'!$A$6:$AB$56,27,FALSE)="flatq",IF(OR(MONTH($B54)=1,MONTH($B54)=4,MONTH($B54)=7,MONTH($B54)=10),VLOOKUP($AN54,'StateTables 2026'!$A$6:$AB$56,28,FALSE),0),IF(VLOOKUP($AN54,'StateTables 2026'!$A$6:$AB$56,27,FALSE)="dbl",MIN(ROUND(0.005*$N54,2),ROUND(0.6*52/Inputs!$C$8,2)),IF(OR(VLOOKUP($AN54,'StateTables 2026'!$A$6:$AB$56,18,FALSE)="",VLOOKUP($AN54,'StateTables 2026'!$A$6:$AB$56,18,FALSE)=0),0,ROUND(VLOOKUP($AN54,'StateTables 2026'!$A$6:$AB$56,18,FALSE)*IF(OR(VLOOKUP($AN54,'StateTables 2026'!$A$6:$AB$56,19,FALSE)="",VLOOKUP($AN54,'StateTables 2026'!$A$6:$AB$56,19,FALSE)=0),$N54,MIN($N54,MAX(0,VLOOKUP($AN54,'StateTables 2026'!$A$6:$AB$56,19,FALSE)-($AX54+$AB53-$AW54)))),2)))))</f>
      </c>
      <c r="V54" s="7">
        <f>IF($B54="","",IF($AN54="NY",IF(Inputs!$C$78,ROUND(SUMPRODUCT((MAX(0,($O54-$D54)*Inputs!$C$8-(IF($AU54="Married",5500,5000)+1000*$AS54))&gt;INDEX('Methodology &amp; Sources'!$B$434:$J$448,0,4))*(MAX(0,($O54-$D54)*Inputs!$C$8-(IF($AU54="Married",5500,5000)+1000*$AS54))-INDEX('Methodology &amp; Sources'!$B$434:$J$448,0,4))*INDEX('Methodology &amp; Sources'!$B$434:$J$448,0,4+2))/Inputs!$C$8+0.0425*$D54,2),0)+IF(Inputs!$C$79="Resident",ROUND(0.1675*$T54,2),IF(Inputs!$C$79="Nonresident",ROUND(0.005*MAX(0,($O54-$D54)-(IF($AU54="Married",7950,7400)+1000*$AS54)/Inputs!$C$8),2),0)),IF($AN54="PA",IF(Inputs!$C$80="None",Inputs!$C$27+ROUND(Inputs!$C$81*($C54+$D54),2),ROUND(IF(Inputs!$C$80="Resident",IF($B54&lt;DATE(2026,7,1),0.0374,0.03735),IF($B54&lt;DATE(2026,7,1),0.0343,0.03425))*($C54+$D54),2)),IF($BF54=0,ROUND(Inputs!$C$81*($C54+$D54),2),Inputs!$C$27+ROUND(Inputs!$C$81*($C54+$D54),2)))))</f>
      </c>
      <c r="W54" s="7">
        <f>IF($B54="","",IF($BF54=0,0,$BP54))</f>
      </c>
      <c r="X54" s="7">
        <f>IF($B54="","",SUM($E54:$K54)+$P54+$Q54+$R54+$S54+$T54+$U54+$V54+$W54)</f>
      </c>
      <c r="Y54" s="22">
        <f>IF($B54="","",$C54+$D54-$X54)</f>
      </c>
      <c r="Z54" s="7">
        <f>IF($B54="","",$Z53+$C54+$D54)</f>
      </c>
      <c r="AA54" s="7">
        <f>IF($B54="","",$AA53+$Y54)</f>
      </c>
      <c r="AB54" s="7">
        <f>IF($B54="","",$AB53+MIN($N54,MAX(0,'Methodology &amp; Sources'!$C$253-($AX54+$AB53-$AW54))))</f>
      </c>
      <c r="AC54" s="7">
        <f>IF($B54="","",$AC53+$E54+$F54)</f>
      </c>
      <c r="AD54" s="3">
        <f>IF($B54="","",IF(AND($AB53&lt;'Methodology &amp; Sources'!$C$253,$AB54&gt;='Methodology &amp; Sources'!$C$253),"★ Social Security maxed on this check — from the next check your net rises by about $"&amp;TEXT(ROUND('Methodology &amp; Sources'!$C$254*$N54,2),"#,##0.00")&amp;". ","")&amp;IF(AND($AC53&lt;Inputs!$C$91,$AC54&gt;=Inputs!$C$91),"★ 401(k) reaches the $"&amp;TEXT(Inputs!$C$91,"#,##0")&amp;" cap on this check — deferrals stop and net pay rises. ","")&amp;IF(AND($AG53&lt;'Methodology &amp; Sources'!$C$257,$AG54&gt;='Methodology &amp; Sources'!$C$257),"★ Wages pass $200,000 — the 0.9% Additional Medicare Tax starts here. ","")&amp;IF(AND($BJ54&gt;0,$H54&gt;0,$BG53&lt;MIN($BJ54,'Methodology &amp; Sources'!$C$263),$BG53+$H54&gt;=MIN($BJ54,'Methodology &amp; Sources'!$C$263)),"★ Health FSA election is now fully deferred for the year. ",""))</f>
      </c>
      <c r="AE54" s="41" t="n"/>
      <c r="AF54" s="7">
        <f>IF(OR($B54="",$AE54=""),"",$AE54-$Y54)</f>
      </c>
      <c r="AG54" s="7">
        <f>IF($B54="","",$AG53+$N54)</f>
      </c>
      <c r="AH54" s="7">
        <f>IF($B54="","",MAX(0,($M54-$D54)*Inputs!$C$8+$AP54-$AQ54-IF(Inputs!$C$13,0,IF(Inputs!$C$12="MFJ",'Methodology &amp; Sources'!$C$258,'Methodology &amp; Sources'!$C$259))))</f>
      </c>
      <c r="AI54" s="7">
        <f>IF($B54="","",$O54*Inputs!$C$8)</f>
      </c>
      <c r="AJ54" s="7">
        <f>IF($B54="","",MAX(0,$AI54-VLOOKUP($AN54,'StateTables 2026'!$A$6:$AB$56,12,FALSE)*$AT54-IF(($AS54+$AT54)&gt;=2,VLOOKUP($AN54,'StateTables 2026'!$A$6:$AB$56,8,FALSE),VLOOKUP($AN54,'StateTables 2026'!$A$6:$AB$56,7,FALSE))))</f>
      </c>
      <c r="AK54" s="7">
        <f>IF($B54="","",IFERROR(LOOKUP(2,1/((Events!$C$6:$C$17="Salary change")*(Events!$B$6:$B$17&lt;=$B54)*(Events!$B$6:$B$17&lt;&gt;"")),Events!$D$6:$D$17),IF(Inputs!$C$4="Annual salary",Inputs!$C$5,Inputs!$C$6)))</f>
      </c>
      <c r="AL54">
        <f>IF($B54="","",IFERROR(LOOKUP(2,1/((Events!$C$6:$C$17="401(k) change")*(Events!$B$6:$B$17&lt;=$B54)*(Events!$B$6:$B$17&lt;&gt;"")),Events!$D$6:$D$17),Inputs!$C$30))</f>
      </c>
      <c r="AM54" s="7">
        <f>IF($B54="","",IFERROR(LOOKUP(2,1/((Events!$C$6:$C$17="401(k) change")*(Events!$B$6:$B$17&lt;=$B54)*(Events!$B$6:$B$17&lt;&gt;"")),Events!$E$6:$E$17),Inputs!$D$30))</f>
      </c>
      <c r="AN54">
        <f>IF($B54="","",IFERROR(LOOKUP(2,1/((Events!$C$6:$C$17="State move")*(Events!$B$6:$B$17&lt;=$B54)*(Events!$B$6:$B$17&lt;&gt;"")),Events!$D$6:$D$17),Inputs!$C$21))</f>
      </c>
      <c r="AO54" s="7">
        <f>IF($B54="","",IFERROR(LOOKUP(2,1/((Events!$C$6:$C$17="W-4 change")*(Events!$B$6:$B$17&lt;=$B54)*(Events!$B$6:$B$17&lt;&gt;"")),Events!$D$6:$D$17),Inputs!$C$14))</f>
      </c>
      <c r="AP54" s="7">
        <f>IF($B54="","",IFERROR(LOOKUP(2,1/((Events!$C$6:$C$17="W-4 change")*(Events!$B$6:$B$17&lt;=$B54)*(Events!$B$6:$B$17&lt;&gt;"")),Events!$E$6:$E$17),Inputs!$C$15))</f>
      </c>
      <c r="AQ54" s="7">
        <f>IF($B54="","",IFERROR(LOOKUP(2,1/((Events!$C$6:$C$17="W-4 change")*(Events!$B$6:$B$17&lt;=$B54)*(Events!$B$6:$B$17&lt;&gt;"")),Events!$F$6:$F$17),Inputs!$C$16))</f>
      </c>
      <c r="AR54" s="7">
        <f>IF($B54="","",IFERROR(LOOKUP(2,1/((Events!$C$6:$C$17="W-4 change")*(Events!$B$6:$B$17&lt;=$B54)*(Events!$B$6:$B$17&lt;&gt;"")),Events!$G$6:$G$17),Inputs!$C$17))</f>
      </c>
      <c r="AS54" s="6">
        <f>IF($B54="","",IFERROR(LOOKUP(2,1/(((Events!$C$6:$C$17="State move")+(Events!$C$6:$C$17="State cert change"))*(Events!$B$6:$B$17&lt;=$B54)*(Events!$B$6:$B$17&lt;&gt;"")),Events!$F$6:$F$17),Inputs!$C$23))</f>
      </c>
      <c r="AT54" s="6">
        <f>IF($B54="","",IFERROR(LOOKUP(2,1/(((Events!$C$6:$C$17="State move")+(Events!$C$6:$C$17="State cert change"))*(Events!$B$6:$B$17&lt;=$B54)*(Events!$B$6:$B$17&lt;&gt;"")),Events!$G$6:$G$17),Inputs!$C$24))</f>
      </c>
      <c r="AU54">
        <f>IF($B54="","",IFERROR(LOOKUP(2,1/((Events!$C$6:$C$17="State move")*(Events!$B$6:$B$17&lt;=$B54)*(Events!$B$6:$B$17&lt;&gt;"")),Events!$E$6:$E$17),Inputs!$C$22))</f>
      </c>
      <c r="AV54" s="6">
        <f>IF($B54="","",1+COUNTIFS(Events!$C$6:$C$17,"Employer change",Events!$B$6:$B$17,"&lt;="&amp;$B54,Events!$B$6:$B$17,"&lt;&gt;"))</f>
      </c>
      <c r="AW54" s="7">
        <f>IF($B54="","",IF($AV54=1,Inputs!$C$49,IF(IFERROR(MATCH(IFERROR(LOOKUP(2,1/((Events!$C$6:$C$17="Employer change")*(Events!$B$6:$B$17&lt;=$B54)*(Events!$B$6:$B$17&lt;&gt;"")),Events!$B$6:$B$17),""),$B$6:$B$68,1),1)&lt;=1,Inputs!$C$49,INDEX($AB$6:$AB$68,MATCH(IFERROR(LOOKUP(2,1/((Events!$C$6:$C$17="Employer change")*(Events!$B$6:$B$17&lt;=$B54)*(Events!$B$6:$B$17&lt;&gt;"")),Events!$B$6:$B$17),""),$B$6:$B$68,1)-1))))</f>
      </c>
      <c r="AX54" s="7">
        <f>IF($B54="","",IF($AV54=1,Inputs!$C$49,IFERROR(LOOKUP(2,1/((Events!$C$6:$C$17="Employer change")*(Events!$B$6:$B$17&lt;=$B54)*(Events!$B$6:$B$17&lt;&gt;"")),Events!$D$6:$D$17),0)))</f>
      </c>
      <c r="AY54" s="7">
        <f>IF($B54="","",($O54-$D54)*Inputs!$C$8)</f>
      </c>
      <c r="AZ54" s="7">
        <f>IF($B54="","",IF($AN54="AL",MAX(0,$AY54-IF($AU54="Married",IF($AY54&lt;=25999,8500,MAX(5000,8500-175*CEILING(($AY54-25999)/500,1))),IF($AU54="Head of household",IF($AY54&lt;=25999,5200,MAX(2500,5200-135*CEILING(($AY54-25999)/500,1))),IF($AY54&lt;=25999,3000,MAX(2500,3000-25*CEILING(($AY54-25999)/500,1)))))-($P54-'Methodology &amp; Sources'!$C$260*$D54)*Inputs!$C$8-IF(OR($AU54="Married",$AU54="Head of household"),3000,1500)-$AT54*IF($AY54&lt;=50000,1000,IF($AY54&lt;=100000,500,300))),IF($AN54="AR",IF(MAX(0,$AY54-2470)&lt;97701,INT(MAX(0,$AY54-2470)/100)*100+50,MAX(0,$AY54-2470)),IF($AN54="DE",MAX(0,$AI54-3250),IF($AN54="HI",MAX(0,$AI54-1144*$AS54-4350),IF($AN54="KS",MAX(0,$AI54-(9160*IF($AU54="Married",2,1)+2320*$AT54+IF($AU54="Head of household",2320,0))),IF($AN54="MD",MAX(0,$AI54-3400-3200*$AS54),IF($AN54="MN",MAX(0,$AY54-5300*$AS54),IF($AN54="MO",MAX(0,$AI54-IF($AU54="Head of household",24150,IF($AU54="Married",IF(Inputs!$C$83,16100,32200),16100))),IF($AN54="MT",$AY54,IF($AN54="ND",($C54+$L54)*Inputs!$C$8,IF($AN54="NE",MAX(0,$AY54-2440*$AS54),IF($AN54="NJ",MAX(0,$AY54-1000*$AS54),IF($AN54="NY",MAX(0,$AY54-(IF($AU54="Married",7950,7400)+1000*$AS54)),IF($AN54="OH",MAX(0,$AY54-650*$AS54),IF($AN54="OK",MAX(0,$AY54-1000*$AS54),IF($AN54="RI",MAX(0,$AI54-1000*$AS54),IF($AN54="SC",MAX(0,$AI54-5000*$AS54-IF($AS54=0,0,MIN(0.1*$AI54,7500))),IF($AN54="VA",MAX(0,$AI54-IF($AU54="Married",17500,8750)-930*$AS54-800*$AT54),IF($AN54="VT",MAX(0,$AI54-5400*$AS54),IF($AN54="WI",MAX(0,$AI54-MAX(0,IF($AU54="Married",9461-0.2*MAX(0,$AI54-25727),6702-0.12*MAX(0,$AI54-17780)))-400*$AS54),IF($AN54="WV",MAX(0,$AI54-2000*$AS54),$AI54))))))))))))))))))))))</f>
      </c>
      <c r="BA54" s="7">
        <f>IF($B54="","",IF($BW54&lt;&gt;"",$BW54,IF($BX54&lt;&gt;"",$BX54,IF($BY54&lt;&gt;"",$BY54,0))))</f>
      </c>
      <c r="BB54" s="7">
        <f>IF($B54="","",IF($AN54="AR",-29*$AS54,IF($AN54="DE",-110*$AS54,IF($AN54="MD",$AZ54*Inputs!$C$74,IF($AN54="AZ",Inputs!$C$82*($M54-$D54)*Inputs!$C$8,IF($AN54="CO",0.044*MAX(0,$AY54-IF($AU54="Married",10000,5000)),IF($AN54="IA",MAX(0,0.038*MAX(0,$AY54-IF($AU54="Head of household",19500,IF($AU54="Married",26000,13000)))-40*$AS54),IF($AN54="ID",0.053*MAX(0,$AY54-IF($AU54="Married",32000,16094)),IF($AN54="IL",0.0495*MAX(0,$AY54-(2925*$AS54+1000*$AT54)),IF($AN54="IN",(0.0295+Inputs!$C$76)*MAX(0,$AY54-(1000*$AS54+1500*$AT54+3000*Inputs!$C$86)),IF($AN54="KY",0.035*MAX(0,$AI54-3360),IF($AN54="LA",IF(Inputs!$C$84="0",0.0309*$AI54,0.0309*MAX(0,$AI54-IF(Inputs!$C$84="2",25750,12875))),IF($AN54="MA",0.05*MIN(MAX(0,$AY54-MIN(($BD53+$Q54+$R54+$S54),2000)-IF($AS54=0,0,IF($AS54=1,4400,1000*$AS54+3400))),1107750)+0.09*MAX(0,MAX(0,$AY54-MIN(($BD53+$Q54+$R54+$S54),2000)-IF($AS54=0,0,IF($AS54=1,4400,1000*$AS54+3400)))-1107750)-IF($AU54="Head of household",120,0)-110*Inputs!$C$75,IF($AN54="MI",0.0425*MAX(0,$AY54-5900*$AS54),IF($AN54="MS",0.04*MAX(0,$AI54-IF($AU54="Head of household",3400,IF($AU54="Married",4600,2300))-Inputs!$C$85-10000),IF($AN54="OR",IF(OR($AU54="Married",AND($AU54="Single",$AS54&gt;=3)),SUMPRODUCT((MAX(0,$AY54-MIN(($P54-'Methodology &amp; Sources'!$C$260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Sources'!$B$461:$J$464,0,4))*(MAX(0,$AY54-MIN(($P54-'Methodology &amp; Sources'!$C$260*$D54)*Inputs!$C$8,IF(OR($AU54="Married",AND($AU54="Single",$AS54&gt;=3)),IF($AY54&lt;250000,8750,IF($AY54&lt;260000,7000,IF($AY54&lt;270000,5250,IF($AY54&lt;280000,3500,IF($AY54&lt;290000,1750,0))))),IF($AY54&lt;125000,8750,IF($AY54&lt;130000,7000,IF($AY54&lt;135000,5250,IF($AY54&lt;140000,3500,IF($AY54&lt;145000,1750,0)))))))-IF(OR($AU54="Married",AND($AU54="Single",$AS54&gt;=3)),5820,2910))-INDEX('Methodology &amp; Sources'!$B$461:$J$464,0,4))*INDEX('Methodology &amp; Sources'!$B$461:$J$464,0,4+2)),SUMPRODUCT((MAX(0,$AY54-MIN(($P54-'Methodology &amp; Sources'!$C$260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Sources'!$B$461:$J$464,0,1))*(MAX(0,$AY54-MIN(($P54-'Methodology &amp; Sources'!$C$260*$D54)*Inputs!$C$8,IF(OR($AU54="Married",AND($AU54="Single",$AS54&gt;=3)),IF($AY54&lt;250000,8750,IF($AY54&lt;260000,7000,IF($AY54&lt;270000,5250,IF($AY54&lt;280000,3500,IF($AY54&lt;290000,1750,0))))),IF($AY54&lt;125000,8750,IF($AY54&lt;130000,7000,IF($AY54&lt;135000,5250,IF($AY54&lt;140000,3500,IF($AY54&lt;145000,1750,0)))))))-IF(OR($AU54="Married",AND($AU54="Single",$AS54&gt;=3)),5820,2910))-INDEX('Methodology &amp; Sources'!$B$461:$J$464,0,1))*INDEX('Methodology &amp; Sources'!$B$461:$J$464,0,1+2)))+263-263*IF(IF($AU54="Married",$AY54&gt;200000,$AY54&gt;100000),0,$AS54),IF($AN54="PA",0.0307*(($O54+$E54+$G54)*Inputs!$C$8),IF($AN54="NY",IF($AU54="Married",IF($AZ54&gt;=2155350,0,IF($AZ54&gt;=1077550,0.48,IF($AZ54&gt;=373200,1.21,IF($AZ54&gt;=323200,0.21,IF($AZ54&gt;=211550,-0.19,IF($AZ54&gt;=157650,-2.8,IF($AZ54&gt;=107650,-0.8,IF($AZ54&gt;=96800,0.05,IF($AZ54&gt;=80650,-0.1,IF($AZ54&gt;=13900,0.4,IF($AZ54&gt;=11700,-0.3,IF($AZ54&gt;=8500,0.5,0)))))))))))),IF($AZ54&gt;=1077550,0,IF($AZ54&gt;=265400,4.29,IF($AZ54&gt;=215400,2.29,IF($AZ54&gt;=157650,2.29,IF($AZ54&gt;=107650,0.29,IF($AZ54&gt;=96800,0.05,IF($AZ54&gt;=80650,-0.1,IF($AZ54&gt;=13900,0.4,IF($AZ54&gt;=11700,-0.3,IF($AZ54&gt;=8500,0.5,0))))))))))),0))))))))))))))))))</f>
      </c>
      <c r="BC54" s="7">
        <f>IF($B54="","",IF($AN54="AL",0.05*$D54,IF($AN54="AR",0.039*$D54,IF($AN54="ID",0.053*$D54,IF($AN54="IN",(0.0295+Inputs!$C$76)*$D54,IF($AN54="KS",0.05*$D54,IF($AN54="MA",0.09*MIN($D54,MAX(0,MAX(0,$AY54-MIN(($BD53+$Q54+$R54+$S54),2000)-IF($AS54=0,0,IF($AS54=1,4400,1000*$AS54+3400)))+$D54-1107750))+0.05*($D54-MIN($D54,MAX(0,MAX(0,$AY54-MIN(($BD53+$Q54+$R54+$S54),2000)-IF($AS54=0,0,IF($AS54=1,4400,1000*$AS54+3400)))+$D54-1107750))),IF($AN54="MD",(0.065+Inputs!$C$74)*$D54,IF($AN54="MI",0.0425*$D54,IF($AN54="MN",0.0625*$D54,IF($AN54="MO",0.047*$D54,IF($AN54="MT",0.05*$D54,IF($AN54="ND",0.015*$D54,IF($AN54="NE",0.035*$D54,IF($AN54="NJ",IF(Inputs!$C$77="B",SUMPRODUCT(($D54*Inputs!$C$8&gt;INDEX('Methodology &amp; Sources'!$B$405:$J$412,0,4))*($D54*Inputs!$C$8-INDEX('Methodology &amp; Sources'!$B$405:$J$412,0,4))*INDEX('Methodology &amp; Sources'!$B$405:$J$412,0,4+2)),IF(Inputs!$C$77="C",SUMPRODUCT(($D54*Inputs!$C$8&gt;INDEX('Methodology &amp; Sources'!$B$405:$J$412,0,7))*($D54*Inputs!$C$8-INDEX('Methodology &amp; Sources'!$B$405:$J$412,0,7))*INDEX('Methodology &amp; Sources'!$B$405:$J$412,0,7+2)),IF(Inputs!$C$77="D",SUMPRODUCT(($D54*Inputs!$C$8&gt;INDEX('Methodology &amp; Sources'!$B$417:$J$429,0,1))*($D54*Inputs!$C$8-INDEX('Methodology &amp; Sources'!$B$417:$J$429,0,1))*INDEX('Methodology &amp; Sources'!$B$417:$J$429,0,1+2)),IF(Inputs!$C$77="E",SUMPRODUCT(($D54*Inputs!$C$8&gt;INDEX('Methodology &amp; Sources'!$B$417:$J$429,0,4))*($D54*Inputs!$C$8-INDEX('Methodology &amp; Sources'!$B$417:$J$429,0,4))*INDEX('Methodology &amp; Sources'!$B$417:$J$429,0,4+2)),SUMPRODUCT(($D54*Inputs!$C$8&gt;INDEX('Methodology &amp; Sources'!$B$405:$J$412,0,1))*($D54*Inputs!$C$8-INDEX('Methodology &amp; Sources'!$B$405:$J$412,0,1))*INDEX('Methodology &amp; Sources'!$B$405:$J$412,0,1+2))))))/Inputs!$C$8,IF($AN54="NY",0.117*$D54,IF($AN54="OH",0.0275*$D54,IF($AN54="OK",0.045*$D54,IF($AN54="OR",0.08*$D54,IF($AN54="WI",IF($AY54&lt;12760,0.0354,IF($AY54&lt;25520,0.0465,IF($AY54&lt;280950,0.053,0.0765)))*$D54,0))))))))))))))))))))</f>
      </c>
      <c r="BD54" s="7">
        <f>IF($B54="","",$BD53+$Q54+$R54+$S54)</f>
      </c>
      <c r="BE54" s="6">
        <f>IF($B54="",$BE53,$BE53+$BF54)</f>
      </c>
      <c r="BF54" s="6">
        <f>IF($B54="","",IF(AND(IF(YEAR(IF(Inputs!$C$7="Weekly",Inputs!$C$9+7*(($BE53+1)-1),IF(Inputs!$C$7="Biweekly",Inputs!$C$9+14*(($BE53+1)-1),IF(Inputs!$C$7="Semimonthly",DATE(YEAR(Inputs!$C$9),MONTH(Inputs!$C$9)+INT((($BE53+1)-1)/2),MIN(DAY(Inputs!$C$9),DAY(EOMONTH(DATE(YEAR(Inputs!$C$9),MONTH(Inputs!$C$9)+INT((($BE53+1)-1)/2),1),0))))+IF(MOD(($BE53+1)-1,2)=1,15,0),EDATE(Inputs!$C$9,($BE53+1)-1)))))&lt;&gt;2026,"",IF(Inputs!$C$7="Weekly",Inputs!$C$9+7*(($BE53+1)-1),IF(Inputs!$C$7="Biweekly",Inputs!$C$9+14*(($BE53+1)-1),IF(Inputs!$C$7="Semimonthly",DATE(YEAR(Inputs!$C$9),MONTH(Inputs!$C$9)+INT((($BE53+1)-1)/2),MIN(DAY(Inputs!$C$9),DAY(EOMONTH(DATE(YEAR(Inputs!$C$9),MONTH(Inputs!$C$9)+INT((($BE53+1)-1)/2),1),0))))+IF(MOD(($BE53+1)-1,2)=1,15,0),EDATE(Inputs!$C$9,($BE53+1)-1)))))&lt;&gt;"",$B54=IF(YEAR(IF(Inputs!$C$7="Weekly",Inputs!$C$9+7*(($BE53+1)-1),IF(Inputs!$C$7="Biweekly",Inputs!$C$9+14*(($BE53+1)-1),IF(Inputs!$C$7="Semimonthly",DATE(YEAR(Inputs!$C$9),MONTH(Inputs!$C$9)+INT((($BE53+1)-1)/2),MIN(DAY(Inputs!$C$9),DAY(EOMONTH(DATE(YEAR(Inputs!$C$9),MONTH(Inputs!$C$9)+INT((($BE53+1)-1)/2),1),0))))+IF(MOD(($BE53+1)-1,2)=1,15,0),EDATE(Inputs!$C$9,($BE53+1)-1)))))&lt;&gt;2026,"",IF(Inputs!$C$7="Weekly",Inputs!$C$9+7*(($BE53+1)-1),IF(Inputs!$C$7="Biweekly",Inputs!$C$9+14*(($BE53+1)-1),IF(Inputs!$C$7="Semimonthly",DATE(YEAR(Inputs!$C$9),MONTH(Inputs!$C$9)+INT((($BE53+1)-1)/2),MIN(DAY(Inputs!$C$9),DAY(EOMONTH(DATE(YEAR(Inputs!$C$9),MONTH(Inputs!$C$9)+INT((($BE53+1)-1)/2),1),0))))+IF(MOD(($BE53+1)-1,2)=1,15,0),EDATE(Inputs!$C$9,($BE53+1)-1)))))),1,0))</f>
      </c>
      <c r="BG54" s="7">
        <f>IF($B54="","",$BG53+$H54)</f>
      </c>
      <c r="BH54" s="7">
        <f>IF($B54="","",$BH53+$I54)</f>
      </c>
      <c r="BI54" s="7">
        <f>IF($B54="","",$BI53+$G54)</f>
      </c>
      <c r="BJ54" s="7">
        <f>IF($B54="","",IFERROR(LOOKUP(2,1/((((Events!$C$6:$C$17="Deduction start"))*(Events!$D$6:$D$17="Health FSA"))*(Events!$B$6:$B$17&lt;=$B54)*(Events!$B$6:$B$17&lt;&gt;"")),Events!$E$6:$E$17),Inputs!$D$38))</f>
      </c>
      <c r="BK54" s="7">
        <f>IF($B54="","",IFERROR(LOOKUP(2,1/((((Events!$C$6:$C$17="Deduction start"))*(Events!$D$6:$D$17="Dependent-care FSA"))*(Events!$B$6:$B$17&lt;=$B54)*(Events!$B$6:$B$17&lt;&gt;"")),Events!$E$6:$E$17),Inputs!$D$39))</f>
      </c>
      <c r="BL54" s="7">
        <f>IF($B54="","",IFERROR(LOOKUP(2,1/((((Events!$C$6:$C$17="Deduction start")+(Events!$C$6:$C$17="Deduction stop"))*(Events!$D$6:$D$17="HSA"))*(Events!$B$6:$B$17&lt;=$B54)*(Events!$B$6:$B$17&lt;&gt;"")),Events!$I$6:$I$17),Inputs!$D$35))</f>
      </c>
      <c r="BM54" s="7">
        <f>IF($B54="","",IFERROR(LOOKUP(2,1/((((Events!$C$6:$C$17="Deduction start")+(Events!$C$6:$C$17="Deduction stop"))*(Events!$D$6:$D$17="Premiums"))*(Events!$B$6:$B$17&lt;=$B54)*(Events!$B$6:$B$17&lt;&gt;"")),Events!$I$6:$I$17),Inputs!$D$40+Inputs!$D$41+Inputs!$D$42))</f>
      </c>
      <c r="BN54" s="7">
        <f>IF($B54="","",IFERROR(LOOKUP(2,1/((((Events!$C$6:$C$17="Deduction start")+(Events!$C$6:$C$17="Deduction stop"))*(Events!$D$6:$D$17="Commuter"))*(Events!$B$6:$B$17&lt;=$B54)*(Events!$B$6:$B$17&lt;&gt;"")),Events!$I$6:$I$17),Inputs!$D$43))</f>
      </c>
      <c r="BO54" s="7">
        <f>IF($B54="","",IFERROR(LOOKUP(2,1/((((Events!$C$6:$C$17="Deduction start")+(Events!$C$6:$C$17="Deduction stop"))*(Events!$D$6:$D$17="Other pre-tax"))*(Events!$B$6:$B$17&lt;=$B54)*(Events!$B$6:$B$17&lt;&gt;"")),Events!$I$6:$I$17),Inputs!$D$44))</f>
      </c>
      <c r="BP54" s="7">
        <f>IF($B54="","",IFERROR(LOOKUP(2,1/((((Events!$C$6:$C$17="Deduction start")+(Events!$C$6:$C$17="Deduction stop"))*(Events!$D$6:$D$17="Other post-tax"))*(Events!$B$6:$B$17&lt;=$B54)*(Events!$B$6:$B$17&lt;&gt;"")),Events!$I$6:$I$17),Inputs!$D$45))</f>
      </c>
      <c r="BQ54" s="6">
        <f>IF($B54="","",IFERROR(LOOKUP(2,1/((((Events!$C$6:$C$17="Deduction start")+(Events!$C$6:$C$17="Deduction stop"))*(Events!$D$6:$D$17="Health FSA"))*(Events!$B$6:$B$17&lt;=$B54)*(Events!$B$6:$B$17&lt;&gt;"")),Events!$J$6:$J$17),0))</f>
      </c>
      <c r="BR54" s="6">
        <f>IF($B54="","",IFERROR(LOOKUP(2,1/((((Events!$C$6:$C$17="Deduction start")+(Events!$C$6:$C$17="Deduction stop"))*(Events!$D$6:$D$17="Dependent-care FSA"))*(Events!$B$6:$B$17&lt;=$B54)*(Events!$B$6:$B$17&lt;&gt;"")),Events!$J$6:$J$17),0))</f>
      </c>
      <c r="BS54" s="6">
        <f>IF($B54="","",IF(SUMPRODUCT((Events!$C$6:$C$17="Deduction start")*(Events!$B$6:$B$17&lt;=$B54)*(Events!$B$6:$B$17&lt;&gt;"")*(Events!$D$6:$D$17="Health FSA"))&gt;0,1,0))</f>
      </c>
      <c r="BT54" s="6">
        <f>IF($B54="","",IF(SUMPRODUCT((Events!$C$6:$C$17="Deduction start")*(Events!$B$6:$B$17&lt;=$B54)*(Events!$B$6:$B$17&lt;&gt;"")*(Events!$D$6:$D$17="Dependent-care FSA"))&gt;0,1,0))</f>
      </c>
      <c r="BU54" s="24">
        <f>IF($B54="","",IF(Inputs!$C$13,SUMPRODUCT(($AH54&gt;=INDEX('Methodology &amp; Sources'!$B$279:$J$286,0,IF(Inputs!$C$12="MFJ",1,IF(Inputs!$C$12="HoH",7,4))))*INDEX('Methodology &amp; Sources'!$B$279:$J$286,0,IF(Inputs!$C$12="MFJ",1,IF(Inputs!$C$12="HoH",7,4))+2)),SUMPRODUCT(($AH54&gt;=INDEX('Methodology &amp; Sources'!$B$269:$J$276,0,IF(Inputs!$C$12="MFJ",1,IF(Inputs!$C$12="HoH",7,4))))*INDEX('Methodology &amp; Sources'!$B$269:$J$276,0,IF(Inputs!$C$12="MFJ",1,IF(Inputs!$C$12="HoH",7,4))+2))))</f>
      </c>
      <c r="BV54" s="24">
        <f>IF($B54="","",IF($BZ54&lt;&gt;"",$BZ54,IF($CA54&lt;&gt;"",$CA54,IF($CB54&lt;&gt;"",$CB54,IF($CC54&lt;&gt;"",$CC54,0)))))</f>
      </c>
      <c r="BW54" s="7">
        <f>IF($B54="","",IF($AN54="MD",IF(OR($AU54="Married",$AU54="Head of household"),SUMPRODUCT(($AZ54&gt;INDEX('Methodology &amp; Sources'!$B$364:$J$370,0,1))*($AZ54-INDEX('Methodology &amp; Sources'!$B$364:$J$370,0,1))*INDEX('Methodology &amp; Sources'!$B$364:$J$370,0,1+2)),SUMPRODUCT(($AZ54&gt;INDEX('Methodology &amp; Sources'!$B$353:$J$359,0,7))*($AZ54-INDEX('Methodology &amp; Sources'!$B$353:$J$359,0,7))*INDEX('Methodology &amp; Sources'!$B$353:$J$359,0,7+2))),IF($AN54="MO",SUMPRODUCT(($AZ54&gt;INDEX('Methodology &amp; Sources'!$B$375:$J$382,0,1))*($AZ54-INDEX('Methodology &amp; Sources'!$B$375:$J$382,0,1))*INDEX('Methodology &amp; Sources'!$B$375:$J$382,0,1+2)),IF($AN54="MT",IF($AU54="Head of household",SUMPRODUCT(($AZ54&gt;INDEX('Methodology &amp; Sources'!$B$387:$J$389,0,1))*($AZ54-INDEX('Methodology &amp; Sources'!$B$387:$J$389,0,1))*INDEX('Methodology &amp; Sources'!$B$387:$J$389,0,1+2)),IF($AU54="Married",SUMPRODUCT(($AZ54&gt;INDEX('Methodology &amp; Sources'!$B$375:$J$382,0,7))*($AZ54-INDEX('Methodology &amp; Sources'!$B$375:$J$382,0,7))*INDEX('Methodology &amp; Sources'!$B$375:$J$382,0,7+2)),SUMPRODUCT(($AZ54&gt;INDEX('Methodology &amp; Sources'!$B$375:$J$382,0,4))*($AZ54-INDEX('Methodology &amp; Sources'!$B$375:$J$382,0,4))*INDEX('Methodology &amp; Sources'!$B$375:$J$382,0,4+2)))),IF($AN54="ND",IF($AU54="Head of household",SUMPRODUCT(($AZ54&gt;INDEX('Methodology &amp; Sources'!$B$394:$J$400,0,1))*($AZ54-INDEX('Methodology &amp; Sources'!$B$394:$J$400,0,1))*INDEX('Methodology &amp; Sources'!$B$394:$J$400,0,1+2)),IF($AU54="Married",SUMPRODUCT(($AZ54&gt;INDEX('Methodology &amp; Sources'!$B$387:$J$389,0,7))*($AZ54-INDEX('Methodology &amp; Sources'!$B$387:$J$389,0,7))*INDEX('Methodology &amp; Sources'!$B$387:$J$389,0,7+2)),SUMPRODUCT(($AZ54&gt;INDEX('Methodology &amp; Sources'!$B$387:$J$389,0,4))*($AZ54-INDEX('Methodology &amp; Sources'!$B$387:$J$389,0,4))*INDEX('Methodology &amp; Sources'!$B$387:$J$389,0,4+2)))),IF($AN54="NJ",IF(Inputs!$C$77="B",SUMPRODUCT(($AZ54&gt;INDEX('Methodology &amp; Sources'!$B$405:$J$412,0,4))*($AZ54-INDEX('Methodology &amp; Sources'!$B$405:$J$412,0,4))*INDEX('Methodology &amp; Sources'!$B$405:$J$412,0,4+2)),IF(Inputs!$C$77="C",SUMPRODUCT(($AZ54&gt;INDEX('Methodology &amp; Sources'!$B$405:$J$412,0,7))*($AZ54-INDEX('Methodology &amp; Sources'!$B$405:$J$412,0,7))*INDEX('Methodology &amp; Sources'!$B$405:$J$412,0,7+2)),IF(Inputs!$C$77="D",SUMPRODUCT(($AZ54&gt;INDEX('Methodology &amp; Sources'!$B$417:$J$429,0,1))*($AZ54-INDEX('Methodology &amp; Sources'!$B$417:$J$429,0,1))*INDEX('Methodology &amp; Sources'!$B$417:$J$429,0,1+2)),IF(Inputs!$C$77="E",SUMPRODUCT(($AZ54&gt;INDEX('Methodology &amp; Sources'!$B$417:$J$429,0,4))*($AZ54-INDEX('Methodology &amp; Sources'!$B$417:$J$429,0,4))*INDEX('Methodology &amp; Sources'!$B$417:$J$429,0,4+2)),SUMPRODUCT(($AZ54&gt;INDEX('Methodology &amp; Sources'!$B$405:$J$412,0,1))*($AZ54-INDEX('Methodology &amp; Sources'!$B$405:$J$412,0,1))*INDEX('Methodology &amp; Sources'!$B$405:$J$412,0,1+2)))))),IF($AN54="NY",IF($AU54="Married",IF($AZ54&gt;=2155350,$AZ54*IF($AZ54&gt;25000000,0.117,IF($AZ54&gt;5000000,0.111,0.1045)),SUMPRODUCT(($AZ54&gt;INDEX('Methodology &amp; Sources'!$B$434:$J$448,0,1))*($AZ54-INDEX('Methodology &amp; Sources'!$B$434:$J$448,0,1))*INDEX('Methodology &amp; Sources'!$B$434:$J$448,0,1+2))),IF($AZ54&gt;=1077550,$AZ54*IF($AZ54&gt;25000000,0.117,IF($AZ54&gt;5000000,0.111,0.1045)),SUMPRODUCT(($AZ54&gt;INDEX('Methodology &amp; Sources'!$B$417:$J$429,0,7))*($AZ54-INDEX('Methodology &amp; Sources'!$B$417:$J$429,0,7))*INDEX('Methodology &amp; Sources'!$B$417:$J$429,0,7+2)))),"")))))))</f>
      </c>
      <c r="BX54" s="7">
        <f>IF($B54="","",IF($AN54="AL",IF(OR($AU54="Married",$AU54="Head of household"),SUMPRODUCT(($AZ54&gt;INDEX('Methodology &amp; Sources'!$B$332:$J$336,0,4))*($AZ54-INDEX('Methodology &amp; Sources'!$B$332:$J$336,0,4))*INDEX('Methodology &amp; Sources'!$B$332:$J$336,0,4+2)),SUMPRODUCT(($AZ54&gt;INDEX('Methodology &amp; Sources'!$B$332:$J$336,0,1))*($AZ54-INDEX('Methodology &amp; Sources'!$B$332:$J$336,0,1))*INDEX('Methodology &amp; Sources'!$B$332:$J$336,0,1+2))),IF($AN54="KS",IF($AU54="Married",SUMPRODUCT(($AZ54&gt;INDEX('Methodology &amp; Sources'!$B$353:$J$359,0,4))*($AZ54-INDEX('Methodology &amp; Sources'!$B$353:$J$359,0,4))*INDEX('Methodology &amp; Sources'!$B$353:$J$359,0,4+2)),SUMPRODUCT(($AZ54&gt;INDEX('Methodology &amp; Sources'!$B$353:$J$359,0,1))*($AZ54-INDEX('Methodology &amp; Sources'!$B$353:$J$359,0,1))*INDEX('Methodology &amp; Sources'!$B$353:$J$359,0,1+2))),IF($AN54="MN",IF($AU54="Married",SUMPRODUCT(($AZ54&gt;INDEX('Methodology &amp; Sources'!$B$364:$J$370,0,7))*($AZ54-INDEX('Methodology &amp; Sources'!$B$364:$J$370,0,7))*INDEX('Methodology &amp; Sources'!$B$364:$J$370,0,7+2)),SUMPRODUCT(($AZ54&gt;INDEX('Methodology &amp; Sources'!$B$364:$J$370,0,4))*($AZ54-INDEX('Methodology &amp; Sources'!$B$364:$J$370,0,4))*INDEX('Methodology &amp; Sources'!$B$364:$J$370,0,4+2))),IF($AN54="NE",MAX(IF($AU54="Married",SUMPRODUCT(($AZ54&gt;INDEX('Methodology &amp; Sources'!$B$394:$J$400,0,7))*($AZ54-INDEX('Methodology &amp; Sources'!$B$394:$J$400,0,7))*INDEX('Methodology &amp; Sources'!$B$394:$J$400,0,7+2)),SUMPRODUCT(($AZ54&gt;INDEX('Methodology &amp; Sources'!$B$394:$J$400,0,4))*($AZ54-INDEX('Methodology &amp; Sources'!$B$394:$J$400,0,4))*INDEX('Methodology &amp; Sources'!$B$394:$J$400,0,4+2))),0.015*$AZ54),IF($AN54="OH",IF($B54&gt;=DATE(2026,8,1),SUMPRODUCT(($AZ54&gt;INDEX('Methodology &amp; Sources'!$B$453:$J$456,0,1))*($AZ54-INDEX('Methodology &amp; Sources'!$B$453:$J$456,0,1))*INDEX('Methodology &amp; Sources'!$B$453:$J$456,0,1+2)),SUMPRODUCT(($AZ54&gt;INDEX('Methodology &amp; Sources'!$B$434:$J$448,0,7))*($AZ54-INDEX('Methodology &amp; Sources'!$B$434:$J$448,0,7))*INDEX('Methodology &amp; Sources'!$B$434:$J$448,0,7+2))),IF($AN54="OK",IF($AU54="Married",SUMPRODUCT(($AZ54&gt;INDEX('Methodology &amp; Sources'!$B$453:$J$456,0,7))*($AZ54-INDEX('Methodology &amp; Sources'!$B$453:$J$456,0,7))*INDEX('Methodology &amp; Sources'!$B$453:$J$456,0,7+2)),SUMPRODUCT(($AZ54&gt;INDEX('Methodology &amp; Sources'!$B$453:$J$456,0,4))*($AZ54-INDEX('Methodology &amp; Sources'!$B$453:$J$456,0,4))*INDEX('Methodology &amp; Sources'!$B$453:$J$456,0,4+2))),IF($AN54="RI",SUMPRODUCT(($AZ54&gt;INDEX('Methodology &amp; Sources'!$B$461:$J$464,0,7))*($AZ54-INDEX('Methodology &amp; Sources'!$B$461:$J$464,0,7))*INDEX('Methodology &amp; Sources'!$B$461:$J$464,0,7+2)),IF($AN54="VT",IF($AU54="Married",SUMPRODUCT(($AZ54&gt;INDEX('Methodology &amp; Sources'!$B$478:$J$482,0,1))*($AZ54-INDEX('Methodology &amp; Sources'!$B$478:$J$482,0,1))*INDEX('Methodology &amp; Sources'!$B$478:$J$482,0,1+2)),SUMPRODUCT(($AZ54&gt;INDEX('Methodology &amp; Sources'!$B$469:$J$473,0,7))*($AZ54-INDEX('Methodology &amp; Sources'!$B$469:$J$473,0,7))*INDEX('Methodology &amp; Sources'!$B$469:$J$473,0,7+2))),IF($AN54="WV",IF($AU54="Married",SUMPRODUCT(($AZ54&gt;INDEX('Methodology &amp; Sources'!$B$487:$J$491,0,7))*($AZ54-INDEX('Methodology &amp; Sources'!$B$487:$J$491,0,7))*INDEX('Methodology &amp; Sources'!$B$487:$J$491,0,7+2)),SUMPRODUCT(($AZ54&gt;INDEX('Methodology &amp; Sources'!$B$478:$J$482,0,7))*($AZ54-INDEX('Methodology &amp; Sources'!$B$478:$J$482,0,7))*INDEX('Methodology &amp; Sources'!$B$478:$J$482,0,7+2))),""))))))))))</f>
      </c>
      <c r="BY54" s="7">
        <f>IF($B54="","",IF($AN54="AR",SUMPRODUCT(($AZ54&gt;INDEX('Methodology &amp; Sources'!$B$332:$J$336,0,7))*($AZ54-INDEX('Methodology &amp; Sources'!$B$332:$J$336,0,7))*INDEX('Methodology &amp; Sources'!$B$332:$J$336,0,7+2)),IF($AN54="DE",SUMPRODUCT(($AZ54&gt;INDEX('Methodology &amp; Sources'!$B$341:$J$348,0,1))*($AZ54-INDEX('Methodology &amp; Sources'!$B$341:$J$348,0,1))*INDEX('Methodology &amp; Sources'!$B$341:$J$348,0,1+2)),IF($AN54="HI",IF($AU54="Married",SUMPRODUCT(($AZ54&gt;INDEX('Methodology &amp; Sources'!$B$341:$J$348,0,7))*($AZ54-INDEX('Methodology &amp; Sources'!$B$341:$J$348,0,7))*INDEX('Methodology &amp; Sources'!$B$341:$J$348,0,7+2)),SUMPRODUCT(($AZ54&gt;INDEX('Methodology &amp; Sources'!$B$341:$J$348,0,4))*($AZ54-INDEX('Methodology &amp; Sources'!$B$341:$J$348,0,4))*INDEX('Methodology &amp; Sources'!$B$341:$J$348,0,4+2))),IF($AN54="SC",SUMPRODUCT(($AZ54&gt;INDEX('Methodology &amp; Sources'!$B$469:$J$473,0,1))*($AZ54-INDEX('Methodology &amp; Sources'!$B$469:$J$473,0,1))*INDEX('Methodology &amp; Sources'!$B$469:$J$473,0,1+2)),IF($AN54="VA",SUMPRODUCT(($AZ54&gt;INDEX('Methodology &amp; Sources'!$B$469:$J$473,0,4))*($AZ54-INDEX('Methodology &amp; Sources'!$B$469:$J$473,0,4))*INDEX('Methodology &amp; Sources'!$B$469:$J$473,0,4+2)),IF($AN54="WI",SUMPRODUCT(($AZ54&gt;INDEX('Methodology &amp; Sources'!$B$478:$J$482,0,4))*($AZ54-INDEX('Methodology &amp; Sources'!$B$478:$J$482,0,4))*INDEX('Methodology &amp; Sources'!$B$478:$J$482,0,4+2)),"")))))))</f>
      </c>
      <c r="BZ54" s="24">
        <f>IF($B54="","",IF($AN54="NJ",IF(Inputs!$C$77="B",SUMPRODUCT(($AZ54&gt;=INDEX('Methodology &amp; Sources'!$B$405:$J$412,0,4))*INDEX('Methodology &amp; Sources'!$B$405:$J$412,0,4+2)),IF(Inputs!$C$77="C",SUMPRODUCT(($AZ54&gt;=INDEX('Methodology &amp; Sources'!$B$405:$J$412,0,7))*INDEX('Methodology &amp; Sources'!$B$405:$J$412,0,7+2)),IF(Inputs!$C$77="D",SUMPRODUCT(($AZ54&gt;=INDEX('Methodology &amp; Sources'!$B$417:$J$429,0,1))*INDEX('Methodology &amp; Sources'!$B$417:$J$429,0,1+2)),IF(Inputs!$C$77="E",SUMPRODUCT(($AZ54&gt;=INDEX('Methodology &amp; Sources'!$B$417:$J$429,0,4))*INDEX('Methodology &amp; Sources'!$B$417:$J$429,0,4+2)),SUMPRODUCT(($AZ54&gt;=INDEX('Methodology &amp; Sources'!$B$405:$J$412,0,1))*INDEX('Methodology &amp; Sources'!$B$405:$J$412,0,1+2)))))),IF($AN54="OR",IF(OR($AU54="Married",AND($AU54="Single",$AS54&gt;=3)),SUMPRODUCT((MAX(0,$AY54-MIN(($P54-'Methodology &amp; Sources'!$C$260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Sources'!$B$461:$J$464,0,4))*INDEX('Methodology &amp; Sources'!$B$461:$J$464,0,4+2)),SUMPRODUCT((MAX(0,$AY54-MIN(($P54-'Methodology &amp; Sources'!$C$260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Sources'!$B$461:$J$464,0,1))*INDEX('Methodology &amp; Sources'!$B$461:$J$464,0,1+2)))*IF(($P54-'Methodology &amp; Sources'!$C$260*$D54)*Inputs!$C$8&gt;=IF(OR($AU54="Married",AND($AU54="Single",$AS54&gt;=3)),IF($AY54&lt;250000,8750,IF($AY54&lt;260000,7000,IF($AY54&lt;270000,5250,IF($AY54&lt;280000,3500,IF($AY54&lt;290000,1750,0))))),IF($AY54&lt;125000,8750,IF($AY54&lt;130000,7000,IF($AY54&lt;135000,5250,IF($AY54&lt;140000,3500,IF($AY54&lt;145000,1750,0)))))),1,1-IF(Inputs!$C$13,SUMPRODUCT(($AH54&gt;=INDEX('Methodology &amp; Sources'!$B$279:$J$286,0,IF(Inputs!$C$12="MFJ",1,IF(Inputs!$C$12="HoH",7,4))))*INDEX('Methodology &amp; Sources'!$B$279:$J$286,0,IF(Inputs!$C$12="MFJ",1,IF(Inputs!$C$12="HoH",7,4))+2)),SUMPRODUCT(($AH54&gt;=INDEX('Methodology &amp; Sources'!$B$269:$J$276,0,IF(Inputs!$C$12="MFJ",1,IF(Inputs!$C$12="HoH",7,4))))*INDEX('Methodology &amp; Sources'!$B$269:$J$276,0,IF(Inputs!$C$12="MFJ",1,IF(Inputs!$C$12="HoH",7,4))+2)))),IF($AN54="MI",IF($AY54&gt;5900*$AS54,0.0425,0),""))))</f>
      </c>
      <c r="CA54" s="24">
        <f>IF($B54="","",IF($AN54="AL",IF(OR($AU54="Married",$AU54="Head of household"),SUMPRODUCT(($AZ54&gt;=INDEX('Methodology &amp; Sources'!$B$332:$J$336,0,4))*INDEX('Methodology &amp; Sources'!$B$332:$J$336,0,4+2)),SUMPRODUCT(($AZ54&gt;=INDEX('Methodology &amp; Sources'!$B$332:$J$336,0,1))*INDEX('Methodology &amp; Sources'!$B$332:$J$336,0,1+2)))*(1-IF(Inputs!$C$13,SUMPRODUCT(($AH54&gt;=INDEX('Methodology &amp; Sources'!$B$279:$J$286,0,IF(Inputs!$C$12="MFJ",1,IF(Inputs!$C$12="HoH",7,4))))*INDEX('Methodology &amp; Sources'!$B$279:$J$286,0,IF(Inputs!$C$12="MFJ",1,IF(Inputs!$C$12="HoH",7,4))+2)),SUMPRODUCT(($AH54&gt;=INDEX('Methodology &amp; Sources'!$B$269:$J$276,0,IF(Inputs!$C$12="MFJ",1,IF(Inputs!$C$12="HoH",7,4))))*INDEX('Methodology &amp; Sources'!$B$269:$J$276,0,IF(Inputs!$C$12="MFJ",1,IF(Inputs!$C$12="HoH",7,4))+2)))),IF($AN54="KS",IF($AU54="Married",SUMPRODUCT(($AZ54&gt;=INDEX('Methodology &amp; Sources'!$B$353:$J$359,0,4))*INDEX('Methodology &amp; Sources'!$B$353:$J$359,0,4+2)),SUMPRODUCT(($AZ54&gt;=INDEX('Methodology &amp; Sources'!$B$353:$J$359,0,1))*INDEX('Methodology &amp; Sources'!$B$353:$J$359,0,1+2))),IF($AN54="MD",IF(OR($AU54="Married",$AU54="Head of household"),SUMPRODUCT(($AZ54&gt;=INDEX('Methodology &amp; Sources'!$B$364:$J$370,0,1))*INDEX('Methodology &amp; Sources'!$B$364:$J$370,0,1+2)),SUMPRODUCT(($AZ54&gt;=INDEX('Methodology &amp; Sources'!$B$353:$J$359,0,7))*INDEX('Methodology &amp; Sources'!$B$353:$J$359,0,7+2)))+Inputs!$C$74,IF($AN54="MT",IF($AU54="Head of household",SUMPRODUCT(($AZ54&gt;=INDEX('Methodology &amp; Sources'!$B$387:$J$389,0,1))*INDEX('Methodology &amp; Sources'!$B$387:$J$389,0,1+2)),IF($AU54="Married",SUMPRODUCT(($AZ54&gt;=INDEX('Methodology &amp; Sources'!$B$375:$J$382,0,7))*INDEX('Methodology &amp; Sources'!$B$375:$J$382,0,7+2)),SUMPRODUCT(($AZ54&gt;=INDEX('Methodology &amp; Sources'!$B$375:$J$382,0,4))*INDEX('Methodology &amp; Sources'!$B$375:$J$382,0,4+2)))),IF($AN54="ND",IF($AU54="Head of household",SUMPRODUCT(($AZ54&gt;=INDEX('Methodology &amp; Sources'!$B$394:$J$400,0,1))*INDEX('Methodology &amp; Sources'!$B$394:$J$400,0,1+2)),IF($AU54="Married",SUMPRODUCT(($AZ54&gt;=INDEX('Methodology &amp; Sources'!$B$387:$J$389,0,7))*INDEX('Methodology &amp; Sources'!$B$387:$J$389,0,7+2)),SUMPRODUCT(($AZ54&gt;=INDEX('Methodology &amp; Sources'!$B$387:$J$389,0,4))*INDEX('Methodology &amp; Sources'!$B$387:$J$389,0,4+2)))),IF($AN54="NY",IF($AU54="Married",IF($AZ54&gt;=2155350,IF($AZ54&gt;25000000,0.117,IF($AZ54&gt;5000000,0.111,0.1045)),SUMPRODUCT(($AZ54&gt;=INDEX('Methodology &amp; Sources'!$B$434:$J$448,0,1))*INDEX('Methodology &amp; Sources'!$B$434:$J$448,0,1+2))),IF($AZ54&gt;=1077550,IF($AZ54&gt;25000000,0.117,IF($AZ54&gt;5000000,0.111,0.1045)),SUMPRODUCT(($AZ54&gt;=INDEX('Methodology &amp; Sources'!$B$417:$J$429,0,7))*INDEX('Methodology &amp; Sources'!$B$417:$J$429,0,7+2)))),"")))))))</f>
      </c>
      <c r="CB54" s="24">
        <f>IF($B54="","",IF($AN54="CA",SUMPRODUCT(($AJ54&gt;=INDEX('Methodology &amp; Sources'!$B$289:$J$298,0,IF($AU54="Married",4,IF($AU54="Head of household",7,1))))*INDEX('Methodology &amp; Sources'!$B$289:$J$298,0,IF($AU54="Married",4,IF($AU54="Head of household",7,1))+2)),IF($AN54="HI",IF($AU54="Married",SUMPRODUCT(($AZ54&gt;=INDEX('Methodology &amp; Sources'!$B$341:$J$348,0,7))*INDEX('Methodology &amp; Sources'!$B$341:$J$348,0,7+2)),SUMPRODUCT(($AZ54&gt;=INDEX('Methodology &amp; Sources'!$B$341:$J$348,0,4))*INDEX('Methodology &amp; Sources'!$B$341:$J$348,0,4+2))),IF($AN54="MN",IF($AU54="Married",SUMPRODUCT(($AZ54&gt;=INDEX('Methodology &amp; Sources'!$B$364:$J$370,0,7))*INDEX('Methodology &amp; Sources'!$B$364:$J$370,0,7+2)),SUMPRODUCT(($AZ54&gt;=INDEX('Methodology &amp; Sources'!$B$364:$J$370,0,4))*INDEX('Methodology &amp; Sources'!$B$364:$J$370,0,4+2))),IF($AN54="MO",SUMPRODUCT(($AZ54&gt;=INDEX('Methodology &amp; Sources'!$B$375:$J$382,0,1))*INDEX('Methodology &amp; Sources'!$B$375:$J$382,0,1+2)),IF($AN54="NE",MAX(IF($AU54="Married",SUMPRODUCT(($AZ54&gt;=INDEX('Methodology &amp; Sources'!$B$394:$J$400,0,7))*INDEX('Methodology &amp; Sources'!$B$394:$J$400,0,7+2)),SUMPRODUCT(($AZ54&gt;=INDEX('Methodology &amp; Sources'!$B$394:$J$400,0,4))*INDEX('Methodology &amp; Sources'!$B$394:$J$400,0,4+2))),0.015),IF($AN54="OH",IF($B54&gt;=DATE(2026,8,1),SUMPRODUCT(($AZ54&gt;=INDEX('Methodology &amp; Sources'!$B$453:$J$456,0,1))*INDEX('Methodology &amp; Sources'!$B$453:$J$456,0,1+2)),SUMPRODUCT(($AZ54&gt;=INDEX('Methodology &amp; Sources'!$B$434:$J$448,0,7))*INDEX('Methodology &amp; Sources'!$B$434:$J$448,0,7+2))),IF($AN54="OK",IF($AU54="Married",SUMPRODUCT(($AZ54&gt;=INDEX('Methodology &amp; Sources'!$B$453:$J$456,0,7))*INDEX('Methodology &amp; Sources'!$B$453:$J$456,0,7+2)),SUMPRODUCT(($AZ54&gt;=INDEX('Methodology &amp; Sources'!$B$453:$J$456,0,4))*INDEX('Methodology &amp; Sources'!$B$453:$J$456,0,4+2))),IF($AN54="RI",SUMPRODUCT(($AZ54&gt;=INDEX('Methodology &amp; Sources'!$B$461:$J$464,0,7))*INDEX('Methodology &amp; Sources'!$B$461:$J$464,0,7+2)),IF($AN54="SC",SUMPRODUCT(($AZ54&gt;=INDEX('Methodology &amp; Sources'!$B$469:$J$473,0,1))*INDEX('Methodology &amp; Sources'!$B$469:$J$473,0,1+2)),IF($AN54="VT",IF($AU54="Married",SUMPRODUCT(($AZ54&gt;=INDEX('Methodology &amp; Sources'!$B$478:$J$482,0,1))*INDEX('Methodology &amp; Sources'!$B$478:$J$482,0,1+2)),SUMPRODUCT(($AZ54&gt;=INDEX('Methodology &amp; Sources'!$B$469:$J$473,0,7))*INDEX('Methodology &amp; Sources'!$B$469:$J$473,0,7+2))),IF($AN54="WV",IF($AU54="Married",SUMPRODUCT(($AZ54&gt;=INDEX('Methodology &amp; Sources'!$B$487:$J$491,0,7))*INDEX('Methodology &amp; Sources'!$B$487:$J$491,0,7+2)),SUMPRODUCT(($AZ54&gt;=INDEX('Methodology &amp; Sources'!$B$478:$J$482,0,7))*INDEX('Methodology &amp; Sources'!$B$478:$J$482,0,7+2))),IF($AN54="IN",(0.0295+Inputs!$C$76),"")))))))))))))</f>
      </c>
      <c r="CC54" s="24">
        <f>IF($B54="","",IF($AN54="AR",SUMPRODUCT(($AZ54&gt;=INDEX('Methodology &amp; Sources'!$B$332:$J$336,0,7))*INDEX('Methodology &amp; Sources'!$B$332:$J$336,0,7+2)),IF($AN54="DE",SUMPRODUCT(($AZ54&gt;=INDEX('Methodology &amp; Sources'!$B$341:$J$348,0,1))*INDEX('Methodology &amp; Sources'!$B$341:$J$348,0,1+2)),IF($AN54="VA",SUMPRODUCT(($AZ54&gt;=INDEX('Methodology &amp; Sources'!$B$469:$J$473,0,4))*INDEX('Methodology &amp; Sources'!$B$469:$J$473,0,4+2)),IF($AN54="WI",SUMPRODUCT(($AZ54&gt;=INDEX('Methodology &amp; Sources'!$B$478:$J$482,0,4))*INDEX('Methodology &amp; Sources'!$B$478:$J$482,0,4+2)),IF($AN54="AZ",Inputs!$C$82,IF($AN54="CO",IF($AY54&gt;IF($AU54="Married",10000,5000),0.044,0),IF($AN54="IA",IF($AY54&gt;IF($AU54="Head of household",19500,IF($AU54="Married",26000,13000)),0.038,0),IF($AN54="ID",IF($AY54&gt;IF($AU54="Married",32000,16094),0.053,0),IF($AN54="IL",IF($AY54&gt;(2925*$AS54+1000*$AT54),0.0495,0),IF($AN54="KY",IF($AI54&gt;3360,0.035,0),IF($AN54="LA",0.0309,IF($AN54="MA",IF(MAX(0,$AY54-MIN(($BD53+$Q54+$R54+$S54),2000)-IF($AS54=0,0,IF($AS54=1,4400,1000*$AS54+3400)))&gt;=1107750,0.09,0.05),IF($AN54="MS",IF($AI54-IF($AU54="Head of household",3400,IF($AU54="Married",4600,2300))-Inputs!$C$85&gt;10000,0.04,0),IF($AN54="PA",0.0307,"")))))))))))))))</f>
      </c>
      <c r="CD54" s="21">
        <f>IF(YEAR(IF(Inputs!$C$7="Weekly",Inputs!$C$9+7*(($BE53+1)-1),IF(Inputs!$C$7="Biweekly",Inputs!$C$9+14*(($BE53+1)-1),IF(Inputs!$C$7="Semimonthly",DATE(YEAR(Inputs!$C$9),MONTH(Inputs!$C$9)+INT((($BE53+1)-1)/2),MIN(DAY(Inputs!$C$9),DAY(EOMONTH(DATE(YEAR(Inputs!$C$9),MONTH(Inputs!$C$9)+INT((($BE53+1)-1)/2),1),0))))+IF(MOD(($BE53+1)-1,2)=1,15,0),EDATE(Inputs!$C$9,($BE53+1)-1)))))&lt;&gt;2026,"",IF(Inputs!$C$7="Weekly",Inputs!$C$9+7*(($BE53+1)-1),IF(Inputs!$C$7="Biweekly",Inputs!$C$9+14*(($BE53+1)-1),IF(Inputs!$C$7="Semimonthly",DATE(YEAR(Inputs!$C$9),MONTH(Inputs!$C$9)+INT((($BE53+1)-1)/2),MIN(DAY(Inputs!$C$9),DAY(EOMONTH(DATE(YEAR(Inputs!$C$9),MONTH(Inputs!$C$9)+INT((($BE53+1)-1)/2),1),0))))+IF(MOD(($BE53+1)-1,2)=1,15,0),EDATE(Inputs!$C$9,($BE53+1)-1)))))</f>
      </c>
      <c r="CE54" s="21">
        <f>IF(SUMPRODUCT(MIN(IF((Inputs!$C$58:$C$67&gt;MAX($B$6:$B53))*(Inputs!$C$58:$C$67&gt;=DATE(2026,1,1))*(Inputs!$C$58:$C$67&lt;=DATE(2026,12,31)),Inputs!$C$58:$C$67,999999)))=999999,"",SUMPRODUCT(MIN(IF((Inputs!$C$58:$C$67&gt;MAX($B$6:$B53))*(Inputs!$C$58:$C$67&gt;=DATE(2026,1,1))*(Inputs!$C$58:$C$67&lt;=DATE(2026,12,31)),Inputs!$C$58:$C$67,999999))))</f>
      </c>
    </row>
    <row r="55">
      <c r="A55" t="n">
        <v>50</v>
      </c>
      <c r="B55" s="21">
        <f>IF(AND($CD55="",$CE55=""),"",IF($CE55="",$CD55,IF($CD55="",$CE55,MIN($CD55,$CE55))))</f>
      </c>
      <c r="C55" s="7">
        <f>IF($B55="","",IF($BF55=0,0,IF(Inputs!$C$4="Annual salary",ROUND($AK55/IF(AND(Inputs!$C$88="Actual paydays",MONTH(Inputs!$C$9)=1),MAX(1,MAX($BE$6:$BE$68)),Inputs!$C$8),2),$AK55)))</f>
      </c>
      <c r="D55" s="7">
        <f>IF($B55="","",SUMIF(Inputs!$C$58:$C$67,$B55,Inputs!$D$58:$D$67))</f>
      </c>
      <c r="E55" s="7">
        <f>IF($B55="","",ROUND(MAX(0,MIN(IF($AL55="Percent",$AM55*($C55+$D55),$AM55),MAX(0,Inputs!$C$91-$AC54))),2))</f>
      </c>
      <c r="F55" s="7">
        <f>IF($B55="","",ROUND(MAX(0,MIN(IF(Inputs!$C$32="Percent",Inputs!$D$32*($C55+$D55),Inputs!$D$32),MAX(0,Inputs!$C$91-$AC54-$E55))),2))</f>
      </c>
      <c r="G55" s="7">
        <f>IF($B55="","",IF($BF55=0,0,ROUND(MAX(0,MIN($BL55,Inputs!$C$92-Inputs!$C$54-$BI54)),2)))</f>
      </c>
      <c r="H55" s="7">
        <f>IF($B55="","",IF(OR($BF55=0,$BQ55=1),0,ROUND(MAX(0,MIN(IF($BS55=1,ROUND(MAX(0,MIN($BJ55,'Methodology &amp; Sources'!$C$263)-$BG54)/MAX(1,MAX($BE$6:$BE$68)-($BE54)),2),ROUND(MIN($BJ55,'Methodology &amp; Sources'!$C$263)/Inputs!$C$8,2)),MIN($BJ55,'Methodology &amp; Sources'!$C$263)-$BG54)),2)))</f>
      </c>
      <c r="I55" s="7">
        <f>IF($B55="","",IF(OR($BF55=0,$BR55=1),0,ROUND(MAX(0,MIN(IF($BT55=1,ROUND(MAX(0,MIN($BK55,IF(Inputs!$C$12="MFJ",'Methodology &amp; Sources'!$C$264,'Methodology &amp; Sources'!$C$265))-$BH54)/MAX(1,MAX($BE$6:$BE$68)-($BE54)),2),ROUND(MIN($BK55,IF(Inputs!$C$12="MFJ",'Methodology &amp; Sources'!$C$264,'Methodology &amp; Sources'!$C$265))/Inputs!$C$8,2)),MIN($BK55,IF(Inputs!$C$12="MFJ",'Methodology &amp; Sources'!$C$264,'Methodology &amp; Sources'!$C$265))-$BH54)),2)))</f>
      </c>
      <c r="J55" s="7">
        <f>IF($B55="","",IF($BF55=0,0,$BM55))</f>
      </c>
      <c r="K55" s="7">
        <f>IF($B55="","",IF($BF55=0,0,$BN55+$BO55))</f>
      </c>
      <c r="L55" s="7">
        <f>IF($B55="","",IF($BF55=0,0,Inputs!$D$46))</f>
      </c>
      <c r="M55" s="7">
        <f>IF($B55="","",$C55+$D55+$L55-$E55-$G55-$H55-$I55-$J55-$K55)</f>
      </c>
      <c r="N55" s="7">
        <f>IF($B55="","",$C55+$D55+$L55-$G55-$H55-$I55-$J55-$K55)</f>
      </c>
      <c r="O55" s="7">
        <f>IF($B55="","",$C55+$D55+$L55-$E55-$H55-$I55-$J55-$K55-IF(OR($AN55="CA",$AN55="NJ"),0,$G55))</f>
      </c>
      <c r="P55" s="7">
        <f>IF($B55="","",IF(Inputs!$C$18,0,ROUND(MAX(0,IF(Inputs!$C$13,SUMPRODUCT(($AH55&gt;INDEX('Methodology &amp; Sources'!$B$279:$J$286,0,IF(Inputs!$C$12="MFJ",1,IF(Inputs!$C$12="HoH",7,4))))*($AH55-INDEX('Methodology &amp; Sources'!$B$279:$J$286,0,IF(Inputs!$C$12="MFJ",1,IF(Inputs!$C$12="HoH",7,4))))*INDEX('Methodology &amp; Sources'!$B$279:$J$286,0,IF(Inputs!$C$12="MFJ",1,IF(Inputs!$C$12="HoH",7,4))+2)),SUMPRODUCT(($AH55&gt;INDEX('Methodology &amp; Sources'!$B$269:$J$276,0,IF(Inputs!$C$12="MFJ",1,IF(Inputs!$C$12="HoH",7,4))))*($AH55-INDEX('Methodology &amp; Sources'!$B$269:$J$276,0,IF(Inputs!$C$12="MFJ",1,IF(Inputs!$C$12="HoH",7,4))))*INDEX('Methodology &amp; Sources'!$B$269:$J$276,0,IF(Inputs!$C$12="MFJ",1,IF(Inputs!$C$12="HoH",7,4))+2)))/Inputs!$C$8-$AO55/Inputs!$C$8)+$AR55+IF(Inputs!$C$89="Aggregate",MAX(0,IF(Inputs!$C$13,SUMPRODUCT((($AH55+$D55)&gt;INDEX('Methodology &amp; Sources'!$B$279:$J$286,0,IF(Inputs!$C$12="MFJ",1,IF(Inputs!$C$12="HoH",7,4))))*(($AH55+$D55)-INDEX('Methodology &amp; Sources'!$B$279:$J$286,0,IF(Inputs!$C$12="MFJ",1,IF(Inputs!$C$12="HoH",7,4))))*INDEX('Methodology &amp; Sources'!$B$279:$J$286,0,IF(Inputs!$C$12="MFJ",1,IF(Inputs!$C$12="HoH",7,4))+2)),SUMPRODUCT((($AH55+$D55)&gt;INDEX('Methodology &amp; Sources'!$B$269:$J$276,0,IF(Inputs!$C$12="MFJ",1,IF(Inputs!$C$12="HoH",7,4))))*(($AH55+$D55)-INDEX('Methodology &amp; Sources'!$B$269:$J$276,0,IF(Inputs!$C$12="MFJ",1,IF(Inputs!$C$12="HoH",7,4))))*INDEX('Methodology &amp; Sources'!$B$269:$J$276,0,IF(Inputs!$C$12="MFJ",1,IF(Inputs!$C$12="HoH",7,4))+2)))-IF(Inputs!$C$13,SUMPRODUCT(($AH55&gt;INDEX('Methodology &amp; Sources'!$B$279:$J$286,0,IF(Inputs!$C$12="MFJ",1,IF(Inputs!$C$12="HoH",7,4))))*($AH55-INDEX('Methodology &amp; Sources'!$B$279:$J$286,0,IF(Inputs!$C$12="MFJ",1,IF(Inputs!$C$12="HoH",7,4))))*INDEX('Methodology &amp; Sources'!$B$279:$J$286,0,IF(Inputs!$C$12="MFJ",1,IF(Inputs!$C$12="HoH",7,4))+2)),SUMPRODUCT(($AH55&gt;INDEX('Methodology &amp; Sources'!$B$269:$J$276,0,IF(Inputs!$C$12="MFJ",1,IF(Inputs!$C$12="HoH",7,4))))*($AH55-INDEX('Methodology &amp; Sources'!$B$269:$J$276,0,IF(Inputs!$C$12="MFJ",1,IF(Inputs!$C$12="HoH",7,4))))*INDEX('Methodology &amp; Sources'!$B$269:$J$276,0,IF(Inputs!$C$12="MFJ",1,IF(Inputs!$C$12="HoH",7,4))+2)))),'Methodology &amp; Sources'!$C$260*$D55),2)))</f>
      </c>
      <c r="Q55" s="7">
        <f>IF($B55="","",ROUND('Methodology &amp; Sources'!$C$254*MIN($N55,MAX(0,'Methodology &amp; Sources'!$C$253-($AX55+$AB54-$AW55))),2))</f>
      </c>
      <c r="R55" s="7">
        <f>IF($B55="","",ROUND('Methodology &amp; Sources'!$C$255*$N55,2))</f>
      </c>
      <c r="S55" s="7">
        <f>IF($B55="","",ROUND('Methodology &amp; Sources'!$C$256*MAX(0,MIN($N55,$AG54+$N55-'Methodology &amp; Sources'!$C$257)),2))</f>
      </c>
      <c r="T55" s="7">
        <f>IF($B55="","",IF(Inputs!$C$26,0,IF($AN55="CA",ROUND(IF($AI55&lt;=IF(($AS55+$AT55)&gt;=2,VLOOKUP($AN55,'StateTables 2026'!$A$6:$AB$56,10,FALSE),VLOOKUP($AN55,'StateTables 2026'!$A$6:$AB$56,9,FALSE)),0,MAX(0,SUMPRODUCT(($AJ55&gt;INDEX('Methodology &amp; Sources'!$B$289:$J$298,0,IF($AU55="Married",4,IF($AU55="Head of household",7,1))))*($AJ55-INDEX('Methodology &amp; Sources'!$B$289:$J$298,0,IF($AU55="Married",4,IF($AU55="Head of household",7,1))))*INDEX('Methodology &amp; Sources'!$B$289:$J$298,0,IF($AU55="Married",4,IF($AU55="Head of household",7,1))+2))-VLOOKUP($AN55,'StateTables 2026'!$A$6:$AB$56,11,FALSE)*$AS55)/Inputs!$C$8)+Inputs!$C$25+VLOOKUP($AN55,'StateTables 2026'!$A$6:$AB$56,13,FALSE)*$D55,2),IF(VLOOKUP($AN55,'StateTables 2026'!$A$6:$AB$56,4,FALSE)="None",0,IF(ISNUMBER(SEARCH("MANUAL",VLOOKUP($AN55,'StateTables 2026'!$A$6:$AB$56,5,FALSE))),Inputs!$C$28,ROUND(MAX(0,$BA55+$BB55)/Inputs!$C$8+Inputs!$C$25+$BC55,2))))))</f>
      </c>
      <c r="U55" s="7">
        <f>IF($B55="","",IF(VLOOKUP($AN55,'StateTables 2026'!$A$6:$AB$56,24,FALSE)="flatq",IF(OR(MONTH($B55)=1,MONTH($B55)=4,MONTH($B55)=7,MONTH($B55)=10),VLOOKUP($AN55,'StateTables 2026'!$A$6:$AB$56,25,FALSE),0),IF(VLOOKUP($AN55,'StateTables 2026'!$A$6:$AB$56,24,FALSE)="dbl",MIN(ROUND(0.005*$N55,2),ROUND(0.6*52/Inputs!$C$8,2)),IF(OR(VLOOKUP($AN55,'StateTables 2026'!$A$6:$AB$56,15,FALSE)="",VLOOKUP($AN55,'StateTables 2026'!$A$6:$AB$56,15,FALSE)=0),0,ROUND(VLOOKUP($AN55,'StateTables 2026'!$A$6:$AB$56,15,FALSE)*IF(OR(VLOOKUP($AN55,'StateTables 2026'!$A$6:$AB$56,16,FALSE)="",VLOOKUP($AN55,'StateTables 2026'!$A$6:$AB$56,16,FALSE)=0),$N55,MIN($N55,MAX(0,VLOOKUP($AN55,'StateTables 2026'!$A$6:$AB$56,16,FALSE)-($AX55+$AB54-$AW55)))),2))))+IF(VLOOKUP($AN55,'StateTables 2026'!$A$6:$AB$56,27,FALSE)="flatq",IF(OR(MONTH($B55)=1,MONTH($B55)=4,MONTH($B55)=7,MONTH($B55)=10),VLOOKUP($AN55,'StateTables 2026'!$A$6:$AB$56,28,FALSE),0),IF(VLOOKUP($AN55,'StateTables 2026'!$A$6:$AB$56,27,FALSE)="dbl",MIN(ROUND(0.005*$N55,2),ROUND(0.6*52/Inputs!$C$8,2)),IF(OR(VLOOKUP($AN55,'StateTables 2026'!$A$6:$AB$56,18,FALSE)="",VLOOKUP($AN55,'StateTables 2026'!$A$6:$AB$56,18,FALSE)=0),0,ROUND(VLOOKUP($AN55,'StateTables 2026'!$A$6:$AB$56,18,FALSE)*IF(OR(VLOOKUP($AN55,'StateTables 2026'!$A$6:$AB$56,19,FALSE)="",VLOOKUP($AN55,'StateTables 2026'!$A$6:$AB$56,19,FALSE)=0),$N55,MIN($N55,MAX(0,VLOOKUP($AN55,'StateTables 2026'!$A$6:$AB$56,19,FALSE)-($AX55+$AB54-$AW55)))),2)))))</f>
      </c>
      <c r="V55" s="7">
        <f>IF($B55="","",IF($AN55="NY",IF(Inputs!$C$78,ROUND(SUMPRODUCT((MAX(0,($O55-$D55)*Inputs!$C$8-(IF($AU55="Married",5500,5000)+1000*$AS55))&gt;INDEX('Methodology &amp; Sources'!$B$434:$J$448,0,4))*(MAX(0,($O55-$D55)*Inputs!$C$8-(IF($AU55="Married",5500,5000)+1000*$AS55))-INDEX('Methodology &amp; Sources'!$B$434:$J$448,0,4))*INDEX('Methodology &amp; Sources'!$B$434:$J$448,0,4+2))/Inputs!$C$8+0.0425*$D55,2),0)+IF(Inputs!$C$79="Resident",ROUND(0.1675*$T55,2),IF(Inputs!$C$79="Nonresident",ROUND(0.005*MAX(0,($O55-$D55)-(IF($AU55="Married",7950,7400)+1000*$AS55)/Inputs!$C$8),2),0)),IF($AN55="PA",IF(Inputs!$C$80="None",Inputs!$C$27+ROUND(Inputs!$C$81*($C55+$D55),2),ROUND(IF(Inputs!$C$80="Resident",IF($B55&lt;DATE(2026,7,1),0.0374,0.03735),IF($B55&lt;DATE(2026,7,1),0.0343,0.03425))*($C55+$D55),2)),IF($BF55=0,ROUND(Inputs!$C$81*($C55+$D55),2),Inputs!$C$27+ROUND(Inputs!$C$81*($C55+$D55),2)))))</f>
      </c>
      <c r="W55" s="7">
        <f>IF($B55="","",IF($BF55=0,0,$BP55))</f>
      </c>
      <c r="X55" s="7">
        <f>IF($B55="","",SUM($E55:$K55)+$P55+$Q55+$R55+$S55+$T55+$U55+$V55+$W55)</f>
      </c>
      <c r="Y55" s="22">
        <f>IF($B55="","",$C55+$D55-$X55)</f>
      </c>
      <c r="Z55" s="7">
        <f>IF($B55="","",$Z54+$C55+$D55)</f>
      </c>
      <c r="AA55" s="7">
        <f>IF($B55="","",$AA54+$Y55)</f>
      </c>
      <c r="AB55" s="7">
        <f>IF($B55="","",$AB54+MIN($N55,MAX(0,'Methodology &amp; Sources'!$C$253-($AX55+$AB54-$AW55))))</f>
      </c>
      <c r="AC55" s="7">
        <f>IF($B55="","",$AC54+$E55+$F55)</f>
      </c>
      <c r="AD55" s="3">
        <f>IF($B55="","",IF(AND($AB54&lt;'Methodology &amp; Sources'!$C$253,$AB55&gt;='Methodology &amp; Sources'!$C$253),"★ Social Security maxed on this check — from the next check your net rises by about $"&amp;TEXT(ROUND('Methodology &amp; Sources'!$C$254*$N55,2),"#,##0.00")&amp;". ","")&amp;IF(AND($AC54&lt;Inputs!$C$91,$AC55&gt;=Inputs!$C$91),"★ 401(k) reaches the $"&amp;TEXT(Inputs!$C$91,"#,##0")&amp;" cap on this check — deferrals stop and net pay rises. ","")&amp;IF(AND($AG54&lt;'Methodology &amp; Sources'!$C$257,$AG55&gt;='Methodology &amp; Sources'!$C$257),"★ Wages pass $200,000 — the 0.9% Additional Medicare Tax starts here. ","")&amp;IF(AND($BJ55&gt;0,$H55&gt;0,$BG54&lt;MIN($BJ55,'Methodology &amp; Sources'!$C$263),$BG54+$H55&gt;=MIN($BJ55,'Methodology &amp; Sources'!$C$263)),"★ Health FSA election is now fully deferred for the year. ",""))</f>
      </c>
      <c r="AE55" s="41" t="n"/>
      <c r="AF55" s="7">
        <f>IF(OR($B55="",$AE55=""),"",$AE55-$Y55)</f>
      </c>
      <c r="AG55" s="7">
        <f>IF($B55="","",$AG54+$N55)</f>
      </c>
      <c r="AH55" s="7">
        <f>IF($B55="","",MAX(0,($M55-$D55)*Inputs!$C$8+$AP55-$AQ55-IF(Inputs!$C$13,0,IF(Inputs!$C$12="MFJ",'Methodology &amp; Sources'!$C$258,'Methodology &amp; Sources'!$C$259))))</f>
      </c>
      <c r="AI55" s="7">
        <f>IF($B55="","",$O55*Inputs!$C$8)</f>
      </c>
      <c r="AJ55" s="7">
        <f>IF($B55="","",MAX(0,$AI55-VLOOKUP($AN55,'StateTables 2026'!$A$6:$AB$56,12,FALSE)*$AT55-IF(($AS55+$AT55)&gt;=2,VLOOKUP($AN55,'StateTables 2026'!$A$6:$AB$56,8,FALSE),VLOOKUP($AN55,'StateTables 2026'!$A$6:$AB$56,7,FALSE))))</f>
      </c>
      <c r="AK55" s="7">
        <f>IF($B55="","",IFERROR(LOOKUP(2,1/((Events!$C$6:$C$17="Salary change")*(Events!$B$6:$B$17&lt;=$B55)*(Events!$B$6:$B$17&lt;&gt;"")),Events!$D$6:$D$17),IF(Inputs!$C$4="Annual salary",Inputs!$C$5,Inputs!$C$6)))</f>
      </c>
      <c r="AL55">
        <f>IF($B55="","",IFERROR(LOOKUP(2,1/((Events!$C$6:$C$17="401(k) change")*(Events!$B$6:$B$17&lt;=$B55)*(Events!$B$6:$B$17&lt;&gt;"")),Events!$D$6:$D$17),Inputs!$C$30))</f>
      </c>
      <c r="AM55" s="7">
        <f>IF($B55="","",IFERROR(LOOKUP(2,1/((Events!$C$6:$C$17="401(k) change")*(Events!$B$6:$B$17&lt;=$B55)*(Events!$B$6:$B$17&lt;&gt;"")),Events!$E$6:$E$17),Inputs!$D$30))</f>
      </c>
      <c r="AN55">
        <f>IF($B55="","",IFERROR(LOOKUP(2,1/((Events!$C$6:$C$17="State move")*(Events!$B$6:$B$17&lt;=$B55)*(Events!$B$6:$B$17&lt;&gt;"")),Events!$D$6:$D$17),Inputs!$C$21))</f>
      </c>
      <c r="AO55" s="7">
        <f>IF($B55="","",IFERROR(LOOKUP(2,1/((Events!$C$6:$C$17="W-4 change")*(Events!$B$6:$B$17&lt;=$B55)*(Events!$B$6:$B$17&lt;&gt;"")),Events!$D$6:$D$17),Inputs!$C$14))</f>
      </c>
      <c r="AP55" s="7">
        <f>IF($B55="","",IFERROR(LOOKUP(2,1/((Events!$C$6:$C$17="W-4 change")*(Events!$B$6:$B$17&lt;=$B55)*(Events!$B$6:$B$17&lt;&gt;"")),Events!$E$6:$E$17),Inputs!$C$15))</f>
      </c>
      <c r="AQ55" s="7">
        <f>IF($B55="","",IFERROR(LOOKUP(2,1/((Events!$C$6:$C$17="W-4 change")*(Events!$B$6:$B$17&lt;=$B55)*(Events!$B$6:$B$17&lt;&gt;"")),Events!$F$6:$F$17),Inputs!$C$16))</f>
      </c>
      <c r="AR55" s="7">
        <f>IF($B55="","",IFERROR(LOOKUP(2,1/((Events!$C$6:$C$17="W-4 change")*(Events!$B$6:$B$17&lt;=$B55)*(Events!$B$6:$B$17&lt;&gt;"")),Events!$G$6:$G$17),Inputs!$C$17))</f>
      </c>
      <c r="AS55" s="6">
        <f>IF($B55="","",IFERROR(LOOKUP(2,1/(((Events!$C$6:$C$17="State move")+(Events!$C$6:$C$17="State cert change"))*(Events!$B$6:$B$17&lt;=$B55)*(Events!$B$6:$B$17&lt;&gt;"")),Events!$F$6:$F$17),Inputs!$C$23))</f>
      </c>
      <c r="AT55" s="6">
        <f>IF($B55="","",IFERROR(LOOKUP(2,1/(((Events!$C$6:$C$17="State move")+(Events!$C$6:$C$17="State cert change"))*(Events!$B$6:$B$17&lt;=$B55)*(Events!$B$6:$B$17&lt;&gt;"")),Events!$G$6:$G$17),Inputs!$C$24))</f>
      </c>
      <c r="AU55">
        <f>IF($B55="","",IFERROR(LOOKUP(2,1/((Events!$C$6:$C$17="State move")*(Events!$B$6:$B$17&lt;=$B55)*(Events!$B$6:$B$17&lt;&gt;"")),Events!$E$6:$E$17),Inputs!$C$22))</f>
      </c>
      <c r="AV55" s="6">
        <f>IF($B55="","",1+COUNTIFS(Events!$C$6:$C$17,"Employer change",Events!$B$6:$B$17,"&lt;="&amp;$B55,Events!$B$6:$B$17,"&lt;&gt;"))</f>
      </c>
      <c r="AW55" s="7">
        <f>IF($B55="","",IF($AV55=1,Inputs!$C$49,IF(IFERROR(MATCH(IFERROR(LOOKUP(2,1/((Events!$C$6:$C$17="Employer change")*(Events!$B$6:$B$17&lt;=$B55)*(Events!$B$6:$B$17&lt;&gt;"")),Events!$B$6:$B$17),""),$B$6:$B$68,1),1)&lt;=1,Inputs!$C$49,INDEX($AB$6:$AB$68,MATCH(IFERROR(LOOKUP(2,1/((Events!$C$6:$C$17="Employer change")*(Events!$B$6:$B$17&lt;=$B55)*(Events!$B$6:$B$17&lt;&gt;"")),Events!$B$6:$B$17),""),$B$6:$B$68,1)-1))))</f>
      </c>
      <c r="AX55" s="7">
        <f>IF($B55="","",IF($AV55=1,Inputs!$C$49,IFERROR(LOOKUP(2,1/((Events!$C$6:$C$17="Employer change")*(Events!$B$6:$B$17&lt;=$B55)*(Events!$B$6:$B$17&lt;&gt;"")),Events!$D$6:$D$17),0)))</f>
      </c>
      <c r="AY55" s="7">
        <f>IF($B55="","",($O55-$D55)*Inputs!$C$8)</f>
      </c>
      <c r="AZ55" s="7">
        <f>IF($B55="","",IF($AN55="AL",MAX(0,$AY55-IF($AU55="Married",IF($AY55&lt;=25999,8500,MAX(5000,8500-175*CEILING(($AY55-25999)/500,1))),IF($AU55="Head of household",IF($AY55&lt;=25999,5200,MAX(2500,5200-135*CEILING(($AY55-25999)/500,1))),IF($AY55&lt;=25999,3000,MAX(2500,3000-25*CEILING(($AY55-25999)/500,1)))))-($P55-'Methodology &amp; Sources'!$C$260*$D55)*Inputs!$C$8-IF(OR($AU55="Married",$AU55="Head of household"),3000,1500)-$AT55*IF($AY55&lt;=50000,1000,IF($AY55&lt;=100000,500,300))),IF($AN55="AR",IF(MAX(0,$AY55-2470)&lt;97701,INT(MAX(0,$AY55-2470)/100)*100+50,MAX(0,$AY55-2470)),IF($AN55="DE",MAX(0,$AI55-3250),IF($AN55="HI",MAX(0,$AI55-1144*$AS55-4350),IF($AN55="KS",MAX(0,$AI55-(9160*IF($AU55="Married",2,1)+2320*$AT55+IF($AU55="Head of household",2320,0))),IF($AN55="MD",MAX(0,$AI55-3400-3200*$AS55),IF($AN55="MN",MAX(0,$AY55-5300*$AS55),IF($AN55="MO",MAX(0,$AI55-IF($AU55="Head of household",24150,IF($AU55="Married",IF(Inputs!$C$83,16100,32200),16100))),IF($AN55="MT",$AY55,IF($AN55="ND",($C55+$L55)*Inputs!$C$8,IF($AN55="NE",MAX(0,$AY55-2440*$AS55),IF($AN55="NJ",MAX(0,$AY55-1000*$AS55),IF($AN55="NY",MAX(0,$AY55-(IF($AU55="Married",7950,7400)+1000*$AS55)),IF($AN55="OH",MAX(0,$AY55-650*$AS55),IF($AN55="OK",MAX(0,$AY55-1000*$AS55),IF($AN55="RI",MAX(0,$AI55-1000*$AS55),IF($AN55="SC",MAX(0,$AI55-5000*$AS55-IF($AS55=0,0,MIN(0.1*$AI55,7500))),IF($AN55="VA",MAX(0,$AI55-IF($AU55="Married",17500,8750)-930*$AS55-800*$AT55),IF($AN55="VT",MAX(0,$AI55-5400*$AS55),IF($AN55="WI",MAX(0,$AI55-MAX(0,IF($AU55="Married",9461-0.2*MAX(0,$AI55-25727),6702-0.12*MAX(0,$AI55-17780)))-400*$AS55),IF($AN55="WV",MAX(0,$AI55-2000*$AS55),$AI55))))))))))))))))))))))</f>
      </c>
      <c r="BA55" s="7">
        <f>IF($B55="","",IF($BW55&lt;&gt;"",$BW55,IF($BX55&lt;&gt;"",$BX55,IF($BY55&lt;&gt;"",$BY55,0))))</f>
      </c>
      <c r="BB55" s="7">
        <f>IF($B55="","",IF($AN55="AR",-29*$AS55,IF($AN55="DE",-110*$AS55,IF($AN55="MD",$AZ55*Inputs!$C$74,IF($AN55="AZ",Inputs!$C$82*($M55-$D55)*Inputs!$C$8,IF($AN55="CO",0.044*MAX(0,$AY55-IF($AU55="Married",10000,5000)),IF($AN55="IA",MAX(0,0.038*MAX(0,$AY55-IF($AU55="Head of household",19500,IF($AU55="Married",26000,13000)))-40*$AS55),IF($AN55="ID",0.053*MAX(0,$AY55-IF($AU55="Married",32000,16094)),IF($AN55="IL",0.0495*MAX(0,$AY55-(2925*$AS55+1000*$AT55)),IF($AN55="IN",(0.0295+Inputs!$C$76)*MAX(0,$AY55-(1000*$AS55+1500*$AT55+3000*Inputs!$C$86)),IF($AN55="KY",0.035*MAX(0,$AI55-3360),IF($AN55="LA",IF(Inputs!$C$84="0",0.0309*$AI55,0.0309*MAX(0,$AI55-IF(Inputs!$C$84="2",25750,12875))),IF($AN55="MA",0.05*MIN(MAX(0,$AY55-MIN(($BD54+$Q55+$R55+$S55),2000)-IF($AS55=0,0,IF($AS55=1,4400,1000*$AS55+3400))),1107750)+0.09*MAX(0,MAX(0,$AY55-MIN(($BD54+$Q55+$R55+$S55),2000)-IF($AS55=0,0,IF($AS55=1,4400,1000*$AS55+3400)))-1107750)-IF($AU55="Head of household",120,0)-110*Inputs!$C$75,IF($AN55="MI",0.0425*MAX(0,$AY55-5900*$AS55),IF($AN55="MS",0.04*MAX(0,$AI55-IF($AU55="Head of household",3400,IF($AU55="Married",4600,2300))-Inputs!$C$85-10000),IF($AN55="OR",IF(OR($AU55="Married",AND($AU55="Single",$AS55&gt;=3)),SUMPRODUCT((MAX(0,$AY55-MIN(($P55-'Methodology &amp; Sources'!$C$260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Sources'!$B$461:$J$464,0,4))*(MAX(0,$AY55-MIN(($P55-'Methodology &amp; Sources'!$C$260*$D55)*Inputs!$C$8,IF(OR($AU55="Married",AND($AU55="Single",$AS55&gt;=3)),IF($AY55&lt;250000,8750,IF($AY55&lt;260000,7000,IF($AY55&lt;270000,5250,IF($AY55&lt;280000,3500,IF($AY55&lt;290000,1750,0))))),IF($AY55&lt;125000,8750,IF($AY55&lt;130000,7000,IF($AY55&lt;135000,5250,IF($AY55&lt;140000,3500,IF($AY55&lt;145000,1750,0)))))))-IF(OR($AU55="Married",AND($AU55="Single",$AS55&gt;=3)),5820,2910))-INDEX('Methodology &amp; Sources'!$B$461:$J$464,0,4))*INDEX('Methodology &amp; Sources'!$B$461:$J$464,0,4+2)),SUMPRODUCT((MAX(0,$AY55-MIN(($P55-'Methodology &amp; Sources'!$C$260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Sources'!$B$461:$J$464,0,1))*(MAX(0,$AY55-MIN(($P55-'Methodology &amp; Sources'!$C$260*$D55)*Inputs!$C$8,IF(OR($AU55="Married",AND($AU55="Single",$AS55&gt;=3)),IF($AY55&lt;250000,8750,IF($AY55&lt;260000,7000,IF($AY55&lt;270000,5250,IF($AY55&lt;280000,3500,IF($AY55&lt;290000,1750,0))))),IF($AY55&lt;125000,8750,IF($AY55&lt;130000,7000,IF($AY55&lt;135000,5250,IF($AY55&lt;140000,3500,IF($AY55&lt;145000,1750,0)))))))-IF(OR($AU55="Married",AND($AU55="Single",$AS55&gt;=3)),5820,2910))-INDEX('Methodology &amp; Sources'!$B$461:$J$464,0,1))*INDEX('Methodology &amp; Sources'!$B$461:$J$464,0,1+2)))+263-263*IF(IF($AU55="Married",$AY55&gt;200000,$AY55&gt;100000),0,$AS55),IF($AN55="PA",0.0307*(($O55+$E55+$G55)*Inputs!$C$8),IF($AN55="NY",IF($AU55="Married",IF($AZ55&gt;=2155350,0,IF($AZ55&gt;=1077550,0.48,IF($AZ55&gt;=373200,1.21,IF($AZ55&gt;=323200,0.21,IF($AZ55&gt;=211550,-0.19,IF($AZ55&gt;=157650,-2.8,IF($AZ55&gt;=107650,-0.8,IF($AZ55&gt;=96800,0.05,IF($AZ55&gt;=80650,-0.1,IF($AZ55&gt;=13900,0.4,IF($AZ55&gt;=11700,-0.3,IF($AZ55&gt;=8500,0.5,0)))))))))))),IF($AZ55&gt;=1077550,0,IF($AZ55&gt;=265400,4.29,IF($AZ55&gt;=215400,2.29,IF($AZ55&gt;=157650,2.29,IF($AZ55&gt;=107650,0.29,IF($AZ55&gt;=96800,0.05,IF($AZ55&gt;=80650,-0.1,IF($AZ55&gt;=13900,0.4,IF($AZ55&gt;=11700,-0.3,IF($AZ55&gt;=8500,0.5,0))))))))))),0))))))))))))))))))</f>
      </c>
      <c r="BC55" s="7">
        <f>IF($B55="","",IF($AN55="AL",0.05*$D55,IF($AN55="AR",0.039*$D55,IF($AN55="ID",0.053*$D55,IF($AN55="IN",(0.0295+Inputs!$C$76)*$D55,IF($AN55="KS",0.05*$D55,IF($AN55="MA",0.09*MIN($D55,MAX(0,MAX(0,$AY55-MIN(($BD54+$Q55+$R55+$S55),2000)-IF($AS55=0,0,IF($AS55=1,4400,1000*$AS55+3400)))+$D55-1107750))+0.05*($D55-MIN($D55,MAX(0,MAX(0,$AY55-MIN(($BD54+$Q55+$R55+$S55),2000)-IF($AS55=0,0,IF($AS55=1,4400,1000*$AS55+3400)))+$D55-1107750))),IF($AN55="MD",(0.065+Inputs!$C$74)*$D55,IF($AN55="MI",0.0425*$D55,IF($AN55="MN",0.0625*$D55,IF($AN55="MO",0.047*$D55,IF($AN55="MT",0.05*$D55,IF($AN55="ND",0.015*$D55,IF($AN55="NE",0.035*$D55,IF($AN55="NJ",IF(Inputs!$C$77="B",SUMPRODUCT(($D55*Inputs!$C$8&gt;INDEX('Methodology &amp; Sources'!$B$405:$J$412,0,4))*($D55*Inputs!$C$8-INDEX('Methodology &amp; Sources'!$B$405:$J$412,0,4))*INDEX('Methodology &amp; Sources'!$B$405:$J$412,0,4+2)),IF(Inputs!$C$77="C",SUMPRODUCT(($D55*Inputs!$C$8&gt;INDEX('Methodology &amp; Sources'!$B$405:$J$412,0,7))*($D55*Inputs!$C$8-INDEX('Methodology &amp; Sources'!$B$405:$J$412,0,7))*INDEX('Methodology &amp; Sources'!$B$405:$J$412,0,7+2)),IF(Inputs!$C$77="D",SUMPRODUCT(($D55*Inputs!$C$8&gt;INDEX('Methodology &amp; Sources'!$B$417:$J$429,0,1))*($D55*Inputs!$C$8-INDEX('Methodology &amp; Sources'!$B$417:$J$429,0,1))*INDEX('Methodology &amp; Sources'!$B$417:$J$429,0,1+2)),IF(Inputs!$C$77="E",SUMPRODUCT(($D55*Inputs!$C$8&gt;INDEX('Methodology &amp; Sources'!$B$417:$J$429,0,4))*($D55*Inputs!$C$8-INDEX('Methodology &amp; Sources'!$B$417:$J$429,0,4))*INDEX('Methodology &amp; Sources'!$B$417:$J$429,0,4+2)),SUMPRODUCT(($D55*Inputs!$C$8&gt;INDEX('Methodology &amp; Sources'!$B$405:$J$412,0,1))*($D55*Inputs!$C$8-INDEX('Methodology &amp; Sources'!$B$405:$J$412,0,1))*INDEX('Methodology &amp; Sources'!$B$405:$J$412,0,1+2))))))/Inputs!$C$8,IF($AN55="NY",0.117*$D55,IF($AN55="OH",0.0275*$D55,IF($AN55="OK",0.045*$D55,IF($AN55="OR",0.08*$D55,IF($AN55="WI",IF($AY55&lt;12760,0.0354,IF($AY55&lt;25520,0.0465,IF($AY55&lt;280950,0.053,0.0765)))*$D55,0))))))))))))))))))))</f>
      </c>
      <c r="BD55" s="7">
        <f>IF($B55="","",$BD54+$Q55+$R55+$S55)</f>
      </c>
      <c r="BE55" s="6">
        <f>IF($B55="",$BE54,$BE54+$BF55)</f>
      </c>
      <c r="BF55" s="6">
        <f>IF($B55="","",IF(AND(IF(YEAR(IF(Inputs!$C$7="Weekly",Inputs!$C$9+7*(($BE54+1)-1),IF(Inputs!$C$7="Biweekly",Inputs!$C$9+14*(($BE54+1)-1),IF(Inputs!$C$7="Semimonthly",DATE(YEAR(Inputs!$C$9),MONTH(Inputs!$C$9)+INT((($BE54+1)-1)/2),MIN(DAY(Inputs!$C$9),DAY(EOMONTH(DATE(YEAR(Inputs!$C$9),MONTH(Inputs!$C$9)+INT((($BE54+1)-1)/2),1),0))))+IF(MOD(($BE54+1)-1,2)=1,15,0),EDATE(Inputs!$C$9,($BE54+1)-1)))))&lt;&gt;2026,"",IF(Inputs!$C$7="Weekly",Inputs!$C$9+7*(($BE54+1)-1),IF(Inputs!$C$7="Biweekly",Inputs!$C$9+14*(($BE54+1)-1),IF(Inputs!$C$7="Semimonthly",DATE(YEAR(Inputs!$C$9),MONTH(Inputs!$C$9)+INT((($BE54+1)-1)/2),MIN(DAY(Inputs!$C$9),DAY(EOMONTH(DATE(YEAR(Inputs!$C$9),MONTH(Inputs!$C$9)+INT((($BE54+1)-1)/2),1),0))))+IF(MOD(($BE54+1)-1,2)=1,15,0),EDATE(Inputs!$C$9,($BE54+1)-1)))))&lt;&gt;"",$B55=IF(YEAR(IF(Inputs!$C$7="Weekly",Inputs!$C$9+7*(($BE54+1)-1),IF(Inputs!$C$7="Biweekly",Inputs!$C$9+14*(($BE54+1)-1),IF(Inputs!$C$7="Semimonthly",DATE(YEAR(Inputs!$C$9),MONTH(Inputs!$C$9)+INT((($BE54+1)-1)/2),MIN(DAY(Inputs!$C$9),DAY(EOMONTH(DATE(YEAR(Inputs!$C$9),MONTH(Inputs!$C$9)+INT((($BE54+1)-1)/2),1),0))))+IF(MOD(($BE54+1)-1,2)=1,15,0),EDATE(Inputs!$C$9,($BE54+1)-1)))))&lt;&gt;2026,"",IF(Inputs!$C$7="Weekly",Inputs!$C$9+7*(($BE54+1)-1),IF(Inputs!$C$7="Biweekly",Inputs!$C$9+14*(($BE54+1)-1),IF(Inputs!$C$7="Semimonthly",DATE(YEAR(Inputs!$C$9),MONTH(Inputs!$C$9)+INT((($BE54+1)-1)/2),MIN(DAY(Inputs!$C$9),DAY(EOMONTH(DATE(YEAR(Inputs!$C$9),MONTH(Inputs!$C$9)+INT((($BE54+1)-1)/2),1),0))))+IF(MOD(($BE54+1)-1,2)=1,15,0),EDATE(Inputs!$C$9,($BE54+1)-1)))))),1,0))</f>
      </c>
      <c r="BG55" s="7">
        <f>IF($B55="","",$BG54+$H55)</f>
      </c>
      <c r="BH55" s="7">
        <f>IF($B55="","",$BH54+$I55)</f>
      </c>
      <c r="BI55" s="7">
        <f>IF($B55="","",$BI54+$G55)</f>
      </c>
      <c r="BJ55" s="7">
        <f>IF($B55="","",IFERROR(LOOKUP(2,1/((((Events!$C$6:$C$17="Deduction start"))*(Events!$D$6:$D$17="Health FSA"))*(Events!$B$6:$B$17&lt;=$B55)*(Events!$B$6:$B$17&lt;&gt;"")),Events!$E$6:$E$17),Inputs!$D$38))</f>
      </c>
      <c r="BK55" s="7">
        <f>IF($B55="","",IFERROR(LOOKUP(2,1/((((Events!$C$6:$C$17="Deduction start"))*(Events!$D$6:$D$17="Dependent-care FSA"))*(Events!$B$6:$B$17&lt;=$B55)*(Events!$B$6:$B$17&lt;&gt;"")),Events!$E$6:$E$17),Inputs!$D$39))</f>
      </c>
      <c r="BL55" s="7">
        <f>IF($B55="","",IFERROR(LOOKUP(2,1/((((Events!$C$6:$C$17="Deduction start")+(Events!$C$6:$C$17="Deduction stop"))*(Events!$D$6:$D$17="HSA"))*(Events!$B$6:$B$17&lt;=$B55)*(Events!$B$6:$B$17&lt;&gt;"")),Events!$I$6:$I$17),Inputs!$D$35))</f>
      </c>
      <c r="BM55" s="7">
        <f>IF($B55="","",IFERROR(LOOKUP(2,1/((((Events!$C$6:$C$17="Deduction start")+(Events!$C$6:$C$17="Deduction stop"))*(Events!$D$6:$D$17="Premiums"))*(Events!$B$6:$B$17&lt;=$B55)*(Events!$B$6:$B$17&lt;&gt;"")),Events!$I$6:$I$17),Inputs!$D$40+Inputs!$D$41+Inputs!$D$42))</f>
      </c>
      <c r="BN55" s="7">
        <f>IF($B55="","",IFERROR(LOOKUP(2,1/((((Events!$C$6:$C$17="Deduction start")+(Events!$C$6:$C$17="Deduction stop"))*(Events!$D$6:$D$17="Commuter"))*(Events!$B$6:$B$17&lt;=$B55)*(Events!$B$6:$B$17&lt;&gt;"")),Events!$I$6:$I$17),Inputs!$D$43))</f>
      </c>
      <c r="BO55" s="7">
        <f>IF($B55="","",IFERROR(LOOKUP(2,1/((((Events!$C$6:$C$17="Deduction start")+(Events!$C$6:$C$17="Deduction stop"))*(Events!$D$6:$D$17="Other pre-tax"))*(Events!$B$6:$B$17&lt;=$B55)*(Events!$B$6:$B$17&lt;&gt;"")),Events!$I$6:$I$17),Inputs!$D$44))</f>
      </c>
      <c r="BP55" s="7">
        <f>IF($B55="","",IFERROR(LOOKUP(2,1/((((Events!$C$6:$C$17="Deduction start")+(Events!$C$6:$C$17="Deduction stop"))*(Events!$D$6:$D$17="Other post-tax"))*(Events!$B$6:$B$17&lt;=$B55)*(Events!$B$6:$B$17&lt;&gt;"")),Events!$I$6:$I$17),Inputs!$D$45))</f>
      </c>
      <c r="BQ55" s="6">
        <f>IF($B55="","",IFERROR(LOOKUP(2,1/((((Events!$C$6:$C$17="Deduction start")+(Events!$C$6:$C$17="Deduction stop"))*(Events!$D$6:$D$17="Health FSA"))*(Events!$B$6:$B$17&lt;=$B55)*(Events!$B$6:$B$17&lt;&gt;"")),Events!$J$6:$J$17),0))</f>
      </c>
      <c r="BR55" s="6">
        <f>IF($B55="","",IFERROR(LOOKUP(2,1/((((Events!$C$6:$C$17="Deduction start")+(Events!$C$6:$C$17="Deduction stop"))*(Events!$D$6:$D$17="Dependent-care FSA"))*(Events!$B$6:$B$17&lt;=$B55)*(Events!$B$6:$B$17&lt;&gt;"")),Events!$J$6:$J$17),0))</f>
      </c>
      <c r="BS55" s="6">
        <f>IF($B55="","",IF(SUMPRODUCT((Events!$C$6:$C$17="Deduction start")*(Events!$B$6:$B$17&lt;=$B55)*(Events!$B$6:$B$17&lt;&gt;"")*(Events!$D$6:$D$17="Health FSA"))&gt;0,1,0))</f>
      </c>
      <c r="BT55" s="6">
        <f>IF($B55="","",IF(SUMPRODUCT((Events!$C$6:$C$17="Deduction start")*(Events!$B$6:$B$17&lt;=$B55)*(Events!$B$6:$B$17&lt;&gt;"")*(Events!$D$6:$D$17="Dependent-care FSA"))&gt;0,1,0))</f>
      </c>
      <c r="BU55" s="24">
        <f>IF($B55="","",IF(Inputs!$C$13,SUMPRODUCT(($AH55&gt;=INDEX('Methodology &amp; Sources'!$B$279:$J$286,0,IF(Inputs!$C$12="MFJ",1,IF(Inputs!$C$12="HoH",7,4))))*INDEX('Methodology &amp; Sources'!$B$279:$J$286,0,IF(Inputs!$C$12="MFJ",1,IF(Inputs!$C$12="HoH",7,4))+2)),SUMPRODUCT(($AH55&gt;=INDEX('Methodology &amp; Sources'!$B$269:$J$276,0,IF(Inputs!$C$12="MFJ",1,IF(Inputs!$C$12="HoH",7,4))))*INDEX('Methodology &amp; Sources'!$B$269:$J$276,0,IF(Inputs!$C$12="MFJ",1,IF(Inputs!$C$12="HoH",7,4))+2))))</f>
      </c>
      <c r="BV55" s="24">
        <f>IF($B55="","",IF($BZ55&lt;&gt;"",$BZ55,IF($CA55&lt;&gt;"",$CA55,IF($CB55&lt;&gt;"",$CB55,IF($CC55&lt;&gt;"",$CC55,0)))))</f>
      </c>
      <c r="BW55" s="7">
        <f>IF($B55="","",IF($AN55="MD",IF(OR($AU55="Married",$AU55="Head of household"),SUMPRODUCT(($AZ55&gt;INDEX('Methodology &amp; Sources'!$B$364:$J$370,0,1))*($AZ55-INDEX('Methodology &amp; Sources'!$B$364:$J$370,0,1))*INDEX('Methodology &amp; Sources'!$B$364:$J$370,0,1+2)),SUMPRODUCT(($AZ55&gt;INDEX('Methodology &amp; Sources'!$B$353:$J$359,0,7))*($AZ55-INDEX('Methodology &amp; Sources'!$B$353:$J$359,0,7))*INDEX('Methodology &amp; Sources'!$B$353:$J$359,0,7+2))),IF($AN55="MO",SUMPRODUCT(($AZ55&gt;INDEX('Methodology &amp; Sources'!$B$375:$J$382,0,1))*($AZ55-INDEX('Methodology &amp; Sources'!$B$375:$J$382,0,1))*INDEX('Methodology &amp; Sources'!$B$375:$J$382,0,1+2)),IF($AN55="MT",IF($AU55="Head of household",SUMPRODUCT(($AZ55&gt;INDEX('Methodology &amp; Sources'!$B$387:$J$389,0,1))*($AZ55-INDEX('Methodology &amp; Sources'!$B$387:$J$389,0,1))*INDEX('Methodology &amp; Sources'!$B$387:$J$389,0,1+2)),IF($AU55="Married",SUMPRODUCT(($AZ55&gt;INDEX('Methodology &amp; Sources'!$B$375:$J$382,0,7))*($AZ55-INDEX('Methodology &amp; Sources'!$B$375:$J$382,0,7))*INDEX('Methodology &amp; Sources'!$B$375:$J$382,0,7+2)),SUMPRODUCT(($AZ55&gt;INDEX('Methodology &amp; Sources'!$B$375:$J$382,0,4))*($AZ55-INDEX('Methodology &amp; Sources'!$B$375:$J$382,0,4))*INDEX('Methodology &amp; Sources'!$B$375:$J$382,0,4+2)))),IF($AN55="ND",IF($AU55="Head of household",SUMPRODUCT(($AZ55&gt;INDEX('Methodology &amp; Sources'!$B$394:$J$400,0,1))*($AZ55-INDEX('Methodology &amp; Sources'!$B$394:$J$400,0,1))*INDEX('Methodology &amp; Sources'!$B$394:$J$400,0,1+2)),IF($AU55="Married",SUMPRODUCT(($AZ55&gt;INDEX('Methodology &amp; Sources'!$B$387:$J$389,0,7))*($AZ55-INDEX('Methodology &amp; Sources'!$B$387:$J$389,0,7))*INDEX('Methodology &amp; Sources'!$B$387:$J$389,0,7+2)),SUMPRODUCT(($AZ55&gt;INDEX('Methodology &amp; Sources'!$B$387:$J$389,0,4))*($AZ55-INDEX('Methodology &amp; Sources'!$B$387:$J$389,0,4))*INDEX('Methodology &amp; Sources'!$B$387:$J$389,0,4+2)))),IF($AN55="NJ",IF(Inputs!$C$77="B",SUMPRODUCT(($AZ55&gt;INDEX('Methodology &amp; Sources'!$B$405:$J$412,0,4))*($AZ55-INDEX('Methodology &amp; Sources'!$B$405:$J$412,0,4))*INDEX('Methodology &amp; Sources'!$B$405:$J$412,0,4+2)),IF(Inputs!$C$77="C",SUMPRODUCT(($AZ55&gt;INDEX('Methodology &amp; Sources'!$B$405:$J$412,0,7))*($AZ55-INDEX('Methodology &amp; Sources'!$B$405:$J$412,0,7))*INDEX('Methodology &amp; Sources'!$B$405:$J$412,0,7+2)),IF(Inputs!$C$77="D",SUMPRODUCT(($AZ55&gt;INDEX('Methodology &amp; Sources'!$B$417:$J$429,0,1))*($AZ55-INDEX('Methodology &amp; Sources'!$B$417:$J$429,0,1))*INDEX('Methodology &amp; Sources'!$B$417:$J$429,0,1+2)),IF(Inputs!$C$77="E",SUMPRODUCT(($AZ55&gt;INDEX('Methodology &amp; Sources'!$B$417:$J$429,0,4))*($AZ55-INDEX('Methodology &amp; Sources'!$B$417:$J$429,0,4))*INDEX('Methodology &amp; Sources'!$B$417:$J$429,0,4+2)),SUMPRODUCT(($AZ55&gt;INDEX('Methodology &amp; Sources'!$B$405:$J$412,0,1))*($AZ55-INDEX('Methodology &amp; Sources'!$B$405:$J$412,0,1))*INDEX('Methodology &amp; Sources'!$B$405:$J$412,0,1+2)))))),IF($AN55="NY",IF($AU55="Married",IF($AZ55&gt;=2155350,$AZ55*IF($AZ55&gt;25000000,0.117,IF($AZ55&gt;5000000,0.111,0.1045)),SUMPRODUCT(($AZ55&gt;INDEX('Methodology &amp; Sources'!$B$434:$J$448,0,1))*($AZ55-INDEX('Methodology &amp; Sources'!$B$434:$J$448,0,1))*INDEX('Methodology &amp; Sources'!$B$434:$J$448,0,1+2))),IF($AZ55&gt;=1077550,$AZ55*IF($AZ55&gt;25000000,0.117,IF($AZ55&gt;5000000,0.111,0.1045)),SUMPRODUCT(($AZ55&gt;INDEX('Methodology &amp; Sources'!$B$417:$J$429,0,7))*($AZ55-INDEX('Methodology &amp; Sources'!$B$417:$J$429,0,7))*INDEX('Methodology &amp; Sources'!$B$417:$J$429,0,7+2)))),"")))))))</f>
      </c>
      <c r="BX55" s="7">
        <f>IF($B55="","",IF($AN55="AL",IF(OR($AU55="Married",$AU55="Head of household"),SUMPRODUCT(($AZ55&gt;INDEX('Methodology &amp; Sources'!$B$332:$J$336,0,4))*($AZ55-INDEX('Methodology &amp; Sources'!$B$332:$J$336,0,4))*INDEX('Methodology &amp; Sources'!$B$332:$J$336,0,4+2)),SUMPRODUCT(($AZ55&gt;INDEX('Methodology &amp; Sources'!$B$332:$J$336,0,1))*($AZ55-INDEX('Methodology &amp; Sources'!$B$332:$J$336,0,1))*INDEX('Methodology &amp; Sources'!$B$332:$J$336,0,1+2))),IF($AN55="KS",IF($AU55="Married",SUMPRODUCT(($AZ55&gt;INDEX('Methodology &amp; Sources'!$B$353:$J$359,0,4))*($AZ55-INDEX('Methodology &amp; Sources'!$B$353:$J$359,0,4))*INDEX('Methodology &amp; Sources'!$B$353:$J$359,0,4+2)),SUMPRODUCT(($AZ55&gt;INDEX('Methodology &amp; Sources'!$B$353:$J$359,0,1))*($AZ55-INDEX('Methodology &amp; Sources'!$B$353:$J$359,0,1))*INDEX('Methodology &amp; Sources'!$B$353:$J$359,0,1+2))),IF($AN55="MN",IF($AU55="Married",SUMPRODUCT(($AZ55&gt;INDEX('Methodology &amp; Sources'!$B$364:$J$370,0,7))*($AZ55-INDEX('Methodology &amp; Sources'!$B$364:$J$370,0,7))*INDEX('Methodology &amp; Sources'!$B$364:$J$370,0,7+2)),SUMPRODUCT(($AZ55&gt;INDEX('Methodology &amp; Sources'!$B$364:$J$370,0,4))*($AZ55-INDEX('Methodology &amp; Sources'!$B$364:$J$370,0,4))*INDEX('Methodology &amp; Sources'!$B$364:$J$370,0,4+2))),IF($AN55="NE",MAX(IF($AU55="Married",SUMPRODUCT(($AZ55&gt;INDEX('Methodology &amp; Sources'!$B$394:$J$400,0,7))*($AZ55-INDEX('Methodology &amp; Sources'!$B$394:$J$400,0,7))*INDEX('Methodology &amp; Sources'!$B$394:$J$400,0,7+2)),SUMPRODUCT(($AZ55&gt;INDEX('Methodology &amp; Sources'!$B$394:$J$400,0,4))*($AZ55-INDEX('Methodology &amp; Sources'!$B$394:$J$400,0,4))*INDEX('Methodology &amp; Sources'!$B$394:$J$400,0,4+2))),0.015*$AZ55),IF($AN55="OH",IF($B55&gt;=DATE(2026,8,1),SUMPRODUCT(($AZ55&gt;INDEX('Methodology &amp; Sources'!$B$453:$J$456,0,1))*($AZ55-INDEX('Methodology &amp; Sources'!$B$453:$J$456,0,1))*INDEX('Methodology &amp; Sources'!$B$453:$J$456,0,1+2)),SUMPRODUCT(($AZ55&gt;INDEX('Methodology &amp; Sources'!$B$434:$J$448,0,7))*($AZ55-INDEX('Methodology &amp; Sources'!$B$434:$J$448,0,7))*INDEX('Methodology &amp; Sources'!$B$434:$J$448,0,7+2))),IF($AN55="OK",IF($AU55="Married",SUMPRODUCT(($AZ55&gt;INDEX('Methodology &amp; Sources'!$B$453:$J$456,0,7))*($AZ55-INDEX('Methodology &amp; Sources'!$B$453:$J$456,0,7))*INDEX('Methodology &amp; Sources'!$B$453:$J$456,0,7+2)),SUMPRODUCT(($AZ55&gt;INDEX('Methodology &amp; Sources'!$B$453:$J$456,0,4))*($AZ55-INDEX('Methodology &amp; Sources'!$B$453:$J$456,0,4))*INDEX('Methodology &amp; Sources'!$B$453:$J$456,0,4+2))),IF($AN55="RI",SUMPRODUCT(($AZ55&gt;INDEX('Methodology &amp; Sources'!$B$461:$J$464,0,7))*($AZ55-INDEX('Methodology &amp; Sources'!$B$461:$J$464,0,7))*INDEX('Methodology &amp; Sources'!$B$461:$J$464,0,7+2)),IF($AN55="VT",IF($AU55="Married",SUMPRODUCT(($AZ55&gt;INDEX('Methodology &amp; Sources'!$B$478:$J$482,0,1))*($AZ55-INDEX('Methodology &amp; Sources'!$B$478:$J$482,0,1))*INDEX('Methodology &amp; Sources'!$B$478:$J$482,0,1+2)),SUMPRODUCT(($AZ55&gt;INDEX('Methodology &amp; Sources'!$B$469:$J$473,0,7))*($AZ55-INDEX('Methodology &amp; Sources'!$B$469:$J$473,0,7))*INDEX('Methodology &amp; Sources'!$B$469:$J$473,0,7+2))),IF($AN55="WV",IF($AU55="Married",SUMPRODUCT(($AZ55&gt;INDEX('Methodology &amp; Sources'!$B$487:$J$491,0,7))*($AZ55-INDEX('Methodology &amp; Sources'!$B$487:$J$491,0,7))*INDEX('Methodology &amp; Sources'!$B$487:$J$491,0,7+2)),SUMPRODUCT(($AZ55&gt;INDEX('Methodology &amp; Sources'!$B$478:$J$482,0,7))*($AZ55-INDEX('Methodology &amp; Sources'!$B$478:$J$482,0,7))*INDEX('Methodology &amp; Sources'!$B$478:$J$482,0,7+2))),""))))))))))</f>
      </c>
      <c r="BY55" s="7">
        <f>IF($B55="","",IF($AN55="AR",SUMPRODUCT(($AZ55&gt;INDEX('Methodology &amp; Sources'!$B$332:$J$336,0,7))*($AZ55-INDEX('Methodology &amp; Sources'!$B$332:$J$336,0,7))*INDEX('Methodology &amp; Sources'!$B$332:$J$336,0,7+2)),IF($AN55="DE",SUMPRODUCT(($AZ55&gt;INDEX('Methodology &amp; Sources'!$B$341:$J$348,0,1))*($AZ55-INDEX('Methodology &amp; Sources'!$B$341:$J$348,0,1))*INDEX('Methodology &amp; Sources'!$B$341:$J$348,0,1+2)),IF($AN55="HI",IF($AU55="Married",SUMPRODUCT(($AZ55&gt;INDEX('Methodology &amp; Sources'!$B$341:$J$348,0,7))*($AZ55-INDEX('Methodology &amp; Sources'!$B$341:$J$348,0,7))*INDEX('Methodology &amp; Sources'!$B$341:$J$348,0,7+2)),SUMPRODUCT(($AZ55&gt;INDEX('Methodology &amp; Sources'!$B$341:$J$348,0,4))*($AZ55-INDEX('Methodology &amp; Sources'!$B$341:$J$348,0,4))*INDEX('Methodology &amp; Sources'!$B$341:$J$348,0,4+2))),IF($AN55="SC",SUMPRODUCT(($AZ55&gt;INDEX('Methodology &amp; Sources'!$B$469:$J$473,0,1))*($AZ55-INDEX('Methodology &amp; Sources'!$B$469:$J$473,0,1))*INDEX('Methodology &amp; Sources'!$B$469:$J$473,0,1+2)),IF($AN55="VA",SUMPRODUCT(($AZ55&gt;INDEX('Methodology &amp; Sources'!$B$469:$J$473,0,4))*($AZ55-INDEX('Methodology &amp; Sources'!$B$469:$J$473,0,4))*INDEX('Methodology &amp; Sources'!$B$469:$J$473,0,4+2)),IF($AN55="WI",SUMPRODUCT(($AZ55&gt;INDEX('Methodology &amp; Sources'!$B$478:$J$482,0,4))*($AZ55-INDEX('Methodology &amp; Sources'!$B$478:$J$482,0,4))*INDEX('Methodology &amp; Sources'!$B$478:$J$482,0,4+2)),"")))))))</f>
      </c>
      <c r="BZ55" s="24">
        <f>IF($B55="","",IF($AN55="NJ",IF(Inputs!$C$77="B",SUMPRODUCT(($AZ55&gt;=INDEX('Methodology &amp; Sources'!$B$405:$J$412,0,4))*INDEX('Methodology &amp; Sources'!$B$405:$J$412,0,4+2)),IF(Inputs!$C$77="C",SUMPRODUCT(($AZ55&gt;=INDEX('Methodology &amp; Sources'!$B$405:$J$412,0,7))*INDEX('Methodology &amp; Sources'!$B$405:$J$412,0,7+2)),IF(Inputs!$C$77="D",SUMPRODUCT(($AZ55&gt;=INDEX('Methodology &amp; Sources'!$B$417:$J$429,0,1))*INDEX('Methodology &amp; Sources'!$B$417:$J$429,0,1+2)),IF(Inputs!$C$77="E",SUMPRODUCT(($AZ55&gt;=INDEX('Methodology &amp; Sources'!$B$417:$J$429,0,4))*INDEX('Methodology &amp; Sources'!$B$417:$J$429,0,4+2)),SUMPRODUCT(($AZ55&gt;=INDEX('Methodology &amp; Sources'!$B$405:$J$412,0,1))*INDEX('Methodology &amp; Sources'!$B$405:$J$412,0,1+2)))))),IF($AN55="OR",IF(OR($AU55="Married",AND($AU55="Single",$AS55&gt;=3)),SUMPRODUCT((MAX(0,$AY55-MIN(($P55-'Methodology &amp; Sources'!$C$260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Sources'!$B$461:$J$464,0,4))*INDEX('Methodology &amp; Sources'!$B$461:$J$464,0,4+2)),SUMPRODUCT((MAX(0,$AY55-MIN(($P55-'Methodology &amp; Sources'!$C$260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Sources'!$B$461:$J$464,0,1))*INDEX('Methodology &amp; Sources'!$B$461:$J$464,0,1+2)))*IF(($P55-'Methodology &amp; Sources'!$C$260*$D55)*Inputs!$C$8&gt;=IF(OR($AU55="Married",AND($AU55="Single",$AS55&gt;=3)),IF($AY55&lt;250000,8750,IF($AY55&lt;260000,7000,IF($AY55&lt;270000,5250,IF($AY55&lt;280000,3500,IF($AY55&lt;290000,1750,0))))),IF($AY55&lt;125000,8750,IF($AY55&lt;130000,7000,IF($AY55&lt;135000,5250,IF($AY55&lt;140000,3500,IF($AY55&lt;145000,1750,0)))))),1,1-IF(Inputs!$C$13,SUMPRODUCT(($AH55&gt;=INDEX('Methodology &amp; Sources'!$B$279:$J$286,0,IF(Inputs!$C$12="MFJ",1,IF(Inputs!$C$12="HoH",7,4))))*INDEX('Methodology &amp; Sources'!$B$279:$J$286,0,IF(Inputs!$C$12="MFJ",1,IF(Inputs!$C$12="HoH",7,4))+2)),SUMPRODUCT(($AH55&gt;=INDEX('Methodology &amp; Sources'!$B$269:$J$276,0,IF(Inputs!$C$12="MFJ",1,IF(Inputs!$C$12="HoH",7,4))))*INDEX('Methodology &amp; Sources'!$B$269:$J$276,0,IF(Inputs!$C$12="MFJ",1,IF(Inputs!$C$12="HoH",7,4))+2)))),IF($AN55="MI",IF($AY55&gt;5900*$AS55,0.0425,0),""))))</f>
      </c>
      <c r="CA55" s="24">
        <f>IF($B55="","",IF($AN55="AL",IF(OR($AU55="Married",$AU55="Head of household"),SUMPRODUCT(($AZ55&gt;=INDEX('Methodology &amp; Sources'!$B$332:$J$336,0,4))*INDEX('Methodology &amp; Sources'!$B$332:$J$336,0,4+2)),SUMPRODUCT(($AZ55&gt;=INDEX('Methodology &amp; Sources'!$B$332:$J$336,0,1))*INDEX('Methodology &amp; Sources'!$B$332:$J$336,0,1+2)))*(1-IF(Inputs!$C$13,SUMPRODUCT(($AH55&gt;=INDEX('Methodology &amp; Sources'!$B$279:$J$286,0,IF(Inputs!$C$12="MFJ",1,IF(Inputs!$C$12="HoH",7,4))))*INDEX('Methodology &amp; Sources'!$B$279:$J$286,0,IF(Inputs!$C$12="MFJ",1,IF(Inputs!$C$12="HoH",7,4))+2)),SUMPRODUCT(($AH55&gt;=INDEX('Methodology &amp; Sources'!$B$269:$J$276,0,IF(Inputs!$C$12="MFJ",1,IF(Inputs!$C$12="HoH",7,4))))*INDEX('Methodology &amp; Sources'!$B$269:$J$276,0,IF(Inputs!$C$12="MFJ",1,IF(Inputs!$C$12="HoH",7,4))+2)))),IF($AN55="KS",IF($AU55="Married",SUMPRODUCT(($AZ55&gt;=INDEX('Methodology &amp; Sources'!$B$353:$J$359,0,4))*INDEX('Methodology &amp; Sources'!$B$353:$J$359,0,4+2)),SUMPRODUCT(($AZ55&gt;=INDEX('Methodology &amp; Sources'!$B$353:$J$359,0,1))*INDEX('Methodology &amp; Sources'!$B$353:$J$359,0,1+2))),IF($AN55="MD",IF(OR($AU55="Married",$AU55="Head of household"),SUMPRODUCT(($AZ55&gt;=INDEX('Methodology &amp; Sources'!$B$364:$J$370,0,1))*INDEX('Methodology &amp; Sources'!$B$364:$J$370,0,1+2)),SUMPRODUCT(($AZ55&gt;=INDEX('Methodology &amp; Sources'!$B$353:$J$359,0,7))*INDEX('Methodology &amp; Sources'!$B$353:$J$359,0,7+2)))+Inputs!$C$74,IF($AN55="MT",IF($AU55="Head of household",SUMPRODUCT(($AZ55&gt;=INDEX('Methodology &amp; Sources'!$B$387:$J$389,0,1))*INDEX('Methodology &amp; Sources'!$B$387:$J$389,0,1+2)),IF($AU55="Married",SUMPRODUCT(($AZ55&gt;=INDEX('Methodology &amp; Sources'!$B$375:$J$382,0,7))*INDEX('Methodology &amp; Sources'!$B$375:$J$382,0,7+2)),SUMPRODUCT(($AZ55&gt;=INDEX('Methodology &amp; Sources'!$B$375:$J$382,0,4))*INDEX('Methodology &amp; Sources'!$B$375:$J$382,0,4+2)))),IF($AN55="ND",IF($AU55="Head of household",SUMPRODUCT(($AZ55&gt;=INDEX('Methodology &amp; Sources'!$B$394:$J$400,0,1))*INDEX('Methodology &amp; Sources'!$B$394:$J$400,0,1+2)),IF($AU55="Married",SUMPRODUCT(($AZ55&gt;=INDEX('Methodology &amp; Sources'!$B$387:$J$389,0,7))*INDEX('Methodology &amp; Sources'!$B$387:$J$389,0,7+2)),SUMPRODUCT(($AZ55&gt;=INDEX('Methodology &amp; Sources'!$B$387:$J$389,0,4))*INDEX('Methodology &amp; Sources'!$B$387:$J$389,0,4+2)))),IF($AN55="NY",IF($AU55="Married",IF($AZ55&gt;=2155350,IF($AZ55&gt;25000000,0.117,IF($AZ55&gt;5000000,0.111,0.1045)),SUMPRODUCT(($AZ55&gt;=INDEX('Methodology &amp; Sources'!$B$434:$J$448,0,1))*INDEX('Methodology &amp; Sources'!$B$434:$J$448,0,1+2))),IF($AZ55&gt;=1077550,IF($AZ55&gt;25000000,0.117,IF($AZ55&gt;5000000,0.111,0.1045)),SUMPRODUCT(($AZ55&gt;=INDEX('Methodology &amp; Sources'!$B$417:$J$429,0,7))*INDEX('Methodology &amp; Sources'!$B$417:$J$429,0,7+2)))),"")))))))</f>
      </c>
      <c r="CB55" s="24">
        <f>IF($B55="","",IF($AN55="CA",SUMPRODUCT(($AJ55&gt;=INDEX('Methodology &amp; Sources'!$B$289:$J$298,0,IF($AU55="Married",4,IF($AU55="Head of household",7,1))))*INDEX('Methodology &amp; Sources'!$B$289:$J$298,0,IF($AU55="Married",4,IF($AU55="Head of household",7,1))+2)),IF($AN55="HI",IF($AU55="Married",SUMPRODUCT(($AZ55&gt;=INDEX('Methodology &amp; Sources'!$B$341:$J$348,0,7))*INDEX('Methodology &amp; Sources'!$B$341:$J$348,0,7+2)),SUMPRODUCT(($AZ55&gt;=INDEX('Methodology &amp; Sources'!$B$341:$J$348,0,4))*INDEX('Methodology &amp; Sources'!$B$341:$J$348,0,4+2))),IF($AN55="MN",IF($AU55="Married",SUMPRODUCT(($AZ55&gt;=INDEX('Methodology &amp; Sources'!$B$364:$J$370,0,7))*INDEX('Methodology &amp; Sources'!$B$364:$J$370,0,7+2)),SUMPRODUCT(($AZ55&gt;=INDEX('Methodology &amp; Sources'!$B$364:$J$370,0,4))*INDEX('Methodology &amp; Sources'!$B$364:$J$370,0,4+2))),IF($AN55="MO",SUMPRODUCT(($AZ55&gt;=INDEX('Methodology &amp; Sources'!$B$375:$J$382,0,1))*INDEX('Methodology &amp; Sources'!$B$375:$J$382,0,1+2)),IF($AN55="NE",MAX(IF($AU55="Married",SUMPRODUCT(($AZ55&gt;=INDEX('Methodology &amp; Sources'!$B$394:$J$400,0,7))*INDEX('Methodology &amp; Sources'!$B$394:$J$400,0,7+2)),SUMPRODUCT(($AZ55&gt;=INDEX('Methodology &amp; Sources'!$B$394:$J$400,0,4))*INDEX('Methodology &amp; Sources'!$B$394:$J$400,0,4+2))),0.015),IF($AN55="OH",IF($B55&gt;=DATE(2026,8,1),SUMPRODUCT(($AZ55&gt;=INDEX('Methodology &amp; Sources'!$B$453:$J$456,0,1))*INDEX('Methodology &amp; Sources'!$B$453:$J$456,0,1+2)),SUMPRODUCT(($AZ55&gt;=INDEX('Methodology &amp; Sources'!$B$434:$J$448,0,7))*INDEX('Methodology &amp; Sources'!$B$434:$J$448,0,7+2))),IF($AN55="OK",IF($AU55="Married",SUMPRODUCT(($AZ55&gt;=INDEX('Methodology &amp; Sources'!$B$453:$J$456,0,7))*INDEX('Methodology &amp; Sources'!$B$453:$J$456,0,7+2)),SUMPRODUCT(($AZ55&gt;=INDEX('Methodology &amp; Sources'!$B$453:$J$456,0,4))*INDEX('Methodology &amp; Sources'!$B$453:$J$456,0,4+2))),IF($AN55="RI",SUMPRODUCT(($AZ55&gt;=INDEX('Methodology &amp; Sources'!$B$461:$J$464,0,7))*INDEX('Methodology &amp; Sources'!$B$461:$J$464,0,7+2)),IF($AN55="SC",SUMPRODUCT(($AZ55&gt;=INDEX('Methodology &amp; Sources'!$B$469:$J$473,0,1))*INDEX('Methodology &amp; Sources'!$B$469:$J$473,0,1+2)),IF($AN55="VT",IF($AU55="Married",SUMPRODUCT(($AZ55&gt;=INDEX('Methodology &amp; Sources'!$B$478:$J$482,0,1))*INDEX('Methodology &amp; Sources'!$B$478:$J$482,0,1+2)),SUMPRODUCT(($AZ55&gt;=INDEX('Methodology &amp; Sources'!$B$469:$J$473,0,7))*INDEX('Methodology &amp; Sources'!$B$469:$J$473,0,7+2))),IF($AN55="WV",IF($AU55="Married",SUMPRODUCT(($AZ55&gt;=INDEX('Methodology &amp; Sources'!$B$487:$J$491,0,7))*INDEX('Methodology &amp; Sources'!$B$487:$J$491,0,7+2)),SUMPRODUCT(($AZ55&gt;=INDEX('Methodology &amp; Sources'!$B$478:$J$482,0,7))*INDEX('Methodology &amp; Sources'!$B$478:$J$482,0,7+2))),IF($AN55="IN",(0.0295+Inputs!$C$76),"")))))))))))))</f>
      </c>
      <c r="CC55" s="24">
        <f>IF($B55="","",IF($AN55="AR",SUMPRODUCT(($AZ55&gt;=INDEX('Methodology &amp; Sources'!$B$332:$J$336,0,7))*INDEX('Methodology &amp; Sources'!$B$332:$J$336,0,7+2)),IF($AN55="DE",SUMPRODUCT(($AZ55&gt;=INDEX('Methodology &amp; Sources'!$B$341:$J$348,0,1))*INDEX('Methodology &amp; Sources'!$B$341:$J$348,0,1+2)),IF($AN55="VA",SUMPRODUCT(($AZ55&gt;=INDEX('Methodology &amp; Sources'!$B$469:$J$473,0,4))*INDEX('Methodology &amp; Sources'!$B$469:$J$473,0,4+2)),IF($AN55="WI",SUMPRODUCT(($AZ55&gt;=INDEX('Methodology &amp; Sources'!$B$478:$J$482,0,4))*INDEX('Methodology &amp; Sources'!$B$478:$J$482,0,4+2)),IF($AN55="AZ",Inputs!$C$82,IF($AN55="CO",IF($AY55&gt;IF($AU55="Married",10000,5000),0.044,0),IF($AN55="IA",IF($AY55&gt;IF($AU55="Head of household",19500,IF($AU55="Married",26000,13000)),0.038,0),IF($AN55="ID",IF($AY55&gt;IF($AU55="Married",32000,16094),0.053,0),IF($AN55="IL",IF($AY55&gt;(2925*$AS55+1000*$AT55),0.0495,0),IF($AN55="KY",IF($AI55&gt;3360,0.035,0),IF($AN55="LA",0.0309,IF($AN55="MA",IF(MAX(0,$AY55-MIN(($BD54+$Q55+$R55+$S55),2000)-IF($AS55=0,0,IF($AS55=1,4400,1000*$AS55+3400)))&gt;=1107750,0.09,0.05),IF($AN55="MS",IF($AI55-IF($AU55="Head of household",3400,IF($AU55="Married",4600,2300))-Inputs!$C$85&gt;10000,0.04,0),IF($AN55="PA",0.0307,"")))))))))))))))</f>
      </c>
      <c r="CD55" s="21">
        <f>IF(YEAR(IF(Inputs!$C$7="Weekly",Inputs!$C$9+7*(($BE54+1)-1),IF(Inputs!$C$7="Biweekly",Inputs!$C$9+14*(($BE54+1)-1),IF(Inputs!$C$7="Semimonthly",DATE(YEAR(Inputs!$C$9),MONTH(Inputs!$C$9)+INT((($BE54+1)-1)/2),MIN(DAY(Inputs!$C$9),DAY(EOMONTH(DATE(YEAR(Inputs!$C$9),MONTH(Inputs!$C$9)+INT((($BE54+1)-1)/2),1),0))))+IF(MOD(($BE54+1)-1,2)=1,15,0),EDATE(Inputs!$C$9,($BE54+1)-1)))))&lt;&gt;2026,"",IF(Inputs!$C$7="Weekly",Inputs!$C$9+7*(($BE54+1)-1),IF(Inputs!$C$7="Biweekly",Inputs!$C$9+14*(($BE54+1)-1),IF(Inputs!$C$7="Semimonthly",DATE(YEAR(Inputs!$C$9),MONTH(Inputs!$C$9)+INT((($BE54+1)-1)/2),MIN(DAY(Inputs!$C$9),DAY(EOMONTH(DATE(YEAR(Inputs!$C$9),MONTH(Inputs!$C$9)+INT((($BE54+1)-1)/2),1),0))))+IF(MOD(($BE54+1)-1,2)=1,15,0),EDATE(Inputs!$C$9,($BE54+1)-1)))))</f>
      </c>
      <c r="CE55" s="21">
        <f>IF(SUMPRODUCT(MIN(IF((Inputs!$C$58:$C$67&gt;MAX($B$6:$B54))*(Inputs!$C$58:$C$67&gt;=DATE(2026,1,1))*(Inputs!$C$58:$C$67&lt;=DATE(2026,12,31)),Inputs!$C$58:$C$67,999999)))=999999,"",SUMPRODUCT(MIN(IF((Inputs!$C$58:$C$67&gt;MAX($B$6:$B54))*(Inputs!$C$58:$C$67&gt;=DATE(2026,1,1))*(Inputs!$C$58:$C$67&lt;=DATE(2026,12,31)),Inputs!$C$58:$C$67,999999))))</f>
      </c>
    </row>
    <row r="56">
      <c r="A56" t="n">
        <v>51</v>
      </c>
      <c r="B56" s="21">
        <f>IF(AND($CD56="",$CE56=""),"",IF($CE56="",$CD56,IF($CD56="",$CE56,MIN($CD56,$CE56))))</f>
      </c>
      <c r="C56" s="7">
        <f>IF($B56="","",IF($BF56=0,0,IF(Inputs!$C$4="Annual salary",ROUND($AK56/IF(AND(Inputs!$C$88="Actual paydays",MONTH(Inputs!$C$9)=1),MAX(1,MAX($BE$6:$BE$68)),Inputs!$C$8),2),$AK56)))</f>
      </c>
      <c r="D56" s="7">
        <f>IF($B56="","",SUMIF(Inputs!$C$58:$C$67,$B56,Inputs!$D$58:$D$67))</f>
      </c>
      <c r="E56" s="7">
        <f>IF($B56="","",ROUND(MAX(0,MIN(IF($AL56="Percent",$AM56*($C56+$D56),$AM56),MAX(0,Inputs!$C$91-$AC55))),2))</f>
      </c>
      <c r="F56" s="7">
        <f>IF($B56="","",ROUND(MAX(0,MIN(IF(Inputs!$C$32="Percent",Inputs!$D$32*($C56+$D56),Inputs!$D$32),MAX(0,Inputs!$C$91-$AC55-$E56))),2))</f>
      </c>
      <c r="G56" s="7">
        <f>IF($B56="","",IF($BF56=0,0,ROUND(MAX(0,MIN($BL56,Inputs!$C$92-Inputs!$C$54-$BI55)),2)))</f>
      </c>
      <c r="H56" s="7">
        <f>IF($B56="","",IF(OR($BF56=0,$BQ56=1),0,ROUND(MAX(0,MIN(IF($BS56=1,ROUND(MAX(0,MIN($BJ56,'Methodology &amp; Sources'!$C$263)-$BG55)/MAX(1,MAX($BE$6:$BE$68)-($BE55)),2),ROUND(MIN($BJ56,'Methodology &amp; Sources'!$C$263)/Inputs!$C$8,2)),MIN($BJ56,'Methodology &amp; Sources'!$C$263)-$BG55)),2)))</f>
      </c>
      <c r="I56" s="7">
        <f>IF($B56="","",IF(OR($BF56=0,$BR56=1),0,ROUND(MAX(0,MIN(IF($BT56=1,ROUND(MAX(0,MIN($BK56,IF(Inputs!$C$12="MFJ",'Methodology &amp; Sources'!$C$264,'Methodology &amp; Sources'!$C$265))-$BH55)/MAX(1,MAX($BE$6:$BE$68)-($BE55)),2),ROUND(MIN($BK56,IF(Inputs!$C$12="MFJ",'Methodology &amp; Sources'!$C$264,'Methodology &amp; Sources'!$C$265))/Inputs!$C$8,2)),MIN($BK56,IF(Inputs!$C$12="MFJ",'Methodology &amp; Sources'!$C$264,'Methodology &amp; Sources'!$C$265))-$BH55)),2)))</f>
      </c>
      <c r="J56" s="7">
        <f>IF($B56="","",IF($BF56=0,0,$BM56))</f>
      </c>
      <c r="K56" s="7">
        <f>IF($B56="","",IF($BF56=0,0,$BN56+$BO56))</f>
      </c>
      <c r="L56" s="7">
        <f>IF($B56="","",IF($BF56=0,0,Inputs!$D$46))</f>
      </c>
      <c r="M56" s="7">
        <f>IF($B56="","",$C56+$D56+$L56-$E56-$G56-$H56-$I56-$J56-$K56)</f>
      </c>
      <c r="N56" s="7">
        <f>IF($B56="","",$C56+$D56+$L56-$G56-$H56-$I56-$J56-$K56)</f>
      </c>
      <c r="O56" s="7">
        <f>IF($B56="","",$C56+$D56+$L56-$E56-$H56-$I56-$J56-$K56-IF(OR($AN56="CA",$AN56="NJ"),0,$G56))</f>
      </c>
      <c r="P56" s="7">
        <f>IF($B56="","",IF(Inputs!$C$18,0,ROUND(MAX(0,IF(Inputs!$C$13,SUMPRODUCT(($AH56&gt;INDEX('Methodology &amp; Sources'!$B$279:$J$286,0,IF(Inputs!$C$12="MFJ",1,IF(Inputs!$C$12="HoH",7,4))))*($AH56-INDEX('Methodology &amp; Sources'!$B$279:$J$286,0,IF(Inputs!$C$12="MFJ",1,IF(Inputs!$C$12="HoH",7,4))))*INDEX('Methodology &amp; Sources'!$B$279:$J$286,0,IF(Inputs!$C$12="MFJ",1,IF(Inputs!$C$12="HoH",7,4))+2)),SUMPRODUCT(($AH56&gt;INDEX('Methodology &amp; Sources'!$B$269:$J$276,0,IF(Inputs!$C$12="MFJ",1,IF(Inputs!$C$12="HoH",7,4))))*($AH56-INDEX('Methodology &amp; Sources'!$B$269:$J$276,0,IF(Inputs!$C$12="MFJ",1,IF(Inputs!$C$12="HoH",7,4))))*INDEX('Methodology &amp; Sources'!$B$269:$J$276,0,IF(Inputs!$C$12="MFJ",1,IF(Inputs!$C$12="HoH",7,4))+2)))/Inputs!$C$8-$AO56/Inputs!$C$8)+$AR56+IF(Inputs!$C$89="Aggregate",MAX(0,IF(Inputs!$C$13,SUMPRODUCT((($AH56+$D56)&gt;INDEX('Methodology &amp; Sources'!$B$279:$J$286,0,IF(Inputs!$C$12="MFJ",1,IF(Inputs!$C$12="HoH",7,4))))*(($AH56+$D56)-INDEX('Methodology &amp; Sources'!$B$279:$J$286,0,IF(Inputs!$C$12="MFJ",1,IF(Inputs!$C$12="HoH",7,4))))*INDEX('Methodology &amp; Sources'!$B$279:$J$286,0,IF(Inputs!$C$12="MFJ",1,IF(Inputs!$C$12="HoH",7,4))+2)),SUMPRODUCT((($AH56+$D56)&gt;INDEX('Methodology &amp; Sources'!$B$269:$J$276,0,IF(Inputs!$C$12="MFJ",1,IF(Inputs!$C$12="HoH",7,4))))*(($AH56+$D56)-INDEX('Methodology &amp; Sources'!$B$269:$J$276,0,IF(Inputs!$C$12="MFJ",1,IF(Inputs!$C$12="HoH",7,4))))*INDEX('Methodology &amp; Sources'!$B$269:$J$276,0,IF(Inputs!$C$12="MFJ",1,IF(Inputs!$C$12="HoH",7,4))+2)))-IF(Inputs!$C$13,SUMPRODUCT(($AH56&gt;INDEX('Methodology &amp; Sources'!$B$279:$J$286,0,IF(Inputs!$C$12="MFJ",1,IF(Inputs!$C$12="HoH",7,4))))*($AH56-INDEX('Methodology &amp; Sources'!$B$279:$J$286,0,IF(Inputs!$C$12="MFJ",1,IF(Inputs!$C$12="HoH",7,4))))*INDEX('Methodology &amp; Sources'!$B$279:$J$286,0,IF(Inputs!$C$12="MFJ",1,IF(Inputs!$C$12="HoH",7,4))+2)),SUMPRODUCT(($AH56&gt;INDEX('Methodology &amp; Sources'!$B$269:$J$276,0,IF(Inputs!$C$12="MFJ",1,IF(Inputs!$C$12="HoH",7,4))))*($AH56-INDEX('Methodology &amp; Sources'!$B$269:$J$276,0,IF(Inputs!$C$12="MFJ",1,IF(Inputs!$C$12="HoH",7,4))))*INDEX('Methodology &amp; Sources'!$B$269:$J$276,0,IF(Inputs!$C$12="MFJ",1,IF(Inputs!$C$12="HoH",7,4))+2)))),'Methodology &amp; Sources'!$C$260*$D56),2)))</f>
      </c>
      <c r="Q56" s="7">
        <f>IF($B56="","",ROUND('Methodology &amp; Sources'!$C$254*MIN($N56,MAX(0,'Methodology &amp; Sources'!$C$253-($AX56+$AB55-$AW56))),2))</f>
      </c>
      <c r="R56" s="7">
        <f>IF($B56="","",ROUND('Methodology &amp; Sources'!$C$255*$N56,2))</f>
      </c>
      <c r="S56" s="7">
        <f>IF($B56="","",ROUND('Methodology &amp; Sources'!$C$256*MAX(0,MIN($N56,$AG55+$N56-'Methodology &amp; Sources'!$C$257)),2))</f>
      </c>
      <c r="T56" s="7">
        <f>IF($B56="","",IF(Inputs!$C$26,0,IF($AN56="CA",ROUND(IF($AI56&lt;=IF(($AS56+$AT56)&gt;=2,VLOOKUP($AN56,'StateTables 2026'!$A$6:$AB$56,10,FALSE),VLOOKUP($AN56,'StateTables 2026'!$A$6:$AB$56,9,FALSE)),0,MAX(0,SUMPRODUCT(($AJ56&gt;INDEX('Methodology &amp; Sources'!$B$289:$J$298,0,IF($AU56="Married",4,IF($AU56="Head of household",7,1))))*($AJ56-INDEX('Methodology &amp; Sources'!$B$289:$J$298,0,IF($AU56="Married",4,IF($AU56="Head of household",7,1))))*INDEX('Methodology &amp; Sources'!$B$289:$J$298,0,IF($AU56="Married",4,IF($AU56="Head of household",7,1))+2))-VLOOKUP($AN56,'StateTables 2026'!$A$6:$AB$56,11,FALSE)*$AS56)/Inputs!$C$8)+Inputs!$C$25+VLOOKUP($AN56,'StateTables 2026'!$A$6:$AB$56,13,FALSE)*$D56,2),IF(VLOOKUP($AN56,'StateTables 2026'!$A$6:$AB$56,4,FALSE)="None",0,IF(ISNUMBER(SEARCH("MANUAL",VLOOKUP($AN56,'StateTables 2026'!$A$6:$AB$56,5,FALSE))),Inputs!$C$28,ROUND(MAX(0,$BA56+$BB56)/Inputs!$C$8+Inputs!$C$25+$BC56,2))))))</f>
      </c>
      <c r="U56" s="7">
        <f>IF($B56="","",IF(VLOOKUP($AN56,'StateTables 2026'!$A$6:$AB$56,24,FALSE)="flatq",IF(OR(MONTH($B56)=1,MONTH($B56)=4,MONTH($B56)=7,MONTH($B56)=10),VLOOKUP($AN56,'StateTables 2026'!$A$6:$AB$56,25,FALSE),0),IF(VLOOKUP($AN56,'StateTables 2026'!$A$6:$AB$56,24,FALSE)="dbl",MIN(ROUND(0.005*$N56,2),ROUND(0.6*52/Inputs!$C$8,2)),IF(OR(VLOOKUP($AN56,'StateTables 2026'!$A$6:$AB$56,15,FALSE)="",VLOOKUP($AN56,'StateTables 2026'!$A$6:$AB$56,15,FALSE)=0),0,ROUND(VLOOKUP($AN56,'StateTables 2026'!$A$6:$AB$56,15,FALSE)*IF(OR(VLOOKUP($AN56,'StateTables 2026'!$A$6:$AB$56,16,FALSE)="",VLOOKUP($AN56,'StateTables 2026'!$A$6:$AB$56,16,FALSE)=0),$N56,MIN($N56,MAX(0,VLOOKUP($AN56,'StateTables 2026'!$A$6:$AB$56,16,FALSE)-($AX56+$AB55-$AW56)))),2))))+IF(VLOOKUP($AN56,'StateTables 2026'!$A$6:$AB$56,27,FALSE)="flatq",IF(OR(MONTH($B56)=1,MONTH($B56)=4,MONTH($B56)=7,MONTH($B56)=10),VLOOKUP($AN56,'StateTables 2026'!$A$6:$AB$56,28,FALSE),0),IF(VLOOKUP($AN56,'StateTables 2026'!$A$6:$AB$56,27,FALSE)="dbl",MIN(ROUND(0.005*$N56,2),ROUND(0.6*52/Inputs!$C$8,2)),IF(OR(VLOOKUP($AN56,'StateTables 2026'!$A$6:$AB$56,18,FALSE)="",VLOOKUP($AN56,'StateTables 2026'!$A$6:$AB$56,18,FALSE)=0),0,ROUND(VLOOKUP($AN56,'StateTables 2026'!$A$6:$AB$56,18,FALSE)*IF(OR(VLOOKUP($AN56,'StateTables 2026'!$A$6:$AB$56,19,FALSE)="",VLOOKUP($AN56,'StateTables 2026'!$A$6:$AB$56,19,FALSE)=0),$N56,MIN($N56,MAX(0,VLOOKUP($AN56,'StateTables 2026'!$A$6:$AB$56,19,FALSE)-($AX56+$AB55-$AW56)))),2)))))</f>
      </c>
      <c r="V56" s="7">
        <f>IF($B56="","",IF($AN56="NY",IF(Inputs!$C$78,ROUND(SUMPRODUCT((MAX(0,($O56-$D56)*Inputs!$C$8-(IF($AU56="Married",5500,5000)+1000*$AS56))&gt;INDEX('Methodology &amp; Sources'!$B$434:$J$448,0,4))*(MAX(0,($O56-$D56)*Inputs!$C$8-(IF($AU56="Married",5500,5000)+1000*$AS56))-INDEX('Methodology &amp; Sources'!$B$434:$J$448,0,4))*INDEX('Methodology &amp; Sources'!$B$434:$J$448,0,4+2))/Inputs!$C$8+0.0425*$D56,2),0)+IF(Inputs!$C$79="Resident",ROUND(0.1675*$T56,2),IF(Inputs!$C$79="Nonresident",ROUND(0.005*MAX(0,($O56-$D56)-(IF($AU56="Married",7950,7400)+1000*$AS56)/Inputs!$C$8),2),0)),IF($AN56="PA",IF(Inputs!$C$80="None",Inputs!$C$27+ROUND(Inputs!$C$81*($C56+$D56),2),ROUND(IF(Inputs!$C$80="Resident",IF($B56&lt;DATE(2026,7,1),0.0374,0.03735),IF($B56&lt;DATE(2026,7,1),0.0343,0.03425))*($C56+$D56),2)),IF($BF56=0,ROUND(Inputs!$C$81*($C56+$D56),2),Inputs!$C$27+ROUND(Inputs!$C$81*($C56+$D56),2)))))</f>
      </c>
      <c r="W56" s="7">
        <f>IF($B56="","",IF($BF56=0,0,$BP56))</f>
      </c>
      <c r="X56" s="7">
        <f>IF($B56="","",SUM($E56:$K56)+$P56+$Q56+$R56+$S56+$T56+$U56+$V56+$W56)</f>
      </c>
      <c r="Y56" s="22">
        <f>IF($B56="","",$C56+$D56-$X56)</f>
      </c>
      <c r="Z56" s="7">
        <f>IF($B56="","",$Z55+$C56+$D56)</f>
      </c>
      <c r="AA56" s="7">
        <f>IF($B56="","",$AA55+$Y56)</f>
      </c>
      <c r="AB56" s="7">
        <f>IF($B56="","",$AB55+MIN($N56,MAX(0,'Methodology &amp; Sources'!$C$253-($AX56+$AB55-$AW56))))</f>
      </c>
      <c r="AC56" s="7">
        <f>IF($B56="","",$AC55+$E56+$F56)</f>
      </c>
      <c r="AD56" s="3">
        <f>IF($B56="","",IF(AND($AB55&lt;'Methodology &amp; Sources'!$C$253,$AB56&gt;='Methodology &amp; Sources'!$C$253),"★ Social Security maxed on this check — from the next check your net rises by about $"&amp;TEXT(ROUND('Methodology &amp; Sources'!$C$254*$N56,2),"#,##0.00")&amp;". ","")&amp;IF(AND($AC55&lt;Inputs!$C$91,$AC56&gt;=Inputs!$C$91),"★ 401(k) reaches the $"&amp;TEXT(Inputs!$C$91,"#,##0")&amp;" cap on this check — deferrals stop and net pay rises. ","")&amp;IF(AND($AG55&lt;'Methodology &amp; Sources'!$C$257,$AG56&gt;='Methodology &amp; Sources'!$C$257),"★ Wages pass $200,000 — the 0.9% Additional Medicare Tax starts here. ","")&amp;IF(AND($BJ56&gt;0,$H56&gt;0,$BG55&lt;MIN($BJ56,'Methodology &amp; Sources'!$C$263),$BG55+$H56&gt;=MIN($BJ56,'Methodology &amp; Sources'!$C$263)),"★ Health FSA election is now fully deferred for the year. ",""))</f>
      </c>
      <c r="AE56" s="41" t="n"/>
      <c r="AF56" s="7">
        <f>IF(OR($B56="",$AE56=""),"",$AE56-$Y56)</f>
      </c>
      <c r="AG56" s="7">
        <f>IF($B56="","",$AG55+$N56)</f>
      </c>
      <c r="AH56" s="7">
        <f>IF($B56="","",MAX(0,($M56-$D56)*Inputs!$C$8+$AP56-$AQ56-IF(Inputs!$C$13,0,IF(Inputs!$C$12="MFJ",'Methodology &amp; Sources'!$C$258,'Methodology &amp; Sources'!$C$259))))</f>
      </c>
      <c r="AI56" s="7">
        <f>IF($B56="","",$O56*Inputs!$C$8)</f>
      </c>
      <c r="AJ56" s="7">
        <f>IF($B56="","",MAX(0,$AI56-VLOOKUP($AN56,'StateTables 2026'!$A$6:$AB$56,12,FALSE)*$AT56-IF(($AS56+$AT56)&gt;=2,VLOOKUP($AN56,'StateTables 2026'!$A$6:$AB$56,8,FALSE),VLOOKUP($AN56,'StateTables 2026'!$A$6:$AB$56,7,FALSE))))</f>
      </c>
      <c r="AK56" s="7">
        <f>IF($B56="","",IFERROR(LOOKUP(2,1/((Events!$C$6:$C$17="Salary change")*(Events!$B$6:$B$17&lt;=$B56)*(Events!$B$6:$B$17&lt;&gt;"")),Events!$D$6:$D$17),IF(Inputs!$C$4="Annual salary",Inputs!$C$5,Inputs!$C$6)))</f>
      </c>
      <c r="AL56">
        <f>IF($B56="","",IFERROR(LOOKUP(2,1/((Events!$C$6:$C$17="401(k) change")*(Events!$B$6:$B$17&lt;=$B56)*(Events!$B$6:$B$17&lt;&gt;"")),Events!$D$6:$D$17),Inputs!$C$30))</f>
      </c>
      <c r="AM56" s="7">
        <f>IF($B56="","",IFERROR(LOOKUP(2,1/((Events!$C$6:$C$17="401(k) change")*(Events!$B$6:$B$17&lt;=$B56)*(Events!$B$6:$B$17&lt;&gt;"")),Events!$E$6:$E$17),Inputs!$D$30))</f>
      </c>
      <c r="AN56">
        <f>IF($B56="","",IFERROR(LOOKUP(2,1/((Events!$C$6:$C$17="State move")*(Events!$B$6:$B$17&lt;=$B56)*(Events!$B$6:$B$17&lt;&gt;"")),Events!$D$6:$D$17),Inputs!$C$21))</f>
      </c>
      <c r="AO56" s="7">
        <f>IF($B56="","",IFERROR(LOOKUP(2,1/((Events!$C$6:$C$17="W-4 change")*(Events!$B$6:$B$17&lt;=$B56)*(Events!$B$6:$B$17&lt;&gt;"")),Events!$D$6:$D$17),Inputs!$C$14))</f>
      </c>
      <c r="AP56" s="7">
        <f>IF($B56="","",IFERROR(LOOKUP(2,1/((Events!$C$6:$C$17="W-4 change")*(Events!$B$6:$B$17&lt;=$B56)*(Events!$B$6:$B$17&lt;&gt;"")),Events!$E$6:$E$17),Inputs!$C$15))</f>
      </c>
      <c r="AQ56" s="7">
        <f>IF($B56="","",IFERROR(LOOKUP(2,1/((Events!$C$6:$C$17="W-4 change")*(Events!$B$6:$B$17&lt;=$B56)*(Events!$B$6:$B$17&lt;&gt;"")),Events!$F$6:$F$17),Inputs!$C$16))</f>
      </c>
      <c r="AR56" s="7">
        <f>IF($B56="","",IFERROR(LOOKUP(2,1/((Events!$C$6:$C$17="W-4 change")*(Events!$B$6:$B$17&lt;=$B56)*(Events!$B$6:$B$17&lt;&gt;"")),Events!$G$6:$G$17),Inputs!$C$17))</f>
      </c>
      <c r="AS56" s="6">
        <f>IF($B56="","",IFERROR(LOOKUP(2,1/(((Events!$C$6:$C$17="State move")+(Events!$C$6:$C$17="State cert change"))*(Events!$B$6:$B$17&lt;=$B56)*(Events!$B$6:$B$17&lt;&gt;"")),Events!$F$6:$F$17),Inputs!$C$23))</f>
      </c>
      <c r="AT56" s="6">
        <f>IF($B56="","",IFERROR(LOOKUP(2,1/(((Events!$C$6:$C$17="State move")+(Events!$C$6:$C$17="State cert change"))*(Events!$B$6:$B$17&lt;=$B56)*(Events!$B$6:$B$17&lt;&gt;"")),Events!$G$6:$G$17),Inputs!$C$24))</f>
      </c>
      <c r="AU56">
        <f>IF($B56="","",IFERROR(LOOKUP(2,1/((Events!$C$6:$C$17="State move")*(Events!$B$6:$B$17&lt;=$B56)*(Events!$B$6:$B$17&lt;&gt;"")),Events!$E$6:$E$17),Inputs!$C$22))</f>
      </c>
      <c r="AV56" s="6">
        <f>IF($B56="","",1+COUNTIFS(Events!$C$6:$C$17,"Employer change",Events!$B$6:$B$17,"&lt;="&amp;$B56,Events!$B$6:$B$17,"&lt;&gt;"))</f>
      </c>
      <c r="AW56" s="7">
        <f>IF($B56="","",IF($AV56=1,Inputs!$C$49,IF(IFERROR(MATCH(IFERROR(LOOKUP(2,1/((Events!$C$6:$C$17="Employer change")*(Events!$B$6:$B$17&lt;=$B56)*(Events!$B$6:$B$17&lt;&gt;"")),Events!$B$6:$B$17),""),$B$6:$B$68,1),1)&lt;=1,Inputs!$C$49,INDEX($AB$6:$AB$68,MATCH(IFERROR(LOOKUP(2,1/((Events!$C$6:$C$17="Employer change")*(Events!$B$6:$B$17&lt;=$B56)*(Events!$B$6:$B$17&lt;&gt;"")),Events!$B$6:$B$17),""),$B$6:$B$68,1)-1))))</f>
      </c>
      <c r="AX56" s="7">
        <f>IF($B56="","",IF($AV56=1,Inputs!$C$49,IFERROR(LOOKUP(2,1/((Events!$C$6:$C$17="Employer change")*(Events!$B$6:$B$17&lt;=$B56)*(Events!$B$6:$B$17&lt;&gt;"")),Events!$D$6:$D$17),0)))</f>
      </c>
      <c r="AY56" s="7">
        <f>IF($B56="","",($O56-$D56)*Inputs!$C$8)</f>
      </c>
      <c r="AZ56" s="7">
        <f>IF($B56="","",IF($AN56="AL",MAX(0,$AY56-IF($AU56="Married",IF($AY56&lt;=25999,8500,MAX(5000,8500-175*CEILING(($AY56-25999)/500,1))),IF($AU56="Head of household",IF($AY56&lt;=25999,5200,MAX(2500,5200-135*CEILING(($AY56-25999)/500,1))),IF($AY56&lt;=25999,3000,MAX(2500,3000-25*CEILING(($AY56-25999)/500,1)))))-($P56-'Methodology &amp; Sources'!$C$260*$D56)*Inputs!$C$8-IF(OR($AU56="Married",$AU56="Head of household"),3000,1500)-$AT56*IF($AY56&lt;=50000,1000,IF($AY56&lt;=100000,500,300))),IF($AN56="AR",IF(MAX(0,$AY56-2470)&lt;97701,INT(MAX(0,$AY56-2470)/100)*100+50,MAX(0,$AY56-2470)),IF($AN56="DE",MAX(0,$AI56-3250),IF($AN56="HI",MAX(0,$AI56-1144*$AS56-4350),IF($AN56="KS",MAX(0,$AI56-(9160*IF($AU56="Married",2,1)+2320*$AT56+IF($AU56="Head of household",2320,0))),IF($AN56="MD",MAX(0,$AI56-3400-3200*$AS56),IF($AN56="MN",MAX(0,$AY56-5300*$AS56),IF($AN56="MO",MAX(0,$AI56-IF($AU56="Head of household",24150,IF($AU56="Married",IF(Inputs!$C$83,16100,32200),16100))),IF($AN56="MT",$AY56,IF($AN56="ND",($C56+$L56)*Inputs!$C$8,IF($AN56="NE",MAX(0,$AY56-2440*$AS56),IF($AN56="NJ",MAX(0,$AY56-1000*$AS56),IF($AN56="NY",MAX(0,$AY56-(IF($AU56="Married",7950,7400)+1000*$AS56)),IF($AN56="OH",MAX(0,$AY56-650*$AS56),IF($AN56="OK",MAX(0,$AY56-1000*$AS56),IF($AN56="RI",MAX(0,$AI56-1000*$AS56),IF($AN56="SC",MAX(0,$AI56-5000*$AS56-IF($AS56=0,0,MIN(0.1*$AI56,7500))),IF($AN56="VA",MAX(0,$AI56-IF($AU56="Married",17500,8750)-930*$AS56-800*$AT56),IF($AN56="VT",MAX(0,$AI56-5400*$AS56),IF($AN56="WI",MAX(0,$AI56-MAX(0,IF($AU56="Married",9461-0.2*MAX(0,$AI56-25727),6702-0.12*MAX(0,$AI56-17780)))-400*$AS56),IF($AN56="WV",MAX(0,$AI56-2000*$AS56),$AI56))))))))))))))))))))))</f>
      </c>
      <c r="BA56" s="7">
        <f>IF($B56="","",IF($BW56&lt;&gt;"",$BW56,IF($BX56&lt;&gt;"",$BX56,IF($BY56&lt;&gt;"",$BY56,0))))</f>
      </c>
      <c r="BB56" s="7">
        <f>IF($B56="","",IF($AN56="AR",-29*$AS56,IF($AN56="DE",-110*$AS56,IF($AN56="MD",$AZ56*Inputs!$C$74,IF($AN56="AZ",Inputs!$C$82*($M56-$D56)*Inputs!$C$8,IF($AN56="CO",0.044*MAX(0,$AY56-IF($AU56="Married",10000,5000)),IF($AN56="IA",MAX(0,0.038*MAX(0,$AY56-IF($AU56="Head of household",19500,IF($AU56="Married",26000,13000)))-40*$AS56),IF($AN56="ID",0.053*MAX(0,$AY56-IF($AU56="Married",32000,16094)),IF($AN56="IL",0.0495*MAX(0,$AY56-(2925*$AS56+1000*$AT56)),IF($AN56="IN",(0.0295+Inputs!$C$76)*MAX(0,$AY56-(1000*$AS56+1500*$AT56+3000*Inputs!$C$86)),IF($AN56="KY",0.035*MAX(0,$AI56-3360),IF($AN56="LA",IF(Inputs!$C$84="0",0.0309*$AI56,0.0309*MAX(0,$AI56-IF(Inputs!$C$84="2",25750,12875))),IF($AN56="MA",0.05*MIN(MAX(0,$AY56-MIN(($BD55+$Q56+$R56+$S56),2000)-IF($AS56=0,0,IF($AS56=1,4400,1000*$AS56+3400))),1107750)+0.09*MAX(0,MAX(0,$AY56-MIN(($BD55+$Q56+$R56+$S56),2000)-IF($AS56=0,0,IF($AS56=1,4400,1000*$AS56+3400)))-1107750)-IF($AU56="Head of household",120,0)-110*Inputs!$C$75,IF($AN56="MI",0.0425*MAX(0,$AY56-5900*$AS56),IF($AN56="MS",0.04*MAX(0,$AI56-IF($AU56="Head of household",3400,IF($AU56="Married",4600,2300))-Inputs!$C$85-10000),IF($AN56="OR",IF(OR($AU56="Married",AND($AU56="Single",$AS56&gt;=3)),SUMPRODUCT((MAX(0,$AY56-MIN(($P56-'Methodology &amp; Sources'!$C$260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Sources'!$B$461:$J$464,0,4))*(MAX(0,$AY56-MIN(($P56-'Methodology &amp; Sources'!$C$260*$D56)*Inputs!$C$8,IF(OR($AU56="Married",AND($AU56="Single",$AS56&gt;=3)),IF($AY56&lt;250000,8750,IF($AY56&lt;260000,7000,IF($AY56&lt;270000,5250,IF($AY56&lt;280000,3500,IF($AY56&lt;290000,1750,0))))),IF($AY56&lt;125000,8750,IF($AY56&lt;130000,7000,IF($AY56&lt;135000,5250,IF($AY56&lt;140000,3500,IF($AY56&lt;145000,1750,0)))))))-IF(OR($AU56="Married",AND($AU56="Single",$AS56&gt;=3)),5820,2910))-INDEX('Methodology &amp; Sources'!$B$461:$J$464,0,4))*INDEX('Methodology &amp; Sources'!$B$461:$J$464,0,4+2)),SUMPRODUCT((MAX(0,$AY56-MIN(($P56-'Methodology &amp; Sources'!$C$260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Sources'!$B$461:$J$464,0,1))*(MAX(0,$AY56-MIN(($P56-'Methodology &amp; Sources'!$C$260*$D56)*Inputs!$C$8,IF(OR($AU56="Married",AND($AU56="Single",$AS56&gt;=3)),IF($AY56&lt;250000,8750,IF($AY56&lt;260000,7000,IF($AY56&lt;270000,5250,IF($AY56&lt;280000,3500,IF($AY56&lt;290000,1750,0))))),IF($AY56&lt;125000,8750,IF($AY56&lt;130000,7000,IF($AY56&lt;135000,5250,IF($AY56&lt;140000,3500,IF($AY56&lt;145000,1750,0)))))))-IF(OR($AU56="Married",AND($AU56="Single",$AS56&gt;=3)),5820,2910))-INDEX('Methodology &amp; Sources'!$B$461:$J$464,0,1))*INDEX('Methodology &amp; Sources'!$B$461:$J$464,0,1+2)))+263-263*IF(IF($AU56="Married",$AY56&gt;200000,$AY56&gt;100000),0,$AS56),IF($AN56="PA",0.0307*(($O56+$E56+$G56)*Inputs!$C$8),IF($AN56="NY",IF($AU56="Married",IF($AZ56&gt;=2155350,0,IF($AZ56&gt;=1077550,0.48,IF($AZ56&gt;=373200,1.21,IF($AZ56&gt;=323200,0.21,IF($AZ56&gt;=211550,-0.19,IF($AZ56&gt;=157650,-2.8,IF($AZ56&gt;=107650,-0.8,IF($AZ56&gt;=96800,0.05,IF($AZ56&gt;=80650,-0.1,IF($AZ56&gt;=13900,0.4,IF($AZ56&gt;=11700,-0.3,IF($AZ56&gt;=8500,0.5,0)))))))))))),IF($AZ56&gt;=1077550,0,IF($AZ56&gt;=265400,4.29,IF($AZ56&gt;=215400,2.29,IF($AZ56&gt;=157650,2.29,IF($AZ56&gt;=107650,0.29,IF($AZ56&gt;=96800,0.05,IF($AZ56&gt;=80650,-0.1,IF($AZ56&gt;=13900,0.4,IF($AZ56&gt;=11700,-0.3,IF($AZ56&gt;=8500,0.5,0))))))))))),0))))))))))))))))))</f>
      </c>
      <c r="BC56" s="7">
        <f>IF($B56="","",IF($AN56="AL",0.05*$D56,IF($AN56="AR",0.039*$D56,IF($AN56="ID",0.053*$D56,IF($AN56="IN",(0.0295+Inputs!$C$76)*$D56,IF($AN56="KS",0.05*$D56,IF($AN56="MA",0.09*MIN($D56,MAX(0,MAX(0,$AY56-MIN(($BD55+$Q56+$R56+$S56),2000)-IF($AS56=0,0,IF($AS56=1,4400,1000*$AS56+3400)))+$D56-1107750))+0.05*($D56-MIN($D56,MAX(0,MAX(0,$AY56-MIN(($BD55+$Q56+$R56+$S56),2000)-IF($AS56=0,0,IF($AS56=1,4400,1000*$AS56+3400)))+$D56-1107750))),IF($AN56="MD",(0.065+Inputs!$C$74)*$D56,IF($AN56="MI",0.0425*$D56,IF($AN56="MN",0.0625*$D56,IF($AN56="MO",0.047*$D56,IF($AN56="MT",0.05*$D56,IF($AN56="ND",0.015*$D56,IF($AN56="NE",0.035*$D56,IF($AN56="NJ",IF(Inputs!$C$77="B",SUMPRODUCT(($D56*Inputs!$C$8&gt;INDEX('Methodology &amp; Sources'!$B$405:$J$412,0,4))*($D56*Inputs!$C$8-INDEX('Methodology &amp; Sources'!$B$405:$J$412,0,4))*INDEX('Methodology &amp; Sources'!$B$405:$J$412,0,4+2)),IF(Inputs!$C$77="C",SUMPRODUCT(($D56*Inputs!$C$8&gt;INDEX('Methodology &amp; Sources'!$B$405:$J$412,0,7))*($D56*Inputs!$C$8-INDEX('Methodology &amp; Sources'!$B$405:$J$412,0,7))*INDEX('Methodology &amp; Sources'!$B$405:$J$412,0,7+2)),IF(Inputs!$C$77="D",SUMPRODUCT(($D56*Inputs!$C$8&gt;INDEX('Methodology &amp; Sources'!$B$417:$J$429,0,1))*($D56*Inputs!$C$8-INDEX('Methodology &amp; Sources'!$B$417:$J$429,0,1))*INDEX('Methodology &amp; Sources'!$B$417:$J$429,0,1+2)),IF(Inputs!$C$77="E",SUMPRODUCT(($D56*Inputs!$C$8&gt;INDEX('Methodology &amp; Sources'!$B$417:$J$429,0,4))*($D56*Inputs!$C$8-INDEX('Methodology &amp; Sources'!$B$417:$J$429,0,4))*INDEX('Methodology &amp; Sources'!$B$417:$J$429,0,4+2)),SUMPRODUCT(($D56*Inputs!$C$8&gt;INDEX('Methodology &amp; Sources'!$B$405:$J$412,0,1))*($D56*Inputs!$C$8-INDEX('Methodology &amp; Sources'!$B$405:$J$412,0,1))*INDEX('Methodology &amp; Sources'!$B$405:$J$412,0,1+2))))))/Inputs!$C$8,IF($AN56="NY",0.117*$D56,IF($AN56="OH",0.0275*$D56,IF($AN56="OK",0.045*$D56,IF($AN56="OR",0.08*$D56,IF($AN56="WI",IF($AY56&lt;12760,0.0354,IF($AY56&lt;25520,0.0465,IF($AY56&lt;280950,0.053,0.0765)))*$D56,0))))))))))))))))))))</f>
      </c>
      <c r="BD56" s="7">
        <f>IF($B56="","",$BD55+$Q56+$R56+$S56)</f>
      </c>
      <c r="BE56" s="6">
        <f>IF($B56="",$BE55,$BE55+$BF56)</f>
      </c>
      <c r="BF56" s="6">
        <f>IF($B56="","",IF(AND(IF(YEAR(IF(Inputs!$C$7="Weekly",Inputs!$C$9+7*(($BE55+1)-1),IF(Inputs!$C$7="Biweekly",Inputs!$C$9+14*(($BE55+1)-1),IF(Inputs!$C$7="Semimonthly",DATE(YEAR(Inputs!$C$9),MONTH(Inputs!$C$9)+INT((($BE55+1)-1)/2),MIN(DAY(Inputs!$C$9),DAY(EOMONTH(DATE(YEAR(Inputs!$C$9),MONTH(Inputs!$C$9)+INT((($BE55+1)-1)/2),1),0))))+IF(MOD(($BE55+1)-1,2)=1,15,0),EDATE(Inputs!$C$9,($BE55+1)-1)))))&lt;&gt;2026,"",IF(Inputs!$C$7="Weekly",Inputs!$C$9+7*(($BE55+1)-1),IF(Inputs!$C$7="Biweekly",Inputs!$C$9+14*(($BE55+1)-1),IF(Inputs!$C$7="Semimonthly",DATE(YEAR(Inputs!$C$9),MONTH(Inputs!$C$9)+INT((($BE55+1)-1)/2),MIN(DAY(Inputs!$C$9),DAY(EOMONTH(DATE(YEAR(Inputs!$C$9),MONTH(Inputs!$C$9)+INT((($BE55+1)-1)/2),1),0))))+IF(MOD(($BE55+1)-1,2)=1,15,0),EDATE(Inputs!$C$9,($BE55+1)-1)))))&lt;&gt;"",$B56=IF(YEAR(IF(Inputs!$C$7="Weekly",Inputs!$C$9+7*(($BE55+1)-1),IF(Inputs!$C$7="Biweekly",Inputs!$C$9+14*(($BE55+1)-1),IF(Inputs!$C$7="Semimonthly",DATE(YEAR(Inputs!$C$9),MONTH(Inputs!$C$9)+INT((($BE55+1)-1)/2),MIN(DAY(Inputs!$C$9),DAY(EOMONTH(DATE(YEAR(Inputs!$C$9),MONTH(Inputs!$C$9)+INT((($BE55+1)-1)/2),1),0))))+IF(MOD(($BE55+1)-1,2)=1,15,0),EDATE(Inputs!$C$9,($BE55+1)-1)))))&lt;&gt;2026,"",IF(Inputs!$C$7="Weekly",Inputs!$C$9+7*(($BE55+1)-1),IF(Inputs!$C$7="Biweekly",Inputs!$C$9+14*(($BE55+1)-1),IF(Inputs!$C$7="Semimonthly",DATE(YEAR(Inputs!$C$9),MONTH(Inputs!$C$9)+INT((($BE55+1)-1)/2),MIN(DAY(Inputs!$C$9),DAY(EOMONTH(DATE(YEAR(Inputs!$C$9),MONTH(Inputs!$C$9)+INT((($BE55+1)-1)/2),1),0))))+IF(MOD(($BE55+1)-1,2)=1,15,0),EDATE(Inputs!$C$9,($BE55+1)-1)))))),1,0))</f>
      </c>
      <c r="BG56" s="7">
        <f>IF($B56="","",$BG55+$H56)</f>
      </c>
      <c r="BH56" s="7">
        <f>IF($B56="","",$BH55+$I56)</f>
      </c>
      <c r="BI56" s="7">
        <f>IF($B56="","",$BI55+$G56)</f>
      </c>
      <c r="BJ56" s="7">
        <f>IF($B56="","",IFERROR(LOOKUP(2,1/((((Events!$C$6:$C$17="Deduction start"))*(Events!$D$6:$D$17="Health FSA"))*(Events!$B$6:$B$17&lt;=$B56)*(Events!$B$6:$B$17&lt;&gt;"")),Events!$E$6:$E$17),Inputs!$D$38))</f>
      </c>
      <c r="BK56" s="7">
        <f>IF($B56="","",IFERROR(LOOKUP(2,1/((((Events!$C$6:$C$17="Deduction start"))*(Events!$D$6:$D$17="Dependent-care FSA"))*(Events!$B$6:$B$17&lt;=$B56)*(Events!$B$6:$B$17&lt;&gt;"")),Events!$E$6:$E$17),Inputs!$D$39))</f>
      </c>
      <c r="BL56" s="7">
        <f>IF($B56="","",IFERROR(LOOKUP(2,1/((((Events!$C$6:$C$17="Deduction start")+(Events!$C$6:$C$17="Deduction stop"))*(Events!$D$6:$D$17="HSA"))*(Events!$B$6:$B$17&lt;=$B56)*(Events!$B$6:$B$17&lt;&gt;"")),Events!$I$6:$I$17),Inputs!$D$35))</f>
      </c>
      <c r="BM56" s="7">
        <f>IF($B56="","",IFERROR(LOOKUP(2,1/((((Events!$C$6:$C$17="Deduction start")+(Events!$C$6:$C$17="Deduction stop"))*(Events!$D$6:$D$17="Premiums"))*(Events!$B$6:$B$17&lt;=$B56)*(Events!$B$6:$B$17&lt;&gt;"")),Events!$I$6:$I$17),Inputs!$D$40+Inputs!$D$41+Inputs!$D$42))</f>
      </c>
      <c r="BN56" s="7">
        <f>IF($B56="","",IFERROR(LOOKUP(2,1/((((Events!$C$6:$C$17="Deduction start")+(Events!$C$6:$C$17="Deduction stop"))*(Events!$D$6:$D$17="Commuter"))*(Events!$B$6:$B$17&lt;=$B56)*(Events!$B$6:$B$17&lt;&gt;"")),Events!$I$6:$I$17),Inputs!$D$43))</f>
      </c>
      <c r="BO56" s="7">
        <f>IF($B56="","",IFERROR(LOOKUP(2,1/((((Events!$C$6:$C$17="Deduction start")+(Events!$C$6:$C$17="Deduction stop"))*(Events!$D$6:$D$17="Other pre-tax"))*(Events!$B$6:$B$17&lt;=$B56)*(Events!$B$6:$B$17&lt;&gt;"")),Events!$I$6:$I$17),Inputs!$D$44))</f>
      </c>
      <c r="BP56" s="7">
        <f>IF($B56="","",IFERROR(LOOKUP(2,1/((((Events!$C$6:$C$17="Deduction start")+(Events!$C$6:$C$17="Deduction stop"))*(Events!$D$6:$D$17="Other post-tax"))*(Events!$B$6:$B$17&lt;=$B56)*(Events!$B$6:$B$17&lt;&gt;"")),Events!$I$6:$I$17),Inputs!$D$45))</f>
      </c>
      <c r="BQ56" s="6">
        <f>IF($B56="","",IFERROR(LOOKUP(2,1/((((Events!$C$6:$C$17="Deduction start")+(Events!$C$6:$C$17="Deduction stop"))*(Events!$D$6:$D$17="Health FSA"))*(Events!$B$6:$B$17&lt;=$B56)*(Events!$B$6:$B$17&lt;&gt;"")),Events!$J$6:$J$17),0))</f>
      </c>
      <c r="BR56" s="6">
        <f>IF($B56="","",IFERROR(LOOKUP(2,1/((((Events!$C$6:$C$17="Deduction start")+(Events!$C$6:$C$17="Deduction stop"))*(Events!$D$6:$D$17="Dependent-care FSA"))*(Events!$B$6:$B$17&lt;=$B56)*(Events!$B$6:$B$17&lt;&gt;"")),Events!$J$6:$J$17),0))</f>
      </c>
      <c r="BS56" s="6">
        <f>IF($B56="","",IF(SUMPRODUCT((Events!$C$6:$C$17="Deduction start")*(Events!$B$6:$B$17&lt;=$B56)*(Events!$B$6:$B$17&lt;&gt;"")*(Events!$D$6:$D$17="Health FSA"))&gt;0,1,0))</f>
      </c>
      <c r="BT56" s="6">
        <f>IF($B56="","",IF(SUMPRODUCT((Events!$C$6:$C$17="Deduction start")*(Events!$B$6:$B$17&lt;=$B56)*(Events!$B$6:$B$17&lt;&gt;"")*(Events!$D$6:$D$17="Dependent-care FSA"))&gt;0,1,0))</f>
      </c>
      <c r="BU56" s="24">
        <f>IF($B56="","",IF(Inputs!$C$13,SUMPRODUCT(($AH56&gt;=INDEX('Methodology &amp; Sources'!$B$279:$J$286,0,IF(Inputs!$C$12="MFJ",1,IF(Inputs!$C$12="HoH",7,4))))*INDEX('Methodology &amp; Sources'!$B$279:$J$286,0,IF(Inputs!$C$12="MFJ",1,IF(Inputs!$C$12="HoH",7,4))+2)),SUMPRODUCT(($AH56&gt;=INDEX('Methodology &amp; Sources'!$B$269:$J$276,0,IF(Inputs!$C$12="MFJ",1,IF(Inputs!$C$12="HoH",7,4))))*INDEX('Methodology &amp; Sources'!$B$269:$J$276,0,IF(Inputs!$C$12="MFJ",1,IF(Inputs!$C$12="HoH",7,4))+2))))</f>
      </c>
      <c r="BV56" s="24">
        <f>IF($B56="","",IF($BZ56&lt;&gt;"",$BZ56,IF($CA56&lt;&gt;"",$CA56,IF($CB56&lt;&gt;"",$CB56,IF($CC56&lt;&gt;"",$CC56,0)))))</f>
      </c>
      <c r="BW56" s="7">
        <f>IF($B56="","",IF($AN56="MD",IF(OR($AU56="Married",$AU56="Head of household"),SUMPRODUCT(($AZ56&gt;INDEX('Methodology &amp; Sources'!$B$364:$J$370,0,1))*($AZ56-INDEX('Methodology &amp; Sources'!$B$364:$J$370,0,1))*INDEX('Methodology &amp; Sources'!$B$364:$J$370,0,1+2)),SUMPRODUCT(($AZ56&gt;INDEX('Methodology &amp; Sources'!$B$353:$J$359,0,7))*($AZ56-INDEX('Methodology &amp; Sources'!$B$353:$J$359,0,7))*INDEX('Methodology &amp; Sources'!$B$353:$J$359,0,7+2))),IF($AN56="MO",SUMPRODUCT(($AZ56&gt;INDEX('Methodology &amp; Sources'!$B$375:$J$382,0,1))*($AZ56-INDEX('Methodology &amp; Sources'!$B$375:$J$382,0,1))*INDEX('Methodology &amp; Sources'!$B$375:$J$382,0,1+2)),IF($AN56="MT",IF($AU56="Head of household",SUMPRODUCT(($AZ56&gt;INDEX('Methodology &amp; Sources'!$B$387:$J$389,0,1))*($AZ56-INDEX('Methodology &amp; Sources'!$B$387:$J$389,0,1))*INDEX('Methodology &amp; Sources'!$B$387:$J$389,0,1+2)),IF($AU56="Married",SUMPRODUCT(($AZ56&gt;INDEX('Methodology &amp; Sources'!$B$375:$J$382,0,7))*($AZ56-INDEX('Methodology &amp; Sources'!$B$375:$J$382,0,7))*INDEX('Methodology &amp; Sources'!$B$375:$J$382,0,7+2)),SUMPRODUCT(($AZ56&gt;INDEX('Methodology &amp; Sources'!$B$375:$J$382,0,4))*($AZ56-INDEX('Methodology &amp; Sources'!$B$375:$J$382,0,4))*INDEX('Methodology &amp; Sources'!$B$375:$J$382,0,4+2)))),IF($AN56="ND",IF($AU56="Head of household",SUMPRODUCT(($AZ56&gt;INDEX('Methodology &amp; Sources'!$B$394:$J$400,0,1))*($AZ56-INDEX('Methodology &amp; Sources'!$B$394:$J$400,0,1))*INDEX('Methodology &amp; Sources'!$B$394:$J$400,0,1+2)),IF($AU56="Married",SUMPRODUCT(($AZ56&gt;INDEX('Methodology &amp; Sources'!$B$387:$J$389,0,7))*($AZ56-INDEX('Methodology &amp; Sources'!$B$387:$J$389,0,7))*INDEX('Methodology &amp; Sources'!$B$387:$J$389,0,7+2)),SUMPRODUCT(($AZ56&gt;INDEX('Methodology &amp; Sources'!$B$387:$J$389,0,4))*($AZ56-INDEX('Methodology &amp; Sources'!$B$387:$J$389,0,4))*INDEX('Methodology &amp; Sources'!$B$387:$J$389,0,4+2)))),IF($AN56="NJ",IF(Inputs!$C$77="B",SUMPRODUCT(($AZ56&gt;INDEX('Methodology &amp; Sources'!$B$405:$J$412,0,4))*($AZ56-INDEX('Methodology &amp; Sources'!$B$405:$J$412,0,4))*INDEX('Methodology &amp; Sources'!$B$405:$J$412,0,4+2)),IF(Inputs!$C$77="C",SUMPRODUCT(($AZ56&gt;INDEX('Methodology &amp; Sources'!$B$405:$J$412,0,7))*($AZ56-INDEX('Methodology &amp; Sources'!$B$405:$J$412,0,7))*INDEX('Methodology &amp; Sources'!$B$405:$J$412,0,7+2)),IF(Inputs!$C$77="D",SUMPRODUCT(($AZ56&gt;INDEX('Methodology &amp; Sources'!$B$417:$J$429,0,1))*($AZ56-INDEX('Methodology &amp; Sources'!$B$417:$J$429,0,1))*INDEX('Methodology &amp; Sources'!$B$417:$J$429,0,1+2)),IF(Inputs!$C$77="E",SUMPRODUCT(($AZ56&gt;INDEX('Methodology &amp; Sources'!$B$417:$J$429,0,4))*($AZ56-INDEX('Methodology &amp; Sources'!$B$417:$J$429,0,4))*INDEX('Methodology &amp; Sources'!$B$417:$J$429,0,4+2)),SUMPRODUCT(($AZ56&gt;INDEX('Methodology &amp; Sources'!$B$405:$J$412,0,1))*($AZ56-INDEX('Methodology &amp; Sources'!$B$405:$J$412,0,1))*INDEX('Methodology &amp; Sources'!$B$405:$J$412,0,1+2)))))),IF($AN56="NY",IF($AU56="Married",IF($AZ56&gt;=2155350,$AZ56*IF($AZ56&gt;25000000,0.117,IF($AZ56&gt;5000000,0.111,0.1045)),SUMPRODUCT(($AZ56&gt;INDEX('Methodology &amp; Sources'!$B$434:$J$448,0,1))*($AZ56-INDEX('Methodology &amp; Sources'!$B$434:$J$448,0,1))*INDEX('Methodology &amp; Sources'!$B$434:$J$448,0,1+2))),IF($AZ56&gt;=1077550,$AZ56*IF($AZ56&gt;25000000,0.117,IF($AZ56&gt;5000000,0.111,0.1045)),SUMPRODUCT(($AZ56&gt;INDEX('Methodology &amp; Sources'!$B$417:$J$429,0,7))*($AZ56-INDEX('Methodology &amp; Sources'!$B$417:$J$429,0,7))*INDEX('Methodology &amp; Sources'!$B$417:$J$429,0,7+2)))),"")))))))</f>
      </c>
      <c r="BX56" s="7">
        <f>IF($B56="","",IF($AN56="AL",IF(OR($AU56="Married",$AU56="Head of household"),SUMPRODUCT(($AZ56&gt;INDEX('Methodology &amp; Sources'!$B$332:$J$336,0,4))*($AZ56-INDEX('Methodology &amp; Sources'!$B$332:$J$336,0,4))*INDEX('Methodology &amp; Sources'!$B$332:$J$336,0,4+2)),SUMPRODUCT(($AZ56&gt;INDEX('Methodology &amp; Sources'!$B$332:$J$336,0,1))*($AZ56-INDEX('Methodology &amp; Sources'!$B$332:$J$336,0,1))*INDEX('Methodology &amp; Sources'!$B$332:$J$336,0,1+2))),IF($AN56="KS",IF($AU56="Married",SUMPRODUCT(($AZ56&gt;INDEX('Methodology &amp; Sources'!$B$353:$J$359,0,4))*($AZ56-INDEX('Methodology &amp; Sources'!$B$353:$J$359,0,4))*INDEX('Methodology &amp; Sources'!$B$353:$J$359,0,4+2)),SUMPRODUCT(($AZ56&gt;INDEX('Methodology &amp; Sources'!$B$353:$J$359,0,1))*($AZ56-INDEX('Methodology &amp; Sources'!$B$353:$J$359,0,1))*INDEX('Methodology &amp; Sources'!$B$353:$J$359,0,1+2))),IF($AN56="MN",IF($AU56="Married",SUMPRODUCT(($AZ56&gt;INDEX('Methodology &amp; Sources'!$B$364:$J$370,0,7))*($AZ56-INDEX('Methodology &amp; Sources'!$B$364:$J$370,0,7))*INDEX('Methodology &amp; Sources'!$B$364:$J$370,0,7+2)),SUMPRODUCT(($AZ56&gt;INDEX('Methodology &amp; Sources'!$B$364:$J$370,0,4))*($AZ56-INDEX('Methodology &amp; Sources'!$B$364:$J$370,0,4))*INDEX('Methodology &amp; Sources'!$B$364:$J$370,0,4+2))),IF($AN56="NE",MAX(IF($AU56="Married",SUMPRODUCT(($AZ56&gt;INDEX('Methodology &amp; Sources'!$B$394:$J$400,0,7))*($AZ56-INDEX('Methodology &amp; Sources'!$B$394:$J$400,0,7))*INDEX('Methodology &amp; Sources'!$B$394:$J$400,0,7+2)),SUMPRODUCT(($AZ56&gt;INDEX('Methodology &amp; Sources'!$B$394:$J$400,0,4))*($AZ56-INDEX('Methodology &amp; Sources'!$B$394:$J$400,0,4))*INDEX('Methodology &amp; Sources'!$B$394:$J$400,0,4+2))),0.015*$AZ56),IF($AN56="OH",IF($B56&gt;=DATE(2026,8,1),SUMPRODUCT(($AZ56&gt;INDEX('Methodology &amp; Sources'!$B$453:$J$456,0,1))*($AZ56-INDEX('Methodology &amp; Sources'!$B$453:$J$456,0,1))*INDEX('Methodology &amp; Sources'!$B$453:$J$456,0,1+2)),SUMPRODUCT(($AZ56&gt;INDEX('Methodology &amp; Sources'!$B$434:$J$448,0,7))*($AZ56-INDEX('Methodology &amp; Sources'!$B$434:$J$448,0,7))*INDEX('Methodology &amp; Sources'!$B$434:$J$448,0,7+2))),IF($AN56="OK",IF($AU56="Married",SUMPRODUCT(($AZ56&gt;INDEX('Methodology &amp; Sources'!$B$453:$J$456,0,7))*($AZ56-INDEX('Methodology &amp; Sources'!$B$453:$J$456,0,7))*INDEX('Methodology &amp; Sources'!$B$453:$J$456,0,7+2)),SUMPRODUCT(($AZ56&gt;INDEX('Methodology &amp; Sources'!$B$453:$J$456,0,4))*($AZ56-INDEX('Methodology &amp; Sources'!$B$453:$J$456,0,4))*INDEX('Methodology &amp; Sources'!$B$453:$J$456,0,4+2))),IF($AN56="RI",SUMPRODUCT(($AZ56&gt;INDEX('Methodology &amp; Sources'!$B$461:$J$464,0,7))*($AZ56-INDEX('Methodology &amp; Sources'!$B$461:$J$464,0,7))*INDEX('Methodology &amp; Sources'!$B$461:$J$464,0,7+2)),IF($AN56="VT",IF($AU56="Married",SUMPRODUCT(($AZ56&gt;INDEX('Methodology &amp; Sources'!$B$478:$J$482,0,1))*($AZ56-INDEX('Methodology &amp; Sources'!$B$478:$J$482,0,1))*INDEX('Methodology &amp; Sources'!$B$478:$J$482,0,1+2)),SUMPRODUCT(($AZ56&gt;INDEX('Methodology &amp; Sources'!$B$469:$J$473,0,7))*($AZ56-INDEX('Methodology &amp; Sources'!$B$469:$J$473,0,7))*INDEX('Methodology &amp; Sources'!$B$469:$J$473,0,7+2))),IF($AN56="WV",IF($AU56="Married",SUMPRODUCT(($AZ56&gt;INDEX('Methodology &amp; Sources'!$B$487:$J$491,0,7))*($AZ56-INDEX('Methodology &amp; Sources'!$B$487:$J$491,0,7))*INDEX('Methodology &amp; Sources'!$B$487:$J$491,0,7+2)),SUMPRODUCT(($AZ56&gt;INDEX('Methodology &amp; Sources'!$B$478:$J$482,0,7))*($AZ56-INDEX('Methodology &amp; Sources'!$B$478:$J$482,0,7))*INDEX('Methodology &amp; Sources'!$B$478:$J$482,0,7+2))),""))))))))))</f>
      </c>
      <c r="BY56" s="7">
        <f>IF($B56="","",IF($AN56="AR",SUMPRODUCT(($AZ56&gt;INDEX('Methodology &amp; Sources'!$B$332:$J$336,0,7))*($AZ56-INDEX('Methodology &amp; Sources'!$B$332:$J$336,0,7))*INDEX('Methodology &amp; Sources'!$B$332:$J$336,0,7+2)),IF($AN56="DE",SUMPRODUCT(($AZ56&gt;INDEX('Methodology &amp; Sources'!$B$341:$J$348,0,1))*($AZ56-INDEX('Methodology &amp; Sources'!$B$341:$J$348,0,1))*INDEX('Methodology &amp; Sources'!$B$341:$J$348,0,1+2)),IF($AN56="HI",IF($AU56="Married",SUMPRODUCT(($AZ56&gt;INDEX('Methodology &amp; Sources'!$B$341:$J$348,0,7))*($AZ56-INDEX('Methodology &amp; Sources'!$B$341:$J$348,0,7))*INDEX('Methodology &amp; Sources'!$B$341:$J$348,0,7+2)),SUMPRODUCT(($AZ56&gt;INDEX('Methodology &amp; Sources'!$B$341:$J$348,0,4))*($AZ56-INDEX('Methodology &amp; Sources'!$B$341:$J$348,0,4))*INDEX('Methodology &amp; Sources'!$B$341:$J$348,0,4+2))),IF($AN56="SC",SUMPRODUCT(($AZ56&gt;INDEX('Methodology &amp; Sources'!$B$469:$J$473,0,1))*($AZ56-INDEX('Methodology &amp; Sources'!$B$469:$J$473,0,1))*INDEX('Methodology &amp; Sources'!$B$469:$J$473,0,1+2)),IF($AN56="VA",SUMPRODUCT(($AZ56&gt;INDEX('Methodology &amp; Sources'!$B$469:$J$473,0,4))*($AZ56-INDEX('Methodology &amp; Sources'!$B$469:$J$473,0,4))*INDEX('Methodology &amp; Sources'!$B$469:$J$473,0,4+2)),IF($AN56="WI",SUMPRODUCT(($AZ56&gt;INDEX('Methodology &amp; Sources'!$B$478:$J$482,0,4))*($AZ56-INDEX('Methodology &amp; Sources'!$B$478:$J$482,0,4))*INDEX('Methodology &amp; Sources'!$B$478:$J$482,0,4+2)),"")))))))</f>
      </c>
      <c r="BZ56" s="24">
        <f>IF($B56="","",IF($AN56="NJ",IF(Inputs!$C$77="B",SUMPRODUCT(($AZ56&gt;=INDEX('Methodology &amp; Sources'!$B$405:$J$412,0,4))*INDEX('Methodology &amp; Sources'!$B$405:$J$412,0,4+2)),IF(Inputs!$C$77="C",SUMPRODUCT(($AZ56&gt;=INDEX('Methodology &amp; Sources'!$B$405:$J$412,0,7))*INDEX('Methodology &amp; Sources'!$B$405:$J$412,0,7+2)),IF(Inputs!$C$77="D",SUMPRODUCT(($AZ56&gt;=INDEX('Methodology &amp; Sources'!$B$417:$J$429,0,1))*INDEX('Methodology &amp; Sources'!$B$417:$J$429,0,1+2)),IF(Inputs!$C$77="E",SUMPRODUCT(($AZ56&gt;=INDEX('Methodology &amp; Sources'!$B$417:$J$429,0,4))*INDEX('Methodology &amp; Sources'!$B$417:$J$429,0,4+2)),SUMPRODUCT(($AZ56&gt;=INDEX('Methodology &amp; Sources'!$B$405:$J$412,0,1))*INDEX('Methodology &amp; Sources'!$B$405:$J$412,0,1+2)))))),IF($AN56="OR",IF(OR($AU56="Married",AND($AU56="Single",$AS56&gt;=3)),SUMPRODUCT((MAX(0,$AY56-MIN(($P56-'Methodology &amp; Sources'!$C$260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Sources'!$B$461:$J$464,0,4))*INDEX('Methodology &amp; Sources'!$B$461:$J$464,0,4+2)),SUMPRODUCT((MAX(0,$AY56-MIN(($P56-'Methodology &amp; Sources'!$C$260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Sources'!$B$461:$J$464,0,1))*INDEX('Methodology &amp; Sources'!$B$461:$J$464,0,1+2)))*IF(($P56-'Methodology &amp; Sources'!$C$260*$D56)*Inputs!$C$8&gt;=IF(OR($AU56="Married",AND($AU56="Single",$AS56&gt;=3)),IF($AY56&lt;250000,8750,IF($AY56&lt;260000,7000,IF($AY56&lt;270000,5250,IF($AY56&lt;280000,3500,IF($AY56&lt;290000,1750,0))))),IF($AY56&lt;125000,8750,IF($AY56&lt;130000,7000,IF($AY56&lt;135000,5250,IF($AY56&lt;140000,3500,IF($AY56&lt;145000,1750,0)))))),1,1-IF(Inputs!$C$13,SUMPRODUCT(($AH56&gt;=INDEX('Methodology &amp; Sources'!$B$279:$J$286,0,IF(Inputs!$C$12="MFJ",1,IF(Inputs!$C$12="HoH",7,4))))*INDEX('Methodology &amp; Sources'!$B$279:$J$286,0,IF(Inputs!$C$12="MFJ",1,IF(Inputs!$C$12="HoH",7,4))+2)),SUMPRODUCT(($AH56&gt;=INDEX('Methodology &amp; Sources'!$B$269:$J$276,0,IF(Inputs!$C$12="MFJ",1,IF(Inputs!$C$12="HoH",7,4))))*INDEX('Methodology &amp; Sources'!$B$269:$J$276,0,IF(Inputs!$C$12="MFJ",1,IF(Inputs!$C$12="HoH",7,4))+2)))),IF($AN56="MI",IF($AY56&gt;5900*$AS56,0.0425,0),""))))</f>
      </c>
      <c r="CA56" s="24">
        <f>IF($B56="","",IF($AN56="AL",IF(OR($AU56="Married",$AU56="Head of household"),SUMPRODUCT(($AZ56&gt;=INDEX('Methodology &amp; Sources'!$B$332:$J$336,0,4))*INDEX('Methodology &amp; Sources'!$B$332:$J$336,0,4+2)),SUMPRODUCT(($AZ56&gt;=INDEX('Methodology &amp; Sources'!$B$332:$J$336,0,1))*INDEX('Methodology &amp; Sources'!$B$332:$J$336,0,1+2)))*(1-IF(Inputs!$C$13,SUMPRODUCT(($AH56&gt;=INDEX('Methodology &amp; Sources'!$B$279:$J$286,0,IF(Inputs!$C$12="MFJ",1,IF(Inputs!$C$12="HoH",7,4))))*INDEX('Methodology &amp; Sources'!$B$279:$J$286,0,IF(Inputs!$C$12="MFJ",1,IF(Inputs!$C$12="HoH",7,4))+2)),SUMPRODUCT(($AH56&gt;=INDEX('Methodology &amp; Sources'!$B$269:$J$276,0,IF(Inputs!$C$12="MFJ",1,IF(Inputs!$C$12="HoH",7,4))))*INDEX('Methodology &amp; Sources'!$B$269:$J$276,0,IF(Inputs!$C$12="MFJ",1,IF(Inputs!$C$12="HoH",7,4))+2)))),IF($AN56="KS",IF($AU56="Married",SUMPRODUCT(($AZ56&gt;=INDEX('Methodology &amp; Sources'!$B$353:$J$359,0,4))*INDEX('Methodology &amp; Sources'!$B$353:$J$359,0,4+2)),SUMPRODUCT(($AZ56&gt;=INDEX('Methodology &amp; Sources'!$B$353:$J$359,0,1))*INDEX('Methodology &amp; Sources'!$B$353:$J$359,0,1+2))),IF($AN56="MD",IF(OR($AU56="Married",$AU56="Head of household"),SUMPRODUCT(($AZ56&gt;=INDEX('Methodology &amp; Sources'!$B$364:$J$370,0,1))*INDEX('Methodology &amp; Sources'!$B$364:$J$370,0,1+2)),SUMPRODUCT(($AZ56&gt;=INDEX('Methodology &amp; Sources'!$B$353:$J$359,0,7))*INDEX('Methodology &amp; Sources'!$B$353:$J$359,0,7+2)))+Inputs!$C$74,IF($AN56="MT",IF($AU56="Head of household",SUMPRODUCT(($AZ56&gt;=INDEX('Methodology &amp; Sources'!$B$387:$J$389,0,1))*INDEX('Methodology &amp; Sources'!$B$387:$J$389,0,1+2)),IF($AU56="Married",SUMPRODUCT(($AZ56&gt;=INDEX('Methodology &amp; Sources'!$B$375:$J$382,0,7))*INDEX('Methodology &amp; Sources'!$B$375:$J$382,0,7+2)),SUMPRODUCT(($AZ56&gt;=INDEX('Methodology &amp; Sources'!$B$375:$J$382,0,4))*INDEX('Methodology &amp; Sources'!$B$375:$J$382,0,4+2)))),IF($AN56="ND",IF($AU56="Head of household",SUMPRODUCT(($AZ56&gt;=INDEX('Methodology &amp; Sources'!$B$394:$J$400,0,1))*INDEX('Methodology &amp; Sources'!$B$394:$J$400,0,1+2)),IF($AU56="Married",SUMPRODUCT(($AZ56&gt;=INDEX('Methodology &amp; Sources'!$B$387:$J$389,0,7))*INDEX('Methodology &amp; Sources'!$B$387:$J$389,0,7+2)),SUMPRODUCT(($AZ56&gt;=INDEX('Methodology &amp; Sources'!$B$387:$J$389,0,4))*INDEX('Methodology &amp; Sources'!$B$387:$J$389,0,4+2)))),IF($AN56="NY",IF($AU56="Married",IF($AZ56&gt;=2155350,IF($AZ56&gt;25000000,0.117,IF($AZ56&gt;5000000,0.111,0.1045)),SUMPRODUCT(($AZ56&gt;=INDEX('Methodology &amp; Sources'!$B$434:$J$448,0,1))*INDEX('Methodology &amp; Sources'!$B$434:$J$448,0,1+2))),IF($AZ56&gt;=1077550,IF($AZ56&gt;25000000,0.117,IF($AZ56&gt;5000000,0.111,0.1045)),SUMPRODUCT(($AZ56&gt;=INDEX('Methodology &amp; Sources'!$B$417:$J$429,0,7))*INDEX('Methodology &amp; Sources'!$B$417:$J$429,0,7+2)))),"")))))))</f>
      </c>
      <c r="CB56" s="24">
        <f>IF($B56="","",IF($AN56="CA",SUMPRODUCT(($AJ56&gt;=INDEX('Methodology &amp; Sources'!$B$289:$J$298,0,IF($AU56="Married",4,IF($AU56="Head of household",7,1))))*INDEX('Methodology &amp; Sources'!$B$289:$J$298,0,IF($AU56="Married",4,IF($AU56="Head of household",7,1))+2)),IF($AN56="HI",IF($AU56="Married",SUMPRODUCT(($AZ56&gt;=INDEX('Methodology &amp; Sources'!$B$341:$J$348,0,7))*INDEX('Methodology &amp; Sources'!$B$341:$J$348,0,7+2)),SUMPRODUCT(($AZ56&gt;=INDEX('Methodology &amp; Sources'!$B$341:$J$348,0,4))*INDEX('Methodology &amp; Sources'!$B$341:$J$348,0,4+2))),IF($AN56="MN",IF($AU56="Married",SUMPRODUCT(($AZ56&gt;=INDEX('Methodology &amp; Sources'!$B$364:$J$370,0,7))*INDEX('Methodology &amp; Sources'!$B$364:$J$370,0,7+2)),SUMPRODUCT(($AZ56&gt;=INDEX('Methodology &amp; Sources'!$B$364:$J$370,0,4))*INDEX('Methodology &amp; Sources'!$B$364:$J$370,0,4+2))),IF($AN56="MO",SUMPRODUCT(($AZ56&gt;=INDEX('Methodology &amp; Sources'!$B$375:$J$382,0,1))*INDEX('Methodology &amp; Sources'!$B$375:$J$382,0,1+2)),IF($AN56="NE",MAX(IF($AU56="Married",SUMPRODUCT(($AZ56&gt;=INDEX('Methodology &amp; Sources'!$B$394:$J$400,0,7))*INDEX('Methodology &amp; Sources'!$B$394:$J$400,0,7+2)),SUMPRODUCT(($AZ56&gt;=INDEX('Methodology &amp; Sources'!$B$394:$J$400,0,4))*INDEX('Methodology &amp; Sources'!$B$394:$J$400,0,4+2))),0.015),IF($AN56="OH",IF($B56&gt;=DATE(2026,8,1),SUMPRODUCT(($AZ56&gt;=INDEX('Methodology &amp; Sources'!$B$453:$J$456,0,1))*INDEX('Methodology &amp; Sources'!$B$453:$J$456,0,1+2)),SUMPRODUCT(($AZ56&gt;=INDEX('Methodology &amp; Sources'!$B$434:$J$448,0,7))*INDEX('Methodology &amp; Sources'!$B$434:$J$448,0,7+2))),IF($AN56="OK",IF($AU56="Married",SUMPRODUCT(($AZ56&gt;=INDEX('Methodology &amp; Sources'!$B$453:$J$456,0,7))*INDEX('Methodology &amp; Sources'!$B$453:$J$456,0,7+2)),SUMPRODUCT(($AZ56&gt;=INDEX('Methodology &amp; Sources'!$B$453:$J$456,0,4))*INDEX('Methodology &amp; Sources'!$B$453:$J$456,0,4+2))),IF($AN56="RI",SUMPRODUCT(($AZ56&gt;=INDEX('Methodology &amp; Sources'!$B$461:$J$464,0,7))*INDEX('Methodology &amp; Sources'!$B$461:$J$464,0,7+2)),IF($AN56="SC",SUMPRODUCT(($AZ56&gt;=INDEX('Methodology &amp; Sources'!$B$469:$J$473,0,1))*INDEX('Methodology &amp; Sources'!$B$469:$J$473,0,1+2)),IF($AN56="VT",IF($AU56="Married",SUMPRODUCT(($AZ56&gt;=INDEX('Methodology &amp; Sources'!$B$478:$J$482,0,1))*INDEX('Methodology &amp; Sources'!$B$478:$J$482,0,1+2)),SUMPRODUCT(($AZ56&gt;=INDEX('Methodology &amp; Sources'!$B$469:$J$473,0,7))*INDEX('Methodology &amp; Sources'!$B$469:$J$473,0,7+2))),IF($AN56="WV",IF($AU56="Married",SUMPRODUCT(($AZ56&gt;=INDEX('Methodology &amp; Sources'!$B$487:$J$491,0,7))*INDEX('Methodology &amp; Sources'!$B$487:$J$491,0,7+2)),SUMPRODUCT(($AZ56&gt;=INDEX('Methodology &amp; Sources'!$B$478:$J$482,0,7))*INDEX('Methodology &amp; Sources'!$B$478:$J$482,0,7+2))),IF($AN56="IN",(0.0295+Inputs!$C$76),"")))))))))))))</f>
      </c>
      <c r="CC56" s="24">
        <f>IF($B56="","",IF($AN56="AR",SUMPRODUCT(($AZ56&gt;=INDEX('Methodology &amp; Sources'!$B$332:$J$336,0,7))*INDEX('Methodology &amp; Sources'!$B$332:$J$336,0,7+2)),IF($AN56="DE",SUMPRODUCT(($AZ56&gt;=INDEX('Methodology &amp; Sources'!$B$341:$J$348,0,1))*INDEX('Methodology &amp; Sources'!$B$341:$J$348,0,1+2)),IF($AN56="VA",SUMPRODUCT(($AZ56&gt;=INDEX('Methodology &amp; Sources'!$B$469:$J$473,0,4))*INDEX('Methodology &amp; Sources'!$B$469:$J$473,0,4+2)),IF($AN56="WI",SUMPRODUCT(($AZ56&gt;=INDEX('Methodology &amp; Sources'!$B$478:$J$482,0,4))*INDEX('Methodology &amp; Sources'!$B$478:$J$482,0,4+2)),IF($AN56="AZ",Inputs!$C$82,IF($AN56="CO",IF($AY56&gt;IF($AU56="Married",10000,5000),0.044,0),IF($AN56="IA",IF($AY56&gt;IF($AU56="Head of household",19500,IF($AU56="Married",26000,13000)),0.038,0),IF($AN56="ID",IF($AY56&gt;IF($AU56="Married",32000,16094),0.053,0),IF($AN56="IL",IF($AY56&gt;(2925*$AS56+1000*$AT56),0.0495,0),IF($AN56="KY",IF($AI56&gt;3360,0.035,0),IF($AN56="LA",0.0309,IF($AN56="MA",IF(MAX(0,$AY56-MIN(($BD55+$Q56+$R56+$S56),2000)-IF($AS56=0,0,IF($AS56=1,4400,1000*$AS56+3400)))&gt;=1107750,0.09,0.05),IF($AN56="MS",IF($AI56-IF($AU56="Head of household",3400,IF($AU56="Married",4600,2300))-Inputs!$C$85&gt;10000,0.04,0),IF($AN56="PA",0.0307,"")))))))))))))))</f>
      </c>
      <c r="CD56" s="21">
        <f>IF(YEAR(IF(Inputs!$C$7="Weekly",Inputs!$C$9+7*(($BE55+1)-1),IF(Inputs!$C$7="Biweekly",Inputs!$C$9+14*(($BE55+1)-1),IF(Inputs!$C$7="Semimonthly",DATE(YEAR(Inputs!$C$9),MONTH(Inputs!$C$9)+INT((($BE55+1)-1)/2),MIN(DAY(Inputs!$C$9),DAY(EOMONTH(DATE(YEAR(Inputs!$C$9),MONTH(Inputs!$C$9)+INT((($BE55+1)-1)/2),1),0))))+IF(MOD(($BE55+1)-1,2)=1,15,0),EDATE(Inputs!$C$9,($BE55+1)-1)))))&lt;&gt;2026,"",IF(Inputs!$C$7="Weekly",Inputs!$C$9+7*(($BE55+1)-1),IF(Inputs!$C$7="Biweekly",Inputs!$C$9+14*(($BE55+1)-1),IF(Inputs!$C$7="Semimonthly",DATE(YEAR(Inputs!$C$9),MONTH(Inputs!$C$9)+INT((($BE55+1)-1)/2),MIN(DAY(Inputs!$C$9),DAY(EOMONTH(DATE(YEAR(Inputs!$C$9),MONTH(Inputs!$C$9)+INT((($BE55+1)-1)/2),1),0))))+IF(MOD(($BE55+1)-1,2)=1,15,0),EDATE(Inputs!$C$9,($BE55+1)-1)))))</f>
      </c>
      <c r="CE56" s="21">
        <f>IF(SUMPRODUCT(MIN(IF((Inputs!$C$58:$C$67&gt;MAX($B$6:$B55))*(Inputs!$C$58:$C$67&gt;=DATE(2026,1,1))*(Inputs!$C$58:$C$67&lt;=DATE(2026,12,31)),Inputs!$C$58:$C$67,999999)))=999999,"",SUMPRODUCT(MIN(IF((Inputs!$C$58:$C$67&gt;MAX($B$6:$B55))*(Inputs!$C$58:$C$67&gt;=DATE(2026,1,1))*(Inputs!$C$58:$C$67&lt;=DATE(2026,12,31)),Inputs!$C$58:$C$67,999999))))</f>
      </c>
    </row>
    <row r="57">
      <c r="A57" t="n">
        <v>52</v>
      </c>
      <c r="B57" s="21">
        <f>IF(AND($CD57="",$CE57=""),"",IF($CE57="",$CD57,IF($CD57="",$CE57,MIN($CD57,$CE57))))</f>
      </c>
      <c r="C57" s="7">
        <f>IF($B57="","",IF($BF57=0,0,IF(Inputs!$C$4="Annual salary",ROUND($AK57/IF(AND(Inputs!$C$88="Actual paydays",MONTH(Inputs!$C$9)=1),MAX(1,MAX($BE$6:$BE$68)),Inputs!$C$8),2),$AK57)))</f>
      </c>
      <c r="D57" s="7">
        <f>IF($B57="","",SUMIF(Inputs!$C$58:$C$67,$B57,Inputs!$D$58:$D$67))</f>
      </c>
      <c r="E57" s="7">
        <f>IF($B57="","",ROUND(MAX(0,MIN(IF($AL57="Percent",$AM57*($C57+$D57),$AM57),MAX(0,Inputs!$C$91-$AC56))),2))</f>
      </c>
      <c r="F57" s="7">
        <f>IF($B57="","",ROUND(MAX(0,MIN(IF(Inputs!$C$32="Percent",Inputs!$D$32*($C57+$D57),Inputs!$D$32),MAX(0,Inputs!$C$91-$AC56-$E57))),2))</f>
      </c>
      <c r="G57" s="7">
        <f>IF($B57="","",IF($BF57=0,0,ROUND(MAX(0,MIN($BL57,Inputs!$C$92-Inputs!$C$54-$BI56)),2)))</f>
      </c>
      <c r="H57" s="7">
        <f>IF($B57="","",IF(OR($BF57=0,$BQ57=1),0,ROUND(MAX(0,MIN(IF($BS57=1,ROUND(MAX(0,MIN($BJ57,'Methodology &amp; Sources'!$C$263)-$BG56)/MAX(1,MAX($BE$6:$BE$68)-($BE56)),2),ROUND(MIN($BJ57,'Methodology &amp; Sources'!$C$263)/Inputs!$C$8,2)),MIN($BJ57,'Methodology &amp; Sources'!$C$263)-$BG56)),2)))</f>
      </c>
      <c r="I57" s="7">
        <f>IF($B57="","",IF(OR($BF57=0,$BR57=1),0,ROUND(MAX(0,MIN(IF($BT57=1,ROUND(MAX(0,MIN($BK57,IF(Inputs!$C$12="MFJ",'Methodology &amp; Sources'!$C$264,'Methodology &amp; Sources'!$C$265))-$BH56)/MAX(1,MAX($BE$6:$BE$68)-($BE56)),2),ROUND(MIN($BK57,IF(Inputs!$C$12="MFJ",'Methodology &amp; Sources'!$C$264,'Methodology &amp; Sources'!$C$265))/Inputs!$C$8,2)),MIN($BK57,IF(Inputs!$C$12="MFJ",'Methodology &amp; Sources'!$C$264,'Methodology &amp; Sources'!$C$265))-$BH56)),2)))</f>
      </c>
      <c r="J57" s="7">
        <f>IF($B57="","",IF($BF57=0,0,$BM57))</f>
      </c>
      <c r="K57" s="7">
        <f>IF($B57="","",IF($BF57=0,0,$BN57+$BO57))</f>
      </c>
      <c r="L57" s="7">
        <f>IF($B57="","",IF($BF57=0,0,Inputs!$D$46))</f>
      </c>
      <c r="M57" s="7">
        <f>IF($B57="","",$C57+$D57+$L57-$E57-$G57-$H57-$I57-$J57-$K57)</f>
      </c>
      <c r="N57" s="7">
        <f>IF($B57="","",$C57+$D57+$L57-$G57-$H57-$I57-$J57-$K57)</f>
      </c>
      <c r="O57" s="7">
        <f>IF($B57="","",$C57+$D57+$L57-$E57-$H57-$I57-$J57-$K57-IF(OR($AN57="CA",$AN57="NJ"),0,$G57))</f>
      </c>
      <c r="P57" s="7">
        <f>IF($B57="","",IF(Inputs!$C$18,0,ROUND(MAX(0,IF(Inputs!$C$13,SUMPRODUCT(($AH57&gt;INDEX('Methodology &amp; Sources'!$B$279:$J$286,0,IF(Inputs!$C$12="MFJ",1,IF(Inputs!$C$12="HoH",7,4))))*($AH57-INDEX('Methodology &amp; Sources'!$B$279:$J$286,0,IF(Inputs!$C$12="MFJ",1,IF(Inputs!$C$12="HoH",7,4))))*INDEX('Methodology &amp; Sources'!$B$279:$J$286,0,IF(Inputs!$C$12="MFJ",1,IF(Inputs!$C$12="HoH",7,4))+2)),SUMPRODUCT(($AH57&gt;INDEX('Methodology &amp; Sources'!$B$269:$J$276,0,IF(Inputs!$C$12="MFJ",1,IF(Inputs!$C$12="HoH",7,4))))*($AH57-INDEX('Methodology &amp; Sources'!$B$269:$J$276,0,IF(Inputs!$C$12="MFJ",1,IF(Inputs!$C$12="HoH",7,4))))*INDEX('Methodology &amp; Sources'!$B$269:$J$276,0,IF(Inputs!$C$12="MFJ",1,IF(Inputs!$C$12="HoH",7,4))+2)))/Inputs!$C$8-$AO57/Inputs!$C$8)+$AR57+IF(Inputs!$C$89="Aggregate",MAX(0,IF(Inputs!$C$13,SUMPRODUCT((($AH57+$D57)&gt;INDEX('Methodology &amp; Sources'!$B$279:$J$286,0,IF(Inputs!$C$12="MFJ",1,IF(Inputs!$C$12="HoH",7,4))))*(($AH57+$D57)-INDEX('Methodology &amp; Sources'!$B$279:$J$286,0,IF(Inputs!$C$12="MFJ",1,IF(Inputs!$C$12="HoH",7,4))))*INDEX('Methodology &amp; Sources'!$B$279:$J$286,0,IF(Inputs!$C$12="MFJ",1,IF(Inputs!$C$12="HoH",7,4))+2)),SUMPRODUCT((($AH57+$D57)&gt;INDEX('Methodology &amp; Sources'!$B$269:$J$276,0,IF(Inputs!$C$12="MFJ",1,IF(Inputs!$C$12="HoH",7,4))))*(($AH57+$D57)-INDEX('Methodology &amp; Sources'!$B$269:$J$276,0,IF(Inputs!$C$12="MFJ",1,IF(Inputs!$C$12="HoH",7,4))))*INDEX('Methodology &amp; Sources'!$B$269:$J$276,0,IF(Inputs!$C$12="MFJ",1,IF(Inputs!$C$12="HoH",7,4))+2)))-IF(Inputs!$C$13,SUMPRODUCT(($AH57&gt;INDEX('Methodology &amp; Sources'!$B$279:$J$286,0,IF(Inputs!$C$12="MFJ",1,IF(Inputs!$C$12="HoH",7,4))))*($AH57-INDEX('Methodology &amp; Sources'!$B$279:$J$286,0,IF(Inputs!$C$12="MFJ",1,IF(Inputs!$C$12="HoH",7,4))))*INDEX('Methodology &amp; Sources'!$B$279:$J$286,0,IF(Inputs!$C$12="MFJ",1,IF(Inputs!$C$12="HoH",7,4))+2)),SUMPRODUCT(($AH57&gt;INDEX('Methodology &amp; Sources'!$B$269:$J$276,0,IF(Inputs!$C$12="MFJ",1,IF(Inputs!$C$12="HoH",7,4))))*($AH57-INDEX('Methodology &amp; Sources'!$B$269:$J$276,0,IF(Inputs!$C$12="MFJ",1,IF(Inputs!$C$12="HoH",7,4))))*INDEX('Methodology &amp; Sources'!$B$269:$J$276,0,IF(Inputs!$C$12="MFJ",1,IF(Inputs!$C$12="HoH",7,4))+2)))),'Methodology &amp; Sources'!$C$260*$D57),2)))</f>
      </c>
      <c r="Q57" s="7">
        <f>IF($B57="","",ROUND('Methodology &amp; Sources'!$C$254*MIN($N57,MAX(0,'Methodology &amp; Sources'!$C$253-($AX57+$AB56-$AW57))),2))</f>
      </c>
      <c r="R57" s="7">
        <f>IF($B57="","",ROUND('Methodology &amp; Sources'!$C$255*$N57,2))</f>
      </c>
      <c r="S57" s="7">
        <f>IF($B57="","",ROUND('Methodology &amp; Sources'!$C$256*MAX(0,MIN($N57,$AG56+$N57-'Methodology &amp; Sources'!$C$257)),2))</f>
      </c>
      <c r="T57" s="7">
        <f>IF($B57="","",IF(Inputs!$C$26,0,IF($AN57="CA",ROUND(IF($AI57&lt;=IF(($AS57+$AT57)&gt;=2,VLOOKUP($AN57,'StateTables 2026'!$A$6:$AB$56,10,FALSE),VLOOKUP($AN57,'StateTables 2026'!$A$6:$AB$56,9,FALSE)),0,MAX(0,SUMPRODUCT(($AJ57&gt;INDEX('Methodology &amp; Sources'!$B$289:$J$298,0,IF($AU57="Married",4,IF($AU57="Head of household",7,1))))*($AJ57-INDEX('Methodology &amp; Sources'!$B$289:$J$298,0,IF($AU57="Married",4,IF($AU57="Head of household",7,1))))*INDEX('Methodology &amp; Sources'!$B$289:$J$298,0,IF($AU57="Married",4,IF($AU57="Head of household",7,1))+2))-VLOOKUP($AN57,'StateTables 2026'!$A$6:$AB$56,11,FALSE)*$AS57)/Inputs!$C$8)+Inputs!$C$25+VLOOKUP($AN57,'StateTables 2026'!$A$6:$AB$56,13,FALSE)*$D57,2),IF(VLOOKUP($AN57,'StateTables 2026'!$A$6:$AB$56,4,FALSE)="None",0,IF(ISNUMBER(SEARCH("MANUAL",VLOOKUP($AN57,'StateTables 2026'!$A$6:$AB$56,5,FALSE))),Inputs!$C$28,ROUND(MAX(0,$BA57+$BB57)/Inputs!$C$8+Inputs!$C$25+$BC57,2))))))</f>
      </c>
      <c r="U57" s="7">
        <f>IF($B57="","",IF(VLOOKUP($AN57,'StateTables 2026'!$A$6:$AB$56,24,FALSE)="flatq",IF(OR(MONTH($B57)=1,MONTH($B57)=4,MONTH($B57)=7,MONTH($B57)=10),VLOOKUP($AN57,'StateTables 2026'!$A$6:$AB$56,25,FALSE),0),IF(VLOOKUP($AN57,'StateTables 2026'!$A$6:$AB$56,24,FALSE)="dbl",MIN(ROUND(0.005*$N57,2),ROUND(0.6*52/Inputs!$C$8,2)),IF(OR(VLOOKUP($AN57,'StateTables 2026'!$A$6:$AB$56,15,FALSE)="",VLOOKUP($AN57,'StateTables 2026'!$A$6:$AB$56,15,FALSE)=0),0,ROUND(VLOOKUP($AN57,'StateTables 2026'!$A$6:$AB$56,15,FALSE)*IF(OR(VLOOKUP($AN57,'StateTables 2026'!$A$6:$AB$56,16,FALSE)="",VLOOKUP($AN57,'StateTables 2026'!$A$6:$AB$56,16,FALSE)=0),$N57,MIN($N57,MAX(0,VLOOKUP($AN57,'StateTables 2026'!$A$6:$AB$56,16,FALSE)-($AX57+$AB56-$AW57)))),2))))+IF(VLOOKUP($AN57,'StateTables 2026'!$A$6:$AB$56,27,FALSE)="flatq",IF(OR(MONTH($B57)=1,MONTH($B57)=4,MONTH($B57)=7,MONTH($B57)=10),VLOOKUP($AN57,'StateTables 2026'!$A$6:$AB$56,28,FALSE),0),IF(VLOOKUP($AN57,'StateTables 2026'!$A$6:$AB$56,27,FALSE)="dbl",MIN(ROUND(0.005*$N57,2),ROUND(0.6*52/Inputs!$C$8,2)),IF(OR(VLOOKUP($AN57,'StateTables 2026'!$A$6:$AB$56,18,FALSE)="",VLOOKUP($AN57,'StateTables 2026'!$A$6:$AB$56,18,FALSE)=0),0,ROUND(VLOOKUP($AN57,'StateTables 2026'!$A$6:$AB$56,18,FALSE)*IF(OR(VLOOKUP($AN57,'StateTables 2026'!$A$6:$AB$56,19,FALSE)="",VLOOKUP($AN57,'StateTables 2026'!$A$6:$AB$56,19,FALSE)=0),$N57,MIN($N57,MAX(0,VLOOKUP($AN57,'StateTables 2026'!$A$6:$AB$56,19,FALSE)-($AX57+$AB56-$AW57)))),2)))))</f>
      </c>
      <c r="V57" s="7">
        <f>IF($B57="","",IF($AN57="NY",IF(Inputs!$C$78,ROUND(SUMPRODUCT((MAX(0,($O57-$D57)*Inputs!$C$8-(IF($AU57="Married",5500,5000)+1000*$AS57))&gt;INDEX('Methodology &amp; Sources'!$B$434:$J$448,0,4))*(MAX(0,($O57-$D57)*Inputs!$C$8-(IF($AU57="Married",5500,5000)+1000*$AS57))-INDEX('Methodology &amp; Sources'!$B$434:$J$448,0,4))*INDEX('Methodology &amp; Sources'!$B$434:$J$448,0,4+2))/Inputs!$C$8+0.0425*$D57,2),0)+IF(Inputs!$C$79="Resident",ROUND(0.1675*$T57,2),IF(Inputs!$C$79="Nonresident",ROUND(0.005*MAX(0,($O57-$D57)-(IF($AU57="Married",7950,7400)+1000*$AS57)/Inputs!$C$8),2),0)),IF($AN57="PA",IF(Inputs!$C$80="None",Inputs!$C$27+ROUND(Inputs!$C$81*($C57+$D57),2),ROUND(IF(Inputs!$C$80="Resident",IF($B57&lt;DATE(2026,7,1),0.0374,0.03735),IF($B57&lt;DATE(2026,7,1),0.0343,0.03425))*($C57+$D57),2)),IF($BF57=0,ROUND(Inputs!$C$81*($C57+$D57),2),Inputs!$C$27+ROUND(Inputs!$C$81*($C57+$D57),2)))))</f>
      </c>
      <c r="W57" s="7">
        <f>IF($B57="","",IF($BF57=0,0,$BP57))</f>
      </c>
      <c r="X57" s="7">
        <f>IF($B57="","",SUM($E57:$K57)+$P57+$Q57+$R57+$S57+$T57+$U57+$V57+$W57)</f>
      </c>
      <c r="Y57" s="22">
        <f>IF($B57="","",$C57+$D57-$X57)</f>
      </c>
      <c r="Z57" s="7">
        <f>IF($B57="","",$Z56+$C57+$D57)</f>
      </c>
      <c r="AA57" s="7">
        <f>IF($B57="","",$AA56+$Y57)</f>
      </c>
      <c r="AB57" s="7">
        <f>IF($B57="","",$AB56+MIN($N57,MAX(0,'Methodology &amp; Sources'!$C$253-($AX57+$AB56-$AW57))))</f>
      </c>
      <c r="AC57" s="7">
        <f>IF($B57="","",$AC56+$E57+$F57)</f>
      </c>
      <c r="AD57" s="3">
        <f>IF($B57="","",IF(AND($AB56&lt;'Methodology &amp; Sources'!$C$253,$AB57&gt;='Methodology &amp; Sources'!$C$253),"★ Social Security maxed on this check — from the next check your net rises by about $"&amp;TEXT(ROUND('Methodology &amp; Sources'!$C$254*$N57,2),"#,##0.00")&amp;". ","")&amp;IF(AND($AC56&lt;Inputs!$C$91,$AC57&gt;=Inputs!$C$91),"★ 401(k) reaches the $"&amp;TEXT(Inputs!$C$91,"#,##0")&amp;" cap on this check — deferrals stop and net pay rises. ","")&amp;IF(AND($AG56&lt;'Methodology &amp; Sources'!$C$257,$AG57&gt;='Methodology &amp; Sources'!$C$257),"★ Wages pass $200,000 — the 0.9% Additional Medicare Tax starts here. ","")&amp;IF(AND($BJ57&gt;0,$H57&gt;0,$BG56&lt;MIN($BJ57,'Methodology &amp; Sources'!$C$263),$BG56+$H57&gt;=MIN($BJ57,'Methodology &amp; Sources'!$C$263)),"★ Health FSA election is now fully deferred for the year. ",""))</f>
      </c>
      <c r="AE57" s="41" t="n"/>
      <c r="AF57" s="7">
        <f>IF(OR($B57="",$AE57=""),"",$AE57-$Y57)</f>
      </c>
      <c r="AG57" s="7">
        <f>IF($B57="","",$AG56+$N57)</f>
      </c>
      <c r="AH57" s="7">
        <f>IF($B57="","",MAX(0,($M57-$D57)*Inputs!$C$8+$AP57-$AQ57-IF(Inputs!$C$13,0,IF(Inputs!$C$12="MFJ",'Methodology &amp; Sources'!$C$258,'Methodology &amp; Sources'!$C$259))))</f>
      </c>
      <c r="AI57" s="7">
        <f>IF($B57="","",$O57*Inputs!$C$8)</f>
      </c>
      <c r="AJ57" s="7">
        <f>IF($B57="","",MAX(0,$AI57-VLOOKUP($AN57,'StateTables 2026'!$A$6:$AB$56,12,FALSE)*$AT57-IF(($AS57+$AT57)&gt;=2,VLOOKUP($AN57,'StateTables 2026'!$A$6:$AB$56,8,FALSE),VLOOKUP($AN57,'StateTables 2026'!$A$6:$AB$56,7,FALSE))))</f>
      </c>
      <c r="AK57" s="7">
        <f>IF($B57="","",IFERROR(LOOKUP(2,1/((Events!$C$6:$C$17="Salary change")*(Events!$B$6:$B$17&lt;=$B57)*(Events!$B$6:$B$17&lt;&gt;"")),Events!$D$6:$D$17),IF(Inputs!$C$4="Annual salary",Inputs!$C$5,Inputs!$C$6)))</f>
      </c>
      <c r="AL57">
        <f>IF($B57="","",IFERROR(LOOKUP(2,1/((Events!$C$6:$C$17="401(k) change")*(Events!$B$6:$B$17&lt;=$B57)*(Events!$B$6:$B$17&lt;&gt;"")),Events!$D$6:$D$17),Inputs!$C$30))</f>
      </c>
      <c r="AM57" s="7">
        <f>IF($B57="","",IFERROR(LOOKUP(2,1/((Events!$C$6:$C$17="401(k) change")*(Events!$B$6:$B$17&lt;=$B57)*(Events!$B$6:$B$17&lt;&gt;"")),Events!$E$6:$E$17),Inputs!$D$30))</f>
      </c>
      <c r="AN57">
        <f>IF($B57="","",IFERROR(LOOKUP(2,1/((Events!$C$6:$C$17="State move")*(Events!$B$6:$B$17&lt;=$B57)*(Events!$B$6:$B$17&lt;&gt;"")),Events!$D$6:$D$17),Inputs!$C$21))</f>
      </c>
      <c r="AO57" s="7">
        <f>IF($B57="","",IFERROR(LOOKUP(2,1/((Events!$C$6:$C$17="W-4 change")*(Events!$B$6:$B$17&lt;=$B57)*(Events!$B$6:$B$17&lt;&gt;"")),Events!$D$6:$D$17),Inputs!$C$14))</f>
      </c>
      <c r="AP57" s="7">
        <f>IF($B57="","",IFERROR(LOOKUP(2,1/((Events!$C$6:$C$17="W-4 change")*(Events!$B$6:$B$17&lt;=$B57)*(Events!$B$6:$B$17&lt;&gt;"")),Events!$E$6:$E$17),Inputs!$C$15))</f>
      </c>
      <c r="AQ57" s="7">
        <f>IF($B57="","",IFERROR(LOOKUP(2,1/((Events!$C$6:$C$17="W-4 change")*(Events!$B$6:$B$17&lt;=$B57)*(Events!$B$6:$B$17&lt;&gt;"")),Events!$F$6:$F$17),Inputs!$C$16))</f>
      </c>
      <c r="AR57" s="7">
        <f>IF($B57="","",IFERROR(LOOKUP(2,1/((Events!$C$6:$C$17="W-4 change")*(Events!$B$6:$B$17&lt;=$B57)*(Events!$B$6:$B$17&lt;&gt;"")),Events!$G$6:$G$17),Inputs!$C$17))</f>
      </c>
      <c r="AS57" s="6">
        <f>IF($B57="","",IFERROR(LOOKUP(2,1/(((Events!$C$6:$C$17="State move")+(Events!$C$6:$C$17="State cert change"))*(Events!$B$6:$B$17&lt;=$B57)*(Events!$B$6:$B$17&lt;&gt;"")),Events!$F$6:$F$17),Inputs!$C$23))</f>
      </c>
      <c r="AT57" s="6">
        <f>IF($B57="","",IFERROR(LOOKUP(2,1/(((Events!$C$6:$C$17="State move")+(Events!$C$6:$C$17="State cert change"))*(Events!$B$6:$B$17&lt;=$B57)*(Events!$B$6:$B$17&lt;&gt;"")),Events!$G$6:$G$17),Inputs!$C$24))</f>
      </c>
      <c r="AU57">
        <f>IF($B57="","",IFERROR(LOOKUP(2,1/((Events!$C$6:$C$17="State move")*(Events!$B$6:$B$17&lt;=$B57)*(Events!$B$6:$B$17&lt;&gt;"")),Events!$E$6:$E$17),Inputs!$C$22))</f>
      </c>
      <c r="AV57" s="6">
        <f>IF($B57="","",1+COUNTIFS(Events!$C$6:$C$17,"Employer change",Events!$B$6:$B$17,"&lt;="&amp;$B57,Events!$B$6:$B$17,"&lt;&gt;"))</f>
      </c>
      <c r="AW57" s="7">
        <f>IF($B57="","",IF($AV57=1,Inputs!$C$49,IF(IFERROR(MATCH(IFERROR(LOOKUP(2,1/((Events!$C$6:$C$17="Employer change")*(Events!$B$6:$B$17&lt;=$B57)*(Events!$B$6:$B$17&lt;&gt;"")),Events!$B$6:$B$17),""),$B$6:$B$68,1),1)&lt;=1,Inputs!$C$49,INDEX($AB$6:$AB$68,MATCH(IFERROR(LOOKUP(2,1/((Events!$C$6:$C$17="Employer change")*(Events!$B$6:$B$17&lt;=$B57)*(Events!$B$6:$B$17&lt;&gt;"")),Events!$B$6:$B$17),""),$B$6:$B$68,1)-1))))</f>
      </c>
      <c r="AX57" s="7">
        <f>IF($B57="","",IF($AV57=1,Inputs!$C$49,IFERROR(LOOKUP(2,1/((Events!$C$6:$C$17="Employer change")*(Events!$B$6:$B$17&lt;=$B57)*(Events!$B$6:$B$17&lt;&gt;"")),Events!$D$6:$D$17),0)))</f>
      </c>
      <c r="AY57" s="7">
        <f>IF($B57="","",($O57-$D57)*Inputs!$C$8)</f>
      </c>
      <c r="AZ57" s="7">
        <f>IF($B57="","",IF($AN57="AL",MAX(0,$AY57-IF($AU57="Married",IF($AY57&lt;=25999,8500,MAX(5000,8500-175*CEILING(($AY57-25999)/500,1))),IF($AU57="Head of household",IF($AY57&lt;=25999,5200,MAX(2500,5200-135*CEILING(($AY57-25999)/500,1))),IF($AY57&lt;=25999,3000,MAX(2500,3000-25*CEILING(($AY57-25999)/500,1)))))-($P57-'Methodology &amp; Sources'!$C$260*$D57)*Inputs!$C$8-IF(OR($AU57="Married",$AU57="Head of household"),3000,1500)-$AT57*IF($AY57&lt;=50000,1000,IF($AY57&lt;=100000,500,300))),IF($AN57="AR",IF(MAX(0,$AY57-2470)&lt;97701,INT(MAX(0,$AY57-2470)/100)*100+50,MAX(0,$AY57-2470)),IF($AN57="DE",MAX(0,$AI57-3250),IF($AN57="HI",MAX(0,$AI57-1144*$AS57-4350),IF($AN57="KS",MAX(0,$AI57-(9160*IF($AU57="Married",2,1)+2320*$AT57+IF($AU57="Head of household",2320,0))),IF($AN57="MD",MAX(0,$AI57-3400-3200*$AS57),IF($AN57="MN",MAX(0,$AY57-5300*$AS57),IF($AN57="MO",MAX(0,$AI57-IF($AU57="Head of household",24150,IF($AU57="Married",IF(Inputs!$C$83,16100,32200),16100))),IF($AN57="MT",$AY57,IF($AN57="ND",($C57+$L57)*Inputs!$C$8,IF($AN57="NE",MAX(0,$AY57-2440*$AS57),IF($AN57="NJ",MAX(0,$AY57-1000*$AS57),IF($AN57="NY",MAX(0,$AY57-(IF($AU57="Married",7950,7400)+1000*$AS57)),IF($AN57="OH",MAX(0,$AY57-650*$AS57),IF($AN57="OK",MAX(0,$AY57-1000*$AS57),IF($AN57="RI",MAX(0,$AI57-1000*$AS57),IF($AN57="SC",MAX(0,$AI57-5000*$AS57-IF($AS57=0,0,MIN(0.1*$AI57,7500))),IF($AN57="VA",MAX(0,$AI57-IF($AU57="Married",17500,8750)-930*$AS57-800*$AT57),IF($AN57="VT",MAX(0,$AI57-5400*$AS57),IF($AN57="WI",MAX(0,$AI57-MAX(0,IF($AU57="Married",9461-0.2*MAX(0,$AI57-25727),6702-0.12*MAX(0,$AI57-17780)))-400*$AS57),IF($AN57="WV",MAX(0,$AI57-2000*$AS57),$AI57))))))))))))))))))))))</f>
      </c>
      <c r="BA57" s="7">
        <f>IF($B57="","",IF($BW57&lt;&gt;"",$BW57,IF($BX57&lt;&gt;"",$BX57,IF($BY57&lt;&gt;"",$BY57,0))))</f>
      </c>
      <c r="BB57" s="7">
        <f>IF($B57="","",IF($AN57="AR",-29*$AS57,IF($AN57="DE",-110*$AS57,IF($AN57="MD",$AZ57*Inputs!$C$74,IF($AN57="AZ",Inputs!$C$82*($M57-$D57)*Inputs!$C$8,IF($AN57="CO",0.044*MAX(0,$AY57-IF($AU57="Married",10000,5000)),IF($AN57="IA",MAX(0,0.038*MAX(0,$AY57-IF($AU57="Head of household",19500,IF($AU57="Married",26000,13000)))-40*$AS57),IF($AN57="ID",0.053*MAX(0,$AY57-IF($AU57="Married",32000,16094)),IF($AN57="IL",0.0495*MAX(0,$AY57-(2925*$AS57+1000*$AT57)),IF($AN57="IN",(0.0295+Inputs!$C$76)*MAX(0,$AY57-(1000*$AS57+1500*$AT57+3000*Inputs!$C$86)),IF($AN57="KY",0.035*MAX(0,$AI57-3360),IF($AN57="LA",IF(Inputs!$C$84="0",0.0309*$AI57,0.0309*MAX(0,$AI57-IF(Inputs!$C$84="2",25750,12875))),IF($AN57="MA",0.05*MIN(MAX(0,$AY57-MIN(($BD56+$Q57+$R57+$S57),2000)-IF($AS57=0,0,IF($AS57=1,4400,1000*$AS57+3400))),1107750)+0.09*MAX(0,MAX(0,$AY57-MIN(($BD56+$Q57+$R57+$S57),2000)-IF($AS57=0,0,IF($AS57=1,4400,1000*$AS57+3400)))-1107750)-IF($AU57="Head of household",120,0)-110*Inputs!$C$75,IF($AN57="MI",0.0425*MAX(0,$AY57-5900*$AS57),IF($AN57="MS",0.04*MAX(0,$AI57-IF($AU57="Head of household",3400,IF($AU57="Married",4600,2300))-Inputs!$C$85-10000),IF($AN57="OR",IF(OR($AU57="Married",AND($AU57="Single",$AS57&gt;=3)),SUMPRODUCT((MAX(0,$AY57-MIN(($P57-'Methodology &amp; Sources'!$C$260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Sources'!$B$461:$J$464,0,4))*(MAX(0,$AY57-MIN(($P57-'Methodology &amp; Sources'!$C$260*$D57)*Inputs!$C$8,IF(OR($AU57="Married",AND($AU57="Single",$AS57&gt;=3)),IF($AY57&lt;250000,8750,IF($AY57&lt;260000,7000,IF($AY57&lt;270000,5250,IF($AY57&lt;280000,3500,IF($AY57&lt;290000,1750,0))))),IF($AY57&lt;125000,8750,IF($AY57&lt;130000,7000,IF($AY57&lt;135000,5250,IF($AY57&lt;140000,3500,IF($AY57&lt;145000,1750,0)))))))-IF(OR($AU57="Married",AND($AU57="Single",$AS57&gt;=3)),5820,2910))-INDEX('Methodology &amp; Sources'!$B$461:$J$464,0,4))*INDEX('Methodology &amp; Sources'!$B$461:$J$464,0,4+2)),SUMPRODUCT((MAX(0,$AY57-MIN(($P57-'Methodology &amp; Sources'!$C$260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Sources'!$B$461:$J$464,0,1))*(MAX(0,$AY57-MIN(($P57-'Methodology &amp; Sources'!$C$260*$D57)*Inputs!$C$8,IF(OR($AU57="Married",AND($AU57="Single",$AS57&gt;=3)),IF($AY57&lt;250000,8750,IF($AY57&lt;260000,7000,IF($AY57&lt;270000,5250,IF($AY57&lt;280000,3500,IF($AY57&lt;290000,1750,0))))),IF($AY57&lt;125000,8750,IF($AY57&lt;130000,7000,IF($AY57&lt;135000,5250,IF($AY57&lt;140000,3500,IF($AY57&lt;145000,1750,0)))))))-IF(OR($AU57="Married",AND($AU57="Single",$AS57&gt;=3)),5820,2910))-INDEX('Methodology &amp; Sources'!$B$461:$J$464,0,1))*INDEX('Methodology &amp; Sources'!$B$461:$J$464,0,1+2)))+263-263*IF(IF($AU57="Married",$AY57&gt;200000,$AY57&gt;100000),0,$AS57),IF($AN57="PA",0.0307*(($O57+$E57+$G57)*Inputs!$C$8),IF($AN57="NY",IF($AU57="Married",IF($AZ57&gt;=2155350,0,IF($AZ57&gt;=1077550,0.48,IF($AZ57&gt;=373200,1.21,IF($AZ57&gt;=323200,0.21,IF($AZ57&gt;=211550,-0.19,IF($AZ57&gt;=157650,-2.8,IF($AZ57&gt;=107650,-0.8,IF($AZ57&gt;=96800,0.05,IF($AZ57&gt;=80650,-0.1,IF($AZ57&gt;=13900,0.4,IF($AZ57&gt;=11700,-0.3,IF($AZ57&gt;=8500,0.5,0)))))))))))),IF($AZ57&gt;=1077550,0,IF($AZ57&gt;=265400,4.29,IF($AZ57&gt;=215400,2.29,IF($AZ57&gt;=157650,2.29,IF($AZ57&gt;=107650,0.29,IF($AZ57&gt;=96800,0.05,IF($AZ57&gt;=80650,-0.1,IF($AZ57&gt;=13900,0.4,IF($AZ57&gt;=11700,-0.3,IF($AZ57&gt;=8500,0.5,0))))))))))),0))))))))))))))))))</f>
      </c>
      <c r="BC57" s="7">
        <f>IF($B57="","",IF($AN57="AL",0.05*$D57,IF($AN57="AR",0.039*$D57,IF($AN57="ID",0.053*$D57,IF($AN57="IN",(0.0295+Inputs!$C$76)*$D57,IF($AN57="KS",0.05*$D57,IF($AN57="MA",0.09*MIN($D57,MAX(0,MAX(0,$AY57-MIN(($BD56+$Q57+$R57+$S57),2000)-IF($AS57=0,0,IF($AS57=1,4400,1000*$AS57+3400)))+$D57-1107750))+0.05*($D57-MIN($D57,MAX(0,MAX(0,$AY57-MIN(($BD56+$Q57+$R57+$S57),2000)-IF($AS57=0,0,IF($AS57=1,4400,1000*$AS57+3400)))+$D57-1107750))),IF($AN57="MD",(0.065+Inputs!$C$74)*$D57,IF($AN57="MI",0.0425*$D57,IF($AN57="MN",0.0625*$D57,IF($AN57="MO",0.047*$D57,IF($AN57="MT",0.05*$D57,IF($AN57="ND",0.015*$D57,IF($AN57="NE",0.035*$D57,IF($AN57="NJ",IF(Inputs!$C$77="B",SUMPRODUCT(($D57*Inputs!$C$8&gt;INDEX('Methodology &amp; Sources'!$B$405:$J$412,0,4))*($D57*Inputs!$C$8-INDEX('Methodology &amp; Sources'!$B$405:$J$412,0,4))*INDEX('Methodology &amp; Sources'!$B$405:$J$412,0,4+2)),IF(Inputs!$C$77="C",SUMPRODUCT(($D57*Inputs!$C$8&gt;INDEX('Methodology &amp; Sources'!$B$405:$J$412,0,7))*($D57*Inputs!$C$8-INDEX('Methodology &amp; Sources'!$B$405:$J$412,0,7))*INDEX('Methodology &amp; Sources'!$B$405:$J$412,0,7+2)),IF(Inputs!$C$77="D",SUMPRODUCT(($D57*Inputs!$C$8&gt;INDEX('Methodology &amp; Sources'!$B$417:$J$429,0,1))*($D57*Inputs!$C$8-INDEX('Methodology &amp; Sources'!$B$417:$J$429,0,1))*INDEX('Methodology &amp; Sources'!$B$417:$J$429,0,1+2)),IF(Inputs!$C$77="E",SUMPRODUCT(($D57*Inputs!$C$8&gt;INDEX('Methodology &amp; Sources'!$B$417:$J$429,0,4))*($D57*Inputs!$C$8-INDEX('Methodology &amp; Sources'!$B$417:$J$429,0,4))*INDEX('Methodology &amp; Sources'!$B$417:$J$429,0,4+2)),SUMPRODUCT(($D57*Inputs!$C$8&gt;INDEX('Methodology &amp; Sources'!$B$405:$J$412,0,1))*($D57*Inputs!$C$8-INDEX('Methodology &amp; Sources'!$B$405:$J$412,0,1))*INDEX('Methodology &amp; Sources'!$B$405:$J$412,0,1+2))))))/Inputs!$C$8,IF($AN57="NY",0.117*$D57,IF($AN57="OH",0.0275*$D57,IF($AN57="OK",0.045*$D57,IF($AN57="OR",0.08*$D57,IF($AN57="WI",IF($AY57&lt;12760,0.0354,IF($AY57&lt;25520,0.0465,IF($AY57&lt;280950,0.053,0.0765)))*$D57,0))))))))))))))))))))</f>
      </c>
      <c r="BD57" s="7">
        <f>IF($B57="","",$BD56+$Q57+$R57+$S57)</f>
      </c>
      <c r="BE57" s="6">
        <f>IF($B57="",$BE56,$BE56+$BF57)</f>
      </c>
      <c r="BF57" s="6">
        <f>IF($B57="","",IF(AND(IF(YEAR(IF(Inputs!$C$7="Weekly",Inputs!$C$9+7*(($BE56+1)-1),IF(Inputs!$C$7="Biweekly",Inputs!$C$9+14*(($BE56+1)-1),IF(Inputs!$C$7="Semimonthly",DATE(YEAR(Inputs!$C$9),MONTH(Inputs!$C$9)+INT((($BE56+1)-1)/2),MIN(DAY(Inputs!$C$9),DAY(EOMONTH(DATE(YEAR(Inputs!$C$9),MONTH(Inputs!$C$9)+INT((($BE56+1)-1)/2),1),0))))+IF(MOD(($BE56+1)-1,2)=1,15,0),EDATE(Inputs!$C$9,($BE56+1)-1)))))&lt;&gt;2026,"",IF(Inputs!$C$7="Weekly",Inputs!$C$9+7*(($BE56+1)-1),IF(Inputs!$C$7="Biweekly",Inputs!$C$9+14*(($BE56+1)-1),IF(Inputs!$C$7="Semimonthly",DATE(YEAR(Inputs!$C$9),MONTH(Inputs!$C$9)+INT((($BE56+1)-1)/2),MIN(DAY(Inputs!$C$9),DAY(EOMONTH(DATE(YEAR(Inputs!$C$9),MONTH(Inputs!$C$9)+INT((($BE56+1)-1)/2),1),0))))+IF(MOD(($BE56+1)-1,2)=1,15,0),EDATE(Inputs!$C$9,($BE56+1)-1)))))&lt;&gt;"",$B57=IF(YEAR(IF(Inputs!$C$7="Weekly",Inputs!$C$9+7*(($BE56+1)-1),IF(Inputs!$C$7="Biweekly",Inputs!$C$9+14*(($BE56+1)-1),IF(Inputs!$C$7="Semimonthly",DATE(YEAR(Inputs!$C$9),MONTH(Inputs!$C$9)+INT((($BE56+1)-1)/2),MIN(DAY(Inputs!$C$9),DAY(EOMONTH(DATE(YEAR(Inputs!$C$9),MONTH(Inputs!$C$9)+INT((($BE56+1)-1)/2),1),0))))+IF(MOD(($BE56+1)-1,2)=1,15,0),EDATE(Inputs!$C$9,($BE56+1)-1)))))&lt;&gt;2026,"",IF(Inputs!$C$7="Weekly",Inputs!$C$9+7*(($BE56+1)-1),IF(Inputs!$C$7="Biweekly",Inputs!$C$9+14*(($BE56+1)-1),IF(Inputs!$C$7="Semimonthly",DATE(YEAR(Inputs!$C$9),MONTH(Inputs!$C$9)+INT((($BE56+1)-1)/2),MIN(DAY(Inputs!$C$9),DAY(EOMONTH(DATE(YEAR(Inputs!$C$9),MONTH(Inputs!$C$9)+INT((($BE56+1)-1)/2),1),0))))+IF(MOD(($BE56+1)-1,2)=1,15,0),EDATE(Inputs!$C$9,($BE56+1)-1)))))),1,0))</f>
      </c>
      <c r="BG57" s="7">
        <f>IF($B57="","",$BG56+$H57)</f>
      </c>
      <c r="BH57" s="7">
        <f>IF($B57="","",$BH56+$I57)</f>
      </c>
      <c r="BI57" s="7">
        <f>IF($B57="","",$BI56+$G57)</f>
      </c>
      <c r="BJ57" s="7">
        <f>IF($B57="","",IFERROR(LOOKUP(2,1/((((Events!$C$6:$C$17="Deduction start"))*(Events!$D$6:$D$17="Health FSA"))*(Events!$B$6:$B$17&lt;=$B57)*(Events!$B$6:$B$17&lt;&gt;"")),Events!$E$6:$E$17),Inputs!$D$38))</f>
      </c>
      <c r="BK57" s="7">
        <f>IF($B57="","",IFERROR(LOOKUP(2,1/((((Events!$C$6:$C$17="Deduction start"))*(Events!$D$6:$D$17="Dependent-care FSA"))*(Events!$B$6:$B$17&lt;=$B57)*(Events!$B$6:$B$17&lt;&gt;"")),Events!$E$6:$E$17),Inputs!$D$39))</f>
      </c>
      <c r="BL57" s="7">
        <f>IF($B57="","",IFERROR(LOOKUP(2,1/((((Events!$C$6:$C$17="Deduction start")+(Events!$C$6:$C$17="Deduction stop"))*(Events!$D$6:$D$17="HSA"))*(Events!$B$6:$B$17&lt;=$B57)*(Events!$B$6:$B$17&lt;&gt;"")),Events!$I$6:$I$17),Inputs!$D$35))</f>
      </c>
      <c r="BM57" s="7">
        <f>IF($B57="","",IFERROR(LOOKUP(2,1/((((Events!$C$6:$C$17="Deduction start")+(Events!$C$6:$C$17="Deduction stop"))*(Events!$D$6:$D$17="Premiums"))*(Events!$B$6:$B$17&lt;=$B57)*(Events!$B$6:$B$17&lt;&gt;"")),Events!$I$6:$I$17),Inputs!$D$40+Inputs!$D$41+Inputs!$D$42))</f>
      </c>
      <c r="BN57" s="7">
        <f>IF($B57="","",IFERROR(LOOKUP(2,1/((((Events!$C$6:$C$17="Deduction start")+(Events!$C$6:$C$17="Deduction stop"))*(Events!$D$6:$D$17="Commuter"))*(Events!$B$6:$B$17&lt;=$B57)*(Events!$B$6:$B$17&lt;&gt;"")),Events!$I$6:$I$17),Inputs!$D$43))</f>
      </c>
      <c r="BO57" s="7">
        <f>IF($B57="","",IFERROR(LOOKUP(2,1/((((Events!$C$6:$C$17="Deduction start")+(Events!$C$6:$C$17="Deduction stop"))*(Events!$D$6:$D$17="Other pre-tax"))*(Events!$B$6:$B$17&lt;=$B57)*(Events!$B$6:$B$17&lt;&gt;"")),Events!$I$6:$I$17),Inputs!$D$44))</f>
      </c>
      <c r="BP57" s="7">
        <f>IF($B57="","",IFERROR(LOOKUP(2,1/((((Events!$C$6:$C$17="Deduction start")+(Events!$C$6:$C$17="Deduction stop"))*(Events!$D$6:$D$17="Other post-tax"))*(Events!$B$6:$B$17&lt;=$B57)*(Events!$B$6:$B$17&lt;&gt;"")),Events!$I$6:$I$17),Inputs!$D$45))</f>
      </c>
      <c r="BQ57" s="6">
        <f>IF($B57="","",IFERROR(LOOKUP(2,1/((((Events!$C$6:$C$17="Deduction start")+(Events!$C$6:$C$17="Deduction stop"))*(Events!$D$6:$D$17="Health FSA"))*(Events!$B$6:$B$17&lt;=$B57)*(Events!$B$6:$B$17&lt;&gt;"")),Events!$J$6:$J$17),0))</f>
      </c>
      <c r="BR57" s="6">
        <f>IF($B57="","",IFERROR(LOOKUP(2,1/((((Events!$C$6:$C$17="Deduction start")+(Events!$C$6:$C$17="Deduction stop"))*(Events!$D$6:$D$17="Dependent-care FSA"))*(Events!$B$6:$B$17&lt;=$B57)*(Events!$B$6:$B$17&lt;&gt;"")),Events!$J$6:$J$17),0))</f>
      </c>
      <c r="BS57" s="6">
        <f>IF($B57="","",IF(SUMPRODUCT((Events!$C$6:$C$17="Deduction start")*(Events!$B$6:$B$17&lt;=$B57)*(Events!$B$6:$B$17&lt;&gt;"")*(Events!$D$6:$D$17="Health FSA"))&gt;0,1,0))</f>
      </c>
      <c r="BT57" s="6">
        <f>IF($B57="","",IF(SUMPRODUCT((Events!$C$6:$C$17="Deduction start")*(Events!$B$6:$B$17&lt;=$B57)*(Events!$B$6:$B$17&lt;&gt;"")*(Events!$D$6:$D$17="Dependent-care FSA"))&gt;0,1,0))</f>
      </c>
      <c r="BU57" s="24">
        <f>IF($B57="","",IF(Inputs!$C$13,SUMPRODUCT(($AH57&gt;=INDEX('Methodology &amp; Sources'!$B$279:$J$286,0,IF(Inputs!$C$12="MFJ",1,IF(Inputs!$C$12="HoH",7,4))))*INDEX('Methodology &amp; Sources'!$B$279:$J$286,0,IF(Inputs!$C$12="MFJ",1,IF(Inputs!$C$12="HoH",7,4))+2)),SUMPRODUCT(($AH57&gt;=INDEX('Methodology &amp; Sources'!$B$269:$J$276,0,IF(Inputs!$C$12="MFJ",1,IF(Inputs!$C$12="HoH",7,4))))*INDEX('Methodology &amp; Sources'!$B$269:$J$276,0,IF(Inputs!$C$12="MFJ",1,IF(Inputs!$C$12="HoH",7,4))+2))))</f>
      </c>
      <c r="BV57" s="24">
        <f>IF($B57="","",IF($BZ57&lt;&gt;"",$BZ57,IF($CA57&lt;&gt;"",$CA57,IF($CB57&lt;&gt;"",$CB57,IF($CC57&lt;&gt;"",$CC57,0)))))</f>
      </c>
      <c r="BW57" s="7">
        <f>IF($B57="","",IF($AN57="MD",IF(OR($AU57="Married",$AU57="Head of household"),SUMPRODUCT(($AZ57&gt;INDEX('Methodology &amp; Sources'!$B$364:$J$370,0,1))*($AZ57-INDEX('Methodology &amp; Sources'!$B$364:$J$370,0,1))*INDEX('Methodology &amp; Sources'!$B$364:$J$370,0,1+2)),SUMPRODUCT(($AZ57&gt;INDEX('Methodology &amp; Sources'!$B$353:$J$359,0,7))*($AZ57-INDEX('Methodology &amp; Sources'!$B$353:$J$359,0,7))*INDEX('Methodology &amp; Sources'!$B$353:$J$359,0,7+2))),IF($AN57="MO",SUMPRODUCT(($AZ57&gt;INDEX('Methodology &amp; Sources'!$B$375:$J$382,0,1))*($AZ57-INDEX('Methodology &amp; Sources'!$B$375:$J$382,0,1))*INDEX('Methodology &amp; Sources'!$B$375:$J$382,0,1+2)),IF($AN57="MT",IF($AU57="Head of household",SUMPRODUCT(($AZ57&gt;INDEX('Methodology &amp; Sources'!$B$387:$J$389,0,1))*($AZ57-INDEX('Methodology &amp; Sources'!$B$387:$J$389,0,1))*INDEX('Methodology &amp; Sources'!$B$387:$J$389,0,1+2)),IF($AU57="Married",SUMPRODUCT(($AZ57&gt;INDEX('Methodology &amp; Sources'!$B$375:$J$382,0,7))*($AZ57-INDEX('Methodology &amp; Sources'!$B$375:$J$382,0,7))*INDEX('Methodology &amp; Sources'!$B$375:$J$382,0,7+2)),SUMPRODUCT(($AZ57&gt;INDEX('Methodology &amp; Sources'!$B$375:$J$382,0,4))*($AZ57-INDEX('Methodology &amp; Sources'!$B$375:$J$382,0,4))*INDEX('Methodology &amp; Sources'!$B$375:$J$382,0,4+2)))),IF($AN57="ND",IF($AU57="Head of household",SUMPRODUCT(($AZ57&gt;INDEX('Methodology &amp; Sources'!$B$394:$J$400,0,1))*($AZ57-INDEX('Methodology &amp; Sources'!$B$394:$J$400,0,1))*INDEX('Methodology &amp; Sources'!$B$394:$J$400,0,1+2)),IF($AU57="Married",SUMPRODUCT(($AZ57&gt;INDEX('Methodology &amp; Sources'!$B$387:$J$389,0,7))*($AZ57-INDEX('Methodology &amp; Sources'!$B$387:$J$389,0,7))*INDEX('Methodology &amp; Sources'!$B$387:$J$389,0,7+2)),SUMPRODUCT(($AZ57&gt;INDEX('Methodology &amp; Sources'!$B$387:$J$389,0,4))*($AZ57-INDEX('Methodology &amp; Sources'!$B$387:$J$389,0,4))*INDEX('Methodology &amp; Sources'!$B$387:$J$389,0,4+2)))),IF($AN57="NJ",IF(Inputs!$C$77="B",SUMPRODUCT(($AZ57&gt;INDEX('Methodology &amp; Sources'!$B$405:$J$412,0,4))*($AZ57-INDEX('Methodology &amp; Sources'!$B$405:$J$412,0,4))*INDEX('Methodology &amp; Sources'!$B$405:$J$412,0,4+2)),IF(Inputs!$C$77="C",SUMPRODUCT(($AZ57&gt;INDEX('Methodology &amp; Sources'!$B$405:$J$412,0,7))*($AZ57-INDEX('Methodology &amp; Sources'!$B$405:$J$412,0,7))*INDEX('Methodology &amp; Sources'!$B$405:$J$412,0,7+2)),IF(Inputs!$C$77="D",SUMPRODUCT(($AZ57&gt;INDEX('Methodology &amp; Sources'!$B$417:$J$429,0,1))*($AZ57-INDEX('Methodology &amp; Sources'!$B$417:$J$429,0,1))*INDEX('Methodology &amp; Sources'!$B$417:$J$429,0,1+2)),IF(Inputs!$C$77="E",SUMPRODUCT(($AZ57&gt;INDEX('Methodology &amp; Sources'!$B$417:$J$429,0,4))*($AZ57-INDEX('Methodology &amp; Sources'!$B$417:$J$429,0,4))*INDEX('Methodology &amp; Sources'!$B$417:$J$429,0,4+2)),SUMPRODUCT(($AZ57&gt;INDEX('Methodology &amp; Sources'!$B$405:$J$412,0,1))*($AZ57-INDEX('Methodology &amp; Sources'!$B$405:$J$412,0,1))*INDEX('Methodology &amp; Sources'!$B$405:$J$412,0,1+2)))))),IF($AN57="NY",IF($AU57="Married",IF($AZ57&gt;=2155350,$AZ57*IF($AZ57&gt;25000000,0.117,IF($AZ57&gt;5000000,0.111,0.1045)),SUMPRODUCT(($AZ57&gt;INDEX('Methodology &amp; Sources'!$B$434:$J$448,0,1))*($AZ57-INDEX('Methodology &amp; Sources'!$B$434:$J$448,0,1))*INDEX('Methodology &amp; Sources'!$B$434:$J$448,0,1+2))),IF($AZ57&gt;=1077550,$AZ57*IF($AZ57&gt;25000000,0.117,IF($AZ57&gt;5000000,0.111,0.1045)),SUMPRODUCT(($AZ57&gt;INDEX('Methodology &amp; Sources'!$B$417:$J$429,0,7))*($AZ57-INDEX('Methodology &amp; Sources'!$B$417:$J$429,0,7))*INDEX('Methodology &amp; Sources'!$B$417:$J$429,0,7+2)))),"")))))))</f>
      </c>
      <c r="BX57" s="7">
        <f>IF($B57="","",IF($AN57="AL",IF(OR($AU57="Married",$AU57="Head of household"),SUMPRODUCT(($AZ57&gt;INDEX('Methodology &amp; Sources'!$B$332:$J$336,0,4))*($AZ57-INDEX('Methodology &amp; Sources'!$B$332:$J$336,0,4))*INDEX('Methodology &amp; Sources'!$B$332:$J$336,0,4+2)),SUMPRODUCT(($AZ57&gt;INDEX('Methodology &amp; Sources'!$B$332:$J$336,0,1))*($AZ57-INDEX('Methodology &amp; Sources'!$B$332:$J$336,0,1))*INDEX('Methodology &amp; Sources'!$B$332:$J$336,0,1+2))),IF($AN57="KS",IF($AU57="Married",SUMPRODUCT(($AZ57&gt;INDEX('Methodology &amp; Sources'!$B$353:$J$359,0,4))*($AZ57-INDEX('Methodology &amp; Sources'!$B$353:$J$359,0,4))*INDEX('Methodology &amp; Sources'!$B$353:$J$359,0,4+2)),SUMPRODUCT(($AZ57&gt;INDEX('Methodology &amp; Sources'!$B$353:$J$359,0,1))*($AZ57-INDEX('Methodology &amp; Sources'!$B$353:$J$359,0,1))*INDEX('Methodology &amp; Sources'!$B$353:$J$359,0,1+2))),IF($AN57="MN",IF($AU57="Married",SUMPRODUCT(($AZ57&gt;INDEX('Methodology &amp; Sources'!$B$364:$J$370,0,7))*($AZ57-INDEX('Methodology &amp; Sources'!$B$364:$J$370,0,7))*INDEX('Methodology &amp; Sources'!$B$364:$J$370,0,7+2)),SUMPRODUCT(($AZ57&gt;INDEX('Methodology &amp; Sources'!$B$364:$J$370,0,4))*($AZ57-INDEX('Methodology &amp; Sources'!$B$364:$J$370,0,4))*INDEX('Methodology &amp; Sources'!$B$364:$J$370,0,4+2))),IF($AN57="NE",MAX(IF($AU57="Married",SUMPRODUCT(($AZ57&gt;INDEX('Methodology &amp; Sources'!$B$394:$J$400,0,7))*($AZ57-INDEX('Methodology &amp; Sources'!$B$394:$J$400,0,7))*INDEX('Methodology &amp; Sources'!$B$394:$J$400,0,7+2)),SUMPRODUCT(($AZ57&gt;INDEX('Methodology &amp; Sources'!$B$394:$J$400,0,4))*($AZ57-INDEX('Methodology &amp; Sources'!$B$394:$J$400,0,4))*INDEX('Methodology &amp; Sources'!$B$394:$J$400,0,4+2))),0.015*$AZ57),IF($AN57="OH",IF($B57&gt;=DATE(2026,8,1),SUMPRODUCT(($AZ57&gt;INDEX('Methodology &amp; Sources'!$B$453:$J$456,0,1))*($AZ57-INDEX('Methodology &amp; Sources'!$B$453:$J$456,0,1))*INDEX('Methodology &amp; Sources'!$B$453:$J$456,0,1+2)),SUMPRODUCT(($AZ57&gt;INDEX('Methodology &amp; Sources'!$B$434:$J$448,0,7))*($AZ57-INDEX('Methodology &amp; Sources'!$B$434:$J$448,0,7))*INDEX('Methodology &amp; Sources'!$B$434:$J$448,0,7+2))),IF($AN57="OK",IF($AU57="Married",SUMPRODUCT(($AZ57&gt;INDEX('Methodology &amp; Sources'!$B$453:$J$456,0,7))*($AZ57-INDEX('Methodology &amp; Sources'!$B$453:$J$456,0,7))*INDEX('Methodology &amp; Sources'!$B$453:$J$456,0,7+2)),SUMPRODUCT(($AZ57&gt;INDEX('Methodology &amp; Sources'!$B$453:$J$456,0,4))*($AZ57-INDEX('Methodology &amp; Sources'!$B$453:$J$456,0,4))*INDEX('Methodology &amp; Sources'!$B$453:$J$456,0,4+2))),IF($AN57="RI",SUMPRODUCT(($AZ57&gt;INDEX('Methodology &amp; Sources'!$B$461:$J$464,0,7))*($AZ57-INDEX('Methodology &amp; Sources'!$B$461:$J$464,0,7))*INDEX('Methodology &amp; Sources'!$B$461:$J$464,0,7+2)),IF($AN57="VT",IF($AU57="Married",SUMPRODUCT(($AZ57&gt;INDEX('Methodology &amp; Sources'!$B$478:$J$482,0,1))*($AZ57-INDEX('Methodology &amp; Sources'!$B$478:$J$482,0,1))*INDEX('Methodology &amp; Sources'!$B$478:$J$482,0,1+2)),SUMPRODUCT(($AZ57&gt;INDEX('Methodology &amp; Sources'!$B$469:$J$473,0,7))*($AZ57-INDEX('Methodology &amp; Sources'!$B$469:$J$473,0,7))*INDEX('Methodology &amp; Sources'!$B$469:$J$473,0,7+2))),IF($AN57="WV",IF($AU57="Married",SUMPRODUCT(($AZ57&gt;INDEX('Methodology &amp; Sources'!$B$487:$J$491,0,7))*($AZ57-INDEX('Methodology &amp; Sources'!$B$487:$J$491,0,7))*INDEX('Methodology &amp; Sources'!$B$487:$J$491,0,7+2)),SUMPRODUCT(($AZ57&gt;INDEX('Methodology &amp; Sources'!$B$478:$J$482,0,7))*($AZ57-INDEX('Methodology &amp; Sources'!$B$478:$J$482,0,7))*INDEX('Methodology &amp; Sources'!$B$478:$J$482,0,7+2))),""))))))))))</f>
      </c>
      <c r="BY57" s="7">
        <f>IF($B57="","",IF($AN57="AR",SUMPRODUCT(($AZ57&gt;INDEX('Methodology &amp; Sources'!$B$332:$J$336,0,7))*($AZ57-INDEX('Methodology &amp; Sources'!$B$332:$J$336,0,7))*INDEX('Methodology &amp; Sources'!$B$332:$J$336,0,7+2)),IF($AN57="DE",SUMPRODUCT(($AZ57&gt;INDEX('Methodology &amp; Sources'!$B$341:$J$348,0,1))*($AZ57-INDEX('Methodology &amp; Sources'!$B$341:$J$348,0,1))*INDEX('Methodology &amp; Sources'!$B$341:$J$348,0,1+2)),IF($AN57="HI",IF($AU57="Married",SUMPRODUCT(($AZ57&gt;INDEX('Methodology &amp; Sources'!$B$341:$J$348,0,7))*($AZ57-INDEX('Methodology &amp; Sources'!$B$341:$J$348,0,7))*INDEX('Methodology &amp; Sources'!$B$341:$J$348,0,7+2)),SUMPRODUCT(($AZ57&gt;INDEX('Methodology &amp; Sources'!$B$341:$J$348,0,4))*($AZ57-INDEX('Methodology &amp; Sources'!$B$341:$J$348,0,4))*INDEX('Methodology &amp; Sources'!$B$341:$J$348,0,4+2))),IF($AN57="SC",SUMPRODUCT(($AZ57&gt;INDEX('Methodology &amp; Sources'!$B$469:$J$473,0,1))*($AZ57-INDEX('Methodology &amp; Sources'!$B$469:$J$473,0,1))*INDEX('Methodology &amp; Sources'!$B$469:$J$473,0,1+2)),IF($AN57="VA",SUMPRODUCT(($AZ57&gt;INDEX('Methodology &amp; Sources'!$B$469:$J$473,0,4))*($AZ57-INDEX('Methodology &amp; Sources'!$B$469:$J$473,0,4))*INDEX('Methodology &amp; Sources'!$B$469:$J$473,0,4+2)),IF($AN57="WI",SUMPRODUCT(($AZ57&gt;INDEX('Methodology &amp; Sources'!$B$478:$J$482,0,4))*($AZ57-INDEX('Methodology &amp; Sources'!$B$478:$J$482,0,4))*INDEX('Methodology &amp; Sources'!$B$478:$J$482,0,4+2)),"")))))))</f>
      </c>
      <c r="BZ57" s="24">
        <f>IF($B57="","",IF($AN57="NJ",IF(Inputs!$C$77="B",SUMPRODUCT(($AZ57&gt;=INDEX('Methodology &amp; Sources'!$B$405:$J$412,0,4))*INDEX('Methodology &amp; Sources'!$B$405:$J$412,0,4+2)),IF(Inputs!$C$77="C",SUMPRODUCT(($AZ57&gt;=INDEX('Methodology &amp; Sources'!$B$405:$J$412,0,7))*INDEX('Methodology &amp; Sources'!$B$405:$J$412,0,7+2)),IF(Inputs!$C$77="D",SUMPRODUCT(($AZ57&gt;=INDEX('Methodology &amp; Sources'!$B$417:$J$429,0,1))*INDEX('Methodology &amp; Sources'!$B$417:$J$429,0,1+2)),IF(Inputs!$C$77="E",SUMPRODUCT(($AZ57&gt;=INDEX('Methodology &amp; Sources'!$B$417:$J$429,0,4))*INDEX('Methodology &amp; Sources'!$B$417:$J$429,0,4+2)),SUMPRODUCT(($AZ57&gt;=INDEX('Methodology &amp; Sources'!$B$405:$J$412,0,1))*INDEX('Methodology &amp; Sources'!$B$405:$J$412,0,1+2)))))),IF($AN57="OR",IF(OR($AU57="Married",AND($AU57="Single",$AS57&gt;=3)),SUMPRODUCT((MAX(0,$AY57-MIN(($P57-'Methodology &amp; Sources'!$C$260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Sources'!$B$461:$J$464,0,4))*INDEX('Methodology &amp; Sources'!$B$461:$J$464,0,4+2)),SUMPRODUCT((MAX(0,$AY57-MIN(($P57-'Methodology &amp; Sources'!$C$260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Sources'!$B$461:$J$464,0,1))*INDEX('Methodology &amp; Sources'!$B$461:$J$464,0,1+2)))*IF(($P57-'Methodology &amp; Sources'!$C$260*$D57)*Inputs!$C$8&gt;=IF(OR($AU57="Married",AND($AU57="Single",$AS57&gt;=3)),IF($AY57&lt;250000,8750,IF($AY57&lt;260000,7000,IF($AY57&lt;270000,5250,IF($AY57&lt;280000,3500,IF($AY57&lt;290000,1750,0))))),IF($AY57&lt;125000,8750,IF($AY57&lt;130000,7000,IF($AY57&lt;135000,5250,IF($AY57&lt;140000,3500,IF($AY57&lt;145000,1750,0)))))),1,1-IF(Inputs!$C$13,SUMPRODUCT(($AH57&gt;=INDEX('Methodology &amp; Sources'!$B$279:$J$286,0,IF(Inputs!$C$12="MFJ",1,IF(Inputs!$C$12="HoH",7,4))))*INDEX('Methodology &amp; Sources'!$B$279:$J$286,0,IF(Inputs!$C$12="MFJ",1,IF(Inputs!$C$12="HoH",7,4))+2)),SUMPRODUCT(($AH57&gt;=INDEX('Methodology &amp; Sources'!$B$269:$J$276,0,IF(Inputs!$C$12="MFJ",1,IF(Inputs!$C$12="HoH",7,4))))*INDEX('Methodology &amp; Sources'!$B$269:$J$276,0,IF(Inputs!$C$12="MFJ",1,IF(Inputs!$C$12="HoH",7,4))+2)))),IF($AN57="MI",IF($AY57&gt;5900*$AS57,0.0425,0),""))))</f>
      </c>
      <c r="CA57" s="24">
        <f>IF($B57="","",IF($AN57="AL",IF(OR($AU57="Married",$AU57="Head of household"),SUMPRODUCT(($AZ57&gt;=INDEX('Methodology &amp; Sources'!$B$332:$J$336,0,4))*INDEX('Methodology &amp; Sources'!$B$332:$J$336,0,4+2)),SUMPRODUCT(($AZ57&gt;=INDEX('Methodology &amp; Sources'!$B$332:$J$336,0,1))*INDEX('Methodology &amp; Sources'!$B$332:$J$336,0,1+2)))*(1-IF(Inputs!$C$13,SUMPRODUCT(($AH57&gt;=INDEX('Methodology &amp; Sources'!$B$279:$J$286,0,IF(Inputs!$C$12="MFJ",1,IF(Inputs!$C$12="HoH",7,4))))*INDEX('Methodology &amp; Sources'!$B$279:$J$286,0,IF(Inputs!$C$12="MFJ",1,IF(Inputs!$C$12="HoH",7,4))+2)),SUMPRODUCT(($AH57&gt;=INDEX('Methodology &amp; Sources'!$B$269:$J$276,0,IF(Inputs!$C$12="MFJ",1,IF(Inputs!$C$12="HoH",7,4))))*INDEX('Methodology &amp; Sources'!$B$269:$J$276,0,IF(Inputs!$C$12="MFJ",1,IF(Inputs!$C$12="HoH",7,4))+2)))),IF($AN57="KS",IF($AU57="Married",SUMPRODUCT(($AZ57&gt;=INDEX('Methodology &amp; Sources'!$B$353:$J$359,0,4))*INDEX('Methodology &amp; Sources'!$B$353:$J$359,0,4+2)),SUMPRODUCT(($AZ57&gt;=INDEX('Methodology &amp; Sources'!$B$353:$J$359,0,1))*INDEX('Methodology &amp; Sources'!$B$353:$J$359,0,1+2))),IF($AN57="MD",IF(OR($AU57="Married",$AU57="Head of household"),SUMPRODUCT(($AZ57&gt;=INDEX('Methodology &amp; Sources'!$B$364:$J$370,0,1))*INDEX('Methodology &amp; Sources'!$B$364:$J$370,0,1+2)),SUMPRODUCT(($AZ57&gt;=INDEX('Methodology &amp; Sources'!$B$353:$J$359,0,7))*INDEX('Methodology &amp; Sources'!$B$353:$J$359,0,7+2)))+Inputs!$C$74,IF($AN57="MT",IF($AU57="Head of household",SUMPRODUCT(($AZ57&gt;=INDEX('Methodology &amp; Sources'!$B$387:$J$389,0,1))*INDEX('Methodology &amp; Sources'!$B$387:$J$389,0,1+2)),IF($AU57="Married",SUMPRODUCT(($AZ57&gt;=INDEX('Methodology &amp; Sources'!$B$375:$J$382,0,7))*INDEX('Methodology &amp; Sources'!$B$375:$J$382,0,7+2)),SUMPRODUCT(($AZ57&gt;=INDEX('Methodology &amp; Sources'!$B$375:$J$382,0,4))*INDEX('Methodology &amp; Sources'!$B$375:$J$382,0,4+2)))),IF($AN57="ND",IF($AU57="Head of household",SUMPRODUCT(($AZ57&gt;=INDEX('Methodology &amp; Sources'!$B$394:$J$400,0,1))*INDEX('Methodology &amp; Sources'!$B$394:$J$400,0,1+2)),IF($AU57="Married",SUMPRODUCT(($AZ57&gt;=INDEX('Methodology &amp; Sources'!$B$387:$J$389,0,7))*INDEX('Methodology &amp; Sources'!$B$387:$J$389,0,7+2)),SUMPRODUCT(($AZ57&gt;=INDEX('Methodology &amp; Sources'!$B$387:$J$389,0,4))*INDEX('Methodology &amp; Sources'!$B$387:$J$389,0,4+2)))),IF($AN57="NY",IF($AU57="Married",IF($AZ57&gt;=2155350,IF($AZ57&gt;25000000,0.117,IF($AZ57&gt;5000000,0.111,0.1045)),SUMPRODUCT(($AZ57&gt;=INDEX('Methodology &amp; Sources'!$B$434:$J$448,0,1))*INDEX('Methodology &amp; Sources'!$B$434:$J$448,0,1+2))),IF($AZ57&gt;=1077550,IF($AZ57&gt;25000000,0.117,IF($AZ57&gt;5000000,0.111,0.1045)),SUMPRODUCT(($AZ57&gt;=INDEX('Methodology &amp; Sources'!$B$417:$J$429,0,7))*INDEX('Methodology &amp; Sources'!$B$417:$J$429,0,7+2)))),"")))))))</f>
      </c>
      <c r="CB57" s="24">
        <f>IF($B57="","",IF($AN57="CA",SUMPRODUCT(($AJ57&gt;=INDEX('Methodology &amp; Sources'!$B$289:$J$298,0,IF($AU57="Married",4,IF($AU57="Head of household",7,1))))*INDEX('Methodology &amp; Sources'!$B$289:$J$298,0,IF($AU57="Married",4,IF($AU57="Head of household",7,1))+2)),IF($AN57="HI",IF($AU57="Married",SUMPRODUCT(($AZ57&gt;=INDEX('Methodology &amp; Sources'!$B$341:$J$348,0,7))*INDEX('Methodology &amp; Sources'!$B$341:$J$348,0,7+2)),SUMPRODUCT(($AZ57&gt;=INDEX('Methodology &amp; Sources'!$B$341:$J$348,0,4))*INDEX('Methodology &amp; Sources'!$B$341:$J$348,0,4+2))),IF($AN57="MN",IF($AU57="Married",SUMPRODUCT(($AZ57&gt;=INDEX('Methodology &amp; Sources'!$B$364:$J$370,0,7))*INDEX('Methodology &amp; Sources'!$B$364:$J$370,0,7+2)),SUMPRODUCT(($AZ57&gt;=INDEX('Methodology &amp; Sources'!$B$364:$J$370,0,4))*INDEX('Methodology &amp; Sources'!$B$364:$J$370,0,4+2))),IF($AN57="MO",SUMPRODUCT(($AZ57&gt;=INDEX('Methodology &amp; Sources'!$B$375:$J$382,0,1))*INDEX('Methodology &amp; Sources'!$B$375:$J$382,0,1+2)),IF($AN57="NE",MAX(IF($AU57="Married",SUMPRODUCT(($AZ57&gt;=INDEX('Methodology &amp; Sources'!$B$394:$J$400,0,7))*INDEX('Methodology &amp; Sources'!$B$394:$J$400,0,7+2)),SUMPRODUCT(($AZ57&gt;=INDEX('Methodology &amp; Sources'!$B$394:$J$400,0,4))*INDEX('Methodology &amp; Sources'!$B$394:$J$400,0,4+2))),0.015),IF($AN57="OH",IF($B57&gt;=DATE(2026,8,1),SUMPRODUCT(($AZ57&gt;=INDEX('Methodology &amp; Sources'!$B$453:$J$456,0,1))*INDEX('Methodology &amp; Sources'!$B$453:$J$456,0,1+2)),SUMPRODUCT(($AZ57&gt;=INDEX('Methodology &amp; Sources'!$B$434:$J$448,0,7))*INDEX('Methodology &amp; Sources'!$B$434:$J$448,0,7+2))),IF($AN57="OK",IF($AU57="Married",SUMPRODUCT(($AZ57&gt;=INDEX('Methodology &amp; Sources'!$B$453:$J$456,0,7))*INDEX('Methodology &amp; Sources'!$B$453:$J$456,0,7+2)),SUMPRODUCT(($AZ57&gt;=INDEX('Methodology &amp; Sources'!$B$453:$J$456,0,4))*INDEX('Methodology &amp; Sources'!$B$453:$J$456,0,4+2))),IF($AN57="RI",SUMPRODUCT(($AZ57&gt;=INDEX('Methodology &amp; Sources'!$B$461:$J$464,0,7))*INDEX('Methodology &amp; Sources'!$B$461:$J$464,0,7+2)),IF($AN57="SC",SUMPRODUCT(($AZ57&gt;=INDEX('Methodology &amp; Sources'!$B$469:$J$473,0,1))*INDEX('Methodology &amp; Sources'!$B$469:$J$473,0,1+2)),IF($AN57="VT",IF($AU57="Married",SUMPRODUCT(($AZ57&gt;=INDEX('Methodology &amp; Sources'!$B$478:$J$482,0,1))*INDEX('Methodology &amp; Sources'!$B$478:$J$482,0,1+2)),SUMPRODUCT(($AZ57&gt;=INDEX('Methodology &amp; Sources'!$B$469:$J$473,0,7))*INDEX('Methodology &amp; Sources'!$B$469:$J$473,0,7+2))),IF($AN57="WV",IF($AU57="Married",SUMPRODUCT(($AZ57&gt;=INDEX('Methodology &amp; Sources'!$B$487:$J$491,0,7))*INDEX('Methodology &amp; Sources'!$B$487:$J$491,0,7+2)),SUMPRODUCT(($AZ57&gt;=INDEX('Methodology &amp; Sources'!$B$478:$J$482,0,7))*INDEX('Methodology &amp; Sources'!$B$478:$J$482,0,7+2))),IF($AN57="IN",(0.0295+Inputs!$C$76),"")))))))))))))</f>
      </c>
      <c r="CC57" s="24">
        <f>IF($B57="","",IF($AN57="AR",SUMPRODUCT(($AZ57&gt;=INDEX('Methodology &amp; Sources'!$B$332:$J$336,0,7))*INDEX('Methodology &amp; Sources'!$B$332:$J$336,0,7+2)),IF($AN57="DE",SUMPRODUCT(($AZ57&gt;=INDEX('Methodology &amp; Sources'!$B$341:$J$348,0,1))*INDEX('Methodology &amp; Sources'!$B$341:$J$348,0,1+2)),IF($AN57="VA",SUMPRODUCT(($AZ57&gt;=INDEX('Methodology &amp; Sources'!$B$469:$J$473,0,4))*INDEX('Methodology &amp; Sources'!$B$469:$J$473,0,4+2)),IF($AN57="WI",SUMPRODUCT(($AZ57&gt;=INDEX('Methodology &amp; Sources'!$B$478:$J$482,0,4))*INDEX('Methodology &amp; Sources'!$B$478:$J$482,0,4+2)),IF($AN57="AZ",Inputs!$C$82,IF($AN57="CO",IF($AY57&gt;IF($AU57="Married",10000,5000),0.044,0),IF($AN57="IA",IF($AY57&gt;IF($AU57="Head of household",19500,IF($AU57="Married",26000,13000)),0.038,0),IF($AN57="ID",IF($AY57&gt;IF($AU57="Married",32000,16094),0.053,0),IF($AN57="IL",IF($AY57&gt;(2925*$AS57+1000*$AT57),0.0495,0),IF($AN57="KY",IF($AI57&gt;3360,0.035,0),IF($AN57="LA",0.0309,IF($AN57="MA",IF(MAX(0,$AY57-MIN(($BD56+$Q57+$R57+$S57),2000)-IF($AS57=0,0,IF($AS57=1,4400,1000*$AS57+3400)))&gt;=1107750,0.09,0.05),IF($AN57="MS",IF($AI57-IF($AU57="Head of household",3400,IF($AU57="Married",4600,2300))-Inputs!$C$85&gt;10000,0.04,0),IF($AN57="PA",0.0307,"")))))))))))))))</f>
      </c>
      <c r="CD57" s="21">
        <f>IF(YEAR(IF(Inputs!$C$7="Weekly",Inputs!$C$9+7*(($BE56+1)-1),IF(Inputs!$C$7="Biweekly",Inputs!$C$9+14*(($BE56+1)-1),IF(Inputs!$C$7="Semimonthly",DATE(YEAR(Inputs!$C$9),MONTH(Inputs!$C$9)+INT((($BE56+1)-1)/2),MIN(DAY(Inputs!$C$9),DAY(EOMONTH(DATE(YEAR(Inputs!$C$9),MONTH(Inputs!$C$9)+INT((($BE56+1)-1)/2),1),0))))+IF(MOD(($BE56+1)-1,2)=1,15,0),EDATE(Inputs!$C$9,($BE56+1)-1)))))&lt;&gt;2026,"",IF(Inputs!$C$7="Weekly",Inputs!$C$9+7*(($BE56+1)-1),IF(Inputs!$C$7="Biweekly",Inputs!$C$9+14*(($BE56+1)-1),IF(Inputs!$C$7="Semimonthly",DATE(YEAR(Inputs!$C$9),MONTH(Inputs!$C$9)+INT((($BE56+1)-1)/2),MIN(DAY(Inputs!$C$9),DAY(EOMONTH(DATE(YEAR(Inputs!$C$9),MONTH(Inputs!$C$9)+INT((($BE56+1)-1)/2),1),0))))+IF(MOD(($BE56+1)-1,2)=1,15,0),EDATE(Inputs!$C$9,($BE56+1)-1)))))</f>
      </c>
      <c r="CE57" s="21">
        <f>IF(SUMPRODUCT(MIN(IF((Inputs!$C$58:$C$67&gt;MAX($B$6:$B56))*(Inputs!$C$58:$C$67&gt;=DATE(2026,1,1))*(Inputs!$C$58:$C$67&lt;=DATE(2026,12,31)),Inputs!$C$58:$C$67,999999)))=999999,"",SUMPRODUCT(MIN(IF((Inputs!$C$58:$C$67&gt;MAX($B$6:$B56))*(Inputs!$C$58:$C$67&gt;=DATE(2026,1,1))*(Inputs!$C$58:$C$67&lt;=DATE(2026,12,31)),Inputs!$C$58:$C$67,999999))))</f>
      </c>
    </row>
    <row r="58">
      <c r="A58" t="n">
        <v>53</v>
      </c>
      <c r="B58" s="21">
        <f>IF(AND($CD58="",$CE58=""),"",IF($CE58="",$CD58,IF($CD58="",$CE58,MIN($CD58,$CE58))))</f>
      </c>
      <c r="C58" s="7">
        <f>IF($B58="","",IF($BF58=0,0,IF(Inputs!$C$4="Annual salary",ROUND($AK58/IF(AND(Inputs!$C$88="Actual paydays",MONTH(Inputs!$C$9)=1),MAX(1,MAX($BE$6:$BE$68)),Inputs!$C$8),2),$AK58)))</f>
      </c>
      <c r="D58" s="7">
        <f>IF($B58="","",SUMIF(Inputs!$C$58:$C$67,$B58,Inputs!$D$58:$D$67))</f>
      </c>
      <c r="E58" s="7">
        <f>IF($B58="","",ROUND(MAX(0,MIN(IF($AL58="Percent",$AM58*($C58+$D58),$AM58),MAX(0,Inputs!$C$91-$AC57))),2))</f>
      </c>
      <c r="F58" s="7">
        <f>IF($B58="","",ROUND(MAX(0,MIN(IF(Inputs!$C$32="Percent",Inputs!$D$32*($C58+$D58),Inputs!$D$32),MAX(0,Inputs!$C$91-$AC57-$E58))),2))</f>
      </c>
      <c r="G58" s="7">
        <f>IF($B58="","",IF($BF58=0,0,ROUND(MAX(0,MIN($BL58,Inputs!$C$92-Inputs!$C$54-$BI57)),2)))</f>
      </c>
      <c r="H58" s="7">
        <f>IF($B58="","",IF(OR($BF58=0,$BQ58=1),0,ROUND(MAX(0,MIN(IF($BS58=1,ROUND(MAX(0,MIN($BJ58,'Methodology &amp; Sources'!$C$263)-$BG57)/MAX(1,MAX($BE$6:$BE$68)-($BE57)),2),ROUND(MIN($BJ58,'Methodology &amp; Sources'!$C$263)/Inputs!$C$8,2)),MIN($BJ58,'Methodology &amp; Sources'!$C$263)-$BG57)),2)))</f>
      </c>
      <c r="I58" s="7">
        <f>IF($B58="","",IF(OR($BF58=0,$BR58=1),0,ROUND(MAX(0,MIN(IF($BT58=1,ROUND(MAX(0,MIN($BK58,IF(Inputs!$C$12="MFJ",'Methodology &amp; Sources'!$C$264,'Methodology &amp; Sources'!$C$265))-$BH57)/MAX(1,MAX($BE$6:$BE$68)-($BE57)),2),ROUND(MIN($BK58,IF(Inputs!$C$12="MFJ",'Methodology &amp; Sources'!$C$264,'Methodology &amp; Sources'!$C$265))/Inputs!$C$8,2)),MIN($BK58,IF(Inputs!$C$12="MFJ",'Methodology &amp; Sources'!$C$264,'Methodology &amp; Sources'!$C$265))-$BH57)),2)))</f>
      </c>
      <c r="J58" s="7">
        <f>IF($B58="","",IF($BF58=0,0,$BM58))</f>
      </c>
      <c r="K58" s="7">
        <f>IF($B58="","",IF($BF58=0,0,$BN58+$BO58))</f>
      </c>
      <c r="L58" s="7">
        <f>IF($B58="","",IF($BF58=0,0,Inputs!$D$46))</f>
      </c>
      <c r="M58" s="7">
        <f>IF($B58="","",$C58+$D58+$L58-$E58-$G58-$H58-$I58-$J58-$K58)</f>
      </c>
      <c r="N58" s="7">
        <f>IF($B58="","",$C58+$D58+$L58-$G58-$H58-$I58-$J58-$K58)</f>
      </c>
      <c r="O58" s="7">
        <f>IF($B58="","",$C58+$D58+$L58-$E58-$H58-$I58-$J58-$K58-IF(OR($AN58="CA",$AN58="NJ"),0,$G58))</f>
      </c>
      <c r="P58" s="7">
        <f>IF($B58="","",IF(Inputs!$C$18,0,ROUND(MAX(0,IF(Inputs!$C$13,SUMPRODUCT(($AH58&gt;INDEX('Methodology &amp; Sources'!$B$279:$J$286,0,IF(Inputs!$C$12="MFJ",1,IF(Inputs!$C$12="HoH",7,4))))*($AH58-INDEX('Methodology &amp; Sources'!$B$279:$J$286,0,IF(Inputs!$C$12="MFJ",1,IF(Inputs!$C$12="HoH",7,4))))*INDEX('Methodology &amp; Sources'!$B$279:$J$286,0,IF(Inputs!$C$12="MFJ",1,IF(Inputs!$C$12="HoH",7,4))+2)),SUMPRODUCT(($AH58&gt;INDEX('Methodology &amp; Sources'!$B$269:$J$276,0,IF(Inputs!$C$12="MFJ",1,IF(Inputs!$C$12="HoH",7,4))))*($AH58-INDEX('Methodology &amp; Sources'!$B$269:$J$276,0,IF(Inputs!$C$12="MFJ",1,IF(Inputs!$C$12="HoH",7,4))))*INDEX('Methodology &amp; Sources'!$B$269:$J$276,0,IF(Inputs!$C$12="MFJ",1,IF(Inputs!$C$12="HoH",7,4))+2)))/Inputs!$C$8-$AO58/Inputs!$C$8)+$AR58+IF(Inputs!$C$89="Aggregate",MAX(0,IF(Inputs!$C$13,SUMPRODUCT((($AH58+$D58)&gt;INDEX('Methodology &amp; Sources'!$B$279:$J$286,0,IF(Inputs!$C$12="MFJ",1,IF(Inputs!$C$12="HoH",7,4))))*(($AH58+$D58)-INDEX('Methodology &amp; Sources'!$B$279:$J$286,0,IF(Inputs!$C$12="MFJ",1,IF(Inputs!$C$12="HoH",7,4))))*INDEX('Methodology &amp; Sources'!$B$279:$J$286,0,IF(Inputs!$C$12="MFJ",1,IF(Inputs!$C$12="HoH",7,4))+2)),SUMPRODUCT((($AH58+$D58)&gt;INDEX('Methodology &amp; Sources'!$B$269:$J$276,0,IF(Inputs!$C$12="MFJ",1,IF(Inputs!$C$12="HoH",7,4))))*(($AH58+$D58)-INDEX('Methodology &amp; Sources'!$B$269:$J$276,0,IF(Inputs!$C$12="MFJ",1,IF(Inputs!$C$12="HoH",7,4))))*INDEX('Methodology &amp; Sources'!$B$269:$J$276,0,IF(Inputs!$C$12="MFJ",1,IF(Inputs!$C$12="HoH",7,4))+2)))-IF(Inputs!$C$13,SUMPRODUCT(($AH58&gt;INDEX('Methodology &amp; Sources'!$B$279:$J$286,0,IF(Inputs!$C$12="MFJ",1,IF(Inputs!$C$12="HoH",7,4))))*($AH58-INDEX('Methodology &amp; Sources'!$B$279:$J$286,0,IF(Inputs!$C$12="MFJ",1,IF(Inputs!$C$12="HoH",7,4))))*INDEX('Methodology &amp; Sources'!$B$279:$J$286,0,IF(Inputs!$C$12="MFJ",1,IF(Inputs!$C$12="HoH",7,4))+2)),SUMPRODUCT(($AH58&gt;INDEX('Methodology &amp; Sources'!$B$269:$J$276,0,IF(Inputs!$C$12="MFJ",1,IF(Inputs!$C$12="HoH",7,4))))*($AH58-INDEX('Methodology &amp; Sources'!$B$269:$J$276,0,IF(Inputs!$C$12="MFJ",1,IF(Inputs!$C$12="HoH",7,4))))*INDEX('Methodology &amp; Sources'!$B$269:$J$276,0,IF(Inputs!$C$12="MFJ",1,IF(Inputs!$C$12="HoH",7,4))+2)))),'Methodology &amp; Sources'!$C$260*$D58),2)))</f>
      </c>
      <c r="Q58" s="7">
        <f>IF($B58="","",ROUND('Methodology &amp; Sources'!$C$254*MIN($N58,MAX(0,'Methodology &amp; Sources'!$C$253-($AX58+$AB57-$AW58))),2))</f>
      </c>
      <c r="R58" s="7">
        <f>IF($B58="","",ROUND('Methodology &amp; Sources'!$C$255*$N58,2))</f>
      </c>
      <c r="S58" s="7">
        <f>IF($B58="","",ROUND('Methodology &amp; Sources'!$C$256*MAX(0,MIN($N58,$AG57+$N58-'Methodology &amp; Sources'!$C$257)),2))</f>
      </c>
      <c r="T58" s="7">
        <f>IF($B58="","",IF(Inputs!$C$26,0,IF($AN58="CA",ROUND(IF($AI58&lt;=IF(($AS58+$AT58)&gt;=2,VLOOKUP($AN58,'StateTables 2026'!$A$6:$AB$56,10,FALSE),VLOOKUP($AN58,'StateTables 2026'!$A$6:$AB$56,9,FALSE)),0,MAX(0,SUMPRODUCT(($AJ58&gt;INDEX('Methodology &amp; Sources'!$B$289:$J$298,0,IF($AU58="Married",4,IF($AU58="Head of household",7,1))))*($AJ58-INDEX('Methodology &amp; Sources'!$B$289:$J$298,0,IF($AU58="Married",4,IF($AU58="Head of household",7,1))))*INDEX('Methodology &amp; Sources'!$B$289:$J$298,0,IF($AU58="Married",4,IF($AU58="Head of household",7,1))+2))-VLOOKUP($AN58,'StateTables 2026'!$A$6:$AB$56,11,FALSE)*$AS58)/Inputs!$C$8)+Inputs!$C$25+VLOOKUP($AN58,'StateTables 2026'!$A$6:$AB$56,13,FALSE)*$D58,2),IF(VLOOKUP($AN58,'StateTables 2026'!$A$6:$AB$56,4,FALSE)="None",0,IF(ISNUMBER(SEARCH("MANUAL",VLOOKUP($AN58,'StateTables 2026'!$A$6:$AB$56,5,FALSE))),Inputs!$C$28,ROUND(MAX(0,$BA58+$BB58)/Inputs!$C$8+Inputs!$C$25+$BC58,2))))))</f>
      </c>
      <c r="U58" s="7">
        <f>IF($B58="","",IF(VLOOKUP($AN58,'StateTables 2026'!$A$6:$AB$56,24,FALSE)="flatq",IF(OR(MONTH($B58)=1,MONTH($B58)=4,MONTH($B58)=7,MONTH($B58)=10),VLOOKUP($AN58,'StateTables 2026'!$A$6:$AB$56,25,FALSE),0),IF(VLOOKUP($AN58,'StateTables 2026'!$A$6:$AB$56,24,FALSE)="dbl",MIN(ROUND(0.005*$N58,2),ROUND(0.6*52/Inputs!$C$8,2)),IF(OR(VLOOKUP($AN58,'StateTables 2026'!$A$6:$AB$56,15,FALSE)="",VLOOKUP($AN58,'StateTables 2026'!$A$6:$AB$56,15,FALSE)=0),0,ROUND(VLOOKUP($AN58,'StateTables 2026'!$A$6:$AB$56,15,FALSE)*IF(OR(VLOOKUP($AN58,'StateTables 2026'!$A$6:$AB$56,16,FALSE)="",VLOOKUP($AN58,'StateTables 2026'!$A$6:$AB$56,16,FALSE)=0),$N58,MIN($N58,MAX(0,VLOOKUP($AN58,'StateTables 2026'!$A$6:$AB$56,16,FALSE)-($AX58+$AB57-$AW58)))),2))))+IF(VLOOKUP($AN58,'StateTables 2026'!$A$6:$AB$56,27,FALSE)="flatq",IF(OR(MONTH($B58)=1,MONTH($B58)=4,MONTH($B58)=7,MONTH($B58)=10),VLOOKUP($AN58,'StateTables 2026'!$A$6:$AB$56,28,FALSE),0),IF(VLOOKUP($AN58,'StateTables 2026'!$A$6:$AB$56,27,FALSE)="dbl",MIN(ROUND(0.005*$N58,2),ROUND(0.6*52/Inputs!$C$8,2)),IF(OR(VLOOKUP($AN58,'StateTables 2026'!$A$6:$AB$56,18,FALSE)="",VLOOKUP($AN58,'StateTables 2026'!$A$6:$AB$56,18,FALSE)=0),0,ROUND(VLOOKUP($AN58,'StateTables 2026'!$A$6:$AB$56,18,FALSE)*IF(OR(VLOOKUP($AN58,'StateTables 2026'!$A$6:$AB$56,19,FALSE)="",VLOOKUP($AN58,'StateTables 2026'!$A$6:$AB$56,19,FALSE)=0),$N58,MIN($N58,MAX(0,VLOOKUP($AN58,'StateTables 2026'!$A$6:$AB$56,19,FALSE)-($AX58+$AB57-$AW58)))),2)))))</f>
      </c>
      <c r="V58" s="7">
        <f>IF($B58="","",IF($AN58="NY",IF(Inputs!$C$78,ROUND(SUMPRODUCT((MAX(0,($O58-$D58)*Inputs!$C$8-(IF($AU58="Married",5500,5000)+1000*$AS58))&gt;INDEX('Methodology &amp; Sources'!$B$434:$J$448,0,4))*(MAX(0,($O58-$D58)*Inputs!$C$8-(IF($AU58="Married",5500,5000)+1000*$AS58))-INDEX('Methodology &amp; Sources'!$B$434:$J$448,0,4))*INDEX('Methodology &amp; Sources'!$B$434:$J$448,0,4+2))/Inputs!$C$8+0.0425*$D58,2),0)+IF(Inputs!$C$79="Resident",ROUND(0.1675*$T58,2),IF(Inputs!$C$79="Nonresident",ROUND(0.005*MAX(0,($O58-$D58)-(IF($AU58="Married",7950,7400)+1000*$AS58)/Inputs!$C$8),2),0)),IF($AN58="PA",IF(Inputs!$C$80="None",Inputs!$C$27+ROUND(Inputs!$C$81*($C58+$D58),2),ROUND(IF(Inputs!$C$80="Resident",IF($B58&lt;DATE(2026,7,1),0.0374,0.03735),IF($B58&lt;DATE(2026,7,1),0.0343,0.03425))*($C58+$D58),2)),IF($BF58=0,ROUND(Inputs!$C$81*($C58+$D58),2),Inputs!$C$27+ROUND(Inputs!$C$81*($C58+$D58),2)))))</f>
      </c>
      <c r="W58" s="7">
        <f>IF($B58="","",IF($BF58=0,0,$BP58))</f>
      </c>
      <c r="X58" s="7">
        <f>IF($B58="","",SUM($E58:$K58)+$P58+$Q58+$R58+$S58+$T58+$U58+$V58+$W58)</f>
      </c>
      <c r="Y58" s="22">
        <f>IF($B58="","",$C58+$D58-$X58)</f>
      </c>
      <c r="Z58" s="7">
        <f>IF($B58="","",$Z57+$C58+$D58)</f>
      </c>
      <c r="AA58" s="7">
        <f>IF($B58="","",$AA57+$Y58)</f>
      </c>
      <c r="AB58" s="7">
        <f>IF($B58="","",$AB57+MIN($N58,MAX(0,'Methodology &amp; Sources'!$C$253-($AX58+$AB57-$AW58))))</f>
      </c>
      <c r="AC58" s="7">
        <f>IF($B58="","",$AC57+$E58+$F58)</f>
      </c>
      <c r="AD58" s="3">
        <f>IF($B58="","",IF(AND($AB57&lt;'Methodology &amp; Sources'!$C$253,$AB58&gt;='Methodology &amp; Sources'!$C$253),"★ Social Security maxed on this check — from the next check your net rises by about $"&amp;TEXT(ROUND('Methodology &amp; Sources'!$C$254*$N58,2),"#,##0.00")&amp;". ","")&amp;IF(AND($AC57&lt;Inputs!$C$91,$AC58&gt;=Inputs!$C$91),"★ 401(k) reaches the $"&amp;TEXT(Inputs!$C$91,"#,##0")&amp;" cap on this check — deferrals stop and net pay rises. ","")&amp;IF(AND($AG57&lt;'Methodology &amp; Sources'!$C$257,$AG58&gt;='Methodology &amp; Sources'!$C$257),"★ Wages pass $200,000 — the 0.9% Additional Medicare Tax starts here. ","")&amp;IF(AND($BJ58&gt;0,$H58&gt;0,$BG57&lt;MIN($BJ58,'Methodology &amp; Sources'!$C$263),$BG57+$H58&gt;=MIN($BJ58,'Methodology &amp; Sources'!$C$263)),"★ Health FSA election is now fully deferred for the year. ",""))</f>
      </c>
      <c r="AE58" s="41" t="n"/>
      <c r="AF58" s="7">
        <f>IF(OR($B58="",$AE58=""),"",$AE58-$Y58)</f>
      </c>
      <c r="AG58" s="7">
        <f>IF($B58="","",$AG57+$N58)</f>
      </c>
      <c r="AH58" s="7">
        <f>IF($B58="","",MAX(0,($M58-$D58)*Inputs!$C$8+$AP58-$AQ58-IF(Inputs!$C$13,0,IF(Inputs!$C$12="MFJ",'Methodology &amp; Sources'!$C$258,'Methodology &amp; Sources'!$C$259))))</f>
      </c>
      <c r="AI58" s="7">
        <f>IF($B58="","",$O58*Inputs!$C$8)</f>
      </c>
      <c r="AJ58" s="7">
        <f>IF($B58="","",MAX(0,$AI58-VLOOKUP($AN58,'StateTables 2026'!$A$6:$AB$56,12,FALSE)*$AT58-IF(($AS58+$AT58)&gt;=2,VLOOKUP($AN58,'StateTables 2026'!$A$6:$AB$56,8,FALSE),VLOOKUP($AN58,'StateTables 2026'!$A$6:$AB$56,7,FALSE))))</f>
      </c>
      <c r="AK58" s="7">
        <f>IF($B58="","",IFERROR(LOOKUP(2,1/((Events!$C$6:$C$17="Salary change")*(Events!$B$6:$B$17&lt;=$B58)*(Events!$B$6:$B$17&lt;&gt;"")),Events!$D$6:$D$17),IF(Inputs!$C$4="Annual salary",Inputs!$C$5,Inputs!$C$6)))</f>
      </c>
      <c r="AL58">
        <f>IF($B58="","",IFERROR(LOOKUP(2,1/((Events!$C$6:$C$17="401(k) change")*(Events!$B$6:$B$17&lt;=$B58)*(Events!$B$6:$B$17&lt;&gt;"")),Events!$D$6:$D$17),Inputs!$C$30))</f>
      </c>
      <c r="AM58" s="7">
        <f>IF($B58="","",IFERROR(LOOKUP(2,1/((Events!$C$6:$C$17="401(k) change")*(Events!$B$6:$B$17&lt;=$B58)*(Events!$B$6:$B$17&lt;&gt;"")),Events!$E$6:$E$17),Inputs!$D$30))</f>
      </c>
      <c r="AN58">
        <f>IF($B58="","",IFERROR(LOOKUP(2,1/((Events!$C$6:$C$17="State move")*(Events!$B$6:$B$17&lt;=$B58)*(Events!$B$6:$B$17&lt;&gt;"")),Events!$D$6:$D$17),Inputs!$C$21))</f>
      </c>
      <c r="AO58" s="7">
        <f>IF($B58="","",IFERROR(LOOKUP(2,1/((Events!$C$6:$C$17="W-4 change")*(Events!$B$6:$B$17&lt;=$B58)*(Events!$B$6:$B$17&lt;&gt;"")),Events!$D$6:$D$17),Inputs!$C$14))</f>
      </c>
      <c r="AP58" s="7">
        <f>IF($B58="","",IFERROR(LOOKUP(2,1/((Events!$C$6:$C$17="W-4 change")*(Events!$B$6:$B$17&lt;=$B58)*(Events!$B$6:$B$17&lt;&gt;"")),Events!$E$6:$E$17),Inputs!$C$15))</f>
      </c>
      <c r="AQ58" s="7">
        <f>IF($B58="","",IFERROR(LOOKUP(2,1/((Events!$C$6:$C$17="W-4 change")*(Events!$B$6:$B$17&lt;=$B58)*(Events!$B$6:$B$17&lt;&gt;"")),Events!$F$6:$F$17),Inputs!$C$16))</f>
      </c>
      <c r="AR58" s="7">
        <f>IF($B58="","",IFERROR(LOOKUP(2,1/((Events!$C$6:$C$17="W-4 change")*(Events!$B$6:$B$17&lt;=$B58)*(Events!$B$6:$B$17&lt;&gt;"")),Events!$G$6:$G$17),Inputs!$C$17))</f>
      </c>
      <c r="AS58" s="6">
        <f>IF($B58="","",IFERROR(LOOKUP(2,1/(((Events!$C$6:$C$17="State move")+(Events!$C$6:$C$17="State cert change"))*(Events!$B$6:$B$17&lt;=$B58)*(Events!$B$6:$B$17&lt;&gt;"")),Events!$F$6:$F$17),Inputs!$C$23))</f>
      </c>
      <c r="AT58" s="6">
        <f>IF($B58="","",IFERROR(LOOKUP(2,1/(((Events!$C$6:$C$17="State move")+(Events!$C$6:$C$17="State cert change"))*(Events!$B$6:$B$17&lt;=$B58)*(Events!$B$6:$B$17&lt;&gt;"")),Events!$G$6:$G$17),Inputs!$C$24))</f>
      </c>
      <c r="AU58">
        <f>IF($B58="","",IFERROR(LOOKUP(2,1/((Events!$C$6:$C$17="State move")*(Events!$B$6:$B$17&lt;=$B58)*(Events!$B$6:$B$17&lt;&gt;"")),Events!$E$6:$E$17),Inputs!$C$22))</f>
      </c>
      <c r="AV58" s="6">
        <f>IF($B58="","",1+COUNTIFS(Events!$C$6:$C$17,"Employer change",Events!$B$6:$B$17,"&lt;="&amp;$B58,Events!$B$6:$B$17,"&lt;&gt;"))</f>
      </c>
      <c r="AW58" s="7">
        <f>IF($B58="","",IF($AV58=1,Inputs!$C$49,IF(IFERROR(MATCH(IFERROR(LOOKUP(2,1/((Events!$C$6:$C$17="Employer change")*(Events!$B$6:$B$17&lt;=$B58)*(Events!$B$6:$B$17&lt;&gt;"")),Events!$B$6:$B$17),""),$B$6:$B$68,1),1)&lt;=1,Inputs!$C$49,INDEX($AB$6:$AB$68,MATCH(IFERROR(LOOKUP(2,1/((Events!$C$6:$C$17="Employer change")*(Events!$B$6:$B$17&lt;=$B58)*(Events!$B$6:$B$17&lt;&gt;"")),Events!$B$6:$B$17),""),$B$6:$B$68,1)-1))))</f>
      </c>
      <c r="AX58" s="7">
        <f>IF($B58="","",IF($AV58=1,Inputs!$C$49,IFERROR(LOOKUP(2,1/((Events!$C$6:$C$17="Employer change")*(Events!$B$6:$B$17&lt;=$B58)*(Events!$B$6:$B$17&lt;&gt;"")),Events!$D$6:$D$17),0)))</f>
      </c>
      <c r="AY58" s="7">
        <f>IF($B58="","",($O58-$D58)*Inputs!$C$8)</f>
      </c>
      <c r="AZ58" s="7">
        <f>IF($B58="","",IF($AN58="AL",MAX(0,$AY58-IF($AU58="Married",IF($AY58&lt;=25999,8500,MAX(5000,8500-175*CEILING(($AY58-25999)/500,1))),IF($AU58="Head of household",IF($AY58&lt;=25999,5200,MAX(2500,5200-135*CEILING(($AY58-25999)/500,1))),IF($AY58&lt;=25999,3000,MAX(2500,3000-25*CEILING(($AY58-25999)/500,1)))))-($P58-'Methodology &amp; Sources'!$C$260*$D58)*Inputs!$C$8-IF(OR($AU58="Married",$AU58="Head of household"),3000,1500)-$AT58*IF($AY58&lt;=50000,1000,IF($AY58&lt;=100000,500,300))),IF($AN58="AR",IF(MAX(0,$AY58-2470)&lt;97701,INT(MAX(0,$AY58-2470)/100)*100+50,MAX(0,$AY58-2470)),IF($AN58="DE",MAX(0,$AI58-3250),IF($AN58="HI",MAX(0,$AI58-1144*$AS58-4350),IF($AN58="KS",MAX(0,$AI58-(9160*IF($AU58="Married",2,1)+2320*$AT58+IF($AU58="Head of household",2320,0))),IF($AN58="MD",MAX(0,$AI58-3400-3200*$AS58),IF($AN58="MN",MAX(0,$AY58-5300*$AS58),IF($AN58="MO",MAX(0,$AI58-IF($AU58="Head of household",24150,IF($AU58="Married",IF(Inputs!$C$83,16100,32200),16100))),IF($AN58="MT",$AY58,IF($AN58="ND",($C58+$L58)*Inputs!$C$8,IF($AN58="NE",MAX(0,$AY58-2440*$AS58),IF($AN58="NJ",MAX(0,$AY58-1000*$AS58),IF($AN58="NY",MAX(0,$AY58-(IF($AU58="Married",7950,7400)+1000*$AS58)),IF($AN58="OH",MAX(0,$AY58-650*$AS58),IF($AN58="OK",MAX(0,$AY58-1000*$AS58),IF($AN58="RI",MAX(0,$AI58-1000*$AS58),IF($AN58="SC",MAX(0,$AI58-5000*$AS58-IF($AS58=0,0,MIN(0.1*$AI58,7500))),IF($AN58="VA",MAX(0,$AI58-IF($AU58="Married",17500,8750)-930*$AS58-800*$AT58),IF($AN58="VT",MAX(0,$AI58-5400*$AS58),IF($AN58="WI",MAX(0,$AI58-MAX(0,IF($AU58="Married",9461-0.2*MAX(0,$AI58-25727),6702-0.12*MAX(0,$AI58-17780)))-400*$AS58),IF($AN58="WV",MAX(0,$AI58-2000*$AS58),$AI58))))))))))))))))))))))</f>
      </c>
      <c r="BA58" s="7">
        <f>IF($B58="","",IF($BW58&lt;&gt;"",$BW58,IF($BX58&lt;&gt;"",$BX58,IF($BY58&lt;&gt;"",$BY58,0))))</f>
      </c>
      <c r="BB58" s="7">
        <f>IF($B58="","",IF($AN58="AR",-29*$AS58,IF($AN58="DE",-110*$AS58,IF($AN58="MD",$AZ58*Inputs!$C$74,IF($AN58="AZ",Inputs!$C$82*($M58-$D58)*Inputs!$C$8,IF($AN58="CO",0.044*MAX(0,$AY58-IF($AU58="Married",10000,5000)),IF($AN58="IA",MAX(0,0.038*MAX(0,$AY58-IF($AU58="Head of household",19500,IF($AU58="Married",26000,13000)))-40*$AS58),IF($AN58="ID",0.053*MAX(0,$AY58-IF($AU58="Married",32000,16094)),IF($AN58="IL",0.0495*MAX(0,$AY58-(2925*$AS58+1000*$AT58)),IF($AN58="IN",(0.0295+Inputs!$C$76)*MAX(0,$AY58-(1000*$AS58+1500*$AT58+3000*Inputs!$C$86)),IF($AN58="KY",0.035*MAX(0,$AI58-3360),IF($AN58="LA",IF(Inputs!$C$84="0",0.0309*$AI58,0.0309*MAX(0,$AI58-IF(Inputs!$C$84="2",25750,12875))),IF($AN58="MA",0.05*MIN(MAX(0,$AY58-MIN(($BD57+$Q58+$R58+$S58),2000)-IF($AS58=0,0,IF($AS58=1,4400,1000*$AS58+3400))),1107750)+0.09*MAX(0,MAX(0,$AY58-MIN(($BD57+$Q58+$R58+$S58),2000)-IF($AS58=0,0,IF($AS58=1,4400,1000*$AS58+3400)))-1107750)-IF($AU58="Head of household",120,0)-110*Inputs!$C$75,IF($AN58="MI",0.0425*MAX(0,$AY58-5900*$AS58),IF($AN58="MS",0.04*MAX(0,$AI58-IF($AU58="Head of household",3400,IF($AU58="Married",4600,2300))-Inputs!$C$85-10000),IF($AN58="OR",IF(OR($AU58="Married",AND($AU58="Single",$AS58&gt;=3)),SUMPRODUCT((MAX(0,$AY58-MIN(($P58-'Methodology &amp; Sources'!$C$260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Sources'!$B$461:$J$464,0,4))*(MAX(0,$AY58-MIN(($P58-'Methodology &amp; Sources'!$C$260*$D58)*Inputs!$C$8,IF(OR($AU58="Married",AND($AU58="Single",$AS58&gt;=3)),IF($AY58&lt;250000,8750,IF($AY58&lt;260000,7000,IF($AY58&lt;270000,5250,IF($AY58&lt;280000,3500,IF($AY58&lt;290000,1750,0))))),IF($AY58&lt;125000,8750,IF($AY58&lt;130000,7000,IF($AY58&lt;135000,5250,IF($AY58&lt;140000,3500,IF($AY58&lt;145000,1750,0)))))))-IF(OR($AU58="Married",AND($AU58="Single",$AS58&gt;=3)),5820,2910))-INDEX('Methodology &amp; Sources'!$B$461:$J$464,0,4))*INDEX('Methodology &amp; Sources'!$B$461:$J$464,0,4+2)),SUMPRODUCT((MAX(0,$AY58-MIN(($P58-'Methodology &amp; Sources'!$C$260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Sources'!$B$461:$J$464,0,1))*(MAX(0,$AY58-MIN(($P58-'Methodology &amp; Sources'!$C$260*$D58)*Inputs!$C$8,IF(OR($AU58="Married",AND($AU58="Single",$AS58&gt;=3)),IF($AY58&lt;250000,8750,IF($AY58&lt;260000,7000,IF($AY58&lt;270000,5250,IF($AY58&lt;280000,3500,IF($AY58&lt;290000,1750,0))))),IF($AY58&lt;125000,8750,IF($AY58&lt;130000,7000,IF($AY58&lt;135000,5250,IF($AY58&lt;140000,3500,IF($AY58&lt;145000,1750,0)))))))-IF(OR($AU58="Married",AND($AU58="Single",$AS58&gt;=3)),5820,2910))-INDEX('Methodology &amp; Sources'!$B$461:$J$464,0,1))*INDEX('Methodology &amp; Sources'!$B$461:$J$464,0,1+2)))+263-263*IF(IF($AU58="Married",$AY58&gt;200000,$AY58&gt;100000),0,$AS58),IF($AN58="PA",0.0307*(($O58+$E58+$G58)*Inputs!$C$8),IF($AN58="NY",IF($AU58="Married",IF($AZ58&gt;=2155350,0,IF($AZ58&gt;=1077550,0.48,IF($AZ58&gt;=373200,1.21,IF($AZ58&gt;=323200,0.21,IF($AZ58&gt;=211550,-0.19,IF($AZ58&gt;=157650,-2.8,IF($AZ58&gt;=107650,-0.8,IF($AZ58&gt;=96800,0.05,IF($AZ58&gt;=80650,-0.1,IF($AZ58&gt;=13900,0.4,IF($AZ58&gt;=11700,-0.3,IF($AZ58&gt;=8500,0.5,0)))))))))))),IF($AZ58&gt;=1077550,0,IF($AZ58&gt;=265400,4.29,IF($AZ58&gt;=215400,2.29,IF($AZ58&gt;=157650,2.29,IF($AZ58&gt;=107650,0.29,IF($AZ58&gt;=96800,0.05,IF($AZ58&gt;=80650,-0.1,IF($AZ58&gt;=13900,0.4,IF($AZ58&gt;=11700,-0.3,IF($AZ58&gt;=8500,0.5,0))))))))))),0))))))))))))))))))</f>
      </c>
      <c r="BC58" s="7">
        <f>IF($B58="","",IF($AN58="AL",0.05*$D58,IF($AN58="AR",0.039*$D58,IF($AN58="ID",0.053*$D58,IF($AN58="IN",(0.0295+Inputs!$C$76)*$D58,IF($AN58="KS",0.05*$D58,IF($AN58="MA",0.09*MIN($D58,MAX(0,MAX(0,$AY58-MIN(($BD57+$Q58+$R58+$S58),2000)-IF($AS58=0,0,IF($AS58=1,4400,1000*$AS58+3400)))+$D58-1107750))+0.05*($D58-MIN($D58,MAX(0,MAX(0,$AY58-MIN(($BD57+$Q58+$R58+$S58),2000)-IF($AS58=0,0,IF($AS58=1,4400,1000*$AS58+3400)))+$D58-1107750))),IF($AN58="MD",(0.065+Inputs!$C$74)*$D58,IF($AN58="MI",0.0425*$D58,IF($AN58="MN",0.0625*$D58,IF($AN58="MO",0.047*$D58,IF($AN58="MT",0.05*$D58,IF($AN58="ND",0.015*$D58,IF($AN58="NE",0.035*$D58,IF($AN58="NJ",IF(Inputs!$C$77="B",SUMPRODUCT(($D58*Inputs!$C$8&gt;INDEX('Methodology &amp; Sources'!$B$405:$J$412,0,4))*($D58*Inputs!$C$8-INDEX('Methodology &amp; Sources'!$B$405:$J$412,0,4))*INDEX('Methodology &amp; Sources'!$B$405:$J$412,0,4+2)),IF(Inputs!$C$77="C",SUMPRODUCT(($D58*Inputs!$C$8&gt;INDEX('Methodology &amp; Sources'!$B$405:$J$412,0,7))*($D58*Inputs!$C$8-INDEX('Methodology &amp; Sources'!$B$405:$J$412,0,7))*INDEX('Methodology &amp; Sources'!$B$405:$J$412,0,7+2)),IF(Inputs!$C$77="D",SUMPRODUCT(($D58*Inputs!$C$8&gt;INDEX('Methodology &amp; Sources'!$B$417:$J$429,0,1))*($D58*Inputs!$C$8-INDEX('Methodology &amp; Sources'!$B$417:$J$429,0,1))*INDEX('Methodology &amp; Sources'!$B$417:$J$429,0,1+2)),IF(Inputs!$C$77="E",SUMPRODUCT(($D58*Inputs!$C$8&gt;INDEX('Methodology &amp; Sources'!$B$417:$J$429,0,4))*($D58*Inputs!$C$8-INDEX('Methodology &amp; Sources'!$B$417:$J$429,0,4))*INDEX('Methodology &amp; Sources'!$B$417:$J$429,0,4+2)),SUMPRODUCT(($D58*Inputs!$C$8&gt;INDEX('Methodology &amp; Sources'!$B$405:$J$412,0,1))*($D58*Inputs!$C$8-INDEX('Methodology &amp; Sources'!$B$405:$J$412,0,1))*INDEX('Methodology &amp; Sources'!$B$405:$J$412,0,1+2))))))/Inputs!$C$8,IF($AN58="NY",0.117*$D58,IF($AN58="OH",0.0275*$D58,IF($AN58="OK",0.045*$D58,IF($AN58="OR",0.08*$D58,IF($AN58="WI",IF($AY58&lt;12760,0.0354,IF($AY58&lt;25520,0.0465,IF($AY58&lt;280950,0.053,0.0765)))*$D58,0))))))))))))))))))))</f>
      </c>
      <c r="BD58" s="7">
        <f>IF($B58="","",$BD57+$Q58+$R58+$S58)</f>
      </c>
      <c r="BE58" s="6">
        <f>IF($B58="",$BE57,$BE57+$BF58)</f>
      </c>
      <c r="BF58" s="6">
        <f>IF($B58="","",IF(AND(IF(YEAR(IF(Inputs!$C$7="Weekly",Inputs!$C$9+7*(($BE57+1)-1),IF(Inputs!$C$7="Biweekly",Inputs!$C$9+14*(($BE57+1)-1),IF(Inputs!$C$7="Semimonthly",DATE(YEAR(Inputs!$C$9),MONTH(Inputs!$C$9)+INT((($BE57+1)-1)/2),MIN(DAY(Inputs!$C$9),DAY(EOMONTH(DATE(YEAR(Inputs!$C$9),MONTH(Inputs!$C$9)+INT((($BE57+1)-1)/2),1),0))))+IF(MOD(($BE57+1)-1,2)=1,15,0),EDATE(Inputs!$C$9,($BE57+1)-1)))))&lt;&gt;2026,"",IF(Inputs!$C$7="Weekly",Inputs!$C$9+7*(($BE57+1)-1),IF(Inputs!$C$7="Biweekly",Inputs!$C$9+14*(($BE57+1)-1),IF(Inputs!$C$7="Semimonthly",DATE(YEAR(Inputs!$C$9),MONTH(Inputs!$C$9)+INT((($BE57+1)-1)/2),MIN(DAY(Inputs!$C$9),DAY(EOMONTH(DATE(YEAR(Inputs!$C$9),MONTH(Inputs!$C$9)+INT((($BE57+1)-1)/2),1),0))))+IF(MOD(($BE57+1)-1,2)=1,15,0),EDATE(Inputs!$C$9,($BE57+1)-1)))))&lt;&gt;"",$B58=IF(YEAR(IF(Inputs!$C$7="Weekly",Inputs!$C$9+7*(($BE57+1)-1),IF(Inputs!$C$7="Biweekly",Inputs!$C$9+14*(($BE57+1)-1),IF(Inputs!$C$7="Semimonthly",DATE(YEAR(Inputs!$C$9),MONTH(Inputs!$C$9)+INT((($BE57+1)-1)/2),MIN(DAY(Inputs!$C$9),DAY(EOMONTH(DATE(YEAR(Inputs!$C$9),MONTH(Inputs!$C$9)+INT((($BE57+1)-1)/2),1),0))))+IF(MOD(($BE57+1)-1,2)=1,15,0),EDATE(Inputs!$C$9,($BE57+1)-1)))))&lt;&gt;2026,"",IF(Inputs!$C$7="Weekly",Inputs!$C$9+7*(($BE57+1)-1),IF(Inputs!$C$7="Biweekly",Inputs!$C$9+14*(($BE57+1)-1),IF(Inputs!$C$7="Semimonthly",DATE(YEAR(Inputs!$C$9),MONTH(Inputs!$C$9)+INT((($BE57+1)-1)/2),MIN(DAY(Inputs!$C$9),DAY(EOMONTH(DATE(YEAR(Inputs!$C$9),MONTH(Inputs!$C$9)+INT((($BE57+1)-1)/2),1),0))))+IF(MOD(($BE57+1)-1,2)=1,15,0),EDATE(Inputs!$C$9,($BE57+1)-1)))))),1,0))</f>
      </c>
      <c r="BG58" s="7">
        <f>IF($B58="","",$BG57+$H58)</f>
      </c>
      <c r="BH58" s="7">
        <f>IF($B58="","",$BH57+$I58)</f>
      </c>
      <c r="BI58" s="7">
        <f>IF($B58="","",$BI57+$G58)</f>
      </c>
      <c r="BJ58" s="7">
        <f>IF($B58="","",IFERROR(LOOKUP(2,1/((((Events!$C$6:$C$17="Deduction start"))*(Events!$D$6:$D$17="Health FSA"))*(Events!$B$6:$B$17&lt;=$B58)*(Events!$B$6:$B$17&lt;&gt;"")),Events!$E$6:$E$17),Inputs!$D$38))</f>
      </c>
      <c r="BK58" s="7">
        <f>IF($B58="","",IFERROR(LOOKUP(2,1/((((Events!$C$6:$C$17="Deduction start"))*(Events!$D$6:$D$17="Dependent-care FSA"))*(Events!$B$6:$B$17&lt;=$B58)*(Events!$B$6:$B$17&lt;&gt;"")),Events!$E$6:$E$17),Inputs!$D$39))</f>
      </c>
      <c r="BL58" s="7">
        <f>IF($B58="","",IFERROR(LOOKUP(2,1/((((Events!$C$6:$C$17="Deduction start")+(Events!$C$6:$C$17="Deduction stop"))*(Events!$D$6:$D$17="HSA"))*(Events!$B$6:$B$17&lt;=$B58)*(Events!$B$6:$B$17&lt;&gt;"")),Events!$I$6:$I$17),Inputs!$D$35))</f>
      </c>
      <c r="BM58" s="7">
        <f>IF($B58="","",IFERROR(LOOKUP(2,1/((((Events!$C$6:$C$17="Deduction start")+(Events!$C$6:$C$17="Deduction stop"))*(Events!$D$6:$D$17="Premiums"))*(Events!$B$6:$B$17&lt;=$B58)*(Events!$B$6:$B$17&lt;&gt;"")),Events!$I$6:$I$17),Inputs!$D$40+Inputs!$D$41+Inputs!$D$42))</f>
      </c>
      <c r="BN58" s="7">
        <f>IF($B58="","",IFERROR(LOOKUP(2,1/((((Events!$C$6:$C$17="Deduction start")+(Events!$C$6:$C$17="Deduction stop"))*(Events!$D$6:$D$17="Commuter"))*(Events!$B$6:$B$17&lt;=$B58)*(Events!$B$6:$B$17&lt;&gt;"")),Events!$I$6:$I$17),Inputs!$D$43))</f>
      </c>
      <c r="BO58" s="7">
        <f>IF($B58="","",IFERROR(LOOKUP(2,1/((((Events!$C$6:$C$17="Deduction start")+(Events!$C$6:$C$17="Deduction stop"))*(Events!$D$6:$D$17="Other pre-tax"))*(Events!$B$6:$B$17&lt;=$B58)*(Events!$B$6:$B$17&lt;&gt;"")),Events!$I$6:$I$17),Inputs!$D$44))</f>
      </c>
      <c r="BP58" s="7">
        <f>IF($B58="","",IFERROR(LOOKUP(2,1/((((Events!$C$6:$C$17="Deduction start")+(Events!$C$6:$C$17="Deduction stop"))*(Events!$D$6:$D$17="Other post-tax"))*(Events!$B$6:$B$17&lt;=$B58)*(Events!$B$6:$B$17&lt;&gt;"")),Events!$I$6:$I$17),Inputs!$D$45))</f>
      </c>
      <c r="BQ58" s="6">
        <f>IF($B58="","",IFERROR(LOOKUP(2,1/((((Events!$C$6:$C$17="Deduction start")+(Events!$C$6:$C$17="Deduction stop"))*(Events!$D$6:$D$17="Health FSA"))*(Events!$B$6:$B$17&lt;=$B58)*(Events!$B$6:$B$17&lt;&gt;"")),Events!$J$6:$J$17),0))</f>
      </c>
      <c r="BR58" s="6">
        <f>IF($B58="","",IFERROR(LOOKUP(2,1/((((Events!$C$6:$C$17="Deduction start")+(Events!$C$6:$C$17="Deduction stop"))*(Events!$D$6:$D$17="Dependent-care FSA"))*(Events!$B$6:$B$17&lt;=$B58)*(Events!$B$6:$B$17&lt;&gt;"")),Events!$J$6:$J$17),0))</f>
      </c>
      <c r="BS58" s="6">
        <f>IF($B58="","",IF(SUMPRODUCT((Events!$C$6:$C$17="Deduction start")*(Events!$B$6:$B$17&lt;=$B58)*(Events!$B$6:$B$17&lt;&gt;"")*(Events!$D$6:$D$17="Health FSA"))&gt;0,1,0))</f>
      </c>
      <c r="BT58" s="6">
        <f>IF($B58="","",IF(SUMPRODUCT((Events!$C$6:$C$17="Deduction start")*(Events!$B$6:$B$17&lt;=$B58)*(Events!$B$6:$B$17&lt;&gt;"")*(Events!$D$6:$D$17="Dependent-care FSA"))&gt;0,1,0))</f>
      </c>
      <c r="BU58" s="24">
        <f>IF($B58="","",IF(Inputs!$C$13,SUMPRODUCT(($AH58&gt;=INDEX('Methodology &amp; Sources'!$B$279:$J$286,0,IF(Inputs!$C$12="MFJ",1,IF(Inputs!$C$12="HoH",7,4))))*INDEX('Methodology &amp; Sources'!$B$279:$J$286,0,IF(Inputs!$C$12="MFJ",1,IF(Inputs!$C$12="HoH",7,4))+2)),SUMPRODUCT(($AH58&gt;=INDEX('Methodology &amp; Sources'!$B$269:$J$276,0,IF(Inputs!$C$12="MFJ",1,IF(Inputs!$C$12="HoH",7,4))))*INDEX('Methodology &amp; Sources'!$B$269:$J$276,0,IF(Inputs!$C$12="MFJ",1,IF(Inputs!$C$12="HoH",7,4))+2))))</f>
      </c>
      <c r="BV58" s="24">
        <f>IF($B58="","",IF($BZ58&lt;&gt;"",$BZ58,IF($CA58&lt;&gt;"",$CA58,IF($CB58&lt;&gt;"",$CB58,IF($CC58&lt;&gt;"",$CC58,0)))))</f>
      </c>
      <c r="BW58" s="7">
        <f>IF($B58="","",IF($AN58="MD",IF(OR($AU58="Married",$AU58="Head of household"),SUMPRODUCT(($AZ58&gt;INDEX('Methodology &amp; Sources'!$B$364:$J$370,0,1))*($AZ58-INDEX('Methodology &amp; Sources'!$B$364:$J$370,0,1))*INDEX('Methodology &amp; Sources'!$B$364:$J$370,0,1+2)),SUMPRODUCT(($AZ58&gt;INDEX('Methodology &amp; Sources'!$B$353:$J$359,0,7))*($AZ58-INDEX('Methodology &amp; Sources'!$B$353:$J$359,0,7))*INDEX('Methodology &amp; Sources'!$B$353:$J$359,0,7+2))),IF($AN58="MO",SUMPRODUCT(($AZ58&gt;INDEX('Methodology &amp; Sources'!$B$375:$J$382,0,1))*($AZ58-INDEX('Methodology &amp; Sources'!$B$375:$J$382,0,1))*INDEX('Methodology &amp; Sources'!$B$375:$J$382,0,1+2)),IF($AN58="MT",IF($AU58="Head of household",SUMPRODUCT(($AZ58&gt;INDEX('Methodology &amp; Sources'!$B$387:$J$389,0,1))*($AZ58-INDEX('Methodology &amp; Sources'!$B$387:$J$389,0,1))*INDEX('Methodology &amp; Sources'!$B$387:$J$389,0,1+2)),IF($AU58="Married",SUMPRODUCT(($AZ58&gt;INDEX('Methodology &amp; Sources'!$B$375:$J$382,0,7))*($AZ58-INDEX('Methodology &amp; Sources'!$B$375:$J$382,0,7))*INDEX('Methodology &amp; Sources'!$B$375:$J$382,0,7+2)),SUMPRODUCT(($AZ58&gt;INDEX('Methodology &amp; Sources'!$B$375:$J$382,0,4))*($AZ58-INDEX('Methodology &amp; Sources'!$B$375:$J$382,0,4))*INDEX('Methodology &amp; Sources'!$B$375:$J$382,0,4+2)))),IF($AN58="ND",IF($AU58="Head of household",SUMPRODUCT(($AZ58&gt;INDEX('Methodology &amp; Sources'!$B$394:$J$400,0,1))*($AZ58-INDEX('Methodology &amp; Sources'!$B$394:$J$400,0,1))*INDEX('Methodology &amp; Sources'!$B$394:$J$400,0,1+2)),IF($AU58="Married",SUMPRODUCT(($AZ58&gt;INDEX('Methodology &amp; Sources'!$B$387:$J$389,0,7))*($AZ58-INDEX('Methodology &amp; Sources'!$B$387:$J$389,0,7))*INDEX('Methodology &amp; Sources'!$B$387:$J$389,0,7+2)),SUMPRODUCT(($AZ58&gt;INDEX('Methodology &amp; Sources'!$B$387:$J$389,0,4))*($AZ58-INDEX('Methodology &amp; Sources'!$B$387:$J$389,0,4))*INDEX('Methodology &amp; Sources'!$B$387:$J$389,0,4+2)))),IF($AN58="NJ",IF(Inputs!$C$77="B",SUMPRODUCT(($AZ58&gt;INDEX('Methodology &amp; Sources'!$B$405:$J$412,0,4))*($AZ58-INDEX('Methodology &amp; Sources'!$B$405:$J$412,0,4))*INDEX('Methodology &amp; Sources'!$B$405:$J$412,0,4+2)),IF(Inputs!$C$77="C",SUMPRODUCT(($AZ58&gt;INDEX('Methodology &amp; Sources'!$B$405:$J$412,0,7))*($AZ58-INDEX('Methodology &amp; Sources'!$B$405:$J$412,0,7))*INDEX('Methodology &amp; Sources'!$B$405:$J$412,0,7+2)),IF(Inputs!$C$77="D",SUMPRODUCT(($AZ58&gt;INDEX('Methodology &amp; Sources'!$B$417:$J$429,0,1))*($AZ58-INDEX('Methodology &amp; Sources'!$B$417:$J$429,0,1))*INDEX('Methodology &amp; Sources'!$B$417:$J$429,0,1+2)),IF(Inputs!$C$77="E",SUMPRODUCT(($AZ58&gt;INDEX('Methodology &amp; Sources'!$B$417:$J$429,0,4))*($AZ58-INDEX('Methodology &amp; Sources'!$B$417:$J$429,0,4))*INDEX('Methodology &amp; Sources'!$B$417:$J$429,0,4+2)),SUMPRODUCT(($AZ58&gt;INDEX('Methodology &amp; Sources'!$B$405:$J$412,0,1))*($AZ58-INDEX('Methodology &amp; Sources'!$B$405:$J$412,0,1))*INDEX('Methodology &amp; Sources'!$B$405:$J$412,0,1+2)))))),IF($AN58="NY",IF($AU58="Married",IF($AZ58&gt;=2155350,$AZ58*IF($AZ58&gt;25000000,0.117,IF($AZ58&gt;5000000,0.111,0.1045)),SUMPRODUCT(($AZ58&gt;INDEX('Methodology &amp; Sources'!$B$434:$J$448,0,1))*($AZ58-INDEX('Methodology &amp; Sources'!$B$434:$J$448,0,1))*INDEX('Methodology &amp; Sources'!$B$434:$J$448,0,1+2))),IF($AZ58&gt;=1077550,$AZ58*IF($AZ58&gt;25000000,0.117,IF($AZ58&gt;5000000,0.111,0.1045)),SUMPRODUCT(($AZ58&gt;INDEX('Methodology &amp; Sources'!$B$417:$J$429,0,7))*($AZ58-INDEX('Methodology &amp; Sources'!$B$417:$J$429,0,7))*INDEX('Methodology &amp; Sources'!$B$417:$J$429,0,7+2)))),"")))))))</f>
      </c>
      <c r="BX58" s="7">
        <f>IF($B58="","",IF($AN58="AL",IF(OR($AU58="Married",$AU58="Head of household"),SUMPRODUCT(($AZ58&gt;INDEX('Methodology &amp; Sources'!$B$332:$J$336,0,4))*($AZ58-INDEX('Methodology &amp; Sources'!$B$332:$J$336,0,4))*INDEX('Methodology &amp; Sources'!$B$332:$J$336,0,4+2)),SUMPRODUCT(($AZ58&gt;INDEX('Methodology &amp; Sources'!$B$332:$J$336,0,1))*($AZ58-INDEX('Methodology &amp; Sources'!$B$332:$J$336,0,1))*INDEX('Methodology &amp; Sources'!$B$332:$J$336,0,1+2))),IF($AN58="KS",IF($AU58="Married",SUMPRODUCT(($AZ58&gt;INDEX('Methodology &amp; Sources'!$B$353:$J$359,0,4))*($AZ58-INDEX('Methodology &amp; Sources'!$B$353:$J$359,0,4))*INDEX('Methodology &amp; Sources'!$B$353:$J$359,0,4+2)),SUMPRODUCT(($AZ58&gt;INDEX('Methodology &amp; Sources'!$B$353:$J$359,0,1))*($AZ58-INDEX('Methodology &amp; Sources'!$B$353:$J$359,0,1))*INDEX('Methodology &amp; Sources'!$B$353:$J$359,0,1+2))),IF($AN58="MN",IF($AU58="Married",SUMPRODUCT(($AZ58&gt;INDEX('Methodology &amp; Sources'!$B$364:$J$370,0,7))*($AZ58-INDEX('Methodology &amp; Sources'!$B$364:$J$370,0,7))*INDEX('Methodology &amp; Sources'!$B$364:$J$370,0,7+2)),SUMPRODUCT(($AZ58&gt;INDEX('Methodology &amp; Sources'!$B$364:$J$370,0,4))*($AZ58-INDEX('Methodology &amp; Sources'!$B$364:$J$370,0,4))*INDEX('Methodology &amp; Sources'!$B$364:$J$370,0,4+2))),IF($AN58="NE",MAX(IF($AU58="Married",SUMPRODUCT(($AZ58&gt;INDEX('Methodology &amp; Sources'!$B$394:$J$400,0,7))*($AZ58-INDEX('Methodology &amp; Sources'!$B$394:$J$400,0,7))*INDEX('Methodology &amp; Sources'!$B$394:$J$400,0,7+2)),SUMPRODUCT(($AZ58&gt;INDEX('Methodology &amp; Sources'!$B$394:$J$400,0,4))*($AZ58-INDEX('Methodology &amp; Sources'!$B$394:$J$400,0,4))*INDEX('Methodology &amp; Sources'!$B$394:$J$400,0,4+2))),0.015*$AZ58),IF($AN58="OH",IF($B58&gt;=DATE(2026,8,1),SUMPRODUCT(($AZ58&gt;INDEX('Methodology &amp; Sources'!$B$453:$J$456,0,1))*($AZ58-INDEX('Methodology &amp; Sources'!$B$453:$J$456,0,1))*INDEX('Methodology &amp; Sources'!$B$453:$J$456,0,1+2)),SUMPRODUCT(($AZ58&gt;INDEX('Methodology &amp; Sources'!$B$434:$J$448,0,7))*($AZ58-INDEX('Methodology &amp; Sources'!$B$434:$J$448,0,7))*INDEX('Methodology &amp; Sources'!$B$434:$J$448,0,7+2))),IF($AN58="OK",IF($AU58="Married",SUMPRODUCT(($AZ58&gt;INDEX('Methodology &amp; Sources'!$B$453:$J$456,0,7))*($AZ58-INDEX('Methodology &amp; Sources'!$B$453:$J$456,0,7))*INDEX('Methodology &amp; Sources'!$B$453:$J$456,0,7+2)),SUMPRODUCT(($AZ58&gt;INDEX('Methodology &amp; Sources'!$B$453:$J$456,0,4))*($AZ58-INDEX('Methodology &amp; Sources'!$B$453:$J$456,0,4))*INDEX('Methodology &amp; Sources'!$B$453:$J$456,0,4+2))),IF($AN58="RI",SUMPRODUCT(($AZ58&gt;INDEX('Methodology &amp; Sources'!$B$461:$J$464,0,7))*($AZ58-INDEX('Methodology &amp; Sources'!$B$461:$J$464,0,7))*INDEX('Methodology &amp; Sources'!$B$461:$J$464,0,7+2)),IF($AN58="VT",IF($AU58="Married",SUMPRODUCT(($AZ58&gt;INDEX('Methodology &amp; Sources'!$B$478:$J$482,0,1))*($AZ58-INDEX('Methodology &amp; Sources'!$B$478:$J$482,0,1))*INDEX('Methodology &amp; Sources'!$B$478:$J$482,0,1+2)),SUMPRODUCT(($AZ58&gt;INDEX('Methodology &amp; Sources'!$B$469:$J$473,0,7))*($AZ58-INDEX('Methodology &amp; Sources'!$B$469:$J$473,0,7))*INDEX('Methodology &amp; Sources'!$B$469:$J$473,0,7+2))),IF($AN58="WV",IF($AU58="Married",SUMPRODUCT(($AZ58&gt;INDEX('Methodology &amp; Sources'!$B$487:$J$491,0,7))*($AZ58-INDEX('Methodology &amp; Sources'!$B$487:$J$491,0,7))*INDEX('Methodology &amp; Sources'!$B$487:$J$491,0,7+2)),SUMPRODUCT(($AZ58&gt;INDEX('Methodology &amp; Sources'!$B$478:$J$482,0,7))*($AZ58-INDEX('Methodology &amp; Sources'!$B$478:$J$482,0,7))*INDEX('Methodology &amp; Sources'!$B$478:$J$482,0,7+2))),""))))))))))</f>
      </c>
      <c r="BY58" s="7">
        <f>IF($B58="","",IF($AN58="AR",SUMPRODUCT(($AZ58&gt;INDEX('Methodology &amp; Sources'!$B$332:$J$336,0,7))*($AZ58-INDEX('Methodology &amp; Sources'!$B$332:$J$336,0,7))*INDEX('Methodology &amp; Sources'!$B$332:$J$336,0,7+2)),IF($AN58="DE",SUMPRODUCT(($AZ58&gt;INDEX('Methodology &amp; Sources'!$B$341:$J$348,0,1))*($AZ58-INDEX('Methodology &amp; Sources'!$B$341:$J$348,0,1))*INDEX('Methodology &amp; Sources'!$B$341:$J$348,0,1+2)),IF($AN58="HI",IF($AU58="Married",SUMPRODUCT(($AZ58&gt;INDEX('Methodology &amp; Sources'!$B$341:$J$348,0,7))*($AZ58-INDEX('Methodology &amp; Sources'!$B$341:$J$348,0,7))*INDEX('Methodology &amp; Sources'!$B$341:$J$348,0,7+2)),SUMPRODUCT(($AZ58&gt;INDEX('Methodology &amp; Sources'!$B$341:$J$348,0,4))*($AZ58-INDEX('Methodology &amp; Sources'!$B$341:$J$348,0,4))*INDEX('Methodology &amp; Sources'!$B$341:$J$348,0,4+2))),IF($AN58="SC",SUMPRODUCT(($AZ58&gt;INDEX('Methodology &amp; Sources'!$B$469:$J$473,0,1))*($AZ58-INDEX('Methodology &amp; Sources'!$B$469:$J$473,0,1))*INDEX('Methodology &amp; Sources'!$B$469:$J$473,0,1+2)),IF($AN58="VA",SUMPRODUCT(($AZ58&gt;INDEX('Methodology &amp; Sources'!$B$469:$J$473,0,4))*($AZ58-INDEX('Methodology &amp; Sources'!$B$469:$J$473,0,4))*INDEX('Methodology &amp; Sources'!$B$469:$J$473,0,4+2)),IF($AN58="WI",SUMPRODUCT(($AZ58&gt;INDEX('Methodology &amp; Sources'!$B$478:$J$482,0,4))*($AZ58-INDEX('Methodology &amp; Sources'!$B$478:$J$482,0,4))*INDEX('Methodology &amp; Sources'!$B$478:$J$482,0,4+2)),"")))))))</f>
      </c>
      <c r="BZ58" s="24">
        <f>IF($B58="","",IF($AN58="NJ",IF(Inputs!$C$77="B",SUMPRODUCT(($AZ58&gt;=INDEX('Methodology &amp; Sources'!$B$405:$J$412,0,4))*INDEX('Methodology &amp; Sources'!$B$405:$J$412,0,4+2)),IF(Inputs!$C$77="C",SUMPRODUCT(($AZ58&gt;=INDEX('Methodology &amp; Sources'!$B$405:$J$412,0,7))*INDEX('Methodology &amp; Sources'!$B$405:$J$412,0,7+2)),IF(Inputs!$C$77="D",SUMPRODUCT(($AZ58&gt;=INDEX('Methodology &amp; Sources'!$B$417:$J$429,0,1))*INDEX('Methodology &amp; Sources'!$B$417:$J$429,0,1+2)),IF(Inputs!$C$77="E",SUMPRODUCT(($AZ58&gt;=INDEX('Methodology &amp; Sources'!$B$417:$J$429,0,4))*INDEX('Methodology &amp; Sources'!$B$417:$J$429,0,4+2)),SUMPRODUCT(($AZ58&gt;=INDEX('Methodology &amp; Sources'!$B$405:$J$412,0,1))*INDEX('Methodology &amp; Sources'!$B$405:$J$412,0,1+2)))))),IF($AN58="OR",IF(OR($AU58="Married",AND($AU58="Single",$AS58&gt;=3)),SUMPRODUCT((MAX(0,$AY58-MIN(($P58-'Methodology &amp; Sources'!$C$260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Sources'!$B$461:$J$464,0,4))*INDEX('Methodology &amp; Sources'!$B$461:$J$464,0,4+2)),SUMPRODUCT((MAX(0,$AY58-MIN(($P58-'Methodology &amp; Sources'!$C$260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Sources'!$B$461:$J$464,0,1))*INDEX('Methodology &amp; Sources'!$B$461:$J$464,0,1+2)))*IF(($P58-'Methodology &amp; Sources'!$C$260*$D58)*Inputs!$C$8&gt;=IF(OR($AU58="Married",AND($AU58="Single",$AS58&gt;=3)),IF($AY58&lt;250000,8750,IF($AY58&lt;260000,7000,IF($AY58&lt;270000,5250,IF($AY58&lt;280000,3500,IF($AY58&lt;290000,1750,0))))),IF($AY58&lt;125000,8750,IF($AY58&lt;130000,7000,IF($AY58&lt;135000,5250,IF($AY58&lt;140000,3500,IF($AY58&lt;145000,1750,0)))))),1,1-IF(Inputs!$C$13,SUMPRODUCT(($AH58&gt;=INDEX('Methodology &amp; Sources'!$B$279:$J$286,0,IF(Inputs!$C$12="MFJ",1,IF(Inputs!$C$12="HoH",7,4))))*INDEX('Methodology &amp; Sources'!$B$279:$J$286,0,IF(Inputs!$C$12="MFJ",1,IF(Inputs!$C$12="HoH",7,4))+2)),SUMPRODUCT(($AH58&gt;=INDEX('Methodology &amp; Sources'!$B$269:$J$276,0,IF(Inputs!$C$12="MFJ",1,IF(Inputs!$C$12="HoH",7,4))))*INDEX('Methodology &amp; Sources'!$B$269:$J$276,0,IF(Inputs!$C$12="MFJ",1,IF(Inputs!$C$12="HoH",7,4))+2)))),IF($AN58="MI",IF($AY58&gt;5900*$AS58,0.0425,0),""))))</f>
      </c>
      <c r="CA58" s="24">
        <f>IF($B58="","",IF($AN58="AL",IF(OR($AU58="Married",$AU58="Head of household"),SUMPRODUCT(($AZ58&gt;=INDEX('Methodology &amp; Sources'!$B$332:$J$336,0,4))*INDEX('Methodology &amp; Sources'!$B$332:$J$336,0,4+2)),SUMPRODUCT(($AZ58&gt;=INDEX('Methodology &amp; Sources'!$B$332:$J$336,0,1))*INDEX('Methodology &amp; Sources'!$B$332:$J$336,0,1+2)))*(1-IF(Inputs!$C$13,SUMPRODUCT(($AH58&gt;=INDEX('Methodology &amp; Sources'!$B$279:$J$286,0,IF(Inputs!$C$12="MFJ",1,IF(Inputs!$C$12="HoH",7,4))))*INDEX('Methodology &amp; Sources'!$B$279:$J$286,0,IF(Inputs!$C$12="MFJ",1,IF(Inputs!$C$12="HoH",7,4))+2)),SUMPRODUCT(($AH58&gt;=INDEX('Methodology &amp; Sources'!$B$269:$J$276,0,IF(Inputs!$C$12="MFJ",1,IF(Inputs!$C$12="HoH",7,4))))*INDEX('Methodology &amp; Sources'!$B$269:$J$276,0,IF(Inputs!$C$12="MFJ",1,IF(Inputs!$C$12="HoH",7,4))+2)))),IF($AN58="KS",IF($AU58="Married",SUMPRODUCT(($AZ58&gt;=INDEX('Methodology &amp; Sources'!$B$353:$J$359,0,4))*INDEX('Methodology &amp; Sources'!$B$353:$J$359,0,4+2)),SUMPRODUCT(($AZ58&gt;=INDEX('Methodology &amp; Sources'!$B$353:$J$359,0,1))*INDEX('Methodology &amp; Sources'!$B$353:$J$359,0,1+2))),IF($AN58="MD",IF(OR($AU58="Married",$AU58="Head of household"),SUMPRODUCT(($AZ58&gt;=INDEX('Methodology &amp; Sources'!$B$364:$J$370,0,1))*INDEX('Methodology &amp; Sources'!$B$364:$J$370,0,1+2)),SUMPRODUCT(($AZ58&gt;=INDEX('Methodology &amp; Sources'!$B$353:$J$359,0,7))*INDEX('Methodology &amp; Sources'!$B$353:$J$359,0,7+2)))+Inputs!$C$74,IF($AN58="MT",IF($AU58="Head of household",SUMPRODUCT(($AZ58&gt;=INDEX('Methodology &amp; Sources'!$B$387:$J$389,0,1))*INDEX('Methodology &amp; Sources'!$B$387:$J$389,0,1+2)),IF($AU58="Married",SUMPRODUCT(($AZ58&gt;=INDEX('Methodology &amp; Sources'!$B$375:$J$382,0,7))*INDEX('Methodology &amp; Sources'!$B$375:$J$382,0,7+2)),SUMPRODUCT(($AZ58&gt;=INDEX('Methodology &amp; Sources'!$B$375:$J$382,0,4))*INDEX('Methodology &amp; Sources'!$B$375:$J$382,0,4+2)))),IF($AN58="ND",IF($AU58="Head of household",SUMPRODUCT(($AZ58&gt;=INDEX('Methodology &amp; Sources'!$B$394:$J$400,0,1))*INDEX('Methodology &amp; Sources'!$B$394:$J$400,0,1+2)),IF($AU58="Married",SUMPRODUCT(($AZ58&gt;=INDEX('Methodology &amp; Sources'!$B$387:$J$389,0,7))*INDEX('Methodology &amp; Sources'!$B$387:$J$389,0,7+2)),SUMPRODUCT(($AZ58&gt;=INDEX('Methodology &amp; Sources'!$B$387:$J$389,0,4))*INDEX('Methodology &amp; Sources'!$B$387:$J$389,0,4+2)))),IF($AN58="NY",IF($AU58="Married",IF($AZ58&gt;=2155350,IF($AZ58&gt;25000000,0.117,IF($AZ58&gt;5000000,0.111,0.1045)),SUMPRODUCT(($AZ58&gt;=INDEX('Methodology &amp; Sources'!$B$434:$J$448,0,1))*INDEX('Methodology &amp; Sources'!$B$434:$J$448,0,1+2))),IF($AZ58&gt;=1077550,IF($AZ58&gt;25000000,0.117,IF($AZ58&gt;5000000,0.111,0.1045)),SUMPRODUCT(($AZ58&gt;=INDEX('Methodology &amp; Sources'!$B$417:$J$429,0,7))*INDEX('Methodology &amp; Sources'!$B$417:$J$429,0,7+2)))),"")))))))</f>
      </c>
      <c r="CB58" s="24">
        <f>IF($B58="","",IF($AN58="CA",SUMPRODUCT(($AJ58&gt;=INDEX('Methodology &amp; Sources'!$B$289:$J$298,0,IF($AU58="Married",4,IF($AU58="Head of household",7,1))))*INDEX('Methodology &amp; Sources'!$B$289:$J$298,0,IF($AU58="Married",4,IF($AU58="Head of household",7,1))+2)),IF($AN58="HI",IF($AU58="Married",SUMPRODUCT(($AZ58&gt;=INDEX('Methodology &amp; Sources'!$B$341:$J$348,0,7))*INDEX('Methodology &amp; Sources'!$B$341:$J$348,0,7+2)),SUMPRODUCT(($AZ58&gt;=INDEX('Methodology &amp; Sources'!$B$341:$J$348,0,4))*INDEX('Methodology &amp; Sources'!$B$341:$J$348,0,4+2))),IF($AN58="MN",IF($AU58="Married",SUMPRODUCT(($AZ58&gt;=INDEX('Methodology &amp; Sources'!$B$364:$J$370,0,7))*INDEX('Methodology &amp; Sources'!$B$364:$J$370,0,7+2)),SUMPRODUCT(($AZ58&gt;=INDEX('Methodology &amp; Sources'!$B$364:$J$370,0,4))*INDEX('Methodology &amp; Sources'!$B$364:$J$370,0,4+2))),IF($AN58="MO",SUMPRODUCT(($AZ58&gt;=INDEX('Methodology &amp; Sources'!$B$375:$J$382,0,1))*INDEX('Methodology &amp; Sources'!$B$375:$J$382,0,1+2)),IF($AN58="NE",MAX(IF($AU58="Married",SUMPRODUCT(($AZ58&gt;=INDEX('Methodology &amp; Sources'!$B$394:$J$400,0,7))*INDEX('Methodology &amp; Sources'!$B$394:$J$400,0,7+2)),SUMPRODUCT(($AZ58&gt;=INDEX('Methodology &amp; Sources'!$B$394:$J$400,0,4))*INDEX('Methodology &amp; Sources'!$B$394:$J$400,0,4+2))),0.015),IF($AN58="OH",IF($B58&gt;=DATE(2026,8,1),SUMPRODUCT(($AZ58&gt;=INDEX('Methodology &amp; Sources'!$B$453:$J$456,0,1))*INDEX('Methodology &amp; Sources'!$B$453:$J$456,0,1+2)),SUMPRODUCT(($AZ58&gt;=INDEX('Methodology &amp; Sources'!$B$434:$J$448,0,7))*INDEX('Methodology &amp; Sources'!$B$434:$J$448,0,7+2))),IF($AN58="OK",IF($AU58="Married",SUMPRODUCT(($AZ58&gt;=INDEX('Methodology &amp; Sources'!$B$453:$J$456,0,7))*INDEX('Methodology &amp; Sources'!$B$453:$J$456,0,7+2)),SUMPRODUCT(($AZ58&gt;=INDEX('Methodology &amp; Sources'!$B$453:$J$456,0,4))*INDEX('Methodology &amp; Sources'!$B$453:$J$456,0,4+2))),IF($AN58="RI",SUMPRODUCT(($AZ58&gt;=INDEX('Methodology &amp; Sources'!$B$461:$J$464,0,7))*INDEX('Methodology &amp; Sources'!$B$461:$J$464,0,7+2)),IF($AN58="SC",SUMPRODUCT(($AZ58&gt;=INDEX('Methodology &amp; Sources'!$B$469:$J$473,0,1))*INDEX('Methodology &amp; Sources'!$B$469:$J$473,0,1+2)),IF($AN58="VT",IF($AU58="Married",SUMPRODUCT(($AZ58&gt;=INDEX('Methodology &amp; Sources'!$B$478:$J$482,0,1))*INDEX('Methodology &amp; Sources'!$B$478:$J$482,0,1+2)),SUMPRODUCT(($AZ58&gt;=INDEX('Methodology &amp; Sources'!$B$469:$J$473,0,7))*INDEX('Methodology &amp; Sources'!$B$469:$J$473,0,7+2))),IF($AN58="WV",IF($AU58="Married",SUMPRODUCT(($AZ58&gt;=INDEX('Methodology &amp; Sources'!$B$487:$J$491,0,7))*INDEX('Methodology &amp; Sources'!$B$487:$J$491,0,7+2)),SUMPRODUCT(($AZ58&gt;=INDEX('Methodology &amp; Sources'!$B$478:$J$482,0,7))*INDEX('Methodology &amp; Sources'!$B$478:$J$482,0,7+2))),IF($AN58="IN",(0.0295+Inputs!$C$76),"")))))))))))))</f>
      </c>
      <c r="CC58" s="24">
        <f>IF($B58="","",IF($AN58="AR",SUMPRODUCT(($AZ58&gt;=INDEX('Methodology &amp; Sources'!$B$332:$J$336,0,7))*INDEX('Methodology &amp; Sources'!$B$332:$J$336,0,7+2)),IF($AN58="DE",SUMPRODUCT(($AZ58&gt;=INDEX('Methodology &amp; Sources'!$B$341:$J$348,0,1))*INDEX('Methodology &amp; Sources'!$B$341:$J$348,0,1+2)),IF($AN58="VA",SUMPRODUCT(($AZ58&gt;=INDEX('Methodology &amp; Sources'!$B$469:$J$473,0,4))*INDEX('Methodology &amp; Sources'!$B$469:$J$473,0,4+2)),IF($AN58="WI",SUMPRODUCT(($AZ58&gt;=INDEX('Methodology &amp; Sources'!$B$478:$J$482,0,4))*INDEX('Methodology &amp; Sources'!$B$478:$J$482,0,4+2)),IF($AN58="AZ",Inputs!$C$82,IF($AN58="CO",IF($AY58&gt;IF($AU58="Married",10000,5000),0.044,0),IF($AN58="IA",IF($AY58&gt;IF($AU58="Head of household",19500,IF($AU58="Married",26000,13000)),0.038,0),IF($AN58="ID",IF($AY58&gt;IF($AU58="Married",32000,16094),0.053,0),IF($AN58="IL",IF($AY58&gt;(2925*$AS58+1000*$AT58),0.0495,0),IF($AN58="KY",IF($AI58&gt;3360,0.035,0),IF($AN58="LA",0.0309,IF($AN58="MA",IF(MAX(0,$AY58-MIN(($BD57+$Q58+$R58+$S58),2000)-IF($AS58=0,0,IF($AS58=1,4400,1000*$AS58+3400)))&gt;=1107750,0.09,0.05),IF($AN58="MS",IF($AI58-IF($AU58="Head of household",3400,IF($AU58="Married",4600,2300))-Inputs!$C$85&gt;10000,0.04,0),IF($AN58="PA",0.0307,"")))))))))))))))</f>
      </c>
      <c r="CD58" s="21">
        <f>IF(YEAR(IF(Inputs!$C$7="Weekly",Inputs!$C$9+7*(($BE57+1)-1),IF(Inputs!$C$7="Biweekly",Inputs!$C$9+14*(($BE57+1)-1),IF(Inputs!$C$7="Semimonthly",DATE(YEAR(Inputs!$C$9),MONTH(Inputs!$C$9)+INT((($BE57+1)-1)/2),MIN(DAY(Inputs!$C$9),DAY(EOMONTH(DATE(YEAR(Inputs!$C$9),MONTH(Inputs!$C$9)+INT((($BE57+1)-1)/2),1),0))))+IF(MOD(($BE57+1)-1,2)=1,15,0),EDATE(Inputs!$C$9,($BE57+1)-1)))))&lt;&gt;2026,"",IF(Inputs!$C$7="Weekly",Inputs!$C$9+7*(($BE57+1)-1),IF(Inputs!$C$7="Biweekly",Inputs!$C$9+14*(($BE57+1)-1),IF(Inputs!$C$7="Semimonthly",DATE(YEAR(Inputs!$C$9),MONTH(Inputs!$C$9)+INT((($BE57+1)-1)/2),MIN(DAY(Inputs!$C$9),DAY(EOMONTH(DATE(YEAR(Inputs!$C$9),MONTH(Inputs!$C$9)+INT((($BE57+1)-1)/2),1),0))))+IF(MOD(($BE57+1)-1,2)=1,15,0),EDATE(Inputs!$C$9,($BE57+1)-1)))))</f>
      </c>
      <c r="CE58" s="21">
        <f>IF(SUMPRODUCT(MIN(IF((Inputs!$C$58:$C$67&gt;MAX($B$6:$B57))*(Inputs!$C$58:$C$67&gt;=DATE(2026,1,1))*(Inputs!$C$58:$C$67&lt;=DATE(2026,12,31)),Inputs!$C$58:$C$67,999999)))=999999,"",SUMPRODUCT(MIN(IF((Inputs!$C$58:$C$67&gt;MAX($B$6:$B57))*(Inputs!$C$58:$C$67&gt;=DATE(2026,1,1))*(Inputs!$C$58:$C$67&lt;=DATE(2026,12,31)),Inputs!$C$58:$C$67,999999))))</f>
      </c>
    </row>
    <row r="59">
      <c r="A59" t="n">
        <v>54</v>
      </c>
      <c r="B59" s="21">
        <f>IF(AND($CD59="",$CE59=""),"",IF($CE59="",$CD59,IF($CD59="",$CE59,MIN($CD59,$CE59))))</f>
      </c>
      <c r="C59" s="7">
        <f>IF($B59="","",IF($BF59=0,0,IF(Inputs!$C$4="Annual salary",ROUND($AK59/IF(AND(Inputs!$C$88="Actual paydays",MONTH(Inputs!$C$9)=1),MAX(1,MAX($BE$6:$BE$68)),Inputs!$C$8),2),$AK59)))</f>
      </c>
      <c r="D59" s="7">
        <f>IF($B59="","",SUMIF(Inputs!$C$58:$C$67,$B59,Inputs!$D$58:$D$67))</f>
      </c>
      <c r="E59" s="7">
        <f>IF($B59="","",ROUND(MAX(0,MIN(IF($AL59="Percent",$AM59*($C59+$D59),$AM59),MAX(0,Inputs!$C$91-$AC58))),2))</f>
      </c>
      <c r="F59" s="7">
        <f>IF($B59="","",ROUND(MAX(0,MIN(IF(Inputs!$C$32="Percent",Inputs!$D$32*($C59+$D59),Inputs!$D$32),MAX(0,Inputs!$C$91-$AC58-$E59))),2))</f>
      </c>
      <c r="G59" s="7">
        <f>IF($B59="","",IF($BF59=0,0,ROUND(MAX(0,MIN($BL59,Inputs!$C$92-Inputs!$C$54-$BI58)),2)))</f>
      </c>
      <c r="H59" s="7">
        <f>IF($B59="","",IF(OR($BF59=0,$BQ59=1),0,ROUND(MAX(0,MIN(IF($BS59=1,ROUND(MAX(0,MIN($BJ59,'Methodology &amp; Sources'!$C$263)-$BG58)/MAX(1,MAX($BE$6:$BE$68)-($BE58)),2),ROUND(MIN($BJ59,'Methodology &amp; Sources'!$C$263)/Inputs!$C$8,2)),MIN($BJ59,'Methodology &amp; Sources'!$C$263)-$BG58)),2)))</f>
      </c>
      <c r="I59" s="7">
        <f>IF($B59="","",IF(OR($BF59=0,$BR59=1),0,ROUND(MAX(0,MIN(IF($BT59=1,ROUND(MAX(0,MIN($BK59,IF(Inputs!$C$12="MFJ",'Methodology &amp; Sources'!$C$264,'Methodology &amp; Sources'!$C$265))-$BH58)/MAX(1,MAX($BE$6:$BE$68)-($BE58)),2),ROUND(MIN($BK59,IF(Inputs!$C$12="MFJ",'Methodology &amp; Sources'!$C$264,'Methodology &amp; Sources'!$C$265))/Inputs!$C$8,2)),MIN($BK59,IF(Inputs!$C$12="MFJ",'Methodology &amp; Sources'!$C$264,'Methodology &amp; Sources'!$C$265))-$BH58)),2)))</f>
      </c>
      <c r="J59" s="7">
        <f>IF($B59="","",IF($BF59=0,0,$BM59))</f>
      </c>
      <c r="K59" s="7">
        <f>IF($B59="","",IF($BF59=0,0,$BN59+$BO59))</f>
      </c>
      <c r="L59" s="7">
        <f>IF($B59="","",IF($BF59=0,0,Inputs!$D$46))</f>
      </c>
      <c r="M59" s="7">
        <f>IF($B59="","",$C59+$D59+$L59-$E59-$G59-$H59-$I59-$J59-$K59)</f>
      </c>
      <c r="N59" s="7">
        <f>IF($B59="","",$C59+$D59+$L59-$G59-$H59-$I59-$J59-$K59)</f>
      </c>
      <c r="O59" s="7">
        <f>IF($B59="","",$C59+$D59+$L59-$E59-$H59-$I59-$J59-$K59-IF(OR($AN59="CA",$AN59="NJ"),0,$G59))</f>
      </c>
      <c r="P59" s="7">
        <f>IF($B59="","",IF(Inputs!$C$18,0,ROUND(MAX(0,IF(Inputs!$C$13,SUMPRODUCT(($AH59&gt;INDEX('Methodology &amp; Sources'!$B$279:$J$286,0,IF(Inputs!$C$12="MFJ",1,IF(Inputs!$C$12="HoH",7,4))))*($AH59-INDEX('Methodology &amp; Sources'!$B$279:$J$286,0,IF(Inputs!$C$12="MFJ",1,IF(Inputs!$C$12="HoH",7,4))))*INDEX('Methodology &amp; Sources'!$B$279:$J$286,0,IF(Inputs!$C$12="MFJ",1,IF(Inputs!$C$12="HoH",7,4))+2)),SUMPRODUCT(($AH59&gt;INDEX('Methodology &amp; Sources'!$B$269:$J$276,0,IF(Inputs!$C$12="MFJ",1,IF(Inputs!$C$12="HoH",7,4))))*($AH59-INDEX('Methodology &amp; Sources'!$B$269:$J$276,0,IF(Inputs!$C$12="MFJ",1,IF(Inputs!$C$12="HoH",7,4))))*INDEX('Methodology &amp; Sources'!$B$269:$J$276,0,IF(Inputs!$C$12="MFJ",1,IF(Inputs!$C$12="HoH",7,4))+2)))/Inputs!$C$8-$AO59/Inputs!$C$8)+$AR59+IF(Inputs!$C$89="Aggregate",MAX(0,IF(Inputs!$C$13,SUMPRODUCT((($AH59+$D59)&gt;INDEX('Methodology &amp; Sources'!$B$279:$J$286,0,IF(Inputs!$C$12="MFJ",1,IF(Inputs!$C$12="HoH",7,4))))*(($AH59+$D59)-INDEX('Methodology &amp; Sources'!$B$279:$J$286,0,IF(Inputs!$C$12="MFJ",1,IF(Inputs!$C$12="HoH",7,4))))*INDEX('Methodology &amp; Sources'!$B$279:$J$286,0,IF(Inputs!$C$12="MFJ",1,IF(Inputs!$C$12="HoH",7,4))+2)),SUMPRODUCT((($AH59+$D59)&gt;INDEX('Methodology &amp; Sources'!$B$269:$J$276,0,IF(Inputs!$C$12="MFJ",1,IF(Inputs!$C$12="HoH",7,4))))*(($AH59+$D59)-INDEX('Methodology &amp; Sources'!$B$269:$J$276,0,IF(Inputs!$C$12="MFJ",1,IF(Inputs!$C$12="HoH",7,4))))*INDEX('Methodology &amp; Sources'!$B$269:$J$276,0,IF(Inputs!$C$12="MFJ",1,IF(Inputs!$C$12="HoH",7,4))+2)))-IF(Inputs!$C$13,SUMPRODUCT(($AH59&gt;INDEX('Methodology &amp; Sources'!$B$279:$J$286,0,IF(Inputs!$C$12="MFJ",1,IF(Inputs!$C$12="HoH",7,4))))*($AH59-INDEX('Methodology &amp; Sources'!$B$279:$J$286,0,IF(Inputs!$C$12="MFJ",1,IF(Inputs!$C$12="HoH",7,4))))*INDEX('Methodology &amp; Sources'!$B$279:$J$286,0,IF(Inputs!$C$12="MFJ",1,IF(Inputs!$C$12="HoH",7,4))+2)),SUMPRODUCT(($AH59&gt;INDEX('Methodology &amp; Sources'!$B$269:$J$276,0,IF(Inputs!$C$12="MFJ",1,IF(Inputs!$C$12="HoH",7,4))))*($AH59-INDEX('Methodology &amp; Sources'!$B$269:$J$276,0,IF(Inputs!$C$12="MFJ",1,IF(Inputs!$C$12="HoH",7,4))))*INDEX('Methodology &amp; Sources'!$B$269:$J$276,0,IF(Inputs!$C$12="MFJ",1,IF(Inputs!$C$12="HoH",7,4))+2)))),'Methodology &amp; Sources'!$C$260*$D59),2)))</f>
      </c>
      <c r="Q59" s="7">
        <f>IF($B59="","",ROUND('Methodology &amp; Sources'!$C$254*MIN($N59,MAX(0,'Methodology &amp; Sources'!$C$253-($AX59+$AB58-$AW59))),2))</f>
      </c>
      <c r="R59" s="7">
        <f>IF($B59="","",ROUND('Methodology &amp; Sources'!$C$255*$N59,2))</f>
      </c>
      <c r="S59" s="7">
        <f>IF($B59="","",ROUND('Methodology &amp; Sources'!$C$256*MAX(0,MIN($N59,$AG58+$N59-'Methodology &amp; Sources'!$C$257)),2))</f>
      </c>
      <c r="T59" s="7">
        <f>IF($B59="","",IF(Inputs!$C$26,0,IF($AN59="CA",ROUND(IF($AI59&lt;=IF(($AS59+$AT59)&gt;=2,VLOOKUP($AN59,'StateTables 2026'!$A$6:$AB$56,10,FALSE),VLOOKUP($AN59,'StateTables 2026'!$A$6:$AB$56,9,FALSE)),0,MAX(0,SUMPRODUCT(($AJ59&gt;INDEX('Methodology &amp; Sources'!$B$289:$J$298,0,IF($AU59="Married",4,IF($AU59="Head of household",7,1))))*($AJ59-INDEX('Methodology &amp; Sources'!$B$289:$J$298,0,IF($AU59="Married",4,IF($AU59="Head of household",7,1))))*INDEX('Methodology &amp; Sources'!$B$289:$J$298,0,IF($AU59="Married",4,IF($AU59="Head of household",7,1))+2))-VLOOKUP($AN59,'StateTables 2026'!$A$6:$AB$56,11,FALSE)*$AS59)/Inputs!$C$8)+Inputs!$C$25+VLOOKUP($AN59,'StateTables 2026'!$A$6:$AB$56,13,FALSE)*$D59,2),IF(VLOOKUP($AN59,'StateTables 2026'!$A$6:$AB$56,4,FALSE)="None",0,IF(ISNUMBER(SEARCH("MANUAL",VLOOKUP($AN59,'StateTables 2026'!$A$6:$AB$56,5,FALSE))),Inputs!$C$28,ROUND(MAX(0,$BA59+$BB59)/Inputs!$C$8+Inputs!$C$25+$BC59,2))))))</f>
      </c>
      <c r="U59" s="7">
        <f>IF($B59="","",IF(VLOOKUP($AN59,'StateTables 2026'!$A$6:$AB$56,24,FALSE)="flatq",IF(OR(MONTH($B59)=1,MONTH($B59)=4,MONTH($B59)=7,MONTH($B59)=10),VLOOKUP($AN59,'StateTables 2026'!$A$6:$AB$56,25,FALSE),0),IF(VLOOKUP($AN59,'StateTables 2026'!$A$6:$AB$56,24,FALSE)="dbl",MIN(ROUND(0.005*$N59,2),ROUND(0.6*52/Inputs!$C$8,2)),IF(OR(VLOOKUP($AN59,'StateTables 2026'!$A$6:$AB$56,15,FALSE)="",VLOOKUP($AN59,'StateTables 2026'!$A$6:$AB$56,15,FALSE)=0),0,ROUND(VLOOKUP($AN59,'StateTables 2026'!$A$6:$AB$56,15,FALSE)*IF(OR(VLOOKUP($AN59,'StateTables 2026'!$A$6:$AB$56,16,FALSE)="",VLOOKUP($AN59,'StateTables 2026'!$A$6:$AB$56,16,FALSE)=0),$N59,MIN($N59,MAX(0,VLOOKUP($AN59,'StateTables 2026'!$A$6:$AB$56,16,FALSE)-($AX59+$AB58-$AW59)))),2))))+IF(VLOOKUP($AN59,'StateTables 2026'!$A$6:$AB$56,27,FALSE)="flatq",IF(OR(MONTH($B59)=1,MONTH($B59)=4,MONTH($B59)=7,MONTH($B59)=10),VLOOKUP($AN59,'StateTables 2026'!$A$6:$AB$56,28,FALSE),0),IF(VLOOKUP($AN59,'StateTables 2026'!$A$6:$AB$56,27,FALSE)="dbl",MIN(ROUND(0.005*$N59,2),ROUND(0.6*52/Inputs!$C$8,2)),IF(OR(VLOOKUP($AN59,'StateTables 2026'!$A$6:$AB$56,18,FALSE)="",VLOOKUP($AN59,'StateTables 2026'!$A$6:$AB$56,18,FALSE)=0),0,ROUND(VLOOKUP($AN59,'StateTables 2026'!$A$6:$AB$56,18,FALSE)*IF(OR(VLOOKUP($AN59,'StateTables 2026'!$A$6:$AB$56,19,FALSE)="",VLOOKUP($AN59,'StateTables 2026'!$A$6:$AB$56,19,FALSE)=0),$N59,MIN($N59,MAX(0,VLOOKUP($AN59,'StateTables 2026'!$A$6:$AB$56,19,FALSE)-($AX59+$AB58-$AW59)))),2)))))</f>
      </c>
      <c r="V59" s="7">
        <f>IF($B59="","",IF($AN59="NY",IF(Inputs!$C$78,ROUND(SUMPRODUCT((MAX(0,($O59-$D59)*Inputs!$C$8-(IF($AU59="Married",5500,5000)+1000*$AS59))&gt;INDEX('Methodology &amp; Sources'!$B$434:$J$448,0,4))*(MAX(0,($O59-$D59)*Inputs!$C$8-(IF($AU59="Married",5500,5000)+1000*$AS59))-INDEX('Methodology &amp; Sources'!$B$434:$J$448,0,4))*INDEX('Methodology &amp; Sources'!$B$434:$J$448,0,4+2))/Inputs!$C$8+0.0425*$D59,2),0)+IF(Inputs!$C$79="Resident",ROUND(0.1675*$T59,2),IF(Inputs!$C$79="Nonresident",ROUND(0.005*MAX(0,($O59-$D59)-(IF($AU59="Married",7950,7400)+1000*$AS59)/Inputs!$C$8),2),0)),IF($AN59="PA",IF(Inputs!$C$80="None",Inputs!$C$27+ROUND(Inputs!$C$81*($C59+$D59),2),ROUND(IF(Inputs!$C$80="Resident",IF($B59&lt;DATE(2026,7,1),0.0374,0.03735),IF($B59&lt;DATE(2026,7,1),0.0343,0.03425))*($C59+$D59),2)),IF($BF59=0,ROUND(Inputs!$C$81*($C59+$D59),2),Inputs!$C$27+ROUND(Inputs!$C$81*($C59+$D59),2)))))</f>
      </c>
      <c r="W59" s="7">
        <f>IF($B59="","",IF($BF59=0,0,$BP59))</f>
      </c>
      <c r="X59" s="7">
        <f>IF($B59="","",SUM($E59:$K59)+$P59+$Q59+$R59+$S59+$T59+$U59+$V59+$W59)</f>
      </c>
      <c r="Y59" s="22">
        <f>IF($B59="","",$C59+$D59-$X59)</f>
      </c>
      <c r="Z59" s="7">
        <f>IF($B59="","",$Z58+$C59+$D59)</f>
      </c>
      <c r="AA59" s="7">
        <f>IF($B59="","",$AA58+$Y59)</f>
      </c>
      <c r="AB59" s="7">
        <f>IF($B59="","",$AB58+MIN($N59,MAX(0,'Methodology &amp; Sources'!$C$253-($AX59+$AB58-$AW59))))</f>
      </c>
      <c r="AC59" s="7">
        <f>IF($B59="","",$AC58+$E59+$F59)</f>
      </c>
      <c r="AD59" s="3">
        <f>IF($B59="","",IF(AND($AB58&lt;'Methodology &amp; Sources'!$C$253,$AB59&gt;='Methodology &amp; Sources'!$C$253),"★ Social Security maxed on this check — from the next check your net rises by about $"&amp;TEXT(ROUND('Methodology &amp; Sources'!$C$254*$N59,2),"#,##0.00")&amp;". ","")&amp;IF(AND($AC58&lt;Inputs!$C$91,$AC59&gt;=Inputs!$C$91),"★ 401(k) reaches the $"&amp;TEXT(Inputs!$C$91,"#,##0")&amp;" cap on this check — deferrals stop and net pay rises. ","")&amp;IF(AND($AG58&lt;'Methodology &amp; Sources'!$C$257,$AG59&gt;='Methodology &amp; Sources'!$C$257),"★ Wages pass $200,000 — the 0.9% Additional Medicare Tax starts here. ","")&amp;IF(AND($BJ59&gt;0,$H59&gt;0,$BG58&lt;MIN($BJ59,'Methodology &amp; Sources'!$C$263),$BG58+$H59&gt;=MIN($BJ59,'Methodology &amp; Sources'!$C$263)),"★ Health FSA election is now fully deferred for the year. ",""))</f>
      </c>
      <c r="AE59" s="41" t="n"/>
      <c r="AF59" s="7">
        <f>IF(OR($B59="",$AE59=""),"",$AE59-$Y59)</f>
      </c>
      <c r="AG59" s="7">
        <f>IF($B59="","",$AG58+$N59)</f>
      </c>
      <c r="AH59" s="7">
        <f>IF($B59="","",MAX(0,($M59-$D59)*Inputs!$C$8+$AP59-$AQ59-IF(Inputs!$C$13,0,IF(Inputs!$C$12="MFJ",'Methodology &amp; Sources'!$C$258,'Methodology &amp; Sources'!$C$259))))</f>
      </c>
      <c r="AI59" s="7">
        <f>IF($B59="","",$O59*Inputs!$C$8)</f>
      </c>
      <c r="AJ59" s="7">
        <f>IF($B59="","",MAX(0,$AI59-VLOOKUP($AN59,'StateTables 2026'!$A$6:$AB$56,12,FALSE)*$AT59-IF(($AS59+$AT59)&gt;=2,VLOOKUP($AN59,'StateTables 2026'!$A$6:$AB$56,8,FALSE),VLOOKUP($AN59,'StateTables 2026'!$A$6:$AB$56,7,FALSE))))</f>
      </c>
      <c r="AK59" s="7">
        <f>IF($B59="","",IFERROR(LOOKUP(2,1/((Events!$C$6:$C$17="Salary change")*(Events!$B$6:$B$17&lt;=$B59)*(Events!$B$6:$B$17&lt;&gt;"")),Events!$D$6:$D$17),IF(Inputs!$C$4="Annual salary",Inputs!$C$5,Inputs!$C$6)))</f>
      </c>
      <c r="AL59">
        <f>IF($B59="","",IFERROR(LOOKUP(2,1/((Events!$C$6:$C$17="401(k) change")*(Events!$B$6:$B$17&lt;=$B59)*(Events!$B$6:$B$17&lt;&gt;"")),Events!$D$6:$D$17),Inputs!$C$30))</f>
      </c>
      <c r="AM59" s="7">
        <f>IF($B59="","",IFERROR(LOOKUP(2,1/((Events!$C$6:$C$17="401(k) change")*(Events!$B$6:$B$17&lt;=$B59)*(Events!$B$6:$B$17&lt;&gt;"")),Events!$E$6:$E$17),Inputs!$D$30))</f>
      </c>
      <c r="AN59">
        <f>IF($B59="","",IFERROR(LOOKUP(2,1/((Events!$C$6:$C$17="State move")*(Events!$B$6:$B$17&lt;=$B59)*(Events!$B$6:$B$17&lt;&gt;"")),Events!$D$6:$D$17),Inputs!$C$21))</f>
      </c>
      <c r="AO59" s="7">
        <f>IF($B59="","",IFERROR(LOOKUP(2,1/((Events!$C$6:$C$17="W-4 change")*(Events!$B$6:$B$17&lt;=$B59)*(Events!$B$6:$B$17&lt;&gt;"")),Events!$D$6:$D$17),Inputs!$C$14))</f>
      </c>
      <c r="AP59" s="7">
        <f>IF($B59="","",IFERROR(LOOKUP(2,1/((Events!$C$6:$C$17="W-4 change")*(Events!$B$6:$B$17&lt;=$B59)*(Events!$B$6:$B$17&lt;&gt;"")),Events!$E$6:$E$17),Inputs!$C$15))</f>
      </c>
      <c r="AQ59" s="7">
        <f>IF($B59="","",IFERROR(LOOKUP(2,1/((Events!$C$6:$C$17="W-4 change")*(Events!$B$6:$B$17&lt;=$B59)*(Events!$B$6:$B$17&lt;&gt;"")),Events!$F$6:$F$17),Inputs!$C$16))</f>
      </c>
      <c r="AR59" s="7">
        <f>IF($B59="","",IFERROR(LOOKUP(2,1/((Events!$C$6:$C$17="W-4 change")*(Events!$B$6:$B$17&lt;=$B59)*(Events!$B$6:$B$17&lt;&gt;"")),Events!$G$6:$G$17),Inputs!$C$17))</f>
      </c>
      <c r="AS59" s="6">
        <f>IF($B59="","",IFERROR(LOOKUP(2,1/(((Events!$C$6:$C$17="State move")+(Events!$C$6:$C$17="State cert change"))*(Events!$B$6:$B$17&lt;=$B59)*(Events!$B$6:$B$17&lt;&gt;"")),Events!$F$6:$F$17),Inputs!$C$23))</f>
      </c>
      <c r="AT59" s="6">
        <f>IF($B59="","",IFERROR(LOOKUP(2,1/(((Events!$C$6:$C$17="State move")+(Events!$C$6:$C$17="State cert change"))*(Events!$B$6:$B$17&lt;=$B59)*(Events!$B$6:$B$17&lt;&gt;"")),Events!$G$6:$G$17),Inputs!$C$24))</f>
      </c>
      <c r="AU59">
        <f>IF($B59="","",IFERROR(LOOKUP(2,1/((Events!$C$6:$C$17="State move")*(Events!$B$6:$B$17&lt;=$B59)*(Events!$B$6:$B$17&lt;&gt;"")),Events!$E$6:$E$17),Inputs!$C$22))</f>
      </c>
      <c r="AV59" s="6">
        <f>IF($B59="","",1+COUNTIFS(Events!$C$6:$C$17,"Employer change",Events!$B$6:$B$17,"&lt;="&amp;$B59,Events!$B$6:$B$17,"&lt;&gt;"))</f>
      </c>
      <c r="AW59" s="7">
        <f>IF($B59="","",IF($AV59=1,Inputs!$C$49,IF(IFERROR(MATCH(IFERROR(LOOKUP(2,1/((Events!$C$6:$C$17="Employer change")*(Events!$B$6:$B$17&lt;=$B59)*(Events!$B$6:$B$17&lt;&gt;"")),Events!$B$6:$B$17),""),$B$6:$B$68,1),1)&lt;=1,Inputs!$C$49,INDEX($AB$6:$AB$68,MATCH(IFERROR(LOOKUP(2,1/((Events!$C$6:$C$17="Employer change")*(Events!$B$6:$B$17&lt;=$B59)*(Events!$B$6:$B$17&lt;&gt;"")),Events!$B$6:$B$17),""),$B$6:$B$68,1)-1))))</f>
      </c>
      <c r="AX59" s="7">
        <f>IF($B59="","",IF($AV59=1,Inputs!$C$49,IFERROR(LOOKUP(2,1/((Events!$C$6:$C$17="Employer change")*(Events!$B$6:$B$17&lt;=$B59)*(Events!$B$6:$B$17&lt;&gt;"")),Events!$D$6:$D$17),0)))</f>
      </c>
      <c r="AY59" s="7">
        <f>IF($B59="","",($O59-$D59)*Inputs!$C$8)</f>
      </c>
      <c r="AZ59" s="7">
        <f>IF($B59="","",IF($AN59="AL",MAX(0,$AY59-IF($AU59="Married",IF($AY59&lt;=25999,8500,MAX(5000,8500-175*CEILING(($AY59-25999)/500,1))),IF($AU59="Head of household",IF($AY59&lt;=25999,5200,MAX(2500,5200-135*CEILING(($AY59-25999)/500,1))),IF($AY59&lt;=25999,3000,MAX(2500,3000-25*CEILING(($AY59-25999)/500,1)))))-($P59-'Methodology &amp; Sources'!$C$260*$D59)*Inputs!$C$8-IF(OR($AU59="Married",$AU59="Head of household"),3000,1500)-$AT59*IF($AY59&lt;=50000,1000,IF($AY59&lt;=100000,500,300))),IF($AN59="AR",IF(MAX(0,$AY59-2470)&lt;97701,INT(MAX(0,$AY59-2470)/100)*100+50,MAX(0,$AY59-2470)),IF($AN59="DE",MAX(0,$AI59-3250),IF($AN59="HI",MAX(0,$AI59-1144*$AS59-4350),IF($AN59="KS",MAX(0,$AI59-(9160*IF($AU59="Married",2,1)+2320*$AT59+IF($AU59="Head of household",2320,0))),IF($AN59="MD",MAX(0,$AI59-3400-3200*$AS59),IF($AN59="MN",MAX(0,$AY59-5300*$AS59),IF($AN59="MO",MAX(0,$AI59-IF($AU59="Head of household",24150,IF($AU59="Married",IF(Inputs!$C$83,16100,32200),16100))),IF($AN59="MT",$AY59,IF($AN59="ND",($C59+$L59)*Inputs!$C$8,IF($AN59="NE",MAX(0,$AY59-2440*$AS59),IF($AN59="NJ",MAX(0,$AY59-1000*$AS59),IF($AN59="NY",MAX(0,$AY59-(IF($AU59="Married",7950,7400)+1000*$AS59)),IF($AN59="OH",MAX(0,$AY59-650*$AS59),IF($AN59="OK",MAX(0,$AY59-1000*$AS59),IF($AN59="RI",MAX(0,$AI59-1000*$AS59),IF($AN59="SC",MAX(0,$AI59-5000*$AS59-IF($AS59=0,0,MIN(0.1*$AI59,7500))),IF($AN59="VA",MAX(0,$AI59-IF($AU59="Married",17500,8750)-930*$AS59-800*$AT59),IF($AN59="VT",MAX(0,$AI59-5400*$AS59),IF($AN59="WI",MAX(0,$AI59-MAX(0,IF($AU59="Married",9461-0.2*MAX(0,$AI59-25727),6702-0.12*MAX(0,$AI59-17780)))-400*$AS59),IF($AN59="WV",MAX(0,$AI59-2000*$AS59),$AI59))))))))))))))))))))))</f>
      </c>
      <c r="BA59" s="7">
        <f>IF($B59="","",IF($BW59&lt;&gt;"",$BW59,IF($BX59&lt;&gt;"",$BX59,IF($BY59&lt;&gt;"",$BY59,0))))</f>
      </c>
      <c r="BB59" s="7">
        <f>IF($B59="","",IF($AN59="AR",-29*$AS59,IF($AN59="DE",-110*$AS59,IF($AN59="MD",$AZ59*Inputs!$C$74,IF($AN59="AZ",Inputs!$C$82*($M59-$D59)*Inputs!$C$8,IF($AN59="CO",0.044*MAX(0,$AY59-IF($AU59="Married",10000,5000)),IF($AN59="IA",MAX(0,0.038*MAX(0,$AY59-IF($AU59="Head of household",19500,IF($AU59="Married",26000,13000)))-40*$AS59),IF($AN59="ID",0.053*MAX(0,$AY59-IF($AU59="Married",32000,16094)),IF($AN59="IL",0.0495*MAX(0,$AY59-(2925*$AS59+1000*$AT59)),IF($AN59="IN",(0.0295+Inputs!$C$76)*MAX(0,$AY59-(1000*$AS59+1500*$AT59+3000*Inputs!$C$86)),IF($AN59="KY",0.035*MAX(0,$AI59-3360),IF($AN59="LA",IF(Inputs!$C$84="0",0.0309*$AI59,0.0309*MAX(0,$AI59-IF(Inputs!$C$84="2",25750,12875))),IF($AN59="MA",0.05*MIN(MAX(0,$AY59-MIN(($BD58+$Q59+$R59+$S59),2000)-IF($AS59=0,0,IF($AS59=1,4400,1000*$AS59+3400))),1107750)+0.09*MAX(0,MAX(0,$AY59-MIN(($BD58+$Q59+$R59+$S59),2000)-IF($AS59=0,0,IF($AS59=1,4400,1000*$AS59+3400)))-1107750)-IF($AU59="Head of household",120,0)-110*Inputs!$C$75,IF($AN59="MI",0.0425*MAX(0,$AY59-5900*$AS59),IF($AN59="MS",0.04*MAX(0,$AI59-IF($AU59="Head of household",3400,IF($AU59="Married",4600,2300))-Inputs!$C$85-10000),IF($AN59="OR",IF(OR($AU59="Married",AND($AU59="Single",$AS59&gt;=3)),SUMPRODUCT((MAX(0,$AY59-MIN(($P59-'Methodology &amp; Sources'!$C$260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Sources'!$B$461:$J$464,0,4))*(MAX(0,$AY59-MIN(($P59-'Methodology &amp; Sources'!$C$260*$D59)*Inputs!$C$8,IF(OR($AU59="Married",AND($AU59="Single",$AS59&gt;=3)),IF($AY59&lt;250000,8750,IF($AY59&lt;260000,7000,IF($AY59&lt;270000,5250,IF($AY59&lt;280000,3500,IF($AY59&lt;290000,1750,0))))),IF($AY59&lt;125000,8750,IF($AY59&lt;130000,7000,IF($AY59&lt;135000,5250,IF($AY59&lt;140000,3500,IF($AY59&lt;145000,1750,0)))))))-IF(OR($AU59="Married",AND($AU59="Single",$AS59&gt;=3)),5820,2910))-INDEX('Methodology &amp; Sources'!$B$461:$J$464,0,4))*INDEX('Methodology &amp; Sources'!$B$461:$J$464,0,4+2)),SUMPRODUCT((MAX(0,$AY59-MIN(($P59-'Methodology &amp; Sources'!$C$260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Sources'!$B$461:$J$464,0,1))*(MAX(0,$AY59-MIN(($P59-'Methodology &amp; Sources'!$C$260*$D59)*Inputs!$C$8,IF(OR($AU59="Married",AND($AU59="Single",$AS59&gt;=3)),IF($AY59&lt;250000,8750,IF($AY59&lt;260000,7000,IF($AY59&lt;270000,5250,IF($AY59&lt;280000,3500,IF($AY59&lt;290000,1750,0))))),IF($AY59&lt;125000,8750,IF($AY59&lt;130000,7000,IF($AY59&lt;135000,5250,IF($AY59&lt;140000,3500,IF($AY59&lt;145000,1750,0)))))))-IF(OR($AU59="Married",AND($AU59="Single",$AS59&gt;=3)),5820,2910))-INDEX('Methodology &amp; Sources'!$B$461:$J$464,0,1))*INDEX('Methodology &amp; Sources'!$B$461:$J$464,0,1+2)))+263-263*IF(IF($AU59="Married",$AY59&gt;200000,$AY59&gt;100000),0,$AS59),IF($AN59="PA",0.0307*(($O59+$E59+$G59)*Inputs!$C$8),IF($AN59="NY",IF($AU59="Married",IF($AZ59&gt;=2155350,0,IF($AZ59&gt;=1077550,0.48,IF($AZ59&gt;=373200,1.21,IF($AZ59&gt;=323200,0.21,IF($AZ59&gt;=211550,-0.19,IF($AZ59&gt;=157650,-2.8,IF($AZ59&gt;=107650,-0.8,IF($AZ59&gt;=96800,0.05,IF($AZ59&gt;=80650,-0.1,IF($AZ59&gt;=13900,0.4,IF($AZ59&gt;=11700,-0.3,IF($AZ59&gt;=8500,0.5,0)))))))))))),IF($AZ59&gt;=1077550,0,IF($AZ59&gt;=265400,4.29,IF($AZ59&gt;=215400,2.29,IF($AZ59&gt;=157650,2.29,IF($AZ59&gt;=107650,0.29,IF($AZ59&gt;=96800,0.05,IF($AZ59&gt;=80650,-0.1,IF($AZ59&gt;=13900,0.4,IF($AZ59&gt;=11700,-0.3,IF($AZ59&gt;=8500,0.5,0))))))))))),0))))))))))))))))))</f>
      </c>
      <c r="BC59" s="7">
        <f>IF($B59="","",IF($AN59="AL",0.05*$D59,IF($AN59="AR",0.039*$D59,IF($AN59="ID",0.053*$D59,IF($AN59="IN",(0.0295+Inputs!$C$76)*$D59,IF($AN59="KS",0.05*$D59,IF($AN59="MA",0.09*MIN($D59,MAX(0,MAX(0,$AY59-MIN(($BD58+$Q59+$R59+$S59),2000)-IF($AS59=0,0,IF($AS59=1,4400,1000*$AS59+3400)))+$D59-1107750))+0.05*($D59-MIN($D59,MAX(0,MAX(0,$AY59-MIN(($BD58+$Q59+$R59+$S59),2000)-IF($AS59=0,0,IF($AS59=1,4400,1000*$AS59+3400)))+$D59-1107750))),IF($AN59="MD",(0.065+Inputs!$C$74)*$D59,IF($AN59="MI",0.0425*$D59,IF($AN59="MN",0.0625*$D59,IF($AN59="MO",0.047*$D59,IF($AN59="MT",0.05*$D59,IF($AN59="ND",0.015*$D59,IF($AN59="NE",0.035*$D59,IF($AN59="NJ",IF(Inputs!$C$77="B",SUMPRODUCT(($D59*Inputs!$C$8&gt;INDEX('Methodology &amp; Sources'!$B$405:$J$412,0,4))*($D59*Inputs!$C$8-INDEX('Methodology &amp; Sources'!$B$405:$J$412,0,4))*INDEX('Methodology &amp; Sources'!$B$405:$J$412,0,4+2)),IF(Inputs!$C$77="C",SUMPRODUCT(($D59*Inputs!$C$8&gt;INDEX('Methodology &amp; Sources'!$B$405:$J$412,0,7))*($D59*Inputs!$C$8-INDEX('Methodology &amp; Sources'!$B$405:$J$412,0,7))*INDEX('Methodology &amp; Sources'!$B$405:$J$412,0,7+2)),IF(Inputs!$C$77="D",SUMPRODUCT(($D59*Inputs!$C$8&gt;INDEX('Methodology &amp; Sources'!$B$417:$J$429,0,1))*($D59*Inputs!$C$8-INDEX('Methodology &amp; Sources'!$B$417:$J$429,0,1))*INDEX('Methodology &amp; Sources'!$B$417:$J$429,0,1+2)),IF(Inputs!$C$77="E",SUMPRODUCT(($D59*Inputs!$C$8&gt;INDEX('Methodology &amp; Sources'!$B$417:$J$429,0,4))*($D59*Inputs!$C$8-INDEX('Methodology &amp; Sources'!$B$417:$J$429,0,4))*INDEX('Methodology &amp; Sources'!$B$417:$J$429,0,4+2)),SUMPRODUCT(($D59*Inputs!$C$8&gt;INDEX('Methodology &amp; Sources'!$B$405:$J$412,0,1))*($D59*Inputs!$C$8-INDEX('Methodology &amp; Sources'!$B$405:$J$412,0,1))*INDEX('Methodology &amp; Sources'!$B$405:$J$412,0,1+2))))))/Inputs!$C$8,IF($AN59="NY",0.117*$D59,IF($AN59="OH",0.0275*$D59,IF($AN59="OK",0.045*$D59,IF($AN59="OR",0.08*$D59,IF($AN59="WI",IF($AY59&lt;12760,0.0354,IF($AY59&lt;25520,0.0465,IF($AY59&lt;280950,0.053,0.0765)))*$D59,0))))))))))))))))))))</f>
      </c>
      <c r="BD59" s="7">
        <f>IF($B59="","",$BD58+$Q59+$R59+$S59)</f>
      </c>
      <c r="BE59" s="6">
        <f>IF($B59="",$BE58,$BE58+$BF59)</f>
      </c>
      <c r="BF59" s="6">
        <f>IF($B59="","",IF(AND(IF(YEAR(IF(Inputs!$C$7="Weekly",Inputs!$C$9+7*(($BE58+1)-1),IF(Inputs!$C$7="Biweekly",Inputs!$C$9+14*(($BE58+1)-1),IF(Inputs!$C$7="Semimonthly",DATE(YEAR(Inputs!$C$9),MONTH(Inputs!$C$9)+INT((($BE58+1)-1)/2),MIN(DAY(Inputs!$C$9),DAY(EOMONTH(DATE(YEAR(Inputs!$C$9),MONTH(Inputs!$C$9)+INT((($BE58+1)-1)/2),1),0))))+IF(MOD(($BE58+1)-1,2)=1,15,0),EDATE(Inputs!$C$9,($BE58+1)-1)))))&lt;&gt;2026,"",IF(Inputs!$C$7="Weekly",Inputs!$C$9+7*(($BE58+1)-1),IF(Inputs!$C$7="Biweekly",Inputs!$C$9+14*(($BE58+1)-1),IF(Inputs!$C$7="Semimonthly",DATE(YEAR(Inputs!$C$9),MONTH(Inputs!$C$9)+INT((($BE58+1)-1)/2),MIN(DAY(Inputs!$C$9),DAY(EOMONTH(DATE(YEAR(Inputs!$C$9),MONTH(Inputs!$C$9)+INT((($BE58+1)-1)/2),1),0))))+IF(MOD(($BE58+1)-1,2)=1,15,0),EDATE(Inputs!$C$9,($BE58+1)-1)))))&lt;&gt;"",$B59=IF(YEAR(IF(Inputs!$C$7="Weekly",Inputs!$C$9+7*(($BE58+1)-1),IF(Inputs!$C$7="Biweekly",Inputs!$C$9+14*(($BE58+1)-1),IF(Inputs!$C$7="Semimonthly",DATE(YEAR(Inputs!$C$9),MONTH(Inputs!$C$9)+INT((($BE58+1)-1)/2),MIN(DAY(Inputs!$C$9),DAY(EOMONTH(DATE(YEAR(Inputs!$C$9),MONTH(Inputs!$C$9)+INT((($BE58+1)-1)/2),1),0))))+IF(MOD(($BE58+1)-1,2)=1,15,0),EDATE(Inputs!$C$9,($BE58+1)-1)))))&lt;&gt;2026,"",IF(Inputs!$C$7="Weekly",Inputs!$C$9+7*(($BE58+1)-1),IF(Inputs!$C$7="Biweekly",Inputs!$C$9+14*(($BE58+1)-1),IF(Inputs!$C$7="Semimonthly",DATE(YEAR(Inputs!$C$9),MONTH(Inputs!$C$9)+INT((($BE58+1)-1)/2),MIN(DAY(Inputs!$C$9),DAY(EOMONTH(DATE(YEAR(Inputs!$C$9),MONTH(Inputs!$C$9)+INT((($BE58+1)-1)/2),1),0))))+IF(MOD(($BE58+1)-1,2)=1,15,0),EDATE(Inputs!$C$9,($BE58+1)-1)))))),1,0))</f>
      </c>
      <c r="BG59" s="7">
        <f>IF($B59="","",$BG58+$H59)</f>
      </c>
      <c r="BH59" s="7">
        <f>IF($B59="","",$BH58+$I59)</f>
      </c>
      <c r="BI59" s="7">
        <f>IF($B59="","",$BI58+$G59)</f>
      </c>
      <c r="BJ59" s="7">
        <f>IF($B59="","",IFERROR(LOOKUP(2,1/((((Events!$C$6:$C$17="Deduction start"))*(Events!$D$6:$D$17="Health FSA"))*(Events!$B$6:$B$17&lt;=$B59)*(Events!$B$6:$B$17&lt;&gt;"")),Events!$E$6:$E$17),Inputs!$D$38))</f>
      </c>
      <c r="BK59" s="7">
        <f>IF($B59="","",IFERROR(LOOKUP(2,1/((((Events!$C$6:$C$17="Deduction start"))*(Events!$D$6:$D$17="Dependent-care FSA"))*(Events!$B$6:$B$17&lt;=$B59)*(Events!$B$6:$B$17&lt;&gt;"")),Events!$E$6:$E$17),Inputs!$D$39))</f>
      </c>
      <c r="BL59" s="7">
        <f>IF($B59="","",IFERROR(LOOKUP(2,1/((((Events!$C$6:$C$17="Deduction start")+(Events!$C$6:$C$17="Deduction stop"))*(Events!$D$6:$D$17="HSA"))*(Events!$B$6:$B$17&lt;=$B59)*(Events!$B$6:$B$17&lt;&gt;"")),Events!$I$6:$I$17),Inputs!$D$35))</f>
      </c>
      <c r="BM59" s="7">
        <f>IF($B59="","",IFERROR(LOOKUP(2,1/((((Events!$C$6:$C$17="Deduction start")+(Events!$C$6:$C$17="Deduction stop"))*(Events!$D$6:$D$17="Premiums"))*(Events!$B$6:$B$17&lt;=$B59)*(Events!$B$6:$B$17&lt;&gt;"")),Events!$I$6:$I$17),Inputs!$D$40+Inputs!$D$41+Inputs!$D$42))</f>
      </c>
      <c r="BN59" s="7">
        <f>IF($B59="","",IFERROR(LOOKUP(2,1/((((Events!$C$6:$C$17="Deduction start")+(Events!$C$6:$C$17="Deduction stop"))*(Events!$D$6:$D$17="Commuter"))*(Events!$B$6:$B$17&lt;=$B59)*(Events!$B$6:$B$17&lt;&gt;"")),Events!$I$6:$I$17),Inputs!$D$43))</f>
      </c>
      <c r="BO59" s="7">
        <f>IF($B59="","",IFERROR(LOOKUP(2,1/((((Events!$C$6:$C$17="Deduction start")+(Events!$C$6:$C$17="Deduction stop"))*(Events!$D$6:$D$17="Other pre-tax"))*(Events!$B$6:$B$17&lt;=$B59)*(Events!$B$6:$B$17&lt;&gt;"")),Events!$I$6:$I$17),Inputs!$D$44))</f>
      </c>
      <c r="BP59" s="7">
        <f>IF($B59="","",IFERROR(LOOKUP(2,1/((((Events!$C$6:$C$17="Deduction start")+(Events!$C$6:$C$17="Deduction stop"))*(Events!$D$6:$D$17="Other post-tax"))*(Events!$B$6:$B$17&lt;=$B59)*(Events!$B$6:$B$17&lt;&gt;"")),Events!$I$6:$I$17),Inputs!$D$45))</f>
      </c>
      <c r="BQ59" s="6">
        <f>IF($B59="","",IFERROR(LOOKUP(2,1/((((Events!$C$6:$C$17="Deduction start")+(Events!$C$6:$C$17="Deduction stop"))*(Events!$D$6:$D$17="Health FSA"))*(Events!$B$6:$B$17&lt;=$B59)*(Events!$B$6:$B$17&lt;&gt;"")),Events!$J$6:$J$17),0))</f>
      </c>
      <c r="BR59" s="6">
        <f>IF($B59="","",IFERROR(LOOKUP(2,1/((((Events!$C$6:$C$17="Deduction start")+(Events!$C$6:$C$17="Deduction stop"))*(Events!$D$6:$D$17="Dependent-care FSA"))*(Events!$B$6:$B$17&lt;=$B59)*(Events!$B$6:$B$17&lt;&gt;"")),Events!$J$6:$J$17),0))</f>
      </c>
      <c r="BS59" s="6">
        <f>IF($B59="","",IF(SUMPRODUCT((Events!$C$6:$C$17="Deduction start")*(Events!$B$6:$B$17&lt;=$B59)*(Events!$B$6:$B$17&lt;&gt;"")*(Events!$D$6:$D$17="Health FSA"))&gt;0,1,0))</f>
      </c>
      <c r="BT59" s="6">
        <f>IF($B59="","",IF(SUMPRODUCT((Events!$C$6:$C$17="Deduction start")*(Events!$B$6:$B$17&lt;=$B59)*(Events!$B$6:$B$17&lt;&gt;"")*(Events!$D$6:$D$17="Dependent-care FSA"))&gt;0,1,0))</f>
      </c>
      <c r="BU59" s="24">
        <f>IF($B59="","",IF(Inputs!$C$13,SUMPRODUCT(($AH59&gt;=INDEX('Methodology &amp; Sources'!$B$279:$J$286,0,IF(Inputs!$C$12="MFJ",1,IF(Inputs!$C$12="HoH",7,4))))*INDEX('Methodology &amp; Sources'!$B$279:$J$286,0,IF(Inputs!$C$12="MFJ",1,IF(Inputs!$C$12="HoH",7,4))+2)),SUMPRODUCT(($AH59&gt;=INDEX('Methodology &amp; Sources'!$B$269:$J$276,0,IF(Inputs!$C$12="MFJ",1,IF(Inputs!$C$12="HoH",7,4))))*INDEX('Methodology &amp; Sources'!$B$269:$J$276,0,IF(Inputs!$C$12="MFJ",1,IF(Inputs!$C$12="HoH",7,4))+2))))</f>
      </c>
      <c r="BV59" s="24">
        <f>IF($B59="","",IF($BZ59&lt;&gt;"",$BZ59,IF($CA59&lt;&gt;"",$CA59,IF($CB59&lt;&gt;"",$CB59,IF($CC59&lt;&gt;"",$CC59,0)))))</f>
      </c>
      <c r="BW59" s="7">
        <f>IF($B59="","",IF($AN59="MD",IF(OR($AU59="Married",$AU59="Head of household"),SUMPRODUCT(($AZ59&gt;INDEX('Methodology &amp; Sources'!$B$364:$J$370,0,1))*($AZ59-INDEX('Methodology &amp; Sources'!$B$364:$J$370,0,1))*INDEX('Methodology &amp; Sources'!$B$364:$J$370,0,1+2)),SUMPRODUCT(($AZ59&gt;INDEX('Methodology &amp; Sources'!$B$353:$J$359,0,7))*($AZ59-INDEX('Methodology &amp; Sources'!$B$353:$J$359,0,7))*INDEX('Methodology &amp; Sources'!$B$353:$J$359,0,7+2))),IF($AN59="MO",SUMPRODUCT(($AZ59&gt;INDEX('Methodology &amp; Sources'!$B$375:$J$382,0,1))*($AZ59-INDEX('Methodology &amp; Sources'!$B$375:$J$382,0,1))*INDEX('Methodology &amp; Sources'!$B$375:$J$382,0,1+2)),IF($AN59="MT",IF($AU59="Head of household",SUMPRODUCT(($AZ59&gt;INDEX('Methodology &amp; Sources'!$B$387:$J$389,0,1))*($AZ59-INDEX('Methodology &amp; Sources'!$B$387:$J$389,0,1))*INDEX('Methodology &amp; Sources'!$B$387:$J$389,0,1+2)),IF($AU59="Married",SUMPRODUCT(($AZ59&gt;INDEX('Methodology &amp; Sources'!$B$375:$J$382,0,7))*($AZ59-INDEX('Methodology &amp; Sources'!$B$375:$J$382,0,7))*INDEX('Methodology &amp; Sources'!$B$375:$J$382,0,7+2)),SUMPRODUCT(($AZ59&gt;INDEX('Methodology &amp; Sources'!$B$375:$J$382,0,4))*($AZ59-INDEX('Methodology &amp; Sources'!$B$375:$J$382,0,4))*INDEX('Methodology &amp; Sources'!$B$375:$J$382,0,4+2)))),IF($AN59="ND",IF($AU59="Head of household",SUMPRODUCT(($AZ59&gt;INDEX('Methodology &amp; Sources'!$B$394:$J$400,0,1))*($AZ59-INDEX('Methodology &amp; Sources'!$B$394:$J$400,0,1))*INDEX('Methodology &amp; Sources'!$B$394:$J$400,0,1+2)),IF($AU59="Married",SUMPRODUCT(($AZ59&gt;INDEX('Methodology &amp; Sources'!$B$387:$J$389,0,7))*($AZ59-INDEX('Methodology &amp; Sources'!$B$387:$J$389,0,7))*INDEX('Methodology &amp; Sources'!$B$387:$J$389,0,7+2)),SUMPRODUCT(($AZ59&gt;INDEX('Methodology &amp; Sources'!$B$387:$J$389,0,4))*($AZ59-INDEX('Methodology &amp; Sources'!$B$387:$J$389,0,4))*INDEX('Methodology &amp; Sources'!$B$387:$J$389,0,4+2)))),IF($AN59="NJ",IF(Inputs!$C$77="B",SUMPRODUCT(($AZ59&gt;INDEX('Methodology &amp; Sources'!$B$405:$J$412,0,4))*($AZ59-INDEX('Methodology &amp; Sources'!$B$405:$J$412,0,4))*INDEX('Methodology &amp; Sources'!$B$405:$J$412,0,4+2)),IF(Inputs!$C$77="C",SUMPRODUCT(($AZ59&gt;INDEX('Methodology &amp; Sources'!$B$405:$J$412,0,7))*($AZ59-INDEX('Methodology &amp; Sources'!$B$405:$J$412,0,7))*INDEX('Methodology &amp; Sources'!$B$405:$J$412,0,7+2)),IF(Inputs!$C$77="D",SUMPRODUCT(($AZ59&gt;INDEX('Methodology &amp; Sources'!$B$417:$J$429,0,1))*($AZ59-INDEX('Methodology &amp; Sources'!$B$417:$J$429,0,1))*INDEX('Methodology &amp; Sources'!$B$417:$J$429,0,1+2)),IF(Inputs!$C$77="E",SUMPRODUCT(($AZ59&gt;INDEX('Methodology &amp; Sources'!$B$417:$J$429,0,4))*($AZ59-INDEX('Methodology &amp; Sources'!$B$417:$J$429,0,4))*INDEX('Methodology &amp; Sources'!$B$417:$J$429,0,4+2)),SUMPRODUCT(($AZ59&gt;INDEX('Methodology &amp; Sources'!$B$405:$J$412,0,1))*($AZ59-INDEX('Methodology &amp; Sources'!$B$405:$J$412,0,1))*INDEX('Methodology &amp; Sources'!$B$405:$J$412,0,1+2)))))),IF($AN59="NY",IF($AU59="Married",IF($AZ59&gt;=2155350,$AZ59*IF($AZ59&gt;25000000,0.117,IF($AZ59&gt;5000000,0.111,0.1045)),SUMPRODUCT(($AZ59&gt;INDEX('Methodology &amp; Sources'!$B$434:$J$448,0,1))*($AZ59-INDEX('Methodology &amp; Sources'!$B$434:$J$448,0,1))*INDEX('Methodology &amp; Sources'!$B$434:$J$448,0,1+2))),IF($AZ59&gt;=1077550,$AZ59*IF($AZ59&gt;25000000,0.117,IF($AZ59&gt;5000000,0.111,0.1045)),SUMPRODUCT(($AZ59&gt;INDEX('Methodology &amp; Sources'!$B$417:$J$429,0,7))*($AZ59-INDEX('Methodology &amp; Sources'!$B$417:$J$429,0,7))*INDEX('Methodology &amp; Sources'!$B$417:$J$429,0,7+2)))),"")))))))</f>
      </c>
      <c r="BX59" s="7">
        <f>IF($B59="","",IF($AN59="AL",IF(OR($AU59="Married",$AU59="Head of household"),SUMPRODUCT(($AZ59&gt;INDEX('Methodology &amp; Sources'!$B$332:$J$336,0,4))*($AZ59-INDEX('Methodology &amp; Sources'!$B$332:$J$336,0,4))*INDEX('Methodology &amp; Sources'!$B$332:$J$336,0,4+2)),SUMPRODUCT(($AZ59&gt;INDEX('Methodology &amp; Sources'!$B$332:$J$336,0,1))*($AZ59-INDEX('Methodology &amp; Sources'!$B$332:$J$336,0,1))*INDEX('Methodology &amp; Sources'!$B$332:$J$336,0,1+2))),IF($AN59="KS",IF($AU59="Married",SUMPRODUCT(($AZ59&gt;INDEX('Methodology &amp; Sources'!$B$353:$J$359,0,4))*($AZ59-INDEX('Methodology &amp; Sources'!$B$353:$J$359,0,4))*INDEX('Methodology &amp; Sources'!$B$353:$J$359,0,4+2)),SUMPRODUCT(($AZ59&gt;INDEX('Methodology &amp; Sources'!$B$353:$J$359,0,1))*($AZ59-INDEX('Methodology &amp; Sources'!$B$353:$J$359,0,1))*INDEX('Methodology &amp; Sources'!$B$353:$J$359,0,1+2))),IF($AN59="MN",IF($AU59="Married",SUMPRODUCT(($AZ59&gt;INDEX('Methodology &amp; Sources'!$B$364:$J$370,0,7))*($AZ59-INDEX('Methodology &amp; Sources'!$B$364:$J$370,0,7))*INDEX('Methodology &amp; Sources'!$B$364:$J$370,0,7+2)),SUMPRODUCT(($AZ59&gt;INDEX('Methodology &amp; Sources'!$B$364:$J$370,0,4))*($AZ59-INDEX('Methodology &amp; Sources'!$B$364:$J$370,0,4))*INDEX('Methodology &amp; Sources'!$B$364:$J$370,0,4+2))),IF($AN59="NE",MAX(IF($AU59="Married",SUMPRODUCT(($AZ59&gt;INDEX('Methodology &amp; Sources'!$B$394:$J$400,0,7))*($AZ59-INDEX('Methodology &amp; Sources'!$B$394:$J$400,0,7))*INDEX('Methodology &amp; Sources'!$B$394:$J$400,0,7+2)),SUMPRODUCT(($AZ59&gt;INDEX('Methodology &amp; Sources'!$B$394:$J$400,0,4))*($AZ59-INDEX('Methodology &amp; Sources'!$B$394:$J$400,0,4))*INDEX('Methodology &amp; Sources'!$B$394:$J$400,0,4+2))),0.015*$AZ59),IF($AN59="OH",IF($B59&gt;=DATE(2026,8,1),SUMPRODUCT(($AZ59&gt;INDEX('Methodology &amp; Sources'!$B$453:$J$456,0,1))*($AZ59-INDEX('Methodology &amp; Sources'!$B$453:$J$456,0,1))*INDEX('Methodology &amp; Sources'!$B$453:$J$456,0,1+2)),SUMPRODUCT(($AZ59&gt;INDEX('Methodology &amp; Sources'!$B$434:$J$448,0,7))*($AZ59-INDEX('Methodology &amp; Sources'!$B$434:$J$448,0,7))*INDEX('Methodology &amp; Sources'!$B$434:$J$448,0,7+2))),IF($AN59="OK",IF($AU59="Married",SUMPRODUCT(($AZ59&gt;INDEX('Methodology &amp; Sources'!$B$453:$J$456,0,7))*($AZ59-INDEX('Methodology &amp; Sources'!$B$453:$J$456,0,7))*INDEX('Methodology &amp; Sources'!$B$453:$J$456,0,7+2)),SUMPRODUCT(($AZ59&gt;INDEX('Methodology &amp; Sources'!$B$453:$J$456,0,4))*($AZ59-INDEX('Methodology &amp; Sources'!$B$453:$J$456,0,4))*INDEX('Methodology &amp; Sources'!$B$453:$J$456,0,4+2))),IF($AN59="RI",SUMPRODUCT(($AZ59&gt;INDEX('Methodology &amp; Sources'!$B$461:$J$464,0,7))*($AZ59-INDEX('Methodology &amp; Sources'!$B$461:$J$464,0,7))*INDEX('Methodology &amp; Sources'!$B$461:$J$464,0,7+2)),IF($AN59="VT",IF($AU59="Married",SUMPRODUCT(($AZ59&gt;INDEX('Methodology &amp; Sources'!$B$478:$J$482,0,1))*($AZ59-INDEX('Methodology &amp; Sources'!$B$478:$J$482,0,1))*INDEX('Methodology &amp; Sources'!$B$478:$J$482,0,1+2)),SUMPRODUCT(($AZ59&gt;INDEX('Methodology &amp; Sources'!$B$469:$J$473,0,7))*($AZ59-INDEX('Methodology &amp; Sources'!$B$469:$J$473,0,7))*INDEX('Methodology &amp; Sources'!$B$469:$J$473,0,7+2))),IF($AN59="WV",IF($AU59="Married",SUMPRODUCT(($AZ59&gt;INDEX('Methodology &amp; Sources'!$B$487:$J$491,0,7))*($AZ59-INDEX('Methodology &amp; Sources'!$B$487:$J$491,0,7))*INDEX('Methodology &amp; Sources'!$B$487:$J$491,0,7+2)),SUMPRODUCT(($AZ59&gt;INDEX('Methodology &amp; Sources'!$B$478:$J$482,0,7))*($AZ59-INDEX('Methodology &amp; Sources'!$B$478:$J$482,0,7))*INDEX('Methodology &amp; Sources'!$B$478:$J$482,0,7+2))),""))))))))))</f>
      </c>
      <c r="BY59" s="7">
        <f>IF($B59="","",IF($AN59="AR",SUMPRODUCT(($AZ59&gt;INDEX('Methodology &amp; Sources'!$B$332:$J$336,0,7))*($AZ59-INDEX('Methodology &amp; Sources'!$B$332:$J$336,0,7))*INDEX('Methodology &amp; Sources'!$B$332:$J$336,0,7+2)),IF($AN59="DE",SUMPRODUCT(($AZ59&gt;INDEX('Methodology &amp; Sources'!$B$341:$J$348,0,1))*($AZ59-INDEX('Methodology &amp; Sources'!$B$341:$J$348,0,1))*INDEX('Methodology &amp; Sources'!$B$341:$J$348,0,1+2)),IF($AN59="HI",IF($AU59="Married",SUMPRODUCT(($AZ59&gt;INDEX('Methodology &amp; Sources'!$B$341:$J$348,0,7))*($AZ59-INDEX('Methodology &amp; Sources'!$B$341:$J$348,0,7))*INDEX('Methodology &amp; Sources'!$B$341:$J$348,0,7+2)),SUMPRODUCT(($AZ59&gt;INDEX('Methodology &amp; Sources'!$B$341:$J$348,0,4))*($AZ59-INDEX('Methodology &amp; Sources'!$B$341:$J$348,0,4))*INDEX('Methodology &amp; Sources'!$B$341:$J$348,0,4+2))),IF($AN59="SC",SUMPRODUCT(($AZ59&gt;INDEX('Methodology &amp; Sources'!$B$469:$J$473,0,1))*($AZ59-INDEX('Methodology &amp; Sources'!$B$469:$J$473,0,1))*INDEX('Methodology &amp; Sources'!$B$469:$J$473,0,1+2)),IF($AN59="VA",SUMPRODUCT(($AZ59&gt;INDEX('Methodology &amp; Sources'!$B$469:$J$473,0,4))*($AZ59-INDEX('Methodology &amp; Sources'!$B$469:$J$473,0,4))*INDEX('Methodology &amp; Sources'!$B$469:$J$473,0,4+2)),IF($AN59="WI",SUMPRODUCT(($AZ59&gt;INDEX('Methodology &amp; Sources'!$B$478:$J$482,0,4))*($AZ59-INDEX('Methodology &amp; Sources'!$B$478:$J$482,0,4))*INDEX('Methodology &amp; Sources'!$B$478:$J$482,0,4+2)),"")))))))</f>
      </c>
      <c r="BZ59" s="24">
        <f>IF($B59="","",IF($AN59="NJ",IF(Inputs!$C$77="B",SUMPRODUCT(($AZ59&gt;=INDEX('Methodology &amp; Sources'!$B$405:$J$412,0,4))*INDEX('Methodology &amp; Sources'!$B$405:$J$412,0,4+2)),IF(Inputs!$C$77="C",SUMPRODUCT(($AZ59&gt;=INDEX('Methodology &amp; Sources'!$B$405:$J$412,0,7))*INDEX('Methodology &amp; Sources'!$B$405:$J$412,0,7+2)),IF(Inputs!$C$77="D",SUMPRODUCT(($AZ59&gt;=INDEX('Methodology &amp; Sources'!$B$417:$J$429,0,1))*INDEX('Methodology &amp; Sources'!$B$417:$J$429,0,1+2)),IF(Inputs!$C$77="E",SUMPRODUCT(($AZ59&gt;=INDEX('Methodology &amp; Sources'!$B$417:$J$429,0,4))*INDEX('Methodology &amp; Sources'!$B$417:$J$429,0,4+2)),SUMPRODUCT(($AZ59&gt;=INDEX('Methodology &amp; Sources'!$B$405:$J$412,0,1))*INDEX('Methodology &amp; Sources'!$B$405:$J$412,0,1+2)))))),IF($AN59="OR",IF(OR($AU59="Married",AND($AU59="Single",$AS59&gt;=3)),SUMPRODUCT((MAX(0,$AY59-MIN(($P59-'Methodology &amp; Sources'!$C$260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Sources'!$B$461:$J$464,0,4))*INDEX('Methodology &amp; Sources'!$B$461:$J$464,0,4+2)),SUMPRODUCT((MAX(0,$AY59-MIN(($P59-'Methodology &amp; Sources'!$C$260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Sources'!$B$461:$J$464,0,1))*INDEX('Methodology &amp; Sources'!$B$461:$J$464,0,1+2)))*IF(($P59-'Methodology &amp; Sources'!$C$260*$D59)*Inputs!$C$8&gt;=IF(OR($AU59="Married",AND($AU59="Single",$AS59&gt;=3)),IF($AY59&lt;250000,8750,IF($AY59&lt;260000,7000,IF($AY59&lt;270000,5250,IF($AY59&lt;280000,3500,IF($AY59&lt;290000,1750,0))))),IF($AY59&lt;125000,8750,IF($AY59&lt;130000,7000,IF($AY59&lt;135000,5250,IF($AY59&lt;140000,3500,IF($AY59&lt;145000,1750,0)))))),1,1-IF(Inputs!$C$13,SUMPRODUCT(($AH59&gt;=INDEX('Methodology &amp; Sources'!$B$279:$J$286,0,IF(Inputs!$C$12="MFJ",1,IF(Inputs!$C$12="HoH",7,4))))*INDEX('Methodology &amp; Sources'!$B$279:$J$286,0,IF(Inputs!$C$12="MFJ",1,IF(Inputs!$C$12="HoH",7,4))+2)),SUMPRODUCT(($AH59&gt;=INDEX('Methodology &amp; Sources'!$B$269:$J$276,0,IF(Inputs!$C$12="MFJ",1,IF(Inputs!$C$12="HoH",7,4))))*INDEX('Methodology &amp; Sources'!$B$269:$J$276,0,IF(Inputs!$C$12="MFJ",1,IF(Inputs!$C$12="HoH",7,4))+2)))),IF($AN59="MI",IF($AY59&gt;5900*$AS59,0.0425,0),""))))</f>
      </c>
      <c r="CA59" s="24">
        <f>IF($B59="","",IF($AN59="AL",IF(OR($AU59="Married",$AU59="Head of household"),SUMPRODUCT(($AZ59&gt;=INDEX('Methodology &amp; Sources'!$B$332:$J$336,0,4))*INDEX('Methodology &amp; Sources'!$B$332:$J$336,0,4+2)),SUMPRODUCT(($AZ59&gt;=INDEX('Methodology &amp; Sources'!$B$332:$J$336,0,1))*INDEX('Methodology &amp; Sources'!$B$332:$J$336,0,1+2)))*(1-IF(Inputs!$C$13,SUMPRODUCT(($AH59&gt;=INDEX('Methodology &amp; Sources'!$B$279:$J$286,0,IF(Inputs!$C$12="MFJ",1,IF(Inputs!$C$12="HoH",7,4))))*INDEX('Methodology &amp; Sources'!$B$279:$J$286,0,IF(Inputs!$C$12="MFJ",1,IF(Inputs!$C$12="HoH",7,4))+2)),SUMPRODUCT(($AH59&gt;=INDEX('Methodology &amp; Sources'!$B$269:$J$276,0,IF(Inputs!$C$12="MFJ",1,IF(Inputs!$C$12="HoH",7,4))))*INDEX('Methodology &amp; Sources'!$B$269:$J$276,0,IF(Inputs!$C$12="MFJ",1,IF(Inputs!$C$12="HoH",7,4))+2)))),IF($AN59="KS",IF($AU59="Married",SUMPRODUCT(($AZ59&gt;=INDEX('Methodology &amp; Sources'!$B$353:$J$359,0,4))*INDEX('Methodology &amp; Sources'!$B$353:$J$359,0,4+2)),SUMPRODUCT(($AZ59&gt;=INDEX('Methodology &amp; Sources'!$B$353:$J$359,0,1))*INDEX('Methodology &amp; Sources'!$B$353:$J$359,0,1+2))),IF($AN59="MD",IF(OR($AU59="Married",$AU59="Head of household"),SUMPRODUCT(($AZ59&gt;=INDEX('Methodology &amp; Sources'!$B$364:$J$370,0,1))*INDEX('Methodology &amp; Sources'!$B$364:$J$370,0,1+2)),SUMPRODUCT(($AZ59&gt;=INDEX('Methodology &amp; Sources'!$B$353:$J$359,0,7))*INDEX('Methodology &amp; Sources'!$B$353:$J$359,0,7+2)))+Inputs!$C$74,IF($AN59="MT",IF($AU59="Head of household",SUMPRODUCT(($AZ59&gt;=INDEX('Methodology &amp; Sources'!$B$387:$J$389,0,1))*INDEX('Methodology &amp; Sources'!$B$387:$J$389,0,1+2)),IF($AU59="Married",SUMPRODUCT(($AZ59&gt;=INDEX('Methodology &amp; Sources'!$B$375:$J$382,0,7))*INDEX('Methodology &amp; Sources'!$B$375:$J$382,0,7+2)),SUMPRODUCT(($AZ59&gt;=INDEX('Methodology &amp; Sources'!$B$375:$J$382,0,4))*INDEX('Methodology &amp; Sources'!$B$375:$J$382,0,4+2)))),IF($AN59="ND",IF($AU59="Head of household",SUMPRODUCT(($AZ59&gt;=INDEX('Methodology &amp; Sources'!$B$394:$J$400,0,1))*INDEX('Methodology &amp; Sources'!$B$394:$J$400,0,1+2)),IF($AU59="Married",SUMPRODUCT(($AZ59&gt;=INDEX('Methodology &amp; Sources'!$B$387:$J$389,0,7))*INDEX('Methodology &amp; Sources'!$B$387:$J$389,0,7+2)),SUMPRODUCT(($AZ59&gt;=INDEX('Methodology &amp; Sources'!$B$387:$J$389,0,4))*INDEX('Methodology &amp; Sources'!$B$387:$J$389,0,4+2)))),IF($AN59="NY",IF($AU59="Married",IF($AZ59&gt;=2155350,IF($AZ59&gt;25000000,0.117,IF($AZ59&gt;5000000,0.111,0.1045)),SUMPRODUCT(($AZ59&gt;=INDEX('Methodology &amp; Sources'!$B$434:$J$448,0,1))*INDEX('Methodology &amp; Sources'!$B$434:$J$448,0,1+2))),IF($AZ59&gt;=1077550,IF($AZ59&gt;25000000,0.117,IF($AZ59&gt;5000000,0.111,0.1045)),SUMPRODUCT(($AZ59&gt;=INDEX('Methodology &amp; Sources'!$B$417:$J$429,0,7))*INDEX('Methodology &amp; Sources'!$B$417:$J$429,0,7+2)))),"")))))))</f>
      </c>
      <c r="CB59" s="24">
        <f>IF($B59="","",IF($AN59="CA",SUMPRODUCT(($AJ59&gt;=INDEX('Methodology &amp; Sources'!$B$289:$J$298,0,IF($AU59="Married",4,IF($AU59="Head of household",7,1))))*INDEX('Methodology &amp; Sources'!$B$289:$J$298,0,IF($AU59="Married",4,IF($AU59="Head of household",7,1))+2)),IF($AN59="HI",IF($AU59="Married",SUMPRODUCT(($AZ59&gt;=INDEX('Methodology &amp; Sources'!$B$341:$J$348,0,7))*INDEX('Methodology &amp; Sources'!$B$341:$J$348,0,7+2)),SUMPRODUCT(($AZ59&gt;=INDEX('Methodology &amp; Sources'!$B$341:$J$348,0,4))*INDEX('Methodology &amp; Sources'!$B$341:$J$348,0,4+2))),IF($AN59="MN",IF($AU59="Married",SUMPRODUCT(($AZ59&gt;=INDEX('Methodology &amp; Sources'!$B$364:$J$370,0,7))*INDEX('Methodology &amp; Sources'!$B$364:$J$370,0,7+2)),SUMPRODUCT(($AZ59&gt;=INDEX('Methodology &amp; Sources'!$B$364:$J$370,0,4))*INDEX('Methodology &amp; Sources'!$B$364:$J$370,0,4+2))),IF($AN59="MO",SUMPRODUCT(($AZ59&gt;=INDEX('Methodology &amp; Sources'!$B$375:$J$382,0,1))*INDEX('Methodology &amp; Sources'!$B$375:$J$382,0,1+2)),IF($AN59="NE",MAX(IF($AU59="Married",SUMPRODUCT(($AZ59&gt;=INDEX('Methodology &amp; Sources'!$B$394:$J$400,0,7))*INDEX('Methodology &amp; Sources'!$B$394:$J$400,0,7+2)),SUMPRODUCT(($AZ59&gt;=INDEX('Methodology &amp; Sources'!$B$394:$J$400,0,4))*INDEX('Methodology &amp; Sources'!$B$394:$J$400,0,4+2))),0.015),IF($AN59="OH",IF($B59&gt;=DATE(2026,8,1),SUMPRODUCT(($AZ59&gt;=INDEX('Methodology &amp; Sources'!$B$453:$J$456,0,1))*INDEX('Methodology &amp; Sources'!$B$453:$J$456,0,1+2)),SUMPRODUCT(($AZ59&gt;=INDEX('Methodology &amp; Sources'!$B$434:$J$448,0,7))*INDEX('Methodology &amp; Sources'!$B$434:$J$448,0,7+2))),IF($AN59="OK",IF($AU59="Married",SUMPRODUCT(($AZ59&gt;=INDEX('Methodology &amp; Sources'!$B$453:$J$456,0,7))*INDEX('Methodology &amp; Sources'!$B$453:$J$456,0,7+2)),SUMPRODUCT(($AZ59&gt;=INDEX('Methodology &amp; Sources'!$B$453:$J$456,0,4))*INDEX('Methodology &amp; Sources'!$B$453:$J$456,0,4+2))),IF($AN59="RI",SUMPRODUCT(($AZ59&gt;=INDEX('Methodology &amp; Sources'!$B$461:$J$464,0,7))*INDEX('Methodology &amp; Sources'!$B$461:$J$464,0,7+2)),IF($AN59="SC",SUMPRODUCT(($AZ59&gt;=INDEX('Methodology &amp; Sources'!$B$469:$J$473,0,1))*INDEX('Methodology &amp; Sources'!$B$469:$J$473,0,1+2)),IF($AN59="VT",IF($AU59="Married",SUMPRODUCT(($AZ59&gt;=INDEX('Methodology &amp; Sources'!$B$478:$J$482,0,1))*INDEX('Methodology &amp; Sources'!$B$478:$J$482,0,1+2)),SUMPRODUCT(($AZ59&gt;=INDEX('Methodology &amp; Sources'!$B$469:$J$473,0,7))*INDEX('Methodology &amp; Sources'!$B$469:$J$473,0,7+2))),IF($AN59="WV",IF($AU59="Married",SUMPRODUCT(($AZ59&gt;=INDEX('Methodology &amp; Sources'!$B$487:$J$491,0,7))*INDEX('Methodology &amp; Sources'!$B$487:$J$491,0,7+2)),SUMPRODUCT(($AZ59&gt;=INDEX('Methodology &amp; Sources'!$B$478:$J$482,0,7))*INDEX('Methodology &amp; Sources'!$B$478:$J$482,0,7+2))),IF($AN59="IN",(0.0295+Inputs!$C$76),"")))))))))))))</f>
      </c>
      <c r="CC59" s="24">
        <f>IF($B59="","",IF($AN59="AR",SUMPRODUCT(($AZ59&gt;=INDEX('Methodology &amp; Sources'!$B$332:$J$336,0,7))*INDEX('Methodology &amp; Sources'!$B$332:$J$336,0,7+2)),IF($AN59="DE",SUMPRODUCT(($AZ59&gt;=INDEX('Methodology &amp; Sources'!$B$341:$J$348,0,1))*INDEX('Methodology &amp; Sources'!$B$341:$J$348,0,1+2)),IF($AN59="VA",SUMPRODUCT(($AZ59&gt;=INDEX('Methodology &amp; Sources'!$B$469:$J$473,0,4))*INDEX('Methodology &amp; Sources'!$B$469:$J$473,0,4+2)),IF($AN59="WI",SUMPRODUCT(($AZ59&gt;=INDEX('Methodology &amp; Sources'!$B$478:$J$482,0,4))*INDEX('Methodology &amp; Sources'!$B$478:$J$482,0,4+2)),IF($AN59="AZ",Inputs!$C$82,IF($AN59="CO",IF($AY59&gt;IF($AU59="Married",10000,5000),0.044,0),IF($AN59="IA",IF($AY59&gt;IF($AU59="Head of household",19500,IF($AU59="Married",26000,13000)),0.038,0),IF($AN59="ID",IF($AY59&gt;IF($AU59="Married",32000,16094),0.053,0),IF($AN59="IL",IF($AY59&gt;(2925*$AS59+1000*$AT59),0.0495,0),IF($AN59="KY",IF($AI59&gt;3360,0.035,0),IF($AN59="LA",0.0309,IF($AN59="MA",IF(MAX(0,$AY59-MIN(($BD58+$Q59+$R59+$S59),2000)-IF($AS59=0,0,IF($AS59=1,4400,1000*$AS59+3400)))&gt;=1107750,0.09,0.05),IF($AN59="MS",IF($AI59-IF($AU59="Head of household",3400,IF($AU59="Married",4600,2300))-Inputs!$C$85&gt;10000,0.04,0),IF($AN59="PA",0.0307,"")))))))))))))))</f>
      </c>
      <c r="CD59" s="21">
        <f>IF(YEAR(IF(Inputs!$C$7="Weekly",Inputs!$C$9+7*(($BE58+1)-1),IF(Inputs!$C$7="Biweekly",Inputs!$C$9+14*(($BE58+1)-1),IF(Inputs!$C$7="Semimonthly",DATE(YEAR(Inputs!$C$9),MONTH(Inputs!$C$9)+INT((($BE58+1)-1)/2),MIN(DAY(Inputs!$C$9),DAY(EOMONTH(DATE(YEAR(Inputs!$C$9),MONTH(Inputs!$C$9)+INT((($BE58+1)-1)/2),1),0))))+IF(MOD(($BE58+1)-1,2)=1,15,0),EDATE(Inputs!$C$9,($BE58+1)-1)))))&lt;&gt;2026,"",IF(Inputs!$C$7="Weekly",Inputs!$C$9+7*(($BE58+1)-1),IF(Inputs!$C$7="Biweekly",Inputs!$C$9+14*(($BE58+1)-1),IF(Inputs!$C$7="Semimonthly",DATE(YEAR(Inputs!$C$9),MONTH(Inputs!$C$9)+INT((($BE58+1)-1)/2),MIN(DAY(Inputs!$C$9),DAY(EOMONTH(DATE(YEAR(Inputs!$C$9),MONTH(Inputs!$C$9)+INT((($BE58+1)-1)/2),1),0))))+IF(MOD(($BE58+1)-1,2)=1,15,0),EDATE(Inputs!$C$9,($BE58+1)-1)))))</f>
      </c>
      <c r="CE59" s="21">
        <f>IF(SUMPRODUCT(MIN(IF((Inputs!$C$58:$C$67&gt;MAX($B$6:$B58))*(Inputs!$C$58:$C$67&gt;=DATE(2026,1,1))*(Inputs!$C$58:$C$67&lt;=DATE(2026,12,31)),Inputs!$C$58:$C$67,999999)))=999999,"",SUMPRODUCT(MIN(IF((Inputs!$C$58:$C$67&gt;MAX($B$6:$B58))*(Inputs!$C$58:$C$67&gt;=DATE(2026,1,1))*(Inputs!$C$58:$C$67&lt;=DATE(2026,12,31)),Inputs!$C$58:$C$67,999999))))</f>
      </c>
    </row>
    <row r="60">
      <c r="A60" t="n">
        <v>55</v>
      </c>
      <c r="B60" s="21">
        <f>IF(AND($CD60="",$CE60=""),"",IF($CE60="",$CD60,IF($CD60="",$CE60,MIN($CD60,$CE60))))</f>
      </c>
      <c r="C60" s="7">
        <f>IF($B60="","",IF($BF60=0,0,IF(Inputs!$C$4="Annual salary",ROUND($AK60/IF(AND(Inputs!$C$88="Actual paydays",MONTH(Inputs!$C$9)=1),MAX(1,MAX($BE$6:$BE$68)),Inputs!$C$8),2),$AK60)))</f>
      </c>
      <c r="D60" s="7">
        <f>IF($B60="","",SUMIF(Inputs!$C$58:$C$67,$B60,Inputs!$D$58:$D$67))</f>
      </c>
      <c r="E60" s="7">
        <f>IF($B60="","",ROUND(MAX(0,MIN(IF($AL60="Percent",$AM60*($C60+$D60),$AM60),MAX(0,Inputs!$C$91-$AC59))),2))</f>
      </c>
      <c r="F60" s="7">
        <f>IF($B60="","",ROUND(MAX(0,MIN(IF(Inputs!$C$32="Percent",Inputs!$D$32*($C60+$D60),Inputs!$D$32),MAX(0,Inputs!$C$91-$AC59-$E60))),2))</f>
      </c>
      <c r="G60" s="7">
        <f>IF($B60="","",IF($BF60=0,0,ROUND(MAX(0,MIN($BL60,Inputs!$C$92-Inputs!$C$54-$BI59)),2)))</f>
      </c>
      <c r="H60" s="7">
        <f>IF($B60="","",IF(OR($BF60=0,$BQ60=1),0,ROUND(MAX(0,MIN(IF($BS60=1,ROUND(MAX(0,MIN($BJ60,'Methodology &amp; Sources'!$C$263)-$BG59)/MAX(1,MAX($BE$6:$BE$68)-($BE59)),2),ROUND(MIN($BJ60,'Methodology &amp; Sources'!$C$263)/Inputs!$C$8,2)),MIN($BJ60,'Methodology &amp; Sources'!$C$263)-$BG59)),2)))</f>
      </c>
      <c r="I60" s="7">
        <f>IF($B60="","",IF(OR($BF60=0,$BR60=1),0,ROUND(MAX(0,MIN(IF($BT60=1,ROUND(MAX(0,MIN($BK60,IF(Inputs!$C$12="MFJ",'Methodology &amp; Sources'!$C$264,'Methodology &amp; Sources'!$C$265))-$BH59)/MAX(1,MAX($BE$6:$BE$68)-($BE59)),2),ROUND(MIN($BK60,IF(Inputs!$C$12="MFJ",'Methodology &amp; Sources'!$C$264,'Methodology &amp; Sources'!$C$265))/Inputs!$C$8,2)),MIN($BK60,IF(Inputs!$C$12="MFJ",'Methodology &amp; Sources'!$C$264,'Methodology &amp; Sources'!$C$265))-$BH59)),2)))</f>
      </c>
      <c r="J60" s="7">
        <f>IF($B60="","",IF($BF60=0,0,$BM60))</f>
      </c>
      <c r="K60" s="7">
        <f>IF($B60="","",IF($BF60=0,0,$BN60+$BO60))</f>
      </c>
      <c r="L60" s="7">
        <f>IF($B60="","",IF($BF60=0,0,Inputs!$D$46))</f>
      </c>
      <c r="M60" s="7">
        <f>IF($B60="","",$C60+$D60+$L60-$E60-$G60-$H60-$I60-$J60-$K60)</f>
      </c>
      <c r="N60" s="7">
        <f>IF($B60="","",$C60+$D60+$L60-$G60-$H60-$I60-$J60-$K60)</f>
      </c>
      <c r="O60" s="7">
        <f>IF($B60="","",$C60+$D60+$L60-$E60-$H60-$I60-$J60-$K60-IF(OR($AN60="CA",$AN60="NJ"),0,$G60))</f>
      </c>
      <c r="P60" s="7">
        <f>IF($B60="","",IF(Inputs!$C$18,0,ROUND(MAX(0,IF(Inputs!$C$13,SUMPRODUCT(($AH60&gt;INDEX('Methodology &amp; Sources'!$B$279:$J$286,0,IF(Inputs!$C$12="MFJ",1,IF(Inputs!$C$12="HoH",7,4))))*($AH60-INDEX('Methodology &amp; Sources'!$B$279:$J$286,0,IF(Inputs!$C$12="MFJ",1,IF(Inputs!$C$12="HoH",7,4))))*INDEX('Methodology &amp; Sources'!$B$279:$J$286,0,IF(Inputs!$C$12="MFJ",1,IF(Inputs!$C$12="HoH",7,4))+2)),SUMPRODUCT(($AH60&gt;INDEX('Methodology &amp; Sources'!$B$269:$J$276,0,IF(Inputs!$C$12="MFJ",1,IF(Inputs!$C$12="HoH",7,4))))*($AH60-INDEX('Methodology &amp; Sources'!$B$269:$J$276,0,IF(Inputs!$C$12="MFJ",1,IF(Inputs!$C$12="HoH",7,4))))*INDEX('Methodology &amp; Sources'!$B$269:$J$276,0,IF(Inputs!$C$12="MFJ",1,IF(Inputs!$C$12="HoH",7,4))+2)))/Inputs!$C$8-$AO60/Inputs!$C$8)+$AR60+IF(Inputs!$C$89="Aggregate",MAX(0,IF(Inputs!$C$13,SUMPRODUCT((($AH60+$D60)&gt;INDEX('Methodology &amp; Sources'!$B$279:$J$286,0,IF(Inputs!$C$12="MFJ",1,IF(Inputs!$C$12="HoH",7,4))))*(($AH60+$D60)-INDEX('Methodology &amp; Sources'!$B$279:$J$286,0,IF(Inputs!$C$12="MFJ",1,IF(Inputs!$C$12="HoH",7,4))))*INDEX('Methodology &amp; Sources'!$B$279:$J$286,0,IF(Inputs!$C$12="MFJ",1,IF(Inputs!$C$12="HoH",7,4))+2)),SUMPRODUCT((($AH60+$D60)&gt;INDEX('Methodology &amp; Sources'!$B$269:$J$276,0,IF(Inputs!$C$12="MFJ",1,IF(Inputs!$C$12="HoH",7,4))))*(($AH60+$D60)-INDEX('Methodology &amp; Sources'!$B$269:$J$276,0,IF(Inputs!$C$12="MFJ",1,IF(Inputs!$C$12="HoH",7,4))))*INDEX('Methodology &amp; Sources'!$B$269:$J$276,0,IF(Inputs!$C$12="MFJ",1,IF(Inputs!$C$12="HoH",7,4))+2)))-IF(Inputs!$C$13,SUMPRODUCT(($AH60&gt;INDEX('Methodology &amp; Sources'!$B$279:$J$286,0,IF(Inputs!$C$12="MFJ",1,IF(Inputs!$C$12="HoH",7,4))))*($AH60-INDEX('Methodology &amp; Sources'!$B$279:$J$286,0,IF(Inputs!$C$12="MFJ",1,IF(Inputs!$C$12="HoH",7,4))))*INDEX('Methodology &amp; Sources'!$B$279:$J$286,0,IF(Inputs!$C$12="MFJ",1,IF(Inputs!$C$12="HoH",7,4))+2)),SUMPRODUCT(($AH60&gt;INDEX('Methodology &amp; Sources'!$B$269:$J$276,0,IF(Inputs!$C$12="MFJ",1,IF(Inputs!$C$12="HoH",7,4))))*($AH60-INDEX('Methodology &amp; Sources'!$B$269:$J$276,0,IF(Inputs!$C$12="MFJ",1,IF(Inputs!$C$12="HoH",7,4))))*INDEX('Methodology &amp; Sources'!$B$269:$J$276,0,IF(Inputs!$C$12="MFJ",1,IF(Inputs!$C$12="HoH",7,4))+2)))),'Methodology &amp; Sources'!$C$260*$D60),2)))</f>
      </c>
      <c r="Q60" s="7">
        <f>IF($B60="","",ROUND('Methodology &amp; Sources'!$C$254*MIN($N60,MAX(0,'Methodology &amp; Sources'!$C$253-($AX60+$AB59-$AW60))),2))</f>
      </c>
      <c r="R60" s="7">
        <f>IF($B60="","",ROUND('Methodology &amp; Sources'!$C$255*$N60,2))</f>
      </c>
      <c r="S60" s="7">
        <f>IF($B60="","",ROUND('Methodology &amp; Sources'!$C$256*MAX(0,MIN($N60,$AG59+$N60-'Methodology &amp; Sources'!$C$257)),2))</f>
      </c>
      <c r="T60" s="7">
        <f>IF($B60="","",IF(Inputs!$C$26,0,IF($AN60="CA",ROUND(IF($AI60&lt;=IF(($AS60+$AT60)&gt;=2,VLOOKUP($AN60,'StateTables 2026'!$A$6:$AB$56,10,FALSE),VLOOKUP($AN60,'StateTables 2026'!$A$6:$AB$56,9,FALSE)),0,MAX(0,SUMPRODUCT(($AJ60&gt;INDEX('Methodology &amp; Sources'!$B$289:$J$298,0,IF($AU60="Married",4,IF($AU60="Head of household",7,1))))*($AJ60-INDEX('Methodology &amp; Sources'!$B$289:$J$298,0,IF($AU60="Married",4,IF($AU60="Head of household",7,1))))*INDEX('Methodology &amp; Sources'!$B$289:$J$298,0,IF($AU60="Married",4,IF($AU60="Head of household",7,1))+2))-VLOOKUP($AN60,'StateTables 2026'!$A$6:$AB$56,11,FALSE)*$AS60)/Inputs!$C$8)+Inputs!$C$25+VLOOKUP($AN60,'StateTables 2026'!$A$6:$AB$56,13,FALSE)*$D60,2),IF(VLOOKUP($AN60,'StateTables 2026'!$A$6:$AB$56,4,FALSE)="None",0,IF(ISNUMBER(SEARCH("MANUAL",VLOOKUP($AN60,'StateTables 2026'!$A$6:$AB$56,5,FALSE))),Inputs!$C$28,ROUND(MAX(0,$BA60+$BB60)/Inputs!$C$8+Inputs!$C$25+$BC60,2))))))</f>
      </c>
      <c r="U60" s="7">
        <f>IF($B60="","",IF(VLOOKUP($AN60,'StateTables 2026'!$A$6:$AB$56,24,FALSE)="flatq",IF(OR(MONTH($B60)=1,MONTH($B60)=4,MONTH($B60)=7,MONTH($B60)=10),VLOOKUP($AN60,'StateTables 2026'!$A$6:$AB$56,25,FALSE),0),IF(VLOOKUP($AN60,'StateTables 2026'!$A$6:$AB$56,24,FALSE)="dbl",MIN(ROUND(0.005*$N60,2),ROUND(0.6*52/Inputs!$C$8,2)),IF(OR(VLOOKUP($AN60,'StateTables 2026'!$A$6:$AB$56,15,FALSE)="",VLOOKUP($AN60,'StateTables 2026'!$A$6:$AB$56,15,FALSE)=0),0,ROUND(VLOOKUP($AN60,'StateTables 2026'!$A$6:$AB$56,15,FALSE)*IF(OR(VLOOKUP($AN60,'StateTables 2026'!$A$6:$AB$56,16,FALSE)="",VLOOKUP($AN60,'StateTables 2026'!$A$6:$AB$56,16,FALSE)=0),$N60,MIN($N60,MAX(0,VLOOKUP($AN60,'StateTables 2026'!$A$6:$AB$56,16,FALSE)-($AX60+$AB59-$AW60)))),2))))+IF(VLOOKUP($AN60,'StateTables 2026'!$A$6:$AB$56,27,FALSE)="flatq",IF(OR(MONTH($B60)=1,MONTH($B60)=4,MONTH($B60)=7,MONTH($B60)=10),VLOOKUP($AN60,'StateTables 2026'!$A$6:$AB$56,28,FALSE),0),IF(VLOOKUP($AN60,'StateTables 2026'!$A$6:$AB$56,27,FALSE)="dbl",MIN(ROUND(0.005*$N60,2),ROUND(0.6*52/Inputs!$C$8,2)),IF(OR(VLOOKUP($AN60,'StateTables 2026'!$A$6:$AB$56,18,FALSE)="",VLOOKUP($AN60,'StateTables 2026'!$A$6:$AB$56,18,FALSE)=0),0,ROUND(VLOOKUP($AN60,'StateTables 2026'!$A$6:$AB$56,18,FALSE)*IF(OR(VLOOKUP($AN60,'StateTables 2026'!$A$6:$AB$56,19,FALSE)="",VLOOKUP($AN60,'StateTables 2026'!$A$6:$AB$56,19,FALSE)=0),$N60,MIN($N60,MAX(0,VLOOKUP($AN60,'StateTables 2026'!$A$6:$AB$56,19,FALSE)-($AX60+$AB59-$AW60)))),2)))))</f>
      </c>
      <c r="V60" s="7">
        <f>IF($B60="","",IF($AN60="NY",IF(Inputs!$C$78,ROUND(SUMPRODUCT((MAX(0,($O60-$D60)*Inputs!$C$8-(IF($AU60="Married",5500,5000)+1000*$AS60))&gt;INDEX('Methodology &amp; Sources'!$B$434:$J$448,0,4))*(MAX(0,($O60-$D60)*Inputs!$C$8-(IF($AU60="Married",5500,5000)+1000*$AS60))-INDEX('Methodology &amp; Sources'!$B$434:$J$448,0,4))*INDEX('Methodology &amp; Sources'!$B$434:$J$448,0,4+2))/Inputs!$C$8+0.0425*$D60,2),0)+IF(Inputs!$C$79="Resident",ROUND(0.1675*$T60,2),IF(Inputs!$C$79="Nonresident",ROUND(0.005*MAX(0,($O60-$D60)-(IF($AU60="Married",7950,7400)+1000*$AS60)/Inputs!$C$8),2),0)),IF($AN60="PA",IF(Inputs!$C$80="None",Inputs!$C$27+ROUND(Inputs!$C$81*($C60+$D60),2),ROUND(IF(Inputs!$C$80="Resident",IF($B60&lt;DATE(2026,7,1),0.0374,0.03735),IF($B60&lt;DATE(2026,7,1),0.0343,0.03425))*($C60+$D60),2)),IF($BF60=0,ROUND(Inputs!$C$81*($C60+$D60),2),Inputs!$C$27+ROUND(Inputs!$C$81*($C60+$D60),2)))))</f>
      </c>
      <c r="W60" s="7">
        <f>IF($B60="","",IF($BF60=0,0,$BP60))</f>
      </c>
      <c r="X60" s="7">
        <f>IF($B60="","",SUM($E60:$K60)+$P60+$Q60+$R60+$S60+$T60+$U60+$V60+$W60)</f>
      </c>
      <c r="Y60" s="22">
        <f>IF($B60="","",$C60+$D60-$X60)</f>
      </c>
      <c r="Z60" s="7">
        <f>IF($B60="","",$Z59+$C60+$D60)</f>
      </c>
      <c r="AA60" s="7">
        <f>IF($B60="","",$AA59+$Y60)</f>
      </c>
      <c r="AB60" s="7">
        <f>IF($B60="","",$AB59+MIN($N60,MAX(0,'Methodology &amp; Sources'!$C$253-($AX60+$AB59-$AW60))))</f>
      </c>
      <c r="AC60" s="7">
        <f>IF($B60="","",$AC59+$E60+$F60)</f>
      </c>
      <c r="AD60" s="3">
        <f>IF($B60="","",IF(AND($AB59&lt;'Methodology &amp; Sources'!$C$253,$AB60&gt;='Methodology &amp; Sources'!$C$253),"★ Social Security maxed on this check — from the next check your net rises by about $"&amp;TEXT(ROUND('Methodology &amp; Sources'!$C$254*$N60,2),"#,##0.00")&amp;". ","")&amp;IF(AND($AC59&lt;Inputs!$C$91,$AC60&gt;=Inputs!$C$91),"★ 401(k) reaches the $"&amp;TEXT(Inputs!$C$91,"#,##0")&amp;" cap on this check — deferrals stop and net pay rises. ","")&amp;IF(AND($AG59&lt;'Methodology &amp; Sources'!$C$257,$AG60&gt;='Methodology &amp; Sources'!$C$257),"★ Wages pass $200,000 — the 0.9% Additional Medicare Tax starts here. ","")&amp;IF(AND($BJ60&gt;0,$H60&gt;0,$BG59&lt;MIN($BJ60,'Methodology &amp; Sources'!$C$263),$BG59+$H60&gt;=MIN($BJ60,'Methodology &amp; Sources'!$C$263)),"★ Health FSA election is now fully deferred for the year. ",""))</f>
      </c>
      <c r="AE60" s="41" t="n"/>
      <c r="AF60" s="7">
        <f>IF(OR($B60="",$AE60=""),"",$AE60-$Y60)</f>
      </c>
      <c r="AG60" s="7">
        <f>IF($B60="","",$AG59+$N60)</f>
      </c>
      <c r="AH60" s="7">
        <f>IF($B60="","",MAX(0,($M60-$D60)*Inputs!$C$8+$AP60-$AQ60-IF(Inputs!$C$13,0,IF(Inputs!$C$12="MFJ",'Methodology &amp; Sources'!$C$258,'Methodology &amp; Sources'!$C$259))))</f>
      </c>
      <c r="AI60" s="7">
        <f>IF($B60="","",$O60*Inputs!$C$8)</f>
      </c>
      <c r="AJ60" s="7">
        <f>IF($B60="","",MAX(0,$AI60-VLOOKUP($AN60,'StateTables 2026'!$A$6:$AB$56,12,FALSE)*$AT60-IF(($AS60+$AT60)&gt;=2,VLOOKUP($AN60,'StateTables 2026'!$A$6:$AB$56,8,FALSE),VLOOKUP($AN60,'StateTables 2026'!$A$6:$AB$56,7,FALSE))))</f>
      </c>
      <c r="AK60" s="7">
        <f>IF($B60="","",IFERROR(LOOKUP(2,1/((Events!$C$6:$C$17="Salary change")*(Events!$B$6:$B$17&lt;=$B60)*(Events!$B$6:$B$17&lt;&gt;"")),Events!$D$6:$D$17),IF(Inputs!$C$4="Annual salary",Inputs!$C$5,Inputs!$C$6)))</f>
      </c>
      <c r="AL60">
        <f>IF($B60="","",IFERROR(LOOKUP(2,1/((Events!$C$6:$C$17="401(k) change")*(Events!$B$6:$B$17&lt;=$B60)*(Events!$B$6:$B$17&lt;&gt;"")),Events!$D$6:$D$17),Inputs!$C$30))</f>
      </c>
      <c r="AM60" s="7">
        <f>IF($B60="","",IFERROR(LOOKUP(2,1/((Events!$C$6:$C$17="401(k) change")*(Events!$B$6:$B$17&lt;=$B60)*(Events!$B$6:$B$17&lt;&gt;"")),Events!$E$6:$E$17),Inputs!$D$30))</f>
      </c>
      <c r="AN60">
        <f>IF($B60="","",IFERROR(LOOKUP(2,1/((Events!$C$6:$C$17="State move")*(Events!$B$6:$B$17&lt;=$B60)*(Events!$B$6:$B$17&lt;&gt;"")),Events!$D$6:$D$17),Inputs!$C$21))</f>
      </c>
      <c r="AO60" s="7">
        <f>IF($B60="","",IFERROR(LOOKUP(2,1/((Events!$C$6:$C$17="W-4 change")*(Events!$B$6:$B$17&lt;=$B60)*(Events!$B$6:$B$17&lt;&gt;"")),Events!$D$6:$D$17),Inputs!$C$14))</f>
      </c>
      <c r="AP60" s="7">
        <f>IF($B60="","",IFERROR(LOOKUP(2,1/((Events!$C$6:$C$17="W-4 change")*(Events!$B$6:$B$17&lt;=$B60)*(Events!$B$6:$B$17&lt;&gt;"")),Events!$E$6:$E$17),Inputs!$C$15))</f>
      </c>
      <c r="AQ60" s="7">
        <f>IF($B60="","",IFERROR(LOOKUP(2,1/((Events!$C$6:$C$17="W-4 change")*(Events!$B$6:$B$17&lt;=$B60)*(Events!$B$6:$B$17&lt;&gt;"")),Events!$F$6:$F$17),Inputs!$C$16))</f>
      </c>
      <c r="AR60" s="7">
        <f>IF($B60="","",IFERROR(LOOKUP(2,1/((Events!$C$6:$C$17="W-4 change")*(Events!$B$6:$B$17&lt;=$B60)*(Events!$B$6:$B$17&lt;&gt;"")),Events!$G$6:$G$17),Inputs!$C$17))</f>
      </c>
      <c r="AS60" s="6">
        <f>IF($B60="","",IFERROR(LOOKUP(2,1/(((Events!$C$6:$C$17="State move")+(Events!$C$6:$C$17="State cert change"))*(Events!$B$6:$B$17&lt;=$B60)*(Events!$B$6:$B$17&lt;&gt;"")),Events!$F$6:$F$17),Inputs!$C$23))</f>
      </c>
      <c r="AT60" s="6">
        <f>IF($B60="","",IFERROR(LOOKUP(2,1/(((Events!$C$6:$C$17="State move")+(Events!$C$6:$C$17="State cert change"))*(Events!$B$6:$B$17&lt;=$B60)*(Events!$B$6:$B$17&lt;&gt;"")),Events!$G$6:$G$17),Inputs!$C$24))</f>
      </c>
      <c r="AU60">
        <f>IF($B60="","",IFERROR(LOOKUP(2,1/((Events!$C$6:$C$17="State move")*(Events!$B$6:$B$17&lt;=$B60)*(Events!$B$6:$B$17&lt;&gt;"")),Events!$E$6:$E$17),Inputs!$C$22))</f>
      </c>
      <c r="AV60" s="6">
        <f>IF($B60="","",1+COUNTIFS(Events!$C$6:$C$17,"Employer change",Events!$B$6:$B$17,"&lt;="&amp;$B60,Events!$B$6:$B$17,"&lt;&gt;"))</f>
      </c>
      <c r="AW60" s="7">
        <f>IF($B60="","",IF($AV60=1,Inputs!$C$49,IF(IFERROR(MATCH(IFERROR(LOOKUP(2,1/((Events!$C$6:$C$17="Employer change")*(Events!$B$6:$B$17&lt;=$B60)*(Events!$B$6:$B$17&lt;&gt;"")),Events!$B$6:$B$17),""),$B$6:$B$68,1),1)&lt;=1,Inputs!$C$49,INDEX($AB$6:$AB$68,MATCH(IFERROR(LOOKUP(2,1/((Events!$C$6:$C$17="Employer change")*(Events!$B$6:$B$17&lt;=$B60)*(Events!$B$6:$B$17&lt;&gt;"")),Events!$B$6:$B$17),""),$B$6:$B$68,1)-1))))</f>
      </c>
      <c r="AX60" s="7">
        <f>IF($B60="","",IF($AV60=1,Inputs!$C$49,IFERROR(LOOKUP(2,1/((Events!$C$6:$C$17="Employer change")*(Events!$B$6:$B$17&lt;=$B60)*(Events!$B$6:$B$17&lt;&gt;"")),Events!$D$6:$D$17),0)))</f>
      </c>
      <c r="AY60" s="7">
        <f>IF($B60="","",($O60-$D60)*Inputs!$C$8)</f>
      </c>
      <c r="AZ60" s="7">
        <f>IF($B60="","",IF($AN60="AL",MAX(0,$AY60-IF($AU60="Married",IF($AY60&lt;=25999,8500,MAX(5000,8500-175*CEILING(($AY60-25999)/500,1))),IF($AU60="Head of household",IF($AY60&lt;=25999,5200,MAX(2500,5200-135*CEILING(($AY60-25999)/500,1))),IF($AY60&lt;=25999,3000,MAX(2500,3000-25*CEILING(($AY60-25999)/500,1)))))-($P60-'Methodology &amp; Sources'!$C$260*$D60)*Inputs!$C$8-IF(OR($AU60="Married",$AU60="Head of household"),3000,1500)-$AT60*IF($AY60&lt;=50000,1000,IF($AY60&lt;=100000,500,300))),IF($AN60="AR",IF(MAX(0,$AY60-2470)&lt;97701,INT(MAX(0,$AY60-2470)/100)*100+50,MAX(0,$AY60-2470)),IF($AN60="DE",MAX(0,$AI60-3250),IF($AN60="HI",MAX(0,$AI60-1144*$AS60-4350),IF($AN60="KS",MAX(0,$AI60-(9160*IF($AU60="Married",2,1)+2320*$AT60+IF($AU60="Head of household",2320,0))),IF($AN60="MD",MAX(0,$AI60-3400-3200*$AS60),IF($AN60="MN",MAX(0,$AY60-5300*$AS60),IF($AN60="MO",MAX(0,$AI60-IF($AU60="Head of household",24150,IF($AU60="Married",IF(Inputs!$C$83,16100,32200),16100))),IF($AN60="MT",$AY60,IF($AN60="ND",($C60+$L60)*Inputs!$C$8,IF($AN60="NE",MAX(0,$AY60-2440*$AS60),IF($AN60="NJ",MAX(0,$AY60-1000*$AS60),IF($AN60="NY",MAX(0,$AY60-(IF($AU60="Married",7950,7400)+1000*$AS60)),IF($AN60="OH",MAX(0,$AY60-650*$AS60),IF($AN60="OK",MAX(0,$AY60-1000*$AS60),IF($AN60="RI",MAX(0,$AI60-1000*$AS60),IF($AN60="SC",MAX(0,$AI60-5000*$AS60-IF($AS60=0,0,MIN(0.1*$AI60,7500))),IF($AN60="VA",MAX(0,$AI60-IF($AU60="Married",17500,8750)-930*$AS60-800*$AT60),IF($AN60="VT",MAX(0,$AI60-5400*$AS60),IF($AN60="WI",MAX(0,$AI60-MAX(0,IF($AU60="Married",9461-0.2*MAX(0,$AI60-25727),6702-0.12*MAX(0,$AI60-17780)))-400*$AS60),IF($AN60="WV",MAX(0,$AI60-2000*$AS60),$AI60))))))))))))))))))))))</f>
      </c>
      <c r="BA60" s="7">
        <f>IF($B60="","",IF($BW60&lt;&gt;"",$BW60,IF($BX60&lt;&gt;"",$BX60,IF($BY60&lt;&gt;"",$BY60,0))))</f>
      </c>
      <c r="BB60" s="7">
        <f>IF($B60="","",IF($AN60="AR",-29*$AS60,IF($AN60="DE",-110*$AS60,IF($AN60="MD",$AZ60*Inputs!$C$74,IF($AN60="AZ",Inputs!$C$82*($M60-$D60)*Inputs!$C$8,IF($AN60="CO",0.044*MAX(0,$AY60-IF($AU60="Married",10000,5000)),IF($AN60="IA",MAX(0,0.038*MAX(0,$AY60-IF($AU60="Head of household",19500,IF($AU60="Married",26000,13000)))-40*$AS60),IF($AN60="ID",0.053*MAX(0,$AY60-IF($AU60="Married",32000,16094)),IF($AN60="IL",0.0495*MAX(0,$AY60-(2925*$AS60+1000*$AT60)),IF($AN60="IN",(0.0295+Inputs!$C$76)*MAX(0,$AY60-(1000*$AS60+1500*$AT60+3000*Inputs!$C$86)),IF($AN60="KY",0.035*MAX(0,$AI60-3360),IF($AN60="LA",IF(Inputs!$C$84="0",0.0309*$AI60,0.0309*MAX(0,$AI60-IF(Inputs!$C$84="2",25750,12875))),IF($AN60="MA",0.05*MIN(MAX(0,$AY60-MIN(($BD59+$Q60+$R60+$S60),2000)-IF($AS60=0,0,IF($AS60=1,4400,1000*$AS60+3400))),1107750)+0.09*MAX(0,MAX(0,$AY60-MIN(($BD59+$Q60+$R60+$S60),2000)-IF($AS60=0,0,IF($AS60=1,4400,1000*$AS60+3400)))-1107750)-IF($AU60="Head of household",120,0)-110*Inputs!$C$75,IF($AN60="MI",0.0425*MAX(0,$AY60-5900*$AS60),IF($AN60="MS",0.04*MAX(0,$AI60-IF($AU60="Head of household",3400,IF($AU60="Married",4600,2300))-Inputs!$C$85-10000),IF($AN60="OR",IF(OR($AU60="Married",AND($AU60="Single",$AS60&gt;=3)),SUMPRODUCT((MAX(0,$AY60-MIN(($P60-'Methodology &amp; Sources'!$C$260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Sources'!$B$461:$J$464,0,4))*(MAX(0,$AY60-MIN(($P60-'Methodology &amp; Sources'!$C$260*$D60)*Inputs!$C$8,IF(OR($AU60="Married",AND($AU60="Single",$AS60&gt;=3)),IF($AY60&lt;250000,8750,IF($AY60&lt;260000,7000,IF($AY60&lt;270000,5250,IF($AY60&lt;280000,3500,IF($AY60&lt;290000,1750,0))))),IF($AY60&lt;125000,8750,IF($AY60&lt;130000,7000,IF($AY60&lt;135000,5250,IF($AY60&lt;140000,3500,IF($AY60&lt;145000,1750,0)))))))-IF(OR($AU60="Married",AND($AU60="Single",$AS60&gt;=3)),5820,2910))-INDEX('Methodology &amp; Sources'!$B$461:$J$464,0,4))*INDEX('Methodology &amp; Sources'!$B$461:$J$464,0,4+2)),SUMPRODUCT((MAX(0,$AY60-MIN(($P60-'Methodology &amp; Sources'!$C$260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Sources'!$B$461:$J$464,0,1))*(MAX(0,$AY60-MIN(($P60-'Methodology &amp; Sources'!$C$260*$D60)*Inputs!$C$8,IF(OR($AU60="Married",AND($AU60="Single",$AS60&gt;=3)),IF($AY60&lt;250000,8750,IF($AY60&lt;260000,7000,IF($AY60&lt;270000,5250,IF($AY60&lt;280000,3500,IF($AY60&lt;290000,1750,0))))),IF($AY60&lt;125000,8750,IF($AY60&lt;130000,7000,IF($AY60&lt;135000,5250,IF($AY60&lt;140000,3500,IF($AY60&lt;145000,1750,0)))))))-IF(OR($AU60="Married",AND($AU60="Single",$AS60&gt;=3)),5820,2910))-INDEX('Methodology &amp; Sources'!$B$461:$J$464,0,1))*INDEX('Methodology &amp; Sources'!$B$461:$J$464,0,1+2)))+263-263*IF(IF($AU60="Married",$AY60&gt;200000,$AY60&gt;100000),0,$AS60),IF($AN60="PA",0.0307*(($O60+$E60+$G60)*Inputs!$C$8),IF($AN60="NY",IF($AU60="Married",IF($AZ60&gt;=2155350,0,IF($AZ60&gt;=1077550,0.48,IF($AZ60&gt;=373200,1.21,IF($AZ60&gt;=323200,0.21,IF($AZ60&gt;=211550,-0.19,IF($AZ60&gt;=157650,-2.8,IF($AZ60&gt;=107650,-0.8,IF($AZ60&gt;=96800,0.05,IF($AZ60&gt;=80650,-0.1,IF($AZ60&gt;=13900,0.4,IF($AZ60&gt;=11700,-0.3,IF($AZ60&gt;=8500,0.5,0)))))))))))),IF($AZ60&gt;=1077550,0,IF($AZ60&gt;=265400,4.29,IF($AZ60&gt;=215400,2.29,IF($AZ60&gt;=157650,2.29,IF($AZ60&gt;=107650,0.29,IF($AZ60&gt;=96800,0.05,IF($AZ60&gt;=80650,-0.1,IF($AZ60&gt;=13900,0.4,IF($AZ60&gt;=11700,-0.3,IF($AZ60&gt;=8500,0.5,0))))))))))),0))))))))))))))))))</f>
      </c>
      <c r="BC60" s="7">
        <f>IF($B60="","",IF($AN60="AL",0.05*$D60,IF($AN60="AR",0.039*$D60,IF($AN60="ID",0.053*$D60,IF($AN60="IN",(0.0295+Inputs!$C$76)*$D60,IF($AN60="KS",0.05*$D60,IF($AN60="MA",0.09*MIN($D60,MAX(0,MAX(0,$AY60-MIN(($BD59+$Q60+$R60+$S60),2000)-IF($AS60=0,0,IF($AS60=1,4400,1000*$AS60+3400)))+$D60-1107750))+0.05*($D60-MIN($D60,MAX(0,MAX(0,$AY60-MIN(($BD59+$Q60+$R60+$S60),2000)-IF($AS60=0,0,IF($AS60=1,4400,1000*$AS60+3400)))+$D60-1107750))),IF($AN60="MD",(0.065+Inputs!$C$74)*$D60,IF($AN60="MI",0.0425*$D60,IF($AN60="MN",0.0625*$D60,IF($AN60="MO",0.047*$D60,IF($AN60="MT",0.05*$D60,IF($AN60="ND",0.015*$D60,IF($AN60="NE",0.035*$D60,IF($AN60="NJ",IF(Inputs!$C$77="B",SUMPRODUCT(($D60*Inputs!$C$8&gt;INDEX('Methodology &amp; Sources'!$B$405:$J$412,0,4))*($D60*Inputs!$C$8-INDEX('Methodology &amp; Sources'!$B$405:$J$412,0,4))*INDEX('Methodology &amp; Sources'!$B$405:$J$412,0,4+2)),IF(Inputs!$C$77="C",SUMPRODUCT(($D60*Inputs!$C$8&gt;INDEX('Methodology &amp; Sources'!$B$405:$J$412,0,7))*($D60*Inputs!$C$8-INDEX('Methodology &amp; Sources'!$B$405:$J$412,0,7))*INDEX('Methodology &amp; Sources'!$B$405:$J$412,0,7+2)),IF(Inputs!$C$77="D",SUMPRODUCT(($D60*Inputs!$C$8&gt;INDEX('Methodology &amp; Sources'!$B$417:$J$429,0,1))*($D60*Inputs!$C$8-INDEX('Methodology &amp; Sources'!$B$417:$J$429,0,1))*INDEX('Methodology &amp; Sources'!$B$417:$J$429,0,1+2)),IF(Inputs!$C$77="E",SUMPRODUCT(($D60*Inputs!$C$8&gt;INDEX('Methodology &amp; Sources'!$B$417:$J$429,0,4))*($D60*Inputs!$C$8-INDEX('Methodology &amp; Sources'!$B$417:$J$429,0,4))*INDEX('Methodology &amp; Sources'!$B$417:$J$429,0,4+2)),SUMPRODUCT(($D60*Inputs!$C$8&gt;INDEX('Methodology &amp; Sources'!$B$405:$J$412,0,1))*($D60*Inputs!$C$8-INDEX('Methodology &amp; Sources'!$B$405:$J$412,0,1))*INDEX('Methodology &amp; Sources'!$B$405:$J$412,0,1+2))))))/Inputs!$C$8,IF($AN60="NY",0.117*$D60,IF($AN60="OH",0.0275*$D60,IF($AN60="OK",0.045*$D60,IF($AN60="OR",0.08*$D60,IF($AN60="WI",IF($AY60&lt;12760,0.0354,IF($AY60&lt;25520,0.0465,IF($AY60&lt;280950,0.053,0.0765)))*$D60,0))))))))))))))))))))</f>
      </c>
      <c r="BD60" s="7">
        <f>IF($B60="","",$BD59+$Q60+$R60+$S60)</f>
      </c>
      <c r="BE60" s="6">
        <f>IF($B60="",$BE59,$BE59+$BF60)</f>
      </c>
      <c r="BF60" s="6">
        <f>IF($B60="","",IF(AND(IF(YEAR(IF(Inputs!$C$7="Weekly",Inputs!$C$9+7*(($BE59+1)-1),IF(Inputs!$C$7="Biweekly",Inputs!$C$9+14*(($BE59+1)-1),IF(Inputs!$C$7="Semimonthly",DATE(YEAR(Inputs!$C$9),MONTH(Inputs!$C$9)+INT((($BE59+1)-1)/2),MIN(DAY(Inputs!$C$9),DAY(EOMONTH(DATE(YEAR(Inputs!$C$9),MONTH(Inputs!$C$9)+INT((($BE59+1)-1)/2),1),0))))+IF(MOD(($BE59+1)-1,2)=1,15,0),EDATE(Inputs!$C$9,($BE59+1)-1)))))&lt;&gt;2026,"",IF(Inputs!$C$7="Weekly",Inputs!$C$9+7*(($BE59+1)-1),IF(Inputs!$C$7="Biweekly",Inputs!$C$9+14*(($BE59+1)-1),IF(Inputs!$C$7="Semimonthly",DATE(YEAR(Inputs!$C$9),MONTH(Inputs!$C$9)+INT((($BE59+1)-1)/2),MIN(DAY(Inputs!$C$9),DAY(EOMONTH(DATE(YEAR(Inputs!$C$9),MONTH(Inputs!$C$9)+INT((($BE59+1)-1)/2),1),0))))+IF(MOD(($BE59+1)-1,2)=1,15,0),EDATE(Inputs!$C$9,($BE59+1)-1)))))&lt;&gt;"",$B60=IF(YEAR(IF(Inputs!$C$7="Weekly",Inputs!$C$9+7*(($BE59+1)-1),IF(Inputs!$C$7="Biweekly",Inputs!$C$9+14*(($BE59+1)-1),IF(Inputs!$C$7="Semimonthly",DATE(YEAR(Inputs!$C$9),MONTH(Inputs!$C$9)+INT((($BE59+1)-1)/2),MIN(DAY(Inputs!$C$9),DAY(EOMONTH(DATE(YEAR(Inputs!$C$9),MONTH(Inputs!$C$9)+INT((($BE59+1)-1)/2),1),0))))+IF(MOD(($BE59+1)-1,2)=1,15,0),EDATE(Inputs!$C$9,($BE59+1)-1)))))&lt;&gt;2026,"",IF(Inputs!$C$7="Weekly",Inputs!$C$9+7*(($BE59+1)-1),IF(Inputs!$C$7="Biweekly",Inputs!$C$9+14*(($BE59+1)-1),IF(Inputs!$C$7="Semimonthly",DATE(YEAR(Inputs!$C$9),MONTH(Inputs!$C$9)+INT((($BE59+1)-1)/2),MIN(DAY(Inputs!$C$9),DAY(EOMONTH(DATE(YEAR(Inputs!$C$9),MONTH(Inputs!$C$9)+INT((($BE59+1)-1)/2),1),0))))+IF(MOD(($BE59+1)-1,2)=1,15,0),EDATE(Inputs!$C$9,($BE59+1)-1)))))),1,0))</f>
      </c>
      <c r="BG60" s="7">
        <f>IF($B60="","",$BG59+$H60)</f>
      </c>
      <c r="BH60" s="7">
        <f>IF($B60="","",$BH59+$I60)</f>
      </c>
      <c r="BI60" s="7">
        <f>IF($B60="","",$BI59+$G60)</f>
      </c>
      <c r="BJ60" s="7">
        <f>IF($B60="","",IFERROR(LOOKUP(2,1/((((Events!$C$6:$C$17="Deduction start"))*(Events!$D$6:$D$17="Health FSA"))*(Events!$B$6:$B$17&lt;=$B60)*(Events!$B$6:$B$17&lt;&gt;"")),Events!$E$6:$E$17),Inputs!$D$38))</f>
      </c>
      <c r="BK60" s="7">
        <f>IF($B60="","",IFERROR(LOOKUP(2,1/((((Events!$C$6:$C$17="Deduction start"))*(Events!$D$6:$D$17="Dependent-care FSA"))*(Events!$B$6:$B$17&lt;=$B60)*(Events!$B$6:$B$17&lt;&gt;"")),Events!$E$6:$E$17),Inputs!$D$39))</f>
      </c>
      <c r="BL60" s="7">
        <f>IF($B60="","",IFERROR(LOOKUP(2,1/((((Events!$C$6:$C$17="Deduction start")+(Events!$C$6:$C$17="Deduction stop"))*(Events!$D$6:$D$17="HSA"))*(Events!$B$6:$B$17&lt;=$B60)*(Events!$B$6:$B$17&lt;&gt;"")),Events!$I$6:$I$17),Inputs!$D$35))</f>
      </c>
      <c r="BM60" s="7">
        <f>IF($B60="","",IFERROR(LOOKUP(2,1/((((Events!$C$6:$C$17="Deduction start")+(Events!$C$6:$C$17="Deduction stop"))*(Events!$D$6:$D$17="Premiums"))*(Events!$B$6:$B$17&lt;=$B60)*(Events!$B$6:$B$17&lt;&gt;"")),Events!$I$6:$I$17),Inputs!$D$40+Inputs!$D$41+Inputs!$D$42))</f>
      </c>
      <c r="BN60" s="7">
        <f>IF($B60="","",IFERROR(LOOKUP(2,1/((((Events!$C$6:$C$17="Deduction start")+(Events!$C$6:$C$17="Deduction stop"))*(Events!$D$6:$D$17="Commuter"))*(Events!$B$6:$B$17&lt;=$B60)*(Events!$B$6:$B$17&lt;&gt;"")),Events!$I$6:$I$17),Inputs!$D$43))</f>
      </c>
      <c r="BO60" s="7">
        <f>IF($B60="","",IFERROR(LOOKUP(2,1/((((Events!$C$6:$C$17="Deduction start")+(Events!$C$6:$C$17="Deduction stop"))*(Events!$D$6:$D$17="Other pre-tax"))*(Events!$B$6:$B$17&lt;=$B60)*(Events!$B$6:$B$17&lt;&gt;"")),Events!$I$6:$I$17),Inputs!$D$44))</f>
      </c>
      <c r="BP60" s="7">
        <f>IF($B60="","",IFERROR(LOOKUP(2,1/((((Events!$C$6:$C$17="Deduction start")+(Events!$C$6:$C$17="Deduction stop"))*(Events!$D$6:$D$17="Other post-tax"))*(Events!$B$6:$B$17&lt;=$B60)*(Events!$B$6:$B$17&lt;&gt;"")),Events!$I$6:$I$17),Inputs!$D$45))</f>
      </c>
      <c r="BQ60" s="6">
        <f>IF($B60="","",IFERROR(LOOKUP(2,1/((((Events!$C$6:$C$17="Deduction start")+(Events!$C$6:$C$17="Deduction stop"))*(Events!$D$6:$D$17="Health FSA"))*(Events!$B$6:$B$17&lt;=$B60)*(Events!$B$6:$B$17&lt;&gt;"")),Events!$J$6:$J$17),0))</f>
      </c>
      <c r="BR60" s="6">
        <f>IF($B60="","",IFERROR(LOOKUP(2,1/((((Events!$C$6:$C$17="Deduction start")+(Events!$C$6:$C$17="Deduction stop"))*(Events!$D$6:$D$17="Dependent-care FSA"))*(Events!$B$6:$B$17&lt;=$B60)*(Events!$B$6:$B$17&lt;&gt;"")),Events!$J$6:$J$17),0))</f>
      </c>
      <c r="BS60" s="6">
        <f>IF($B60="","",IF(SUMPRODUCT((Events!$C$6:$C$17="Deduction start")*(Events!$B$6:$B$17&lt;=$B60)*(Events!$B$6:$B$17&lt;&gt;"")*(Events!$D$6:$D$17="Health FSA"))&gt;0,1,0))</f>
      </c>
      <c r="BT60" s="6">
        <f>IF($B60="","",IF(SUMPRODUCT((Events!$C$6:$C$17="Deduction start")*(Events!$B$6:$B$17&lt;=$B60)*(Events!$B$6:$B$17&lt;&gt;"")*(Events!$D$6:$D$17="Dependent-care FSA"))&gt;0,1,0))</f>
      </c>
      <c r="BU60" s="24">
        <f>IF($B60="","",IF(Inputs!$C$13,SUMPRODUCT(($AH60&gt;=INDEX('Methodology &amp; Sources'!$B$279:$J$286,0,IF(Inputs!$C$12="MFJ",1,IF(Inputs!$C$12="HoH",7,4))))*INDEX('Methodology &amp; Sources'!$B$279:$J$286,0,IF(Inputs!$C$12="MFJ",1,IF(Inputs!$C$12="HoH",7,4))+2)),SUMPRODUCT(($AH60&gt;=INDEX('Methodology &amp; Sources'!$B$269:$J$276,0,IF(Inputs!$C$12="MFJ",1,IF(Inputs!$C$12="HoH",7,4))))*INDEX('Methodology &amp; Sources'!$B$269:$J$276,0,IF(Inputs!$C$12="MFJ",1,IF(Inputs!$C$12="HoH",7,4))+2))))</f>
      </c>
      <c r="BV60" s="24">
        <f>IF($B60="","",IF($BZ60&lt;&gt;"",$BZ60,IF($CA60&lt;&gt;"",$CA60,IF($CB60&lt;&gt;"",$CB60,IF($CC60&lt;&gt;"",$CC60,0)))))</f>
      </c>
      <c r="BW60" s="7">
        <f>IF($B60="","",IF($AN60="MD",IF(OR($AU60="Married",$AU60="Head of household"),SUMPRODUCT(($AZ60&gt;INDEX('Methodology &amp; Sources'!$B$364:$J$370,0,1))*($AZ60-INDEX('Methodology &amp; Sources'!$B$364:$J$370,0,1))*INDEX('Methodology &amp; Sources'!$B$364:$J$370,0,1+2)),SUMPRODUCT(($AZ60&gt;INDEX('Methodology &amp; Sources'!$B$353:$J$359,0,7))*($AZ60-INDEX('Methodology &amp; Sources'!$B$353:$J$359,0,7))*INDEX('Methodology &amp; Sources'!$B$353:$J$359,0,7+2))),IF($AN60="MO",SUMPRODUCT(($AZ60&gt;INDEX('Methodology &amp; Sources'!$B$375:$J$382,0,1))*($AZ60-INDEX('Methodology &amp; Sources'!$B$375:$J$382,0,1))*INDEX('Methodology &amp; Sources'!$B$375:$J$382,0,1+2)),IF($AN60="MT",IF($AU60="Head of household",SUMPRODUCT(($AZ60&gt;INDEX('Methodology &amp; Sources'!$B$387:$J$389,0,1))*($AZ60-INDEX('Methodology &amp; Sources'!$B$387:$J$389,0,1))*INDEX('Methodology &amp; Sources'!$B$387:$J$389,0,1+2)),IF($AU60="Married",SUMPRODUCT(($AZ60&gt;INDEX('Methodology &amp; Sources'!$B$375:$J$382,0,7))*($AZ60-INDEX('Methodology &amp; Sources'!$B$375:$J$382,0,7))*INDEX('Methodology &amp; Sources'!$B$375:$J$382,0,7+2)),SUMPRODUCT(($AZ60&gt;INDEX('Methodology &amp; Sources'!$B$375:$J$382,0,4))*($AZ60-INDEX('Methodology &amp; Sources'!$B$375:$J$382,0,4))*INDEX('Methodology &amp; Sources'!$B$375:$J$382,0,4+2)))),IF($AN60="ND",IF($AU60="Head of household",SUMPRODUCT(($AZ60&gt;INDEX('Methodology &amp; Sources'!$B$394:$J$400,0,1))*($AZ60-INDEX('Methodology &amp; Sources'!$B$394:$J$400,0,1))*INDEX('Methodology &amp; Sources'!$B$394:$J$400,0,1+2)),IF($AU60="Married",SUMPRODUCT(($AZ60&gt;INDEX('Methodology &amp; Sources'!$B$387:$J$389,0,7))*($AZ60-INDEX('Methodology &amp; Sources'!$B$387:$J$389,0,7))*INDEX('Methodology &amp; Sources'!$B$387:$J$389,0,7+2)),SUMPRODUCT(($AZ60&gt;INDEX('Methodology &amp; Sources'!$B$387:$J$389,0,4))*($AZ60-INDEX('Methodology &amp; Sources'!$B$387:$J$389,0,4))*INDEX('Methodology &amp; Sources'!$B$387:$J$389,0,4+2)))),IF($AN60="NJ",IF(Inputs!$C$77="B",SUMPRODUCT(($AZ60&gt;INDEX('Methodology &amp; Sources'!$B$405:$J$412,0,4))*($AZ60-INDEX('Methodology &amp; Sources'!$B$405:$J$412,0,4))*INDEX('Methodology &amp; Sources'!$B$405:$J$412,0,4+2)),IF(Inputs!$C$77="C",SUMPRODUCT(($AZ60&gt;INDEX('Methodology &amp; Sources'!$B$405:$J$412,0,7))*($AZ60-INDEX('Methodology &amp; Sources'!$B$405:$J$412,0,7))*INDEX('Methodology &amp; Sources'!$B$405:$J$412,0,7+2)),IF(Inputs!$C$77="D",SUMPRODUCT(($AZ60&gt;INDEX('Methodology &amp; Sources'!$B$417:$J$429,0,1))*($AZ60-INDEX('Methodology &amp; Sources'!$B$417:$J$429,0,1))*INDEX('Methodology &amp; Sources'!$B$417:$J$429,0,1+2)),IF(Inputs!$C$77="E",SUMPRODUCT(($AZ60&gt;INDEX('Methodology &amp; Sources'!$B$417:$J$429,0,4))*($AZ60-INDEX('Methodology &amp; Sources'!$B$417:$J$429,0,4))*INDEX('Methodology &amp; Sources'!$B$417:$J$429,0,4+2)),SUMPRODUCT(($AZ60&gt;INDEX('Methodology &amp; Sources'!$B$405:$J$412,0,1))*($AZ60-INDEX('Methodology &amp; Sources'!$B$405:$J$412,0,1))*INDEX('Methodology &amp; Sources'!$B$405:$J$412,0,1+2)))))),IF($AN60="NY",IF($AU60="Married",IF($AZ60&gt;=2155350,$AZ60*IF($AZ60&gt;25000000,0.117,IF($AZ60&gt;5000000,0.111,0.1045)),SUMPRODUCT(($AZ60&gt;INDEX('Methodology &amp; Sources'!$B$434:$J$448,0,1))*($AZ60-INDEX('Methodology &amp; Sources'!$B$434:$J$448,0,1))*INDEX('Methodology &amp; Sources'!$B$434:$J$448,0,1+2))),IF($AZ60&gt;=1077550,$AZ60*IF($AZ60&gt;25000000,0.117,IF($AZ60&gt;5000000,0.111,0.1045)),SUMPRODUCT(($AZ60&gt;INDEX('Methodology &amp; Sources'!$B$417:$J$429,0,7))*($AZ60-INDEX('Methodology &amp; Sources'!$B$417:$J$429,0,7))*INDEX('Methodology &amp; Sources'!$B$417:$J$429,0,7+2)))),"")))))))</f>
      </c>
      <c r="BX60" s="7">
        <f>IF($B60="","",IF($AN60="AL",IF(OR($AU60="Married",$AU60="Head of household"),SUMPRODUCT(($AZ60&gt;INDEX('Methodology &amp; Sources'!$B$332:$J$336,0,4))*($AZ60-INDEX('Methodology &amp; Sources'!$B$332:$J$336,0,4))*INDEX('Methodology &amp; Sources'!$B$332:$J$336,0,4+2)),SUMPRODUCT(($AZ60&gt;INDEX('Methodology &amp; Sources'!$B$332:$J$336,0,1))*($AZ60-INDEX('Methodology &amp; Sources'!$B$332:$J$336,0,1))*INDEX('Methodology &amp; Sources'!$B$332:$J$336,0,1+2))),IF($AN60="KS",IF($AU60="Married",SUMPRODUCT(($AZ60&gt;INDEX('Methodology &amp; Sources'!$B$353:$J$359,0,4))*($AZ60-INDEX('Methodology &amp; Sources'!$B$353:$J$359,0,4))*INDEX('Methodology &amp; Sources'!$B$353:$J$359,0,4+2)),SUMPRODUCT(($AZ60&gt;INDEX('Methodology &amp; Sources'!$B$353:$J$359,0,1))*($AZ60-INDEX('Methodology &amp; Sources'!$B$353:$J$359,0,1))*INDEX('Methodology &amp; Sources'!$B$353:$J$359,0,1+2))),IF($AN60="MN",IF($AU60="Married",SUMPRODUCT(($AZ60&gt;INDEX('Methodology &amp; Sources'!$B$364:$J$370,0,7))*($AZ60-INDEX('Methodology &amp; Sources'!$B$364:$J$370,0,7))*INDEX('Methodology &amp; Sources'!$B$364:$J$370,0,7+2)),SUMPRODUCT(($AZ60&gt;INDEX('Methodology &amp; Sources'!$B$364:$J$370,0,4))*($AZ60-INDEX('Methodology &amp; Sources'!$B$364:$J$370,0,4))*INDEX('Methodology &amp; Sources'!$B$364:$J$370,0,4+2))),IF($AN60="NE",MAX(IF($AU60="Married",SUMPRODUCT(($AZ60&gt;INDEX('Methodology &amp; Sources'!$B$394:$J$400,0,7))*($AZ60-INDEX('Methodology &amp; Sources'!$B$394:$J$400,0,7))*INDEX('Methodology &amp; Sources'!$B$394:$J$400,0,7+2)),SUMPRODUCT(($AZ60&gt;INDEX('Methodology &amp; Sources'!$B$394:$J$400,0,4))*($AZ60-INDEX('Methodology &amp; Sources'!$B$394:$J$400,0,4))*INDEX('Methodology &amp; Sources'!$B$394:$J$400,0,4+2))),0.015*$AZ60),IF($AN60="OH",IF($B60&gt;=DATE(2026,8,1),SUMPRODUCT(($AZ60&gt;INDEX('Methodology &amp; Sources'!$B$453:$J$456,0,1))*($AZ60-INDEX('Methodology &amp; Sources'!$B$453:$J$456,0,1))*INDEX('Methodology &amp; Sources'!$B$453:$J$456,0,1+2)),SUMPRODUCT(($AZ60&gt;INDEX('Methodology &amp; Sources'!$B$434:$J$448,0,7))*($AZ60-INDEX('Methodology &amp; Sources'!$B$434:$J$448,0,7))*INDEX('Methodology &amp; Sources'!$B$434:$J$448,0,7+2))),IF($AN60="OK",IF($AU60="Married",SUMPRODUCT(($AZ60&gt;INDEX('Methodology &amp; Sources'!$B$453:$J$456,0,7))*($AZ60-INDEX('Methodology &amp; Sources'!$B$453:$J$456,0,7))*INDEX('Methodology &amp; Sources'!$B$453:$J$456,0,7+2)),SUMPRODUCT(($AZ60&gt;INDEX('Methodology &amp; Sources'!$B$453:$J$456,0,4))*($AZ60-INDEX('Methodology &amp; Sources'!$B$453:$J$456,0,4))*INDEX('Methodology &amp; Sources'!$B$453:$J$456,0,4+2))),IF($AN60="RI",SUMPRODUCT(($AZ60&gt;INDEX('Methodology &amp; Sources'!$B$461:$J$464,0,7))*($AZ60-INDEX('Methodology &amp; Sources'!$B$461:$J$464,0,7))*INDEX('Methodology &amp; Sources'!$B$461:$J$464,0,7+2)),IF($AN60="VT",IF($AU60="Married",SUMPRODUCT(($AZ60&gt;INDEX('Methodology &amp; Sources'!$B$478:$J$482,0,1))*($AZ60-INDEX('Methodology &amp; Sources'!$B$478:$J$482,0,1))*INDEX('Methodology &amp; Sources'!$B$478:$J$482,0,1+2)),SUMPRODUCT(($AZ60&gt;INDEX('Methodology &amp; Sources'!$B$469:$J$473,0,7))*($AZ60-INDEX('Methodology &amp; Sources'!$B$469:$J$473,0,7))*INDEX('Methodology &amp; Sources'!$B$469:$J$473,0,7+2))),IF($AN60="WV",IF($AU60="Married",SUMPRODUCT(($AZ60&gt;INDEX('Methodology &amp; Sources'!$B$487:$J$491,0,7))*($AZ60-INDEX('Methodology &amp; Sources'!$B$487:$J$491,0,7))*INDEX('Methodology &amp; Sources'!$B$487:$J$491,0,7+2)),SUMPRODUCT(($AZ60&gt;INDEX('Methodology &amp; Sources'!$B$478:$J$482,0,7))*($AZ60-INDEX('Methodology &amp; Sources'!$B$478:$J$482,0,7))*INDEX('Methodology &amp; Sources'!$B$478:$J$482,0,7+2))),""))))))))))</f>
      </c>
      <c r="BY60" s="7">
        <f>IF($B60="","",IF($AN60="AR",SUMPRODUCT(($AZ60&gt;INDEX('Methodology &amp; Sources'!$B$332:$J$336,0,7))*($AZ60-INDEX('Methodology &amp; Sources'!$B$332:$J$336,0,7))*INDEX('Methodology &amp; Sources'!$B$332:$J$336,0,7+2)),IF($AN60="DE",SUMPRODUCT(($AZ60&gt;INDEX('Methodology &amp; Sources'!$B$341:$J$348,0,1))*($AZ60-INDEX('Methodology &amp; Sources'!$B$341:$J$348,0,1))*INDEX('Methodology &amp; Sources'!$B$341:$J$348,0,1+2)),IF($AN60="HI",IF($AU60="Married",SUMPRODUCT(($AZ60&gt;INDEX('Methodology &amp; Sources'!$B$341:$J$348,0,7))*($AZ60-INDEX('Methodology &amp; Sources'!$B$341:$J$348,0,7))*INDEX('Methodology &amp; Sources'!$B$341:$J$348,0,7+2)),SUMPRODUCT(($AZ60&gt;INDEX('Methodology &amp; Sources'!$B$341:$J$348,0,4))*($AZ60-INDEX('Methodology &amp; Sources'!$B$341:$J$348,0,4))*INDEX('Methodology &amp; Sources'!$B$341:$J$348,0,4+2))),IF($AN60="SC",SUMPRODUCT(($AZ60&gt;INDEX('Methodology &amp; Sources'!$B$469:$J$473,0,1))*($AZ60-INDEX('Methodology &amp; Sources'!$B$469:$J$473,0,1))*INDEX('Methodology &amp; Sources'!$B$469:$J$473,0,1+2)),IF($AN60="VA",SUMPRODUCT(($AZ60&gt;INDEX('Methodology &amp; Sources'!$B$469:$J$473,0,4))*($AZ60-INDEX('Methodology &amp; Sources'!$B$469:$J$473,0,4))*INDEX('Methodology &amp; Sources'!$B$469:$J$473,0,4+2)),IF($AN60="WI",SUMPRODUCT(($AZ60&gt;INDEX('Methodology &amp; Sources'!$B$478:$J$482,0,4))*($AZ60-INDEX('Methodology &amp; Sources'!$B$478:$J$482,0,4))*INDEX('Methodology &amp; Sources'!$B$478:$J$482,0,4+2)),"")))))))</f>
      </c>
      <c r="BZ60" s="24">
        <f>IF($B60="","",IF($AN60="NJ",IF(Inputs!$C$77="B",SUMPRODUCT(($AZ60&gt;=INDEX('Methodology &amp; Sources'!$B$405:$J$412,0,4))*INDEX('Methodology &amp; Sources'!$B$405:$J$412,0,4+2)),IF(Inputs!$C$77="C",SUMPRODUCT(($AZ60&gt;=INDEX('Methodology &amp; Sources'!$B$405:$J$412,0,7))*INDEX('Methodology &amp; Sources'!$B$405:$J$412,0,7+2)),IF(Inputs!$C$77="D",SUMPRODUCT(($AZ60&gt;=INDEX('Methodology &amp; Sources'!$B$417:$J$429,0,1))*INDEX('Methodology &amp; Sources'!$B$417:$J$429,0,1+2)),IF(Inputs!$C$77="E",SUMPRODUCT(($AZ60&gt;=INDEX('Methodology &amp; Sources'!$B$417:$J$429,0,4))*INDEX('Methodology &amp; Sources'!$B$417:$J$429,0,4+2)),SUMPRODUCT(($AZ60&gt;=INDEX('Methodology &amp; Sources'!$B$405:$J$412,0,1))*INDEX('Methodology &amp; Sources'!$B$405:$J$412,0,1+2)))))),IF($AN60="OR",IF(OR($AU60="Married",AND($AU60="Single",$AS60&gt;=3)),SUMPRODUCT((MAX(0,$AY60-MIN(($P60-'Methodology &amp; Sources'!$C$260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Sources'!$B$461:$J$464,0,4))*INDEX('Methodology &amp; Sources'!$B$461:$J$464,0,4+2)),SUMPRODUCT((MAX(0,$AY60-MIN(($P60-'Methodology &amp; Sources'!$C$260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Sources'!$B$461:$J$464,0,1))*INDEX('Methodology &amp; Sources'!$B$461:$J$464,0,1+2)))*IF(($P60-'Methodology &amp; Sources'!$C$260*$D60)*Inputs!$C$8&gt;=IF(OR($AU60="Married",AND($AU60="Single",$AS60&gt;=3)),IF($AY60&lt;250000,8750,IF($AY60&lt;260000,7000,IF($AY60&lt;270000,5250,IF($AY60&lt;280000,3500,IF($AY60&lt;290000,1750,0))))),IF($AY60&lt;125000,8750,IF($AY60&lt;130000,7000,IF($AY60&lt;135000,5250,IF($AY60&lt;140000,3500,IF($AY60&lt;145000,1750,0)))))),1,1-IF(Inputs!$C$13,SUMPRODUCT(($AH60&gt;=INDEX('Methodology &amp; Sources'!$B$279:$J$286,0,IF(Inputs!$C$12="MFJ",1,IF(Inputs!$C$12="HoH",7,4))))*INDEX('Methodology &amp; Sources'!$B$279:$J$286,0,IF(Inputs!$C$12="MFJ",1,IF(Inputs!$C$12="HoH",7,4))+2)),SUMPRODUCT(($AH60&gt;=INDEX('Methodology &amp; Sources'!$B$269:$J$276,0,IF(Inputs!$C$12="MFJ",1,IF(Inputs!$C$12="HoH",7,4))))*INDEX('Methodology &amp; Sources'!$B$269:$J$276,0,IF(Inputs!$C$12="MFJ",1,IF(Inputs!$C$12="HoH",7,4))+2)))),IF($AN60="MI",IF($AY60&gt;5900*$AS60,0.0425,0),""))))</f>
      </c>
      <c r="CA60" s="24">
        <f>IF($B60="","",IF($AN60="AL",IF(OR($AU60="Married",$AU60="Head of household"),SUMPRODUCT(($AZ60&gt;=INDEX('Methodology &amp; Sources'!$B$332:$J$336,0,4))*INDEX('Methodology &amp; Sources'!$B$332:$J$336,0,4+2)),SUMPRODUCT(($AZ60&gt;=INDEX('Methodology &amp; Sources'!$B$332:$J$336,0,1))*INDEX('Methodology &amp; Sources'!$B$332:$J$336,0,1+2)))*(1-IF(Inputs!$C$13,SUMPRODUCT(($AH60&gt;=INDEX('Methodology &amp; Sources'!$B$279:$J$286,0,IF(Inputs!$C$12="MFJ",1,IF(Inputs!$C$12="HoH",7,4))))*INDEX('Methodology &amp; Sources'!$B$279:$J$286,0,IF(Inputs!$C$12="MFJ",1,IF(Inputs!$C$12="HoH",7,4))+2)),SUMPRODUCT(($AH60&gt;=INDEX('Methodology &amp; Sources'!$B$269:$J$276,0,IF(Inputs!$C$12="MFJ",1,IF(Inputs!$C$12="HoH",7,4))))*INDEX('Methodology &amp; Sources'!$B$269:$J$276,0,IF(Inputs!$C$12="MFJ",1,IF(Inputs!$C$12="HoH",7,4))+2)))),IF($AN60="KS",IF($AU60="Married",SUMPRODUCT(($AZ60&gt;=INDEX('Methodology &amp; Sources'!$B$353:$J$359,0,4))*INDEX('Methodology &amp; Sources'!$B$353:$J$359,0,4+2)),SUMPRODUCT(($AZ60&gt;=INDEX('Methodology &amp; Sources'!$B$353:$J$359,0,1))*INDEX('Methodology &amp; Sources'!$B$353:$J$359,0,1+2))),IF($AN60="MD",IF(OR($AU60="Married",$AU60="Head of household"),SUMPRODUCT(($AZ60&gt;=INDEX('Methodology &amp; Sources'!$B$364:$J$370,0,1))*INDEX('Methodology &amp; Sources'!$B$364:$J$370,0,1+2)),SUMPRODUCT(($AZ60&gt;=INDEX('Methodology &amp; Sources'!$B$353:$J$359,0,7))*INDEX('Methodology &amp; Sources'!$B$353:$J$359,0,7+2)))+Inputs!$C$74,IF($AN60="MT",IF($AU60="Head of household",SUMPRODUCT(($AZ60&gt;=INDEX('Methodology &amp; Sources'!$B$387:$J$389,0,1))*INDEX('Methodology &amp; Sources'!$B$387:$J$389,0,1+2)),IF($AU60="Married",SUMPRODUCT(($AZ60&gt;=INDEX('Methodology &amp; Sources'!$B$375:$J$382,0,7))*INDEX('Methodology &amp; Sources'!$B$375:$J$382,0,7+2)),SUMPRODUCT(($AZ60&gt;=INDEX('Methodology &amp; Sources'!$B$375:$J$382,0,4))*INDEX('Methodology &amp; Sources'!$B$375:$J$382,0,4+2)))),IF($AN60="ND",IF($AU60="Head of household",SUMPRODUCT(($AZ60&gt;=INDEX('Methodology &amp; Sources'!$B$394:$J$400,0,1))*INDEX('Methodology &amp; Sources'!$B$394:$J$400,0,1+2)),IF($AU60="Married",SUMPRODUCT(($AZ60&gt;=INDEX('Methodology &amp; Sources'!$B$387:$J$389,0,7))*INDEX('Methodology &amp; Sources'!$B$387:$J$389,0,7+2)),SUMPRODUCT(($AZ60&gt;=INDEX('Methodology &amp; Sources'!$B$387:$J$389,0,4))*INDEX('Methodology &amp; Sources'!$B$387:$J$389,0,4+2)))),IF($AN60="NY",IF($AU60="Married",IF($AZ60&gt;=2155350,IF($AZ60&gt;25000000,0.117,IF($AZ60&gt;5000000,0.111,0.1045)),SUMPRODUCT(($AZ60&gt;=INDEX('Methodology &amp; Sources'!$B$434:$J$448,0,1))*INDEX('Methodology &amp; Sources'!$B$434:$J$448,0,1+2))),IF($AZ60&gt;=1077550,IF($AZ60&gt;25000000,0.117,IF($AZ60&gt;5000000,0.111,0.1045)),SUMPRODUCT(($AZ60&gt;=INDEX('Methodology &amp; Sources'!$B$417:$J$429,0,7))*INDEX('Methodology &amp; Sources'!$B$417:$J$429,0,7+2)))),"")))))))</f>
      </c>
      <c r="CB60" s="24">
        <f>IF($B60="","",IF($AN60="CA",SUMPRODUCT(($AJ60&gt;=INDEX('Methodology &amp; Sources'!$B$289:$J$298,0,IF($AU60="Married",4,IF($AU60="Head of household",7,1))))*INDEX('Methodology &amp; Sources'!$B$289:$J$298,0,IF($AU60="Married",4,IF($AU60="Head of household",7,1))+2)),IF($AN60="HI",IF($AU60="Married",SUMPRODUCT(($AZ60&gt;=INDEX('Methodology &amp; Sources'!$B$341:$J$348,0,7))*INDEX('Methodology &amp; Sources'!$B$341:$J$348,0,7+2)),SUMPRODUCT(($AZ60&gt;=INDEX('Methodology &amp; Sources'!$B$341:$J$348,0,4))*INDEX('Methodology &amp; Sources'!$B$341:$J$348,0,4+2))),IF($AN60="MN",IF($AU60="Married",SUMPRODUCT(($AZ60&gt;=INDEX('Methodology &amp; Sources'!$B$364:$J$370,0,7))*INDEX('Methodology &amp; Sources'!$B$364:$J$370,0,7+2)),SUMPRODUCT(($AZ60&gt;=INDEX('Methodology &amp; Sources'!$B$364:$J$370,0,4))*INDEX('Methodology &amp; Sources'!$B$364:$J$370,0,4+2))),IF($AN60="MO",SUMPRODUCT(($AZ60&gt;=INDEX('Methodology &amp; Sources'!$B$375:$J$382,0,1))*INDEX('Methodology &amp; Sources'!$B$375:$J$382,0,1+2)),IF($AN60="NE",MAX(IF($AU60="Married",SUMPRODUCT(($AZ60&gt;=INDEX('Methodology &amp; Sources'!$B$394:$J$400,0,7))*INDEX('Methodology &amp; Sources'!$B$394:$J$400,0,7+2)),SUMPRODUCT(($AZ60&gt;=INDEX('Methodology &amp; Sources'!$B$394:$J$400,0,4))*INDEX('Methodology &amp; Sources'!$B$394:$J$400,0,4+2))),0.015),IF($AN60="OH",IF($B60&gt;=DATE(2026,8,1),SUMPRODUCT(($AZ60&gt;=INDEX('Methodology &amp; Sources'!$B$453:$J$456,0,1))*INDEX('Methodology &amp; Sources'!$B$453:$J$456,0,1+2)),SUMPRODUCT(($AZ60&gt;=INDEX('Methodology &amp; Sources'!$B$434:$J$448,0,7))*INDEX('Methodology &amp; Sources'!$B$434:$J$448,0,7+2))),IF($AN60="OK",IF($AU60="Married",SUMPRODUCT(($AZ60&gt;=INDEX('Methodology &amp; Sources'!$B$453:$J$456,0,7))*INDEX('Methodology &amp; Sources'!$B$453:$J$456,0,7+2)),SUMPRODUCT(($AZ60&gt;=INDEX('Methodology &amp; Sources'!$B$453:$J$456,0,4))*INDEX('Methodology &amp; Sources'!$B$453:$J$456,0,4+2))),IF($AN60="RI",SUMPRODUCT(($AZ60&gt;=INDEX('Methodology &amp; Sources'!$B$461:$J$464,0,7))*INDEX('Methodology &amp; Sources'!$B$461:$J$464,0,7+2)),IF($AN60="SC",SUMPRODUCT(($AZ60&gt;=INDEX('Methodology &amp; Sources'!$B$469:$J$473,0,1))*INDEX('Methodology &amp; Sources'!$B$469:$J$473,0,1+2)),IF($AN60="VT",IF($AU60="Married",SUMPRODUCT(($AZ60&gt;=INDEX('Methodology &amp; Sources'!$B$478:$J$482,0,1))*INDEX('Methodology &amp; Sources'!$B$478:$J$482,0,1+2)),SUMPRODUCT(($AZ60&gt;=INDEX('Methodology &amp; Sources'!$B$469:$J$473,0,7))*INDEX('Methodology &amp; Sources'!$B$469:$J$473,0,7+2))),IF($AN60="WV",IF($AU60="Married",SUMPRODUCT(($AZ60&gt;=INDEX('Methodology &amp; Sources'!$B$487:$J$491,0,7))*INDEX('Methodology &amp; Sources'!$B$487:$J$491,0,7+2)),SUMPRODUCT(($AZ60&gt;=INDEX('Methodology &amp; Sources'!$B$478:$J$482,0,7))*INDEX('Methodology &amp; Sources'!$B$478:$J$482,0,7+2))),IF($AN60="IN",(0.0295+Inputs!$C$76),"")))))))))))))</f>
      </c>
      <c r="CC60" s="24">
        <f>IF($B60="","",IF($AN60="AR",SUMPRODUCT(($AZ60&gt;=INDEX('Methodology &amp; Sources'!$B$332:$J$336,0,7))*INDEX('Methodology &amp; Sources'!$B$332:$J$336,0,7+2)),IF($AN60="DE",SUMPRODUCT(($AZ60&gt;=INDEX('Methodology &amp; Sources'!$B$341:$J$348,0,1))*INDEX('Methodology &amp; Sources'!$B$341:$J$348,0,1+2)),IF($AN60="VA",SUMPRODUCT(($AZ60&gt;=INDEX('Methodology &amp; Sources'!$B$469:$J$473,0,4))*INDEX('Methodology &amp; Sources'!$B$469:$J$473,0,4+2)),IF($AN60="WI",SUMPRODUCT(($AZ60&gt;=INDEX('Methodology &amp; Sources'!$B$478:$J$482,0,4))*INDEX('Methodology &amp; Sources'!$B$478:$J$482,0,4+2)),IF($AN60="AZ",Inputs!$C$82,IF($AN60="CO",IF($AY60&gt;IF($AU60="Married",10000,5000),0.044,0),IF($AN60="IA",IF($AY60&gt;IF($AU60="Head of household",19500,IF($AU60="Married",26000,13000)),0.038,0),IF($AN60="ID",IF($AY60&gt;IF($AU60="Married",32000,16094),0.053,0),IF($AN60="IL",IF($AY60&gt;(2925*$AS60+1000*$AT60),0.0495,0),IF($AN60="KY",IF($AI60&gt;3360,0.035,0),IF($AN60="LA",0.0309,IF($AN60="MA",IF(MAX(0,$AY60-MIN(($BD59+$Q60+$R60+$S60),2000)-IF($AS60=0,0,IF($AS60=1,4400,1000*$AS60+3400)))&gt;=1107750,0.09,0.05),IF($AN60="MS",IF($AI60-IF($AU60="Head of household",3400,IF($AU60="Married",4600,2300))-Inputs!$C$85&gt;10000,0.04,0),IF($AN60="PA",0.0307,"")))))))))))))))</f>
      </c>
      <c r="CD60" s="21">
        <f>IF(YEAR(IF(Inputs!$C$7="Weekly",Inputs!$C$9+7*(($BE59+1)-1),IF(Inputs!$C$7="Biweekly",Inputs!$C$9+14*(($BE59+1)-1),IF(Inputs!$C$7="Semimonthly",DATE(YEAR(Inputs!$C$9),MONTH(Inputs!$C$9)+INT((($BE59+1)-1)/2),MIN(DAY(Inputs!$C$9),DAY(EOMONTH(DATE(YEAR(Inputs!$C$9),MONTH(Inputs!$C$9)+INT((($BE59+1)-1)/2),1),0))))+IF(MOD(($BE59+1)-1,2)=1,15,0),EDATE(Inputs!$C$9,($BE59+1)-1)))))&lt;&gt;2026,"",IF(Inputs!$C$7="Weekly",Inputs!$C$9+7*(($BE59+1)-1),IF(Inputs!$C$7="Biweekly",Inputs!$C$9+14*(($BE59+1)-1),IF(Inputs!$C$7="Semimonthly",DATE(YEAR(Inputs!$C$9),MONTH(Inputs!$C$9)+INT((($BE59+1)-1)/2),MIN(DAY(Inputs!$C$9),DAY(EOMONTH(DATE(YEAR(Inputs!$C$9),MONTH(Inputs!$C$9)+INT((($BE59+1)-1)/2),1),0))))+IF(MOD(($BE59+1)-1,2)=1,15,0),EDATE(Inputs!$C$9,($BE59+1)-1)))))</f>
      </c>
      <c r="CE60" s="21">
        <f>IF(SUMPRODUCT(MIN(IF((Inputs!$C$58:$C$67&gt;MAX($B$6:$B59))*(Inputs!$C$58:$C$67&gt;=DATE(2026,1,1))*(Inputs!$C$58:$C$67&lt;=DATE(2026,12,31)),Inputs!$C$58:$C$67,999999)))=999999,"",SUMPRODUCT(MIN(IF((Inputs!$C$58:$C$67&gt;MAX($B$6:$B59))*(Inputs!$C$58:$C$67&gt;=DATE(2026,1,1))*(Inputs!$C$58:$C$67&lt;=DATE(2026,12,31)),Inputs!$C$58:$C$67,999999))))</f>
      </c>
    </row>
    <row r="61">
      <c r="A61" t="n">
        <v>56</v>
      </c>
      <c r="B61" s="21">
        <f>IF(AND($CD61="",$CE61=""),"",IF($CE61="",$CD61,IF($CD61="",$CE61,MIN($CD61,$CE61))))</f>
      </c>
      <c r="C61" s="7">
        <f>IF($B61="","",IF($BF61=0,0,IF(Inputs!$C$4="Annual salary",ROUND($AK61/IF(AND(Inputs!$C$88="Actual paydays",MONTH(Inputs!$C$9)=1),MAX(1,MAX($BE$6:$BE$68)),Inputs!$C$8),2),$AK61)))</f>
      </c>
      <c r="D61" s="7">
        <f>IF($B61="","",SUMIF(Inputs!$C$58:$C$67,$B61,Inputs!$D$58:$D$67))</f>
      </c>
      <c r="E61" s="7">
        <f>IF($B61="","",ROUND(MAX(0,MIN(IF($AL61="Percent",$AM61*($C61+$D61),$AM61),MAX(0,Inputs!$C$91-$AC60))),2))</f>
      </c>
      <c r="F61" s="7">
        <f>IF($B61="","",ROUND(MAX(0,MIN(IF(Inputs!$C$32="Percent",Inputs!$D$32*($C61+$D61),Inputs!$D$32),MAX(0,Inputs!$C$91-$AC60-$E61))),2))</f>
      </c>
      <c r="G61" s="7">
        <f>IF($B61="","",IF($BF61=0,0,ROUND(MAX(0,MIN($BL61,Inputs!$C$92-Inputs!$C$54-$BI60)),2)))</f>
      </c>
      <c r="H61" s="7">
        <f>IF($B61="","",IF(OR($BF61=0,$BQ61=1),0,ROUND(MAX(0,MIN(IF($BS61=1,ROUND(MAX(0,MIN($BJ61,'Methodology &amp; Sources'!$C$263)-$BG60)/MAX(1,MAX($BE$6:$BE$68)-($BE60)),2),ROUND(MIN($BJ61,'Methodology &amp; Sources'!$C$263)/Inputs!$C$8,2)),MIN($BJ61,'Methodology &amp; Sources'!$C$263)-$BG60)),2)))</f>
      </c>
      <c r="I61" s="7">
        <f>IF($B61="","",IF(OR($BF61=0,$BR61=1),0,ROUND(MAX(0,MIN(IF($BT61=1,ROUND(MAX(0,MIN($BK61,IF(Inputs!$C$12="MFJ",'Methodology &amp; Sources'!$C$264,'Methodology &amp; Sources'!$C$265))-$BH60)/MAX(1,MAX($BE$6:$BE$68)-($BE60)),2),ROUND(MIN($BK61,IF(Inputs!$C$12="MFJ",'Methodology &amp; Sources'!$C$264,'Methodology &amp; Sources'!$C$265))/Inputs!$C$8,2)),MIN($BK61,IF(Inputs!$C$12="MFJ",'Methodology &amp; Sources'!$C$264,'Methodology &amp; Sources'!$C$265))-$BH60)),2)))</f>
      </c>
      <c r="J61" s="7">
        <f>IF($B61="","",IF($BF61=0,0,$BM61))</f>
      </c>
      <c r="K61" s="7">
        <f>IF($B61="","",IF($BF61=0,0,$BN61+$BO61))</f>
      </c>
      <c r="L61" s="7">
        <f>IF($B61="","",IF($BF61=0,0,Inputs!$D$46))</f>
      </c>
      <c r="M61" s="7">
        <f>IF($B61="","",$C61+$D61+$L61-$E61-$G61-$H61-$I61-$J61-$K61)</f>
      </c>
      <c r="N61" s="7">
        <f>IF($B61="","",$C61+$D61+$L61-$G61-$H61-$I61-$J61-$K61)</f>
      </c>
      <c r="O61" s="7">
        <f>IF($B61="","",$C61+$D61+$L61-$E61-$H61-$I61-$J61-$K61-IF(OR($AN61="CA",$AN61="NJ"),0,$G61))</f>
      </c>
      <c r="P61" s="7">
        <f>IF($B61="","",IF(Inputs!$C$18,0,ROUND(MAX(0,IF(Inputs!$C$13,SUMPRODUCT(($AH61&gt;INDEX('Methodology &amp; Sources'!$B$279:$J$286,0,IF(Inputs!$C$12="MFJ",1,IF(Inputs!$C$12="HoH",7,4))))*($AH61-INDEX('Methodology &amp; Sources'!$B$279:$J$286,0,IF(Inputs!$C$12="MFJ",1,IF(Inputs!$C$12="HoH",7,4))))*INDEX('Methodology &amp; Sources'!$B$279:$J$286,0,IF(Inputs!$C$12="MFJ",1,IF(Inputs!$C$12="HoH",7,4))+2)),SUMPRODUCT(($AH61&gt;INDEX('Methodology &amp; Sources'!$B$269:$J$276,0,IF(Inputs!$C$12="MFJ",1,IF(Inputs!$C$12="HoH",7,4))))*($AH61-INDEX('Methodology &amp; Sources'!$B$269:$J$276,0,IF(Inputs!$C$12="MFJ",1,IF(Inputs!$C$12="HoH",7,4))))*INDEX('Methodology &amp; Sources'!$B$269:$J$276,0,IF(Inputs!$C$12="MFJ",1,IF(Inputs!$C$12="HoH",7,4))+2)))/Inputs!$C$8-$AO61/Inputs!$C$8)+$AR61+IF(Inputs!$C$89="Aggregate",MAX(0,IF(Inputs!$C$13,SUMPRODUCT((($AH61+$D61)&gt;INDEX('Methodology &amp; Sources'!$B$279:$J$286,0,IF(Inputs!$C$12="MFJ",1,IF(Inputs!$C$12="HoH",7,4))))*(($AH61+$D61)-INDEX('Methodology &amp; Sources'!$B$279:$J$286,0,IF(Inputs!$C$12="MFJ",1,IF(Inputs!$C$12="HoH",7,4))))*INDEX('Methodology &amp; Sources'!$B$279:$J$286,0,IF(Inputs!$C$12="MFJ",1,IF(Inputs!$C$12="HoH",7,4))+2)),SUMPRODUCT((($AH61+$D61)&gt;INDEX('Methodology &amp; Sources'!$B$269:$J$276,0,IF(Inputs!$C$12="MFJ",1,IF(Inputs!$C$12="HoH",7,4))))*(($AH61+$D61)-INDEX('Methodology &amp; Sources'!$B$269:$J$276,0,IF(Inputs!$C$12="MFJ",1,IF(Inputs!$C$12="HoH",7,4))))*INDEX('Methodology &amp; Sources'!$B$269:$J$276,0,IF(Inputs!$C$12="MFJ",1,IF(Inputs!$C$12="HoH",7,4))+2)))-IF(Inputs!$C$13,SUMPRODUCT(($AH61&gt;INDEX('Methodology &amp; Sources'!$B$279:$J$286,0,IF(Inputs!$C$12="MFJ",1,IF(Inputs!$C$12="HoH",7,4))))*($AH61-INDEX('Methodology &amp; Sources'!$B$279:$J$286,0,IF(Inputs!$C$12="MFJ",1,IF(Inputs!$C$12="HoH",7,4))))*INDEX('Methodology &amp; Sources'!$B$279:$J$286,0,IF(Inputs!$C$12="MFJ",1,IF(Inputs!$C$12="HoH",7,4))+2)),SUMPRODUCT(($AH61&gt;INDEX('Methodology &amp; Sources'!$B$269:$J$276,0,IF(Inputs!$C$12="MFJ",1,IF(Inputs!$C$12="HoH",7,4))))*($AH61-INDEX('Methodology &amp; Sources'!$B$269:$J$276,0,IF(Inputs!$C$12="MFJ",1,IF(Inputs!$C$12="HoH",7,4))))*INDEX('Methodology &amp; Sources'!$B$269:$J$276,0,IF(Inputs!$C$12="MFJ",1,IF(Inputs!$C$12="HoH",7,4))+2)))),'Methodology &amp; Sources'!$C$260*$D61),2)))</f>
      </c>
      <c r="Q61" s="7">
        <f>IF($B61="","",ROUND('Methodology &amp; Sources'!$C$254*MIN($N61,MAX(0,'Methodology &amp; Sources'!$C$253-($AX61+$AB60-$AW61))),2))</f>
      </c>
      <c r="R61" s="7">
        <f>IF($B61="","",ROUND('Methodology &amp; Sources'!$C$255*$N61,2))</f>
      </c>
      <c r="S61" s="7">
        <f>IF($B61="","",ROUND('Methodology &amp; Sources'!$C$256*MAX(0,MIN($N61,$AG60+$N61-'Methodology &amp; Sources'!$C$257)),2))</f>
      </c>
      <c r="T61" s="7">
        <f>IF($B61="","",IF(Inputs!$C$26,0,IF($AN61="CA",ROUND(IF($AI61&lt;=IF(($AS61+$AT61)&gt;=2,VLOOKUP($AN61,'StateTables 2026'!$A$6:$AB$56,10,FALSE),VLOOKUP($AN61,'StateTables 2026'!$A$6:$AB$56,9,FALSE)),0,MAX(0,SUMPRODUCT(($AJ61&gt;INDEX('Methodology &amp; Sources'!$B$289:$J$298,0,IF($AU61="Married",4,IF($AU61="Head of household",7,1))))*($AJ61-INDEX('Methodology &amp; Sources'!$B$289:$J$298,0,IF($AU61="Married",4,IF($AU61="Head of household",7,1))))*INDEX('Methodology &amp; Sources'!$B$289:$J$298,0,IF($AU61="Married",4,IF($AU61="Head of household",7,1))+2))-VLOOKUP($AN61,'StateTables 2026'!$A$6:$AB$56,11,FALSE)*$AS61)/Inputs!$C$8)+Inputs!$C$25+VLOOKUP($AN61,'StateTables 2026'!$A$6:$AB$56,13,FALSE)*$D61,2),IF(VLOOKUP($AN61,'StateTables 2026'!$A$6:$AB$56,4,FALSE)="None",0,IF(ISNUMBER(SEARCH("MANUAL",VLOOKUP($AN61,'StateTables 2026'!$A$6:$AB$56,5,FALSE))),Inputs!$C$28,ROUND(MAX(0,$BA61+$BB61)/Inputs!$C$8+Inputs!$C$25+$BC61,2))))))</f>
      </c>
      <c r="U61" s="7">
        <f>IF($B61="","",IF(VLOOKUP($AN61,'StateTables 2026'!$A$6:$AB$56,24,FALSE)="flatq",IF(OR(MONTH($B61)=1,MONTH($B61)=4,MONTH($B61)=7,MONTH($B61)=10),VLOOKUP($AN61,'StateTables 2026'!$A$6:$AB$56,25,FALSE),0),IF(VLOOKUP($AN61,'StateTables 2026'!$A$6:$AB$56,24,FALSE)="dbl",MIN(ROUND(0.005*$N61,2),ROUND(0.6*52/Inputs!$C$8,2)),IF(OR(VLOOKUP($AN61,'StateTables 2026'!$A$6:$AB$56,15,FALSE)="",VLOOKUP($AN61,'StateTables 2026'!$A$6:$AB$56,15,FALSE)=0),0,ROUND(VLOOKUP($AN61,'StateTables 2026'!$A$6:$AB$56,15,FALSE)*IF(OR(VLOOKUP($AN61,'StateTables 2026'!$A$6:$AB$56,16,FALSE)="",VLOOKUP($AN61,'StateTables 2026'!$A$6:$AB$56,16,FALSE)=0),$N61,MIN($N61,MAX(0,VLOOKUP($AN61,'StateTables 2026'!$A$6:$AB$56,16,FALSE)-($AX61+$AB60-$AW61)))),2))))+IF(VLOOKUP($AN61,'StateTables 2026'!$A$6:$AB$56,27,FALSE)="flatq",IF(OR(MONTH($B61)=1,MONTH($B61)=4,MONTH($B61)=7,MONTH($B61)=10),VLOOKUP($AN61,'StateTables 2026'!$A$6:$AB$56,28,FALSE),0),IF(VLOOKUP($AN61,'StateTables 2026'!$A$6:$AB$56,27,FALSE)="dbl",MIN(ROUND(0.005*$N61,2),ROUND(0.6*52/Inputs!$C$8,2)),IF(OR(VLOOKUP($AN61,'StateTables 2026'!$A$6:$AB$56,18,FALSE)="",VLOOKUP($AN61,'StateTables 2026'!$A$6:$AB$56,18,FALSE)=0),0,ROUND(VLOOKUP($AN61,'StateTables 2026'!$A$6:$AB$56,18,FALSE)*IF(OR(VLOOKUP($AN61,'StateTables 2026'!$A$6:$AB$56,19,FALSE)="",VLOOKUP($AN61,'StateTables 2026'!$A$6:$AB$56,19,FALSE)=0),$N61,MIN($N61,MAX(0,VLOOKUP($AN61,'StateTables 2026'!$A$6:$AB$56,19,FALSE)-($AX61+$AB60-$AW61)))),2)))))</f>
      </c>
      <c r="V61" s="7">
        <f>IF($B61="","",IF($AN61="NY",IF(Inputs!$C$78,ROUND(SUMPRODUCT((MAX(0,($O61-$D61)*Inputs!$C$8-(IF($AU61="Married",5500,5000)+1000*$AS61))&gt;INDEX('Methodology &amp; Sources'!$B$434:$J$448,0,4))*(MAX(0,($O61-$D61)*Inputs!$C$8-(IF($AU61="Married",5500,5000)+1000*$AS61))-INDEX('Methodology &amp; Sources'!$B$434:$J$448,0,4))*INDEX('Methodology &amp; Sources'!$B$434:$J$448,0,4+2))/Inputs!$C$8+0.0425*$D61,2),0)+IF(Inputs!$C$79="Resident",ROUND(0.1675*$T61,2),IF(Inputs!$C$79="Nonresident",ROUND(0.005*MAX(0,($O61-$D61)-(IF($AU61="Married",7950,7400)+1000*$AS61)/Inputs!$C$8),2),0)),IF($AN61="PA",IF(Inputs!$C$80="None",Inputs!$C$27+ROUND(Inputs!$C$81*($C61+$D61),2),ROUND(IF(Inputs!$C$80="Resident",IF($B61&lt;DATE(2026,7,1),0.0374,0.03735),IF($B61&lt;DATE(2026,7,1),0.0343,0.03425))*($C61+$D61),2)),IF($BF61=0,ROUND(Inputs!$C$81*($C61+$D61),2),Inputs!$C$27+ROUND(Inputs!$C$81*($C61+$D61),2)))))</f>
      </c>
      <c r="W61" s="7">
        <f>IF($B61="","",IF($BF61=0,0,$BP61))</f>
      </c>
      <c r="X61" s="7">
        <f>IF($B61="","",SUM($E61:$K61)+$P61+$Q61+$R61+$S61+$T61+$U61+$V61+$W61)</f>
      </c>
      <c r="Y61" s="22">
        <f>IF($B61="","",$C61+$D61-$X61)</f>
      </c>
      <c r="Z61" s="7">
        <f>IF($B61="","",$Z60+$C61+$D61)</f>
      </c>
      <c r="AA61" s="7">
        <f>IF($B61="","",$AA60+$Y61)</f>
      </c>
      <c r="AB61" s="7">
        <f>IF($B61="","",$AB60+MIN($N61,MAX(0,'Methodology &amp; Sources'!$C$253-($AX61+$AB60-$AW61))))</f>
      </c>
      <c r="AC61" s="7">
        <f>IF($B61="","",$AC60+$E61+$F61)</f>
      </c>
      <c r="AD61" s="3">
        <f>IF($B61="","",IF(AND($AB60&lt;'Methodology &amp; Sources'!$C$253,$AB61&gt;='Methodology &amp; Sources'!$C$253),"★ Social Security maxed on this check — from the next check your net rises by about $"&amp;TEXT(ROUND('Methodology &amp; Sources'!$C$254*$N61,2),"#,##0.00")&amp;". ","")&amp;IF(AND($AC60&lt;Inputs!$C$91,$AC61&gt;=Inputs!$C$91),"★ 401(k) reaches the $"&amp;TEXT(Inputs!$C$91,"#,##0")&amp;" cap on this check — deferrals stop and net pay rises. ","")&amp;IF(AND($AG60&lt;'Methodology &amp; Sources'!$C$257,$AG61&gt;='Methodology &amp; Sources'!$C$257),"★ Wages pass $200,000 — the 0.9% Additional Medicare Tax starts here. ","")&amp;IF(AND($BJ61&gt;0,$H61&gt;0,$BG60&lt;MIN($BJ61,'Methodology &amp; Sources'!$C$263),$BG60+$H61&gt;=MIN($BJ61,'Methodology &amp; Sources'!$C$263)),"★ Health FSA election is now fully deferred for the year. ",""))</f>
      </c>
      <c r="AE61" s="41" t="n"/>
      <c r="AF61" s="7">
        <f>IF(OR($B61="",$AE61=""),"",$AE61-$Y61)</f>
      </c>
      <c r="AG61" s="7">
        <f>IF($B61="","",$AG60+$N61)</f>
      </c>
      <c r="AH61" s="7">
        <f>IF($B61="","",MAX(0,($M61-$D61)*Inputs!$C$8+$AP61-$AQ61-IF(Inputs!$C$13,0,IF(Inputs!$C$12="MFJ",'Methodology &amp; Sources'!$C$258,'Methodology &amp; Sources'!$C$259))))</f>
      </c>
      <c r="AI61" s="7">
        <f>IF($B61="","",$O61*Inputs!$C$8)</f>
      </c>
      <c r="AJ61" s="7">
        <f>IF($B61="","",MAX(0,$AI61-VLOOKUP($AN61,'StateTables 2026'!$A$6:$AB$56,12,FALSE)*$AT61-IF(($AS61+$AT61)&gt;=2,VLOOKUP($AN61,'StateTables 2026'!$A$6:$AB$56,8,FALSE),VLOOKUP($AN61,'StateTables 2026'!$A$6:$AB$56,7,FALSE))))</f>
      </c>
      <c r="AK61" s="7">
        <f>IF($B61="","",IFERROR(LOOKUP(2,1/((Events!$C$6:$C$17="Salary change")*(Events!$B$6:$B$17&lt;=$B61)*(Events!$B$6:$B$17&lt;&gt;"")),Events!$D$6:$D$17),IF(Inputs!$C$4="Annual salary",Inputs!$C$5,Inputs!$C$6)))</f>
      </c>
      <c r="AL61">
        <f>IF($B61="","",IFERROR(LOOKUP(2,1/((Events!$C$6:$C$17="401(k) change")*(Events!$B$6:$B$17&lt;=$B61)*(Events!$B$6:$B$17&lt;&gt;"")),Events!$D$6:$D$17),Inputs!$C$30))</f>
      </c>
      <c r="AM61" s="7">
        <f>IF($B61="","",IFERROR(LOOKUP(2,1/((Events!$C$6:$C$17="401(k) change")*(Events!$B$6:$B$17&lt;=$B61)*(Events!$B$6:$B$17&lt;&gt;"")),Events!$E$6:$E$17),Inputs!$D$30))</f>
      </c>
      <c r="AN61">
        <f>IF($B61="","",IFERROR(LOOKUP(2,1/((Events!$C$6:$C$17="State move")*(Events!$B$6:$B$17&lt;=$B61)*(Events!$B$6:$B$17&lt;&gt;"")),Events!$D$6:$D$17),Inputs!$C$21))</f>
      </c>
      <c r="AO61" s="7">
        <f>IF($B61="","",IFERROR(LOOKUP(2,1/((Events!$C$6:$C$17="W-4 change")*(Events!$B$6:$B$17&lt;=$B61)*(Events!$B$6:$B$17&lt;&gt;"")),Events!$D$6:$D$17),Inputs!$C$14))</f>
      </c>
      <c r="AP61" s="7">
        <f>IF($B61="","",IFERROR(LOOKUP(2,1/((Events!$C$6:$C$17="W-4 change")*(Events!$B$6:$B$17&lt;=$B61)*(Events!$B$6:$B$17&lt;&gt;"")),Events!$E$6:$E$17),Inputs!$C$15))</f>
      </c>
      <c r="AQ61" s="7">
        <f>IF($B61="","",IFERROR(LOOKUP(2,1/((Events!$C$6:$C$17="W-4 change")*(Events!$B$6:$B$17&lt;=$B61)*(Events!$B$6:$B$17&lt;&gt;"")),Events!$F$6:$F$17),Inputs!$C$16))</f>
      </c>
      <c r="AR61" s="7">
        <f>IF($B61="","",IFERROR(LOOKUP(2,1/((Events!$C$6:$C$17="W-4 change")*(Events!$B$6:$B$17&lt;=$B61)*(Events!$B$6:$B$17&lt;&gt;"")),Events!$G$6:$G$17),Inputs!$C$17))</f>
      </c>
      <c r="AS61" s="6">
        <f>IF($B61="","",IFERROR(LOOKUP(2,1/(((Events!$C$6:$C$17="State move")+(Events!$C$6:$C$17="State cert change"))*(Events!$B$6:$B$17&lt;=$B61)*(Events!$B$6:$B$17&lt;&gt;"")),Events!$F$6:$F$17),Inputs!$C$23))</f>
      </c>
      <c r="AT61" s="6">
        <f>IF($B61="","",IFERROR(LOOKUP(2,1/(((Events!$C$6:$C$17="State move")+(Events!$C$6:$C$17="State cert change"))*(Events!$B$6:$B$17&lt;=$B61)*(Events!$B$6:$B$17&lt;&gt;"")),Events!$G$6:$G$17),Inputs!$C$24))</f>
      </c>
      <c r="AU61">
        <f>IF($B61="","",IFERROR(LOOKUP(2,1/((Events!$C$6:$C$17="State move")*(Events!$B$6:$B$17&lt;=$B61)*(Events!$B$6:$B$17&lt;&gt;"")),Events!$E$6:$E$17),Inputs!$C$22))</f>
      </c>
      <c r="AV61" s="6">
        <f>IF($B61="","",1+COUNTIFS(Events!$C$6:$C$17,"Employer change",Events!$B$6:$B$17,"&lt;="&amp;$B61,Events!$B$6:$B$17,"&lt;&gt;"))</f>
      </c>
      <c r="AW61" s="7">
        <f>IF($B61="","",IF($AV61=1,Inputs!$C$49,IF(IFERROR(MATCH(IFERROR(LOOKUP(2,1/((Events!$C$6:$C$17="Employer change")*(Events!$B$6:$B$17&lt;=$B61)*(Events!$B$6:$B$17&lt;&gt;"")),Events!$B$6:$B$17),""),$B$6:$B$68,1),1)&lt;=1,Inputs!$C$49,INDEX($AB$6:$AB$68,MATCH(IFERROR(LOOKUP(2,1/((Events!$C$6:$C$17="Employer change")*(Events!$B$6:$B$17&lt;=$B61)*(Events!$B$6:$B$17&lt;&gt;"")),Events!$B$6:$B$17),""),$B$6:$B$68,1)-1))))</f>
      </c>
      <c r="AX61" s="7">
        <f>IF($B61="","",IF($AV61=1,Inputs!$C$49,IFERROR(LOOKUP(2,1/((Events!$C$6:$C$17="Employer change")*(Events!$B$6:$B$17&lt;=$B61)*(Events!$B$6:$B$17&lt;&gt;"")),Events!$D$6:$D$17),0)))</f>
      </c>
      <c r="AY61" s="7">
        <f>IF($B61="","",($O61-$D61)*Inputs!$C$8)</f>
      </c>
      <c r="AZ61" s="7">
        <f>IF($B61="","",IF($AN61="AL",MAX(0,$AY61-IF($AU61="Married",IF($AY61&lt;=25999,8500,MAX(5000,8500-175*CEILING(($AY61-25999)/500,1))),IF($AU61="Head of household",IF($AY61&lt;=25999,5200,MAX(2500,5200-135*CEILING(($AY61-25999)/500,1))),IF($AY61&lt;=25999,3000,MAX(2500,3000-25*CEILING(($AY61-25999)/500,1)))))-($P61-'Methodology &amp; Sources'!$C$260*$D61)*Inputs!$C$8-IF(OR($AU61="Married",$AU61="Head of household"),3000,1500)-$AT61*IF($AY61&lt;=50000,1000,IF($AY61&lt;=100000,500,300))),IF($AN61="AR",IF(MAX(0,$AY61-2470)&lt;97701,INT(MAX(0,$AY61-2470)/100)*100+50,MAX(0,$AY61-2470)),IF($AN61="DE",MAX(0,$AI61-3250),IF($AN61="HI",MAX(0,$AI61-1144*$AS61-4350),IF($AN61="KS",MAX(0,$AI61-(9160*IF($AU61="Married",2,1)+2320*$AT61+IF($AU61="Head of household",2320,0))),IF($AN61="MD",MAX(0,$AI61-3400-3200*$AS61),IF($AN61="MN",MAX(0,$AY61-5300*$AS61),IF($AN61="MO",MAX(0,$AI61-IF($AU61="Head of household",24150,IF($AU61="Married",IF(Inputs!$C$83,16100,32200),16100))),IF($AN61="MT",$AY61,IF($AN61="ND",($C61+$L61)*Inputs!$C$8,IF($AN61="NE",MAX(0,$AY61-2440*$AS61),IF($AN61="NJ",MAX(0,$AY61-1000*$AS61),IF($AN61="NY",MAX(0,$AY61-(IF($AU61="Married",7950,7400)+1000*$AS61)),IF($AN61="OH",MAX(0,$AY61-650*$AS61),IF($AN61="OK",MAX(0,$AY61-1000*$AS61),IF($AN61="RI",MAX(0,$AI61-1000*$AS61),IF($AN61="SC",MAX(0,$AI61-5000*$AS61-IF($AS61=0,0,MIN(0.1*$AI61,7500))),IF($AN61="VA",MAX(0,$AI61-IF($AU61="Married",17500,8750)-930*$AS61-800*$AT61),IF($AN61="VT",MAX(0,$AI61-5400*$AS61),IF($AN61="WI",MAX(0,$AI61-MAX(0,IF($AU61="Married",9461-0.2*MAX(0,$AI61-25727),6702-0.12*MAX(0,$AI61-17780)))-400*$AS61),IF($AN61="WV",MAX(0,$AI61-2000*$AS61),$AI61))))))))))))))))))))))</f>
      </c>
      <c r="BA61" s="7">
        <f>IF($B61="","",IF($BW61&lt;&gt;"",$BW61,IF($BX61&lt;&gt;"",$BX61,IF($BY61&lt;&gt;"",$BY61,0))))</f>
      </c>
      <c r="BB61" s="7">
        <f>IF($B61="","",IF($AN61="AR",-29*$AS61,IF($AN61="DE",-110*$AS61,IF($AN61="MD",$AZ61*Inputs!$C$74,IF($AN61="AZ",Inputs!$C$82*($M61-$D61)*Inputs!$C$8,IF($AN61="CO",0.044*MAX(0,$AY61-IF($AU61="Married",10000,5000)),IF($AN61="IA",MAX(0,0.038*MAX(0,$AY61-IF($AU61="Head of household",19500,IF($AU61="Married",26000,13000)))-40*$AS61),IF($AN61="ID",0.053*MAX(0,$AY61-IF($AU61="Married",32000,16094)),IF($AN61="IL",0.0495*MAX(0,$AY61-(2925*$AS61+1000*$AT61)),IF($AN61="IN",(0.0295+Inputs!$C$76)*MAX(0,$AY61-(1000*$AS61+1500*$AT61+3000*Inputs!$C$86)),IF($AN61="KY",0.035*MAX(0,$AI61-3360),IF($AN61="LA",IF(Inputs!$C$84="0",0.0309*$AI61,0.0309*MAX(0,$AI61-IF(Inputs!$C$84="2",25750,12875))),IF($AN61="MA",0.05*MIN(MAX(0,$AY61-MIN(($BD60+$Q61+$R61+$S61),2000)-IF($AS61=0,0,IF($AS61=1,4400,1000*$AS61+3400))),1107750)+0.09*MAX(0,MAX(0,$AY61-MIN(($BD60+$Q61+$R61+$S61),2000)-IF($AS61=0,0,IF($AS61=1,4400,1000*$AS61+3400)))-1107750)-IF($AU61="Head of household",120,0)-110*Inputs!$C$75,IF($AN61="MI",0.0425*MAX(0,$AY61-5900*$AS61),IF($AN61="MS",0.04*MAX(0,$AI61-IF($AU61="Head of household",3400,IF($AU61="Married",4600,2300))-Inputs!$C$85-10000),IF($AN61="OR",IF(OR($AU61="Married",AND($AU61="Single",$AS61&gt;=3)),SUMPRODUCT((MAX(0,$AY61-MIN(($P61-'Methodology &amp; Sources'!$C$260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Sources'!$B$461:$J$464,0,4))*(MAX(0,$AY61-MIN(($P61-'Methodology &amp; Sources'!$C$260*$D61)*Inputs!$C$8,IF(OR($AU61="Married",AND($AU61="Single",$AS61&gt;=3)),IF($AY61&lt;250000,8750,IF($AY61&lt;260000,7000,IF($AY61&lt;270000,5250,IF($AY61&lt;280000,3500,IF($AY61&lt;290000,1750,0))))),IF($AY61&lt;125000,8750,IF($AY61&lt;130000,7000,IF($AY61&lt;135000,5250,IF($AY61&lt;140000,3500,IF($AY61&lt;145000,1750,0)))))))-IF(OR($AU61="Married",AND($AU61="Single",$AS61&gt;=3)),5820,2910))-INDEX('Methodology &amp; Sources'!$B$461:$J$464,0,4))*INDEX('Methodology &amp; Sources'!$B$461:$J$464,0,4+2)),SUMPRODUCT((MAX(0,$AY61-MIN(($P61-'Methodology &amp; Sources'!$C$260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Sources'!$B$461:$J$464,0,1))*(MAX(0,$AY61-MIN(($P61-'Methodology &amp; Sources'!$C$260*$D61)*Inputs!$C$8,IF(OR($AU61="Married",AND($AU61="Single",$AS61&gt;=3)),IF($AY61&lt;250000,8750,IF($AY61&lt;260000,7000,IF($AY61&lt;270000,5250,IF($AY61&lt;280000,3500,IF($AY61&lt;290000,1750,0))))),IF($AY61&lt;125000,8750,IF($AY61&lt;130000,7000,IF($AY61&lt;135000,5250,IF($AY61&lt;140000,3500,IF($AY61&lt;145000,1750,0)))))))-IF(OR($AU61="Married",AND($AU61="Single",$AS61&gt;=3)),5820,2910))-INDEX('Methodology &amp; Sources'!$B$461:$J$464,0,1))*INDEX('Methodology &amp; Sources'!$B$461:$J$464,0,1+2)))+263-263*IF(IF($AU61="Married",$AY61&gt;200000,$AY61&gt;100000),0,$AS61),IF($AN61="PA",0.0307*(($O61+$E61+$G61)*Inputs!$C$8),IF($AN61="NY",IF($AU61="Married",IF($AZ61&gt;=2155350,0,IF($AZ61&gt;=1077550,0.48,IF($AZ61&gt;=373200,1.21,IF($AZ61&gt;=323200,0.21,IF($AZ61&gt;=211550,-0.19,IF($AZ61&gt;=157650,-2.8,IF($AZ61&gt;=107650,-0.8,IF($AZ61&gt;=96800,0.05,IF($AZ61&gt;=80650,-0.1,IF($AZ61&gt;=13900,0.4,IF($AZ61&gt;=11700,-0.3,IF($AZ61&gt;=8500,0.5,0)))))))))))),IF($AZ61&gt;=1077550,0,IF($AZ61&gt;=265400,4.29,IF($AZ61&gt;=215400,2.29,IF($AZ61&gt;=157650,2.29,IF($AZ61&gt;=107650,0.29,IF($AZ61&gt;=96800,0.05,IF($AZ61&gt;=80650,-0.1,IF($AZ61&gt;=13900,0.4,IF($AZ61&gt;=11700,-0.3,IF($AZ61&gt;=8500,0.5,0))))))))))),0))))))))))))))))))</f>
      </c>
      <c r="BC61" s="7">
        <f>IF($B61="","",IF($AN61="AL",0.05*$D61,IF($AN61="AR",0.039*$D61,IF($AN61="ID",0.053*$D61,IF($AN61="IN",(0.0295+Inputs!$C$76)*$D61,IF($AN61="KS",0.05*$D61,IF($AN61="MA",0.09*MIN($D61,MAX(0,MAX(0,$AY61-MIN(($BD60+$Q61+$R61+$S61),2000)-IF($AS61=0,0,IF($AS61=1,4400,1000*$AS61+3400)))+$D61-1107750))+0.05*($D61-MIN($D61,MAX(0,MAX(0,$AY61-MIN(($BD60+$Q61+$R61+$S61),2000)-IF($AS61=0,0,IF($AS61=1,4400,1000*$AS61+3400)))+$D61-1107750))),IF($AN61="MD",(0.065+Inputs!$C$74)*$D61,IF($AN61="MI",0.0425*$D61,IF($AN61="MN",0.0625*$D61,IF($AN61="MO",0.047*$D61,IF($AN61="MT",0.05*$D61,IF($AN61="ND",0.015*$D61,IF($AN61="NE",0.035*$D61,IF($AN61="NJ",IF(Inputs!$C$77="B",SUMPRODUCT(($D61*Inputs!$C$8&gt;INDEX('Methodology &amp; Sources'!$B$405:$J$412,0,4))*($D61*Inputs!$C$8-INDEX('Methodology &amp; Sources'!$B$405:$J$412,0,4))*INDEX('Methodology &amp; Sources'!$B$405:$J$412,0,4+2)),IF(Inputs!$C$77="C",SUMPRODUCT(($D61*Inputs!$C$8&gt;INDEX('Methodology &amp; Sources'!$B$405:$J$412,0,7))*($D61*Inputs!$C$8-INDEX('Methodology &amp; Sources'!$B$405:$J$412,0,7))*INDEX('Methodology &amp; Sources'!$B$405:$J$412,0,7+2)),IF(Inputs!$C$77="D",SUMPRODUCT(($D61*Inputs!$C$8&gt;INDEX('Methodology &amp; Sources'!$B$417:$J$429,0,1))*($D61*Inputs!$C$8-INDEX('Methodology &amp; Sources'!$B$417:$J$429,0,1))*INDEX('Methodology &amp; Sources'!$B$417:$J$429,0,1+2)),IF(Inputs!$C$77="E",SUMPRODUCT(($D61*Inputs!$C$8&gt;INDEX('Methodology &amp; Sources'!$B$417:$J$429,0,4))*($D61*Inputs!$C$8-INDEX('Methodology &amp; Sources'!$B$417:$J$429,0,4))*INDEX('Methodology &amp; Sources'!$B$417:$J$429,0,4+2)),SUMPRODUCT(($D61*Inputs!$C$8&gt;INDEX('Methodology &amp; Sources'!$B$405:$J$412,0,1))*($D61*Inputs!$C$8-INDEX('Methodology &amp; Sources'!$B$405:$J$412,0,1))*INDEX('Methodology &amp; Sources'!$B$405:$J$412,0,1+2))))))/Inputs!$C$8,IF($AN61="NY",0.117*$D61,IF($AN61="OH",0.0275*$D61,IF($AN61="OK",0.045*$D61,IF($AN61="OR",0.08*$D61,IF($AN61="WI",IF($AY61&lt;12760,0.0354,IF($AY61&lt;25520,0.0465,IF($AY61&lt;280950,0.053,0.0765)))*$D61,0))))))))))))))))))))</f>
      </c>
      <c r="BD61" s="7">
        <f>IF($B61="","",$BD60+$Q61+$R61+$S61)</f>
      </c>
      <c r="BE61" s="6">
        <f>IF($B61="",$BE60,$BE60+$BF61)</f>
      </c>
      <c r="BF61" s="6">
        <f>IF($B61="","",IF(AND(IF(YEAR(IF(Inputs!$C$7="Weekly",Inputs!$C$9+7*(($BE60+1)-1),IF(Inputs!$C$7="Biweekly",Inputs!$C$9+14*(($BE60+1)-1),IF(Inputs!$C$7="Semimonthly",DATE(YEAR(Inputs!$C$9),MONTH(Inputs!$C$9)+INT((($BE60+1)-1)/2),MIN(DAY(Inputs!$C$9),DAY(EOMONTH(DATE(YEAR(Inputs!$C$9),MONTH(Inputs!$C$9)+INT((($BE60+1)-1)/2),1),0))))+IF(MOD(($BE60+1)-1,2)=1,15,0),EDATE(Inputs!$C$9,($BE60+1)-1)))))&lt;&gt;2026,"",IF(Inputs!$C$7="Weekly",Inputs!$C$9+7*(($BE60+1)-1),IF(Inputs!$C$7="Biweekly",Inputs!$C$9+14*(($BE60+1)-1),IF(Inputs!$C$7="Semimonthly",DATE(YEAR(Inputs!$C$9),MONTH(Inputs!$C$9)+INT((($BE60+1)-1)/2),MIN(DAY(Inputs!$C$9),DAY(EOMONTH(DATE(YEAR(Inputs!$C$9),MONTH(Inputs!$C$9)+INT((($BE60+1)-1)/2),1),0))))+IF(MOD(($BE60+1)-1,2)=1,15,0),EDATE(Inputs!$C$9,($BE60+1)-1)))))&lt;&gt;"",$B61=IF(YEAR(IF(Inputs!$C$7="Weekly",Inputs!$C$9+7*(($BE60+1)-1),IF(Inputs!$C$7="Biweekly",Inputs!$C$9+14*(($BE60+1)-1),IF(Inputs!$C$7="Semimonthly",DATE(YEAR(Inputs!$C$9),MONTH(Inputs!$C$9)+INT((($BE60+1)-1)/2),MIN(DAY(Inputs!$C$9),DAY(EOMONTH(DATE(YEAR(Inputs!$C$9),MONTH(Inputs!$C$9)+INT((($BE60+1)-1)/2),1),0))))+IF(MOD(($BE60+1)-1,2)=1,15,0),EDATE(Inputs!$C$9,($BE60+1)-1)))))&lt;&gt;2026,"",IF(Inputs!$C$7="Weekly",Inputs!$C$9+7*(($BE60+1)-1),IF(Inputs!$C$7="Biweekly",Inputs!$C$9+14*(($BE60+1)-1),IF(Inputs!$C$7="Semimonthly",DATE(YEAR(Inputs!$C$9),MONTH(Inputs!$C$9)+INT((($BE60+1)-1)/2),MIN(DAY(Inputs!$C$9),DAY(EOMONTH(DATE(YEAR(Inputs!$C$9),MONTH(Inputs!$C$9)+INT((($BE60+1)-1)/2),1),0))))+IF(MOD(($BE60+1)-1,2)=1,15,0),EDATE(Inputs!$C$9,($BE60+1)-1)))))),1,0))</f>
      </c>
      <c r="BG61" s="7">
        <f>IF($B61="","",$BG60+$H61)</f>
      </c>
      <c r="BH61" s="7">
        <f>IF($B61="","",$BH60+$I61)</f>
      </c>
      <c r="BI61" s="7">
        <f>IF($B61="","",$BI60+$G61)</f>
      </c>
      <c r="BJ61" s="7">
        <f>IF($B61="","",IFERROR(LOOKUP(2,1/((((Events!$C$6:$C$17="Deduction start"))*(Events!$D$6:$D$17="Health FSA"))*(Events!$B$6:$B$17&lt;=$B61)*(Events!$B$6:$B$17&lt;&gt;"")),Events!$E$6:$E$17),Inputs!$D$38))</f>
      </c>
      <c r="BK61" s="7">
        <f>IF($B61="","",IFERROR(LOOKUP(2,1/((((Events!$C$6:$C$17="Deduction start"))*(Events!$D$6:$D$17="Dependent-care FSA"))*(Events!$B$6:$B$17&lt;=$B61)*(Events!$B$6:$B$17&lt;&gt;"")),Events!$E$6:$E$17),Inputs!$D$39))</f>
      </c>
      <c r="BL61" s="7">
        <f>IF($B61="","",IFERROR(LOOKUP(2,1/((((Events!$C$6:$C$17="Deduction start")+(Events!$C$6:$C$17="Deduction stop"))*(Events!$D$6:$D$17="HSA"))*(Events!$B$6:$B$17&lt;=$B61)*(Events!$B$6:$B$17&lt;&gt;"")),Events!$I$6:$I$17),Inputs!$D$35))</f>
      </c>
      <c r="BM61" s="7">
        <f>IF($B61="","",IFERROR(LOOKUP(2,1/((((Events!$C$6:$C$17="Deduction start")+(Events!$C$6:$C$17="Deduction stop"))*(Events!$D$6:$D$17="Premiums"))*(Events!$B$6:$B$17&lt;=$B61)*(Events!$B$6:$B$17&lt;&gt;"")),Events!$I$6:$I$17),Inputs!$D$40+Inputs!$D$41+Inputs!$D$42))</f>
      </c>
      <c r="BN61" s="7">
        <f>IF($B61="","",IFERROR(LOOKUP(2,1/((((Events!$C$6:$C$17="Deduction start")+(Events!$C$6:$C$17="Deduction stop"))*(Events!$D$6:$D$17="Commuter"))*(Events!$B$6:$B$17&lt;=$B61)*(Events!$B$6:$B$17&lt;&gt;"")),Events!$I$6:$I$17),Inputs!$D$43))</f>
      </c>
      <c r="BO61" s="7">
        <f>IF($B61="","",IFERROR(LOOKUP(2,1/((((Events!$C$6:$C$17="Deduction start")+(Events!$C$6:$C$17="Deduction stop"))*(Events!$D$6:$D$17="Other pre-tax"))*(Events!$B$6:$B$17&lt;=$B61)*(Events!$B$6:$B$17&lt;&gt;"")),Events!$I$6:$I$17),Inputs!$D$44))</f>
      </c>
      <c r="BP61" s="7">
        <f>IF($B61="","",IFERROR(LOOKUP(2,1/((((Events!$C$6:$C$17="Deduction start")+(Events!$C$6:$C$17="Deduction stop"))*(Events!$D$6:$D$17="Other post-tax"))*(Events!$B$6:$B$17&lt;=$B61)*(Events!$B$6:$B$17&lt;&gt;"")),Events!$I$6:$I$17),Inputs!$D$45))</f>
      </c>
      <c r="BQ61" s="6">
        <f>IF($B61="","",IFERROR(LOOKUP(2,1/((((Events!$C$6:$C$17="Deduction start")+(Events!$C$6:$C$17="Deduction stop"))*(Events!$D$6:$D$17="Health FSA"))*(Events!$B$6:$B$17&lt;=$B61)*(Events!$B$6:$B$17&lt;&gt;"")),Events!$J$6:$J$17),0))</f>
      </c>
      <c r="BR61" s="6">
        <f>IF($B61="","",IFERROR(LOOKUP(2,1/((((Events!$C$6:$C$17="Deduction start")+(Events!$C$6:$C$17="Deduction stop"))*(Events!$D$6:$D$17="Dependent-care FSA"))*(Events!$B$6:$B$17&lt;=$B61)*(Events!$B$6:$B$17&lt;&gt;"")),Events!$J$6:$J$17),0))</f>
      </c>
      <c r="BS61" s="6">
        <f>IF($B61="","",IF(SUMPRODUCT((Events!$C$6:$C$17="Deduction start")*(Events!$B$6:$B$17&lt;=$B61)*(Events!$B$6:$B$17&lt;&gt;"")*(Events!$D$6:$D$17="Health FSA"))&gt;0,1,0))</f>
      </c>
      <c r="BT61" s="6">
        <f>IF($B61="","",IF(SUMPRODUCT((Events!$C$6:$C$17="Deduction start")*(Events!$B$6:$B$17&lt;=$B61)*(Events!$B$6:$B$17&lt;&gt;"")*(Events!$D$6:$D$17="Dependent-care FSA"))&gt;0,1,0))</f>
      </c>
      <c r="BU61" s="24">
        <f>IF($B61="","",IF(Inputs!$C$13,SUMPRODUCT(($AH61&gt;=INDEX('Methodology &amp; Sources'!$B$279:$J$286,0,IF(Inputs!$C$12="MFJ",1,IF(Inputs!$C$12="HoH",7,4))))*INDEX('Methodology &amp; Sources'!$B$279:$J$286,0,IF(Inputs!$C$12="MFJ",1,IF(Inputs!$C$12="HoH",7,4))+2)),SUMPRODUCT(($AH61&gt;=INDEX('Methodology &amp; Sources'!$B$269:$J$276,0,IF(Inputs!$C$12="MFJ",1,IF(Inputs!$C$12="HoH",7,4))))*INDEX('Methodology &amp; Sources'!$B$269:$J$276,0,IF(Inputs!$C$12="MFJ",1,IF(Inputs!$C$12="HoH",7,4))+2))))</f>
      </c>
      <c r="BV61" s="24">
        <f>IF($B61="","",IF($BZ61&lt;&gt;"",$BZ61,IF($CA61&lt;&gt;"",$CA61,IF($CB61&lt;&gt;"",$CB61,IF($CC61&lt;&gt;"",$CC61,0)))))</f>
      </c>
      <c r="BW61" s="7">
        <f>IF($B61="","",IF($AN61="MD",IF(OR($AU61="Married",$AU61="Head of household"),SUMPRODUCT(($AZ61&gt;INDEX('Methodology &amp; Sources'!$B$364:$J$370,0,1))*($AZ61-INDEX('Methodology &amp; Sources'!$B$364:$J$370,0,1))*INDEX('Methodology &amp; Sources'!$B$364:$J$370,0,1+2)),SUMPRODUCT(($AZ61&gt;INDEX('Methodology &amp; Sources'!$B$353:$J$359,0,7))*($AZ61-INDEX('Methodology &amp; Sources'!$B$353:$J$359,0,7))*INDEX('Methodology &amp; Sources'!$B$353:$J$359,0,7+2))),IF($AN61="MO",SUMPRODUCT(($AZ61&gt;INDEX('Methodology &amp; Sources'!$B$375:$J$382,0,1))*($AZ61-INDEX('Methodology &amp; Sources'!$B$375:$J$382,0,1))*INDEX('Methodology &amp; Sources'!$B$375:$J$382,0,1+2)),IF($AN61="MT",IF($AU61="Head of household",SUMPRODUCT(($AZ61&gt;INDEX('Methodology &amp; Sources'!$B$387:$J$389,0,1))*($AZ61-INDEX('Methodology &amp; Sources'!$B$387:$J$389,0,1))*INDEX('Methodology &amp; Sources'!$B$387:$J$389,0,1+2)),IF($AU61="Married",SUMPRODUCT(($AZ61&gt;INDEX('Methodology &amp; Sources'!$B$375:$J$382,0,7))*($AZ61-INDEX('Methodology &amp; Sources'!$B$375:$J$382,0,7))*INDEX('Methodology &amp; Sources'!$B$375:$J$382,0,7+2)),SUMPRODUCT(($AZ61&gt;INDEX('Methodology &amp; Sources'!$B$375:$J$382,0,4))*($AZ61-INDEX('Methodology &amp; Sources'!$B$375:$J$382,0,4))*INDEX('Methodology &amp; Sources'!$B$375:$J$382,0,4+2)))),IF($AN61="ND",IF($AU61="Head of household",SUMPRODUCT(($AZ61&gt;INDEX('Methodology &amp; Sources'!$B$394:$J$400,0,1))*($AZ61-INDEX('Methodology &amp; Sources'!$B$394:$J$400,0,1))*INDEX('Methodology &amp; Sources'!$B$394:$J$400,0,1+2)),IF($AU61="Married",SUMPRODUCT(($AZ61&gt;INDEX('Methodology &amp; Sources'!$B$387:$J$389,0,7))*($AZ61-INDEX('Methodology &amp; Sources'!$B$387:$J$389,0,7))*INDEX('Methodology &amp; Sources'!$B$387:$J$389,0,7+2)),SUMPRODUCT(($AZ61&gt;INDEX('Methodology &amp; Sources'!$B$387:$J$389,0,4))*($AZ61-INDEX('Methodology &amp; Sources'!$B$387:$J$389,0,4))*INDEX('Methodology &amp; Sources'!$B$387:$J$389,0,4+2)))),IF($AN61="NJ",IF(Inputs!$C$77="B",SUMPRODUCT(($AZ61&gt;INDEX('Methodology &amp; Sources'!$B$405:$J$412,0,4))*($AZ61-INDEX('Methodology &amp; Sources'!$B$405:$J$412,0,4))*INDEX('Methodology &amp; Sources'!$B$405:$J$412,0,4+2)),IF(Inputs!$C$77="C",SUMPRODUCT(($AZ61&gt;INDEX('Methodology &amp; Sources'!$B$405:$J$412,0,7))*($AZ61-INDEX('Methodology &amp; Sources'!$B$405:$J$412,0,7))*INDEX('Methodology &amp; Sources'!$B$405:$J$412,0,7+2)),IF(Inputs!$C$77="D",SUMPRODUCT(($AZ61&gt;INDEX('Methodology &amp; Sources'!$B$417:$J$429,0,1))*($AZ61-INDEX('Methodology &amp; Sources'!$B$417:$J$429,0,1))*INDEX('Methodology &amp; Sources'!$B$417:$J$429,0,1+2)),IF(Inputs!$C$77="E",SUMPRODUCT(($AZ61&gt;INDEX('Methodology &amp; Sources'!$B$417:$J$429,0,4))*($AZ61-INDEX('Methodology &amp; Sources'!$B$417:$J$429,0,4))*INDEX('Methodology &amp; Sources'!$B$417:$J$429,0,4+2)),SUMPRODUCT(($AZ61&gt;INDEX('Methodology &amp; Sources'!$B$405:$J$412,0,1))*($AZ61-INDEX('Methodology &amp; Sources'!$B$405:$J$412,0,1))*INDEX('Methodology &amp; Sources'!$B$405:$J$412,0,1+2)))))),IF($AN61="NY",IF($AU61="Married",IF($AZ61&gt;=2155350,$AZ61*IF($AZ61&gt;25000000,0.117,IF($AZ61&gt;5000000,0.111,0.1045)),SUMPRODUCT(($AZ61&gt;INDEX('Methodology &amp; Sources'!$B$434:$J$448,0,1))*($AZ61-INDEX('Methodology &amp; Sources'!$B$434:$J$448,0,1))*INDEX('Methodology &amp; Sources'!$B$434:$J$448,0,1+2))),IF($AZ61&gt;=1077550,$AZ61*IF($AZ61&gt;25000000,0.117,IF($AZ61&gt;5000000,0.111,0.1045)),SUMPRODUCT(($AZ61&gt;INDEX('Methodology &amp; Sources'!$B$417:$J$429,0,7))*($AZ61-INDEX('Methodology &amp; Sources'!$B$417:$J$429,0,7))*INDEX('Methodology &amp; Sources'!$B$417:$J$429,0,7+2)))),"")))))))</f>
      </c>
      <c r="BX61" s="7">
        <f>IF($B61="","",IF($AN61="AL",IF(OR($AU61="Married",$AU61="Head of household"),SUMPRODUCT(($AZ61&gt;INDEX('Methodology &amp; Sources'!$B$332:$J$336,0,4))*($AZ61-INDEX('Methodology &amp; Sources'!$B$332:$J$336,0,4))*INDEX('Methodology &amp; Sources'!$B$332:$J$336,0,4+2)),SUMPRODUCT(($AZ61&gt;INDEX('Methodology &amp; Sources'!$B$332:$J$336,0,1))*($AZ61-INDEX('Methodology &amp; Sources'!$B$332:$J$336,0,1))*INDEX('Methodology &amp; Sources'!$B$332:$J$336,0,1+2))),IF($AN61="KS",IF($AU61="Married",SUMPRODUCT(($AZ61&gt;INDEX('Methodology &amp; Sources'!$B$353:$J$359,0,4))*($AZ61-INDEX('Methodology &amp; Sources'!$B$353:$J$359,0,4))*INDEX('Methodology &amp; Sources'!$B$353:$J$359,0,4+2)),SUMPRODUCT(($AZ61&gt;INDEX('Methodology &amp; Sources'!$B$353:$J$359,0,1))*($AZ61-INDEX('Methodology &amp; Sources'!$B$353:$J$359,0,1))*INDEX('Methodology &amp; Sources'!$B$353:$J$359,0,1+2))),IF($AN61="MN",IF($AU61="Married",SUMPRODUCT(($AZ61&gt;INDEX('Methodology &amp; Sources'!$B$364:$J$370,0,7))*($AZ61-INDEX('Methodology &amp; Sources'!$B$364:$J$370,0,7))*INDEX('Methodology &amp; Sources'!$B$364:$J$370,0,7+2)),SUMPRODUCT(($AZ61&gt;INDEX('Methodology &amp; Sources'!$B$364:$J$370,0,4))*($AZ61-INDEX('Methodology &amp; Sources'!$B$364:$J$370,0,4))*INDEX('Methodology &amp; Sources'!$B$364:$J$370,0,4+2))),IF($AN61="NE",MAX(IF($AU61="Married",SUMPRODUCT(($AZ61&gt;INDEX('Methodology &amp; Sources'!$B$394:$J$400,0,7))*($AZ61-INDEX('Methodology &amp; Sources'!$B$394:$J$400,0,7))*INDEX('Methodology &amp; Sources'!$B$394:$J$400,0,7+2)),SUMPRODUCT(($AZ61&gt;INDEX('Methodology &amp; Sources'!$B$394:$J$400,0,4))*($AZ61-INDEX('Methodology &amp; Sources'!$B$394:$J$400,0,4))*INDEX('Methodology &amp; Sources'!$B$394:$J$400,0,4+2))),0.015*$AZ61),IF($AN61="OH",IF($B61&gt;=DATE(2026,8,1),SUMPRODUCT(($AZ61&gt;INDEX('Methodology &amp; Sources'!$B$453:$J$456,0,1))*($AZ61-INDEX('Methodology &amp; Sources'!$B$453:$J$456,0,1))*INDEX('Methodology &amp; Sources'!$B$453:$J$456,0,1+2)),SUMPRODUCT(($AZ61&gt;INDEX('Methodology &amp; Sources'!$B$434:$J$448,0,7))*($AZ61-INDEX('Methodology &amp; Sources'!$B$434:$J$448,0,7))*INDEX('Methodology &amp; Sources'!$B$434:$J$448,0,7+2))),IF($AN61="OK",IF($AU61="Married",SUMPRODUCT(($AZ61&gt;INDEX('Methodology &amp; Sources'!$B$453:$J$456,0,7))*($AZ61-INDEX('Methodology &amp; Sources'!$B$453:$J$456,0,7))*INDEX('Methodology &amp; Sources'!$B$453:$J$456,0,7+2)),SUMPRODUCT(($AZ61&gt;INDEX('Methodology &amp; Sources'!$B$453:$J$456,0,4))*($AZ61-INDEX('Methodology &amp; Sources'!$B$453:$J$456,0,4))*INDEX('Methodology &amp; Sources'!$B$453:$J$456,0,4+2))),IF($AN61="RI",SUMPRODUCT(($AZ61&gt;INDEX('Methodology &amp; Sources'!$B$461:$J$464,0,7))*($AZ61-INDEX('Methodology &amp; Sources'!$B$461:$J$464,0,7))*INDEX('Methodology &amp; Sources'!$B$461:$J$464,0,7+2)),IF($AN61="VT",IF($AU61="Married",SUMPRODUCT(($AZ61&gt;INDEX('Methodology &amp; Sources'!$B$478:$J$482,0,1))*($AZ61-INDEX('Methodology &amp; Sources'!$B$478:$J$482,0,1))*INDEX('Methodology &amp; Sources'!$B$478:$J$482,0,1+2)),SUMPRODUCT(($AZ61&gt;INDEX('Methodology &amp; Sources'!$B$469:$J$473,0,7))*($AZ61-INDEX('Methodology &amp; Sources'!$B$469:$J$473,0,7))*INDEX('Methodology &amp; Sources'!$B$469:$J$473,0,7+2))),IF($AN61="WV",IF($AU61="Married",SUMPRODUCT(($AZ61&gt;INDEX('Methodology &amp; Sources'!$B$487:$J$491,0,7))*($AZ61-INDEX('Methodology &amp; Sources'!$B$487:$J$491,0,7))*INDEX('Methodology &amp; Sources'!$B$487:$J$491,0,7+2)),SUMPRODUCT(($AZ61&gt;INDEX('Methodology &amp; Sources'!$B$478:$J$482,0,7))*($AZ61-INDEX('Methodology &amp; Sources'!$B$478:$J$482,0,7))*INDEX('Methodology &amp; Sources'!$B$478:$J$482,0,7+2))),""))))))))))</f>
      </c>
      <c r="BY61" s="7">
        <f>IF($B61="","",IF($AN61="AR",SUMPRODUCT(($AZ61&gt;INDEX('Methodology &amp; Sources'!$B$332:$J$336,0,7))*($AZ61-INDEX('Methodology &amp; Sources'!$B$332:$J$336,0,7))*INDEX('Methodology &amp; Sources'!$B$332:$J$336,0,7+2)),IF($AN61="DE",SUMPRODUCT(($AZ61&gt;INDEX('Methodology &amp; Sources'!$B$341:$J$348,0,1))*($AZ61-INDEX('Methodology &amp; Sources'!$B$341:$J$348,0,1))*INDEX('Methodology &amp; Sources'!$B$341:$J$348,0,1+2)),IF($AN61="HI",IF($AU61="Married",SUMPRODUCT(($AZ61&gt;INDEX('Methodology &amp; Sources'!$B$341:$J$348,0,7))*($AZ61-INDEX('Methodology &amp; Sources'!$B$341:$J$348,0,7))*INDEX('Methodology &amp; Sources'!$B$341:$J$348,0,7+2)),SUMPRODUCT(($AZ61&gt;INDEX('Methodology &amp; Sources'!$B$341:$J$348,0,4))*($AZ61-INDEX('Methodology &amp; Sources'!$B$341:$J$348,0,4))*INDEX('Methodology &amp; Sources'!$B$341:$J$348,0,4+2))),IF($AN61="SC",SUMPRODUCT(($AZ61&gt;INDEX('Methodology &amp; Sources'!$B$469:$J$473,0,1))*($AZ61-INDEX('Methodology &amp; Sources'!$B$469:$J$473,0,1))*INDEX('Methodology &amp; Sources'!$B$469:$J$473,0,1+2)),IF($AN61="VA",SUMPRODUCT(($AZ61&gt;INDEX('Methodology &amp; Sources'!$B$469:$J$473,0,4))*($AZ61-INDEX('Methodology &amp; Sources'!$B$469:$J$473,0,4))*INDEX('Methodology &amp; Sources'!$B$469:$J$473,0,4+2)),IF($AN61="WI",SUMPRODUCT(($AZ61&gt;INDEX('Methodology &amp; Sources'!$B$478:$J$482,0,4))*($AZ61-INDEX('Methodology &amp; Sources'!$B$478:$J$482,0,4))*INDEX('Methodology &amp; Sources'!$B$478:$J$482,0,4+2)),"")))))))</f>
      </c>
      <c r="BZ61" s="24">
        <f>IF($B61="","",IF($AN61="NJ",IF(Inputs!$C$77="B",SUMPRODUCT(($AZ61&gt;=INDEX('Methodology &amp; Sources'!$B$405:$J$412,0,4))*INDEX('Methodology &amp; Sources'!$B$405:$J$412,0,4+2)),IF(Inputs!$C$77="C",SUMPRODUCT(($AZ61&gt;=INDEX('Methodology &amp; Sources'!$B$405:$J$412,0,7))*INDEX('Methodology &amp; Sources'!$B$405:$J$412,0,7+2)),IF(Inputs!$C$77="D",SUMPRODUCT(($AZ61&gt;=INDEX('Methodology &amp; Sources'!$B$417:$J$429,0,1))*INDEX('Methodology &amp; Sources'!$B$417:$J$429,0,1+2)),IF(Inputs!$C$77="E",SUMPRODUCT(($AZ61&gt;=INDEX('Methodology &amp; Sources'!$B$417:$J$429,0,4))*INDEX('Methodology &amp; Sources'!$B$417:$J$429,0,4+2)),SUMPRODUCT(($AZ61&gt;=INDEX('Methodology &amp; Sources'!$B$405:$J$412,0,1))*INDEX('Methodology &amp; Sources'!$B$405:$J$412,0,1+2)))))),IF($AN61="OR",IF(OR($AU61="Married",AND($AU61="Single",$AS61&gt;=3)),SUMPRODUCT((MAX(0,$AY61-MIN(($P61-'Methodology &amp; Sources'!$C$260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Sources'!$B$461:$J$464,0,4))*INDEX('Methodology &amp; Sources'!$B$461:$J$464,0,4+2)),SUMPRODUCT((MAX(0,$AY61-MIN(($P61-'Methodology &amp; Sources'!$C$260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Sources'!$B$461:$J$464,0,1))*INDEX('Methodology &amp; Sources'!$B$461:$J$464,0,1+2)))*IF(($P61-'Methodology &amp; Sources'!$C$260*$D61)*Inputs!$C$8&gt;=IF(OR($AU61="Married",AND($AU61="Single",$AS61&gt;=3)),IF($AY61&lt;250000,8750,IF($AY61&lt;260000,7000,IF($AY61&lt;270000,5250,IF($AY61&lt;280000,3500,IF($AY61&lt;290000,1750,0))))),IF($AY61&lt;125000,8750,IF($AY61&lt;130000,7000,IF($AY61&lt;135000,5250,IF($AY61&lt;140000,3500,IF($AY61&lt;145000,1750,0)))))),1,1-IF(Inputs!$C$13,SUMPRODUCT(($AH61&gt;=INDEX('Methodology &amp; Sources'!$B$279:$J$286,0,IF(Inputs!$C$12="MFJ",1,IF(Inputs!$C$12="HoH",7,4))))*INDEX('Methodology &amp; Sources'!$B$279:$J$286,0,IF(Inputs!$C$12="MFJ",1,IF(Inputs!$C$12="HoH",7,4))+2)),SUMPRODUCT(($AH61&gt;=INDEX('Methodology &amp; Sources'!$B$269:$J$276,0,IF(Inputs!$C$12="MFJ",1,IF(Inputs!$C$12="HoH",7,4))))*INDEX('Methodology &amp; Sources'!$B$269:$J$276,0,IF(Inputs!$C$12="MFJ",1,IF(Inputs!$C$12="HoH",7,4))+2)))),IF($AN61="MI",IF($AY61&gt;5900*$AS61,0.0425,0),""))))</f>
      </c>
      <c r="CA61" s="24">
        <f>IF($B61="","",IF($AN61="AL",IF(OR($AU61="Married",$AU61="Head of household"),SUMPRODUCT(($AZ61&gt;=INDEX('Methodology &amp; Sources'!$B$332:$J$336,0,4))*INDEX('Methodology &amp; Sources'!$B$332:$J$336,0,4+2)),SUMPRODUCT(($AZ61&gt;=INDEX('Methodology &amp; Sources'!$B$332:$J$336,0,1))*INDEX('Methodology &amp; Sources'!$B$332:$J$336,0,1+2)))*(1-IF(Inputs!$C$13,SUMPRODUCT(($AH61&gt;=INDEX('Methodology &amp; Sources'!$B$279:$J$286,0,IF(Inputs!$C$12="MFJ",1,IF(Inputs!$C$12="HoH",7,4))))*INDEX('Methodology &amp; Sources'!$B$279:$J$286,0,IF(Inputs!$C$12="MFJ",1,IF(Inputs!$C$12="HoH",7,4))+2)),SUMPRODUCT(($AH61&gt;=INDEX('Methodology &amp; Sources'!$B$269:$J$276,0,IF(Inputs!$C$12="MFJ",1,IF(Inputs!$C$12="HoH",7,4))))*INDEX('Methodology &amp; Sources'!$B$269:$J$276,0,IF(Inputs!$C$12="MFJ",1,IF(Inputs!$C$12="HoH",7,4))+2)))),IF($AN61="KS",IF($AU61="Married",SUMPRODUCT(($AZ61&gt;=INDEX('Methodology &amp; Sources'!$B$353:$J$359,0,4))*INDEX('Methodology &amp; Sources'!$B$353:$J$359,0,4+2)),SUMPRODUCT(($AZ61&gt;=INDEX('Methodology &amp; Sources'!$B$353:$J$359,0,1))*INDEX('Methodology &amp; Sources'!$B$353:$J$359,0,1+2))),IF($AN61="MD",IF(OR($AU61="Married",$AU61="Head of household"),SUMPRODUCT(($AZ61&gt;=INDEX('Methodology &amp; Sources'!$B$364:$J$370,0,1))*INDEX('Methodology &amp; Sources'!$B$364:$J$370,0,1+2)),SUMPRODUCT(($AZ61&gt;=INDEX('Methodology &amp; Sources'!$B$353:$J$359,0,7))*INDEX('Methodology &amp; Sources'!$B$353:$J$359,0,7+2)))+Inputs!$C$74,IF($AN61="MT",IF($AU61="Head of household",SUMPRODUCT(($AZ61&gt;=INDEX('Methodology &amp; Sources'!$B$387:$J$389,0,1))*INDEX('Methodology &amp; Sources'!$B$387:$J$389,0,1+2)),IF($AU61="Married",SUMPRODUCT(($AZ61&gt;=INDEX('Methodology &amp; Sources'!$B$375:$J$382,0,7))*INDEX('Methodology &amp; Sources'!$B$375:$J$382,0,7+2)),SUMPRODUCT(($AZ61&gt;=INDEX('Methodology &amp; Sources'!$B$375:$J$382,0,4))*INDEX('Methodology &amp; Sources'!$B$375:$J$382,0,4+2)))),IF($AN61="ND",IF($AU61="Head of household",SUMPRODUCT(($AZ61&gt;=INDEX('Methodology &amp; Sources'!$B$394:$J$400,0,1))*INDEX('Methodology &amp; Sources'!$B$394:$J$400,0,1+2)),IF($AU61="Married",SUMPRODUCT(($AZ61&gt;=INDEX('Methodology &amp; Sources'!$B$387:$J$389,0,7))*INDEX('Methodology &amp; Sources'!$B$387:$J$389,0,7+2)),SUMPRODUCT(($AZ61&gt;=INDEX('Methodology &amp; Sources'!$B$387:$J$389,0,4))*INDEX('Methodology &amp; Sources'!$B$387:$J$389,0,4+2)))),IF($AN61="NY",IF($AU61="Married",IF($AZ61&gt;=2155350,IF($AZ61&gt;25000000,0.117,IF($AZ61&gt;5000000,0.111,0.1045)),SUMPRODUCT(($AZ61&gt;=INDEX('Methodology &amp; Sources'!$B$434:$J$448,0,1))*INDEX('Methodology &amp; Sources'!$B$434:$J$448,0,1+2))),IF($AZ61&gt;=1077550,IF($AZ61&gt;25000000,0.117,IF($AZ61&gt;5000000,0.111,0.1045)),SUMPRODUCT(($AZ61&gt;=INDEX('Methodology &amp; Sources'!$B$417:$J$429,0,7))*INDEX('Methodology &amp; Sources'!$B$417:$J$429,0,7+2)))),"")))))))</f>
      </c>
      <c r="CB61" s="24">
        <f>IF($B61="","",IF($AN61="CA",SUMPRODUCT(($AJ61&gt;=INDEX('Methodology &amp; Sources'!$B$289:$J$298,0,IF($AU61="Married",4,IF($AU61="Head of household",7,1))))*INDEX('Methodology &amp; Sources'!$B$289:$J$298,0,IF($AU61="Married",4,IF($AU61="Head of household",7,1))+2)),IF($AN61="HI",IF($AU61="Married",SUMPRODUCT(($AZ61&gt;=INDEX('Methodology &amp; Sources'!$B$341:$J$348,0,7))*INDEX('Methodology &amp; Sources'!$B$341:$J$348,0,7+2)),SUMPRODUCT(($AZ61&gt;=INDEX('Methodology &amp; Sources'!$B$341:$J$348,0,4))*INDEX('Methodology &amp; Sources'!$B$341:$J$348,0,4+2))),IF($AN61="MN",IF($AU61="Married",SUMPRODUCT(($AZ61&gt;=INDEX('Methodology &amp; Sources'!$B$364:$J$370,0,7))*INDEX('Methodology &amp; Sources'!$B$364:$J$370,0,7+2)),SUMPRODUCT(($AZ61&gt;=INDEX('Methodology &amp; Sources'!$B$364:$J$370,0,4))*INDEX('Methodology &amp; Sources'!$B$364:$J$370,0,4+2))),IF($AN61="MO",SUMPRODUCT(($AZ61&gt;=INDEX('Methodology &amp; Sources'!$B$375:$J$382,0,1))*INDEX('Methodology &amp; Sources'!$B$375:$J$382,0,1+2)),IF($AN61="NE",MAX(IF($AU61="Married",SUMPRODUCT(($AZ61&gt;=INDEX('Methodology &amp; Sources'!$B$394:$J$400,0,7))*INDEX('Methodology &amp; Sources'!$B$394:$J$400,0,7+2)),SUMPRODUCT(($AZ61&gt;=INDEX('Methodology &amp; Sources'!$B$394:$J$400,0,4))*INDEX('Methodology &amp; Sources'!$B$394:$J$400,0,4+2))),0.015),IF($AN61="OH",IF($B61&gt;=DATE(2026,8,1),SUMPRODUCT(($AZ61&gt;=INDEX('Methodology &amp; Sources'!$B$453:$J$456,0,1))*INDEX('Methodology &amp; Sources'!$B$453:$J$456,0,1+2)),SUMPRODUCT(($AZ61&gt;=INDEX('Methodology &amp; Sources'!$B$434:$J$448,0,7))*INDEX('Methodology &amp; Sources'!$B$434:$J$448,0,7+2))),IF($AN61="OK",IF($AU61="Married",SUMPRODUCT(($AZ61&gt;=INDEX('Methodology &amp; Sources'!$B$453:$J$456,0,7))*INDEX('Methodology &amp; Sources'!$B$453:$J$456,0,7+2)),SUMPRODUCT(($AZ61&gt;=INDEX('Methodology &amp; Sources'!$B$453:$J$456,0,4))*INDEX('Methodology &amp; Sources'!$B$453:$J$456,0,4+2))),IF($AN61="RI",SUMPRODUCT(($AZ61&gt;=INDEX('Methodology &amp; Sources'!$B$461:$J$464,0,7))*INDEX('Methodology &amp; Sources'!$B$461:$J$464,0,7+2)),IF($AN61="SC",SUMPRODUCT(($AZ61&gt;=INDEX('Methodology &amp; Sources'!$B$469:$J$473,0,1))*INDEX('Methodology &amp; Sources'!$B$469:$J$473,0,1+2)),IF($AN61="VT",IF($AU61="Married",SUMPRODUCT(($AZ61&gt;=INDEX('Methodology &amp; Sources'!$B$478:$J$482,0,1))*INDEX('Methodology &amp; Sources'!$B$478:$J$482,0,1+2)),SUMPRODUCT(($AZ61&gt;=INDEX('Methodology &amp; Sources'!$B$469:$J$473,0,7))*INDEX('Methodology &amp; Sources'!$B$469:$J$473,0,7+2))),IF($AN61="WV",IF($AU61="Married",SUMPRODUCT(($AZ61&gt;=INDEX('Methodology &amp; Sources'!$B$487:$J$491,0,7))*INDEX('Methodology &amp; Sources'!$B$487:$J$491,0,7+2)),SUMPRODUCT(($AZ61&gt;=INDEX('Methodology &amp; Sources'!$B$478:$J$482,0,7))*INDEX('Methodology &amp; Sources'!$B$478:$J$482,0,7+2))),IF($AN61="IN",(0.0295+Inputs!$C$76),"")))))))))))))</f>
      </c>
      <c r="CC61" s="24">
        <f>IF($B61="","",IF($AN61="AR",SUMPRODUCT(($AZ61&gt;=INDEX('Methodology &amp; Sources'!$B$332:$J$336,0,7))*INDEX('Methodology &amp; Sources'!$B$332:$J$336,0,7+2)),IF($AN61="DE",SUMPRODUCT(($AZ61&gt;=INDEX('Methodology &amp; Sources'!$B$341:$J$348,0,1))*INDEX('Methodology &amp; Sources'!$B$341:$J$348,0,1+2)),IF($AN61="VA",SUMPRODUCT(($AZ61&gt;=INDEX('Methodology &amp; Sources'!$B$469:$J$473,0,4))*INDEX('Methodology &amp; Sources'!$B$469:$J$473,0,4+2)),IF($AN61="WI",SUMPRODUCT(($AZ61&gt;=INDEX('Methodology &amp; Sources'!$B$478:$J$482,0,4))*INDEX('Methodology &amp; Sources'!$B$478:$J$482,0,4+2)),IF($AN61="AZ",Inputs!$C$82,IF($AN61="CO",IF($AY61&gt;IF($AU61="Married",10000,5000),0.044,0),IF($AN61="IA",IF($AY61&gt;IF($AU61="Head of household",19500,IF($AU61="Married",26000,13000)),0.038,0),IF($AN61="ID",IF($AY61&gt;IF($AU61="Married",32000,16094),0.053,0),IF($AN61="IL",IF($AY61&gt;(2925*$AS61+1000*$AT61),0.0495,0),IF($AN61="KY",IF($AI61&gt;3360,0.035,0),IF($AN61="LA",0.0309,IF($AN61="MA",IF(MAX(0,$AY61-MIN(($BD60+$Q61+$R61+$S61),2000)-IF($AS61=0,0,IF($AS61=1,4400,1000*$AS61+3400)))&gt;=1107750,0.09,0.05),IF($AN61="MS",IF($AI61-IF($AU61="Head of household",3400,IF($AU61="Married",4600,2300))-Inputs!$C$85&gt;10000,0.04,0),IF($AN61="PA",0.0307,"")))))))))))))))</f>
      </c>
      <c r="CD61" s="21">
        <f>IF(YEAR(IF(Inputs!$C$7="Weekly",Inputs!$C$9+7*(($BE60+1)-1),IF(Inputs!$C$7="Biweekly",Inputs!$C$9+14*(($BE60+1)-1),IF(Inputs!$C$7="Semimonthly",DATE(YEAR(Inputs!$C$9),MONTH(Inputs!$C$9)+INT((($BE60+1)-1)/2),MIN(DAY(Inputs!$C$9),DAY(EOMONTH(DATE(YEAR(Inputs!$C$9),MONTH(Inputs!$C$9)+INT((($BE60+1)-1)/2),1),0))))+IF(MOD(($BE60+1)-1,2)=1,15,0),EDATE(Inputs!$C$9,($BE60+1)-1)))))&lt;&gt;2026,"",IF(Inputs!$C$7="Weekly",Inputs!$C$9+7*(($BE60+1)-1),IF(Inputs!$C$7="Biweekly",Inputs!$C$9+14*(($BE60+1)-1),IF(Inputs!$C$7="Semimonthly",DATE(YEAR(Inputs!$C$9),MONTH(Inputs!$C$9)+INT((($BE60+1)-1)/2),MIN(DAY(Inputs!$C$9),DAY(EOMONTH(DATE(YEAR(Inputs!$C$9),MONTH(Inputs!$C$9)+INT((($BE60+1)-1)/2),1),0))))+IF(MOD(($BE60+1)-1,2)=1,15,0),EDATE(Inputs!$C$9,($BE60+1)-1)))))</f>
      </c>
      <c r="CE61" s="21">
        <f>IF(SUMPRODUCT(MIN(IF((Inputs!$C$58:$C$67&gt;MAX($B$6:$B60))*(Inputs!$C$58:$C$67&gt;=DATE(2026,1,1))*(Inputs!$C$58:$C$67&lt;=DATE(2026,12,31)),Inputs!$C$58:$C$67,999999)))=999999,"",SUMPRODUCT(MIN(IF((Inputs!$C$58:$C$67&gt;MAX($B$6:$B60))*(Inputs!$C$58:$C$67&gt;=DATE(2026,1,1))*(Inputs!$C$58:$C$67&lt;=DATE(2026,12,31)),Inputs!$C$58:$C$67,999999))))</f>
      </c>
    </row>
    <row r="62">
      <c r="A62" t="n">
        <v>57</v>
      </c>
      <c r="B62" s="21">
        <f>IF(AND($CD62="",$CE62=""),"",IF($CE62="",$CD62,IF($CD62="",$CE62,MIN($CD62,$CE62))))</f>
      </c>
      <c r="C62" s="7">
        <f>IF($B62="","",IF($BF62=0,0,IF(Inputs!$C$4="Annual salary",ROUND($AK62/IF(AND(Inputs!$C$88="Actual paydays",MONTH(Inputs!$C$9)=1),MAX(1,MAX($BE$6:$BE$68)),Inputs!$C$8),2),$AK62)))</f>
      </c>
      <c r="D62" s="7">
        <f>IF($B62="","",SUMIF(Inputs!$C$58:$C$67,$B62,Inputs!$D$58:$D$67))</f>
      </c>
      <c r="E62" s="7">
        <f>IF($B62="","",ROUND(MAX(0,MIN(IF($AL62="Percent",$AM62*($C62+$D62),$AM62),MAX(0,Inputs!$C$91-$AC61))),2))</f>
      </c>
      <c r="F62" s="7">
        <f>IF($B62="","",ROUND(MAX(0,MIN(IF(Inputs!$C$32="Percent",Inputs!$D$32*($C62+$D62),Inputs!$D$32),MAX(0,Inputs!$C$91-$AC61-$E62))),2))</f>
      </c>
      <c r="G62" s="7">
        <f>IF($B62="","",IF($BF62=0,0,ROUND(MAX(0,MIN($BL62,Inputs!$C$92-Inputs!$C$54-$BI61)),2)))</f>
      </c>
      <c r="H62" s="7">
        <f>IF($B62="","",IF(OR($BF62=0,$BQ62=1),0,ROUND(MAX(0,MIN(IF($BS62=1,ROUND(MAX(0,MIN($BJ62,'Methodology &amp; Sources'!$C$263)-$BG61)/MAX(1,MAX($BE$6:$BE$68)-($BE61)),2),ROUND(MIN($BJ62,'Methodology &amp; Sources'!$C$263)/Inputs!$C$8,2)),MIN($BJ62,'Methodology &amp; Sources'!$C$263)-$BG61)),2)))</f>
      </c>
      <c r="I62" s="7">
        <f>IF($B62="","",IF(OR($BF62=0,$BR62=1),0,ROUND(MAX(0,MIN(IF($BT62=1,ROUND(MAX(0,MIN($BK62,IF(Inputs!$C$12="MFJ",'Methodology &amp; Sources'!$C$264,'Methodology &amp; Sources'!$C$265))-$BH61)/MAX(1,MAX($BE$6:$BE$68)-($BE61)),2),ROUND(MIN($BK62,IF(Inputs!$C$12="MFJ",'Methodology &amp; Sources'!$C$264,'Methodology &amp; Sources'!$C$265))/Inputs!$C$8,2)),MIN($BK62,IF(Inputs!$C$12="MFJ",'Methodology &amp; Sources'!$C$264,'Methodology &amp; Sources'!$C$265))-$BH61)),2)))</f>
      </c>
      <c r="J62" s="7">
        <f>IF($B62="","",IF($BF62=0,0,$BM62))</f>
      </c>
      <c r="K62" s="7">
        <f>IF($B62="","",IF($BF62=0,0,$BN62+$BO62))</f>
      </c>
      <c r="L62" s="7">
        <f>IF($B62="","",IF($BF62=0,0,Inputs!$D$46))</f>
      </c>
      <c r="M62" s="7">
        <f>IF($B62="","",$C62+$D62+$L62-$E62-$G62-$H62-$I62-$J62-$K62)</f>
      </c>
      <c r="N62" s="7">
        <f>IF($B62="","",$C62+$D62+$L62-$G62-$H62-$I62-$J62-$K62)</f>
      </c>
      <c r="O62" s="7">
        <f>IF($B62="","",$C62+$D62+$L62-$E62-$H62-$I62-$J62-$K62-IF(OR($AN62="CA",$AN62="NJ"),0,$G62))</f>
      </c>
      <c r="P62" s="7">
        <f>IF($B62="","",IF(Inputs!$C$18,0,ROUND(MAX(0,IF(Inputs!$C$13,SUMPRODUCT(($AH62&gt;INDEX('Methodology &amp; Sources'!$B$279:$J$286,0,IF(Inputs!$C$12="MFJ",1,IF(Inputs!$C$12="HoH",7,4))))*($AH62-INDEX('Methodology &amp; Sources'!$B$279:$J$286,0,IF(Inputs!$C$12="MFJ",1,IF(Inputs!$C$12="HoH",7,4))))*INDEX('Methodology &amp; Sources'!$B$279:$J$286,0,IF(Inputs!$C$12="MFJ",1,IF(Inputs!$C$12="HoH",7,4))+2)),SUMPRODUCT(($AH62&gt;INDEX('Methodology &amp; Sources'!$B$269:$J$276,0,IF(Inputs!$C$12="MFJ",1,IF(Inputs!$C$12="HoH",7,4))))*($AH62-INDEX('Methodology &amp; Sources'!$B$269:$J$276,0,IF(Inputs!$C$12="MFJ",1,IF(Inputs!$C$12="HoH",7,4))))*INDEX('Methodology &amp; Sources'!$B$269:$J$276,0,IF(Inputs!$C$12="MFJ",1,IF(Inputs!$C$12="HoH",7,4))+2)))/Inputs!$C$8-$AO62/Inputs!$C$8)+$AR62+IF(Inputs!$C$89="Aggregate",MAX(0,IF(Inputs!$C$13,SUMPRODUCT((($AH62+$D62)&gt;INDEX('Methodology &amp; Sources'!$B$279:$J$286,0,IF(Inputs!$C$12="MFJ",1,IF(Inputs!$C$12="HoH",7,4))))*(($AH62+$D62)-INDEX('Methodology &amp; Sources'!$B$279:$J$286,0,IF(Inputs!$C$12="MFJ",1,IF(Inputs!$C$12="HoH",7,4))))*INDEX('Methodology &amp; Sources'!$B$279:$J$286,0,IF(Inputs!$C$12="MFJ",1,IF(Inputs!$C$12="HoH",7,4))+2)),SUMPRODUCT((($AH62+$D62)&gt;INDEX('Methodology &amp; Sources'!$B$269:$J$276,0,IF(Inputs!$C$12="MFJ",1,IF(Inputs!$C$12="HoH",7,4))))*(($AH62+$D62)-INDEX('Methodology &amp; Sources'!$B$269:$J$276,0,IF(Inputs!$C$12="MFJ",1,IF(Inputs!$C$12="HoH",7,4))))*INDEX('Methodology &amp; Sources'!$B$269:$J$276,0,IF(Inputs!$C$12="MFJ",1,IF(Inputs!$C$12="HoH",7,4))+2)))-IF(Inputs!$C$13,SUMPRODUCT(($AH62&gt;INDEX('Methodology &amp; Sources'!$B$279:$J$286,0,IF(Inputs!$C$12="MFJ",1,IF(Inputs!$C$12="HoH",7,4))))*($AH62-INDEX('Methodology &amp; Sources'!$B$279:$J$286,0,IF(Inputs!$C$12="MFJ",1,IF(Inputs!$C$12="HoH",7,4))))*INDEX('Methodology &amp; Sources'!$B$279:$J$286,0,IF(Inputs!$C$12="MFJ",1,IF(Inputs!$C$12="HoH",7,4))+2)),SUMPRODUCT(($AH62&gt;INDEX('Methodology &amp; Sources'!$B$269:$J$276,0,IF(Inputs!$C$12="MFJ",1,IF(Inputs!$C$12="HoH",7,4))))*($AH62-INDEX('Methodology &amp; Sources'!$B$269:$J$276,0,IF(Inputs!$C$12="MFJ",1,IF(Inputs!$C$12="HoH",7,4))))*INDEX('Methodology &amp; Sources'!$B$269:$J$276,0,IF(Inputs!$C$12="MFJ",1,IF(Inputs!$C$12="HoH",7,4))+2)))),'Methodology &amp; Sources'!$C$260*$D62),2)))</f>
      </c>
      <c r="Q62" s="7">
        <f>IF($B62="","",ROUND('Methodology &amp; Sources'!$C$254*MIN($N62,MAX(0,'Methodology &amp; Sources'!$C$253-($AX62+$AB61-$AW62))),2))</f>
      </c>
      <c r="R62" s="7">
        <f>IF($B62="","",ROUND('Methodology &amp; Sources'!$C$255*$N62,2))</f>
      </c>
      <c r="S62" s="7">
        <f>IF($B62="","",ROUND('Methodology &amp; Sources'!$C$256*MAX(0,MIN($N62,$AG61+$N62-'Methodology &amp; Sources'!$C$257)),2))</f>
      </c>
      <c r="T62" s="7">
        <f>IF($B62="","",IF(Inputs!$C$26,0,IF($AN62="CA",ROUND(IF($AI62&lt;=IF(($AS62+$AT62)&gt;=2,VLOOKUP($AN62,'StateTables 2026'!$A$6:$AB$56,10,FALSE),VLOOKUP($AN62,'StateTables 2026'!$A$6:$AB$56,9,FALSE)),0,MAX(0,SUMPRODUCT(($AJ62&gt;INDEX('Methodology &amp; Sources'!$B$289:$J$298,0,IF($AU62="Married",4,IF($AU62="Head of household",7,1))))*($AJ62-INDEX('Methodology &amp; Sources'!$B$289:$J$298,0,IF($AU62="Married",4,IF($AU62="Head of household",7,1))))*INDEX('Methodology &amp; Sources'!$B$289:$J$298,0,IF($AU62="Married",4,IF($AU62="Head of household",7,1))+2))-VLOOKUP($AN62,'StateTables 2026'!$A$6:$AB$56,11,FALSE)*$AS62)/Inputs!$C$8)+Inputs!$C$25+VLOOKUP($AN62,'StateTables 2026'!$A$6:$AB$56,13,FALSE)*$D62,2),IF(VLOOKUP($AN62,'StateTables 2026'!$A$6:$AB$56,4,FALSE)="None",0,IF(ISNUMBER(SEARCH("MANUAL",VLOOKUP($AN62,'StateTables 2026'!$A$6:$AB$56,5,FALSE))),Inputs!$C$28,ROUND(MAX(0,$BA62+$BB62)/Inputs!$C$8+Inputs!$C$25+$BC62,2))))))</f>
      </c>
      <c r="U62" s="7">
        <f>IF($B62="","",IF(VLOOKUP($AN62,'StateTables 2026'!$A$6:$AB$56,24,FALSE)="flatq",IF(OR(MONTH($B62)=1,MONTH($B62)=4,MONTH($B62)=7,MONTH($B62)=10),VLOOKUP($AN62,'StateTables 2026'!$A$6:$AB$56,25,FALSE),0),IF(VLOOKUP($AN62,'StateTables 2026'!$A$6:$AB$56,24,FALSE)="dbl",MIN(ROUND(0.005*$N62,2),ROUND(0.6*52/Inputs!$C$8,2)),IF(OR(VLOOKUP($AN62,'StateTables 2026'!$A$6:$AB$56,15,FALSE)="",VLOOKUP($AN62,'StateTables 2026'!$A$6:$AB$56,15,FALSE)=0),0,ROUND(VLOOKUP($AN62,'StateTables 2026'!$A$6:$AB$56,15,FALSE)*IF(OR(VLOOKUP($AN62,'StateTables 2026'!$A$6:$AB$56,16,FALSE)="",VLOOKUP($AN62,'StateTables 2026'!$A$6:$AB$56,16,FALSE)=0),$N62,MIN($N62,MAX(0,VLOOKUP($AN62,'StateTables 2026'!$A$6:$AB$56,16,FALSE)-($AX62+$AB61-$AW62)))),2))))+IF(VLOOKUP($AN62,'StateTables 2026'!$A$6:$AB$56,27,FALSE)="flatq",IF(OR(MONTH($B62)=1,MONTH($B62)=4,MONTH($B62)=7,MONTH($B62)=10),VLOOKUP($AN62,'StateTables 2026'!$A$6:$AB$56,28,FALSE),0),IF(VLOOKUP($AN62,'StateTables 2026'!$A$6:$AB$56,27,FALSE)="dbl",MIN(ROUND(0.005*$N62,2),ROUND(0.6*52/Inputs!$C$8,2)),IF(OR(VLOOKUP($AN62,'StateTables 2026'!$A$6:$AB$56,18,FALSE)="",VLOOKUP($AN62,'StateTables 2026'!$A$6:$AB$56,18,FALSE)=0),0,ROUND(VLOOKUP($AN62,'StateTables 2026'!$A$6:$AB$56,18,FALSE)*IF(OR(VLOOKUP($AN62,'StateTables 2026'!$A$6:$AB$56,19,FALSE)="",VLOOKUP($AN62,'StateTables 2026'!$A$6:$AB$56,19,FALSE)=0),$N62,MIN($N62,MAX(0,VLOOKUP($AN62,'StateTables 2026'!$A$6:$AB$56,19,FALSE)-($AX62+$AB61-$AW62)))),2)))))</f>
      </c>
      <c r="V62" s="7">
        <f>IF($B62="","",IF($AN62="NY",IF(Inputs!$C$78,ROUND(SUMPRODUCT((MAX(0,($O62-$D62)*Inputs!$C$8-(IF($AU62="Married",5500,5000)+1000*$AS62))&gt;INDEX('Methodology &amp; Sources'!$B$434:$J$448,0,4))*(MAX(0,($O62-$D62)*Inputs!$C$8-(IF($AU62="Married",5500,5000)+1000*$AS62))-INDEX('Methodology &amp; Sources'!$B$434:$J$448,0,4))*INDEX('Methodology &amp; Sources'!$B$434:$J$448,0,4+2))/Inputs!$C$8+0.0425*$D62,2),0)+IF(Inputs!$C$79="Resident",ROUND(0.1675*$T62,2),IF(Inputs!$C$79="Nonresident",ROUND(0.005*MAX(0,($O62-$D62)-(IF($AU62="Married",7950,7400)+1000*$AS62)/Inputs!$C$8),2),0)),IF($AN62="PA",IF(Inputs!$C$80="None",Inputs!$C$27+ROUND(Inputs!$C$81*($C62+$D62),2),ROUND(IF(Inputs!$C$80="Resident",IF($B62&lt;DATE(2026,7,1),0.0374,0.03735),IF($B62&lt;DATE(2026,7,1),0.0343,0.03425))*($C62+$D62),2)),IF($BF62=0,ROUND(Inputs!$C$81*($C62+$D62),2),Inputs!$C$27+ROUND(Inputs!$C$81*($C62+$D62),2)))))</f>
      </c>
      <c r="W62" s="7">
        <f>IF($B62="","",IF($BF62=0,0,$BP62))</f>
      </c>
      <c r="X62" s="7">
        <f>IF($B62="","",SUM($E62:$K62)+$P62+$Q62+$R62+$S62+$T62+$U62+$V62+$W62)</f>
      </c>
      <c r="Y62" s="22">
        <f>IF($B62="","",$C62+$D62-$X62)</f>
      </c>
      <c r="Z62" s="7">
        <f>IF($B62="","",$Z61+$C62+$D62)</f>
      </c>
      <c r="AA62" s="7">
        <f>IF($B62="","",$AA61+$Y62)</f>
      </c>
      <c r="AB62" s="7">
        <f>IF($B62="","",$AB61+MIN($N62,MAX(0,'Methodology &amp; Sources'!$C$253-($AX62+$AB61-$AW62))))</f>
      </c>
      <c r="AC62" s="7">
        <f>IF($B62="","",$AC61+$E62+$F62)</f>
      </c>
      <c r="AD62" s="3">
        <f>IF($B62="","",IF(AND($AB61&lt;'Methodology &amp; Sources'!$C$253,$AB62&gt;='Methodology &amp; Sources'!$C$253),"★ Social Security maxed on this check — from the next check your net rises by about $"&amp;TEXT(ROUND('Methodology &amp; Sources'!$C$254*$N62,2),"#,##0.00")&amp;". ","")&amp;IF(AND($AC61&lt;Inputs!$C$91,$AC62&gt;=Inputs!$C$91),"★ 401(k) reaches the $"&amp;TEXT(Inputs!$C$91,"#,##0")&amp;" cap on this check — deferrals stop and net pay rises. ","")&amp;IF(AND($AG61&lt;'Methodology &amp; Sources'!$C$257,$AG62&gt;='Methodology &amp; Sources'!$C$257),"★ Wages pass $200,000 — the 0.9% Additional Medicare Tax starts here. ","")&amp;IF(AND($BJ62&gt;0,$H62&gt;0,$BG61&lt;MIN($BJ62,'Methodology &amp; Sources'!$C$263),$BG61+$H62&gt;=MIN($BJ62,'Methodology &amp; Sources'!$C$263)),"★ Health FSA election is now fully deferred for the year. ",""))</f>
      </c>
      <c r="AE62" s="41" t="n"/>
      <c r="AF62" s="7">
        <f>IF(OR($B62="",$AE62=""),"",$AE62-$Y62)</f>
      </c>
      <c r="AG62" s="7">
        <f>IF($B62="","",$AG61+$N62)</f>
      </c>
      <c r="AH62" s="7">
        <f>IF($B62="","",MAX(0,($M62-$D62)*Inputs!$C$8+$AP62-$AQ62-IF(Inputs!$C$13,0,IF(Inputs!$C$12="MFJ",'Methodology &amp; Sources'!$C$258,'Methodology &amp; Sources'!$C$259))))</f>
      </c>
      <c r="AI62" s="7">
        <f>IF($B62="","",$O62*Inputs!$C$8)</f>
      </c>
      <c r="AJ62" s="7">
        <f>IF($B62="","",MAX(0,$AI62-VLOOKUP($AN62,'StateTables 2026'!$A$6:$AB$56,12,FALSE)*$AT62-IF(($AS62+$AT62)&gt;=2,VLOOKUP($AN62,'StateTables 2026'!$A$6:$AB$56,8,FALSE),VLOOKUP($AN62,'StateTables 2026'!$A$6:$AB$56,7,FALSE))))</f>
      </c>
      <c r="AK62" s="7">
        <f>IF($B62="","",IFERROR(LOOKUP(2,1/((Events!$C$6:$C$17="Salary change")*(Events!$B$6:$B$17&lt;=$B62)*(Events!$B$6:$B$17&lt;&gt;"")),Events!$D$6:$D$17),IF(Inputs!$C$4="Annual salary",Inputs!$C$5,Inputs!$C$6)))</f>
      </c>
      <c r="AL62">
        <f>IF($B62="","",IFERROR(LOOKUP(2,1/((Events!$C$6:$C$17="401(k) change")*(Events!$B$6:$B$17&lt;=$B62)*(Events!$B$6:$B$17&lt;&gt;"")),Events!$D$6:$D$17),Inputs!$C$30))</f>
      </c>
      <c r="AM62" s="7">
        <f>IF($B62="","",IFERROR(LOOKUP(2,1/((Events!$C$6:$C$17="401(k) change")*(Events!$B$6:$B$17&lt;=$B62)*(Events!$B$6:$B$17&lt;&gt;"")),Events!$E$6:$E$17),Inputs!$D$30))</f>
      </c>
      <c r="AN62">
        <f>IF($B62="","",IFERROR(LOOKUP(2,1/((Events!$C$6:$C$17="State move")*(Events!$B$6:$B$17&lt;=$B62)*(Events!$B$6:$B$17&lt;&gt;"")),Events!$D$6:$D$17),Inputs!$C$21))</f>
      </c>
      <c r="AO62" s="7">
        <f>IF($B62="","",IFERROR(LOOKUP(2,1/((Events!$C$6:$C$17="W-4 change")*(Events!$B$6:$B$17&lt;=$B62)*(Events!$B$6:$B$17&lt;&gt;"")),Events!$D$6:$D$17),Inputs!$C$14))</f>
      </c>
      <c r="AP62" s="7">
        <f>IF($B62="","",IFERROR(LOOKUP(2,1/((Events!$C$6:$C$17="W-4 change")*(Events!$B$6:$B$17&lt;=$B62)*(Events!$B$6:$B$17&lt;&gt;"")),Events!$E$6:$E$17),Inputs!$C$15))</f>
      </c>
      <c r="AQ62" s="7">
        <f>IF($B62="","",IFERROR(LOOKUP(2,1/((Events!$C$6:$C$17="W-4 change")*(Events!$B$6:$B$17&lt;=$B62)*(Events!$B$6:$B$17&lt;&gt;"")),Events!$F$6:$F$17),Inputs!$C$16))</f>
      </c>
      <c r="AR62" s="7">
        <f>IF($B62="","",IFERROR(LOOKUP(2,1/((Events!$C$6:$C$17="W-4 change")*(Events!$B$6:$B$17&lt;=$B62)*(Events!$B$6:$B$17&lt;&gt;"")),Events!$G$6:$G$17),Inputs!$C$17))</f>
      </c>
      <c r="AS62" s="6">
        <f>IF($B62="","",IFERROR(LOOKUP(2,1/(((Events!$C$6:$C$17="State move")+(Events!$C$6:$C$17="State cert change"))*(Events!$B$6:$B$17&lt;=$B62)*(Events!$B$6:$B$17&lt;&gt;"")),Events!$F$6:$F$17),Inputs!$C$23))</f>
      </c>
      <c r="AT62" s="6">
        <f>IF($B62="","",IFERROR(LOOKUP(2,1/(((Events!$C$6:$C$17="State move")+(Events!$C$6:$C$17="State cert change"))*(Events!$B$6:$B$17&lt;=$B62)*(Events!$B$6:$B$17&lt;&gt;"")),Events!$G$6:$G$17),Inputs!$C$24))</f>
      </c>
      <c r="AU62">
        <f>IF($B62="","",IFERROR(LOOKUP(2,1/((Events!$C$6:$C$17="State move")*(Events!$B$6:$B$17&lt;=$B62)*(Events!$B$6:$B$17&lt;&gt;"")),Events!$E$6:$E$17),Inputs!$C$22))</f>
      </c>
      <c r="AV62" s="6">
        <f>IF($B62="","",1+COUNTIFS(Events!$C$6:$C$17,"Employer change",Events!$B$6:$B$17,"&lt;="&amp;$B62,Events!$B$6:$B$17,"&lt;&gt;"))</f>
      </c>
      <c r="AW62" s="7">
        <f>IF($B62="","",IF($AV62=1,Inputs!$C$49,IF(IFERROR(MATCH(IFERROR(LOOKUP(2,1/((Events!$C$6:$C$17="Employer change")*(Events!$B$6:$B$17&lt;=$B62)*(Events!$B$6:$B$17&lt;&gt;"")),Events!$B$6:$B$17),""),$B$6:$B$68,1),1)&lt;=1,Inputs!$C$49,INDEX($AB$6:$AB$68,MATCH(IFERROR(LOOKUP(2,1/((Events!$C$6:$C$17="Employer change")*(Events!$B$6:$B$17&lt;=$B62)*(Events!$B$6:$B$17&lt;&gt;"")),Events!$B$6:$B$17),""),$B$6:$B$68,1)-1))))</f>
      </c>
      <c r="AX62" s="7">
        <f>IF($B62="","",IF($AV62=1,Inputs!$C$49,IFERROR(LOOKUP(2,1/((Events!$C$6:$C$17="Employer change")*(Events!$B$6:$B$17&lt;=$B62)*(Events!$B$6:$B$17&lt;&gt;"")),Events!$D$6:$D$17),0)))</f>
      </c>
      <c r="AY62" s="7">
        <f>IF($B62="","",($O62-$D62)*Inputs!$C$8)</f>
      </c>
      <c r="AZ62" s="7">
        <f>IF($B62="","",IF($AN62="AL",MAX(0,$AY62-IF($AU62="Married",IF($AY62&lt;=25999,8500,MAX(5000,8500-175*CEILING(($AY62-25999)/500,1))),IF($AU62="Head of household",IF($AY62&lt;=25999,5200,MAX(2500,5200-135*CEILING(($AY62-25999)/500,1))),IF($AY62&lt;=25999,3000,MAX(2500,3000-25*CEILING(($AY62-25999)/500,1)))))-($P62-'Methodology &amp; Sources'!$C$260*$D62)*Inputs!$C$8-IF(OR($AU62="Married",$AU62="Head of household"),3000,1500)-$AT62*IF($AY62&lt;=50000,1000,IF($AY62&lt;=100000,500,300))),IF($AN62="AR",IF(MAX(0,$AY62-2470)&lt;97701,INT(MAX(0,$AY62-2470)/100)*100+50,MAX(0,$AY62-2470)),IF($AN62="DE",MAX(0,$AI62-3250),IF($AN62="HI",MAX(0,$AI62-1144*$AS62-4350),IF($AN62="KS",MAX(0,$AI62-(9160*IF($AU62="Married",2,1)+2320*$AT62+IF($AU62="Head of household",2320,0))),IF($AN62="MD",MAX(0,$AI62-3400-3200*$AS62),IF($AN62="MN",MAX(0,$AY62-5300*$AS62),IF($AN62="MO",MAX(0,$AI62-IF($AU62="Head of household",24150,IF($AU62="Married",IF(Inputs!$C$83,16100,32200),16100))),IF($AN62="MT",$AY62,IF($AN62="ND",($C62+$L62)*Inputs!$C$8,IF($AN62="NE",MAX(0,$AY62-2440*$AS62),IF($AN62="NJ",MAX(0,$AY62-1000*$AS62),IF($AN62="NY",MAX(0,$AY62-(IF($AU62="Married",7950,7400)+1000*$AS62)),IF($AN62="OH",MAX(0,$AY62-650*$AS62),IF($AN62="OK",MAX(0,$AY62-1000*$AS62),IF($AN62="RI",MAX(0,$AI62-1000*$AS62),IF($AN62="SC",MAX(0,$AI62-5000*$AS62-IF($AS62=0,0,MIN(0.1*$AI62,7500))),IF($AN62="VA",MAX(0,$AI62-IF($AU62="Married",17500,8750)-930*$AS62-800*$AT62),IF($AN62="VT",MAX(0,$AI62-5400*$AS62),IF($AN62="WI",MAX(0,$AI62-MAX(0,IF($AU62="Married",9461-0.2*MAX(0,$AI62-25727),6702-0.12*MAX(0,$AI62-17780)))-400*$AS62),IF($AN62="WV",MAX(0,$AI62-2000*$AS62),$AI62))))))))))))))))))))))</f>
      </c>
      <c r="BA62" s="7">
        <f>IF($B62="","",IF($BW62&lt;&gt;"",$BW62,IF($BX62&lt;&gt;"",$BX62,IF($BY62&lt;&gt;"",$BY62,0))))</f>
      </c>
      <c r="BB62" s="7">
        <f>IF($B62="","",IF($AN62="AR",-29*$AS62,IF($AN62="DE",-110*$AS62,IF($AN62="MD",$AZ62*Inputs!$C$74,IF($AN62="AZ",Inputs!$C$82*($M62-$D62)*Inputs!$C$8,IF($AN62="CO",0.044*MAX(0,$AY62-IF($AU62="Married",10000,5000)),IF($AN62="IA",MAX(0,0.038*MAX(0,$AY62-IF($AU62="Head of household",19500,IF($AU62="Married",26000,13000)))-40*$AS62),IF($AN62="ID",0.053*MAX(0,$AY62-IF($AU62="Married",32000,16094)),IF($AN62="IL",0.0495*MAX(0,$AY62-(2925*$AS62+1000*$AT62)),IF($AN62="IN",(0.0295+Inputs!$C$76)*MAX(0,$AY62-(1000*$AS62+1500*$AT62+3000*Inputs!$C$86)),IF($AN62="KY",0.035*MAX(0,$AI62-3360),IF($AN62="LA",IF(Inputs!$C$84="0",0.0309*$AI62,0.0309*MAX(0,$AI62-IF(Inputs!$C$84="2",25750,12875))),IF($AN62="MA",0.05*MIN(MAX(0,$AY62-MIN(($BD61+$Q62+$R62+$S62),2000)-IF($AS62=0,0,IF($AS62=1,4400,1000*$AS62+3400))),1107750)+0.09*MAX(0,MAX(0,$AY62-MIN(($BD61+$Q62+$R62+$S62),2000)-IF($AS62=0,0,IF($AS62=1,4400,1000*$AS62+3400)))-1107750)-IF($AU62="Head of household",120,0)-110*Inputs!$C$75,IF($AN62="MI",0.0425*MAX(0,$AY62-5900*$AS62),IF($AN62="MS",0.04*MAX(0,$AI62-IF($AU62="Head of household",3400,IF($AU62="Married",4600,2300))-Inputs!$C$85-10000),IF($AN62="OR",IF(OR($AU62="Married",AND($AU62="Single",$AS62&gt;=3)),SUMPRODUCT((MAX(0,$AY62-MIN(($P62-'Methodology &amp; Sources'!$C$260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Sources'!$B$461:$J$464,0,4))*(MAX(0,$AY62-MIN(($P62-'Methodology &amp; Sources'!$C$260*$D62)*Inputs!$C$8,IF(OR($AU62="Married",AND($AU62="Single",$AS62&gt;=3)),IF($AY62&lt;250000,8750,IF($AY62&lt;260000,7000,IF($AY62&lt;270000,5250,IF($AY62&lt;280000,3500,IF($AY62&lt;290000,1750,0))))),IF($AY62&lt;125000,8750,IF($AY62&lt;130000,7000,IF($AY62&lt;135000,5250,IF($AY62&lt;140000,3500,IF($AY62&lt;145000,1750,0)))))))-IF(OR($AU62="Married",AND($AU62="Single",$AS62&gt;=3)),5820,2910))-INDEX('Methodology &amp; Sources'!$B$461:$J$464,0,4))*INDEX('Methodology &amp; Sources'!$B$461:$J$464,0,4+2)),SUMPRODUCT((MAX(0,$AY62-MIN(($P62-'Methodology &amp; Sources'!$C$260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Sources'!$B$461:$J$464,0,1))*(MAX(0,$AY62-MIN(($P62-'Methodology &amp; Sources'!$C$260*$D62)*Inputs!$C$8,IF(OR($AU62="Married",AND($AU62="Single",$AS62&gt;=3)),IF($AY62&lt;250000,8750,IF($AY62&lt;260000,7000,IF($AY62&lt;270000,5250,IF($AY62&lt;280000,3500,IF($AY62&lt;290000,1750,0))))),IF($AY62&lt;125000,8750,IF($AY62&lt;130000,7000,IF($AY62&lt;135000,5250,IF($AY62&lt;140000,3500,IF($AY62&lt;145000,1750,0)))))))-IF(OR($AU62="Married",AND($AU62="Single",$AS62&gt;=3)),5820,2910))-INDEX('Methodology &amp; Sources'!$B$461:$J$464,0,1))*INDEX('Methodology &amp; Sources'!$B$461:$J$464,0,1+2)))+263-263*IF(IF($AU62="Married",$AY62&gt;200000,$AY62&gt;100000),0,$AS62),IF($AN62="PA",0.0307*(($O62+$E62+$G62)*Inputs!$C$8),IF($AN62="NY",IF($AU62="Married",IF($AZ62&gt;=2155350,0,IF($AZ62&gt;=1077550,0.48,IF($AZ62&gt;=373200,1.21,IF($AZ62&gt;=323200,0.21,IF($AZ62&gt;=211550,-0.19,IF($AZ62&gt;=157650,-2.8,IF($AZ62&gt;=107650,-0.8,IF($AZ62&gt;=96800,0.05,IF($AZ62&gt;=80650,-0.1,IF($AZ62&gt;=13900,0.4,IF($AZ62&gt;=11700,-0.3,IF($AZ62&gt;=8500,0.5,0)))))))))))),IF($AZ62&gt;=1077550,0,IF($AZ62&gt;=265400,4.29,IF($AZ62&gt;=215400,2.29,IF($AZ62&gt;=157650,2.29,IF($AZ62&gt;=107650,0.29,IF($AZ62&gt;=96800,0.05,IF($AZ62&gt;=80650,-0.1,IF($AZ62&gt;=13900,0.4,IF($AZ62&gt;=11700,-0.3,IF($AZ62&gt;=8500,0.5,0))))))))))),0))))))))))))))))))</f>
      </c>
      <c r="BC62" s="7">
        <f>IF($B62="","",IF($AN62="AL",0.05*$D62,IF($AN62="AR",0.039*$D62,IF($AN62="ID",0.053*$D62,IF($AN62="IN",(0.0295+Inputs!$C$76)*$D62,IF($AN62="KS",0.05*$D62,IF($AN62="MA",0.09*MIN($D62,MAX(0,MAX(0,$AY62-MIN(($BD61+$Q62+$R62+$S62),2000)-IF($AS62=0,0,IF($AS62=1,4400,1000*$AS62+3400)))+$D62-1107750))+0.05*($D62-MIN($D62,MAX(0,MAX(0,$AY62-MIN(($BD61+$Q62+$R62+$S62),2000)-IF($AS62=0,0,IF($AS62=1,4400,1000*$AS62+3400)))+$D62-1107750))),IF($AN62="MD",(0.065+Inputs!$C$74)*$D62,IF($AN62="MI",0.0425*$D62,IF($AN62="MN",0.0625*$D62,IF($AN62="MO",0.047*$D62,IF($AN62="MT",0.05*$D62,IF($AN62="ND",0.015*$D62,IF($AN62="NE",0.035*$D62,IF($AN62="NJ",IF(Inputs!$C$77="B",SUMPRODUCT(($D62*Inputs!$C$8&gt;INDEX('Methodology &amp; Sources'!$B$405:$J$412,0,4))*($D62*Inputs!$C$8-INDEX('Methodology &amp; Sources'!$B$405:$J$412,0,4))*INDEX('Methodology &amp; Sources'!$B$405:$J$412,0,4+2)),IF(Inputs!$C$77="C",SUMPRODUCT(($D62*Inputs!$C$8&gt;INDEX('Methodology &amp; Sources'!$B$405:$J$412,0,7))*($D62*Inputs!$C$8-INDEX('Methodology &amp; Sources'!$B$405:$J$412,0,7))*INDEX('Methodology &amp; Sources'!$B$405:$J$412,0,7+2)),IF(Inputs!$C$77="D",SUMPRODUCT(($D62*Inputs!$C$8&gt;INDEX('Methodology &amp; Sources'!$B$417:$J$429,0,1))*($D62*Inputs!$C$8-INDEX('Methodology &amp; Sources'!$B$417:$J$429,0,1))*INDEX('Methodology &amp; Sources'!$B$417:$J$429,0,1+2)),IF(Inputs!$C$77="E",SUMPRODUCT(($D62*Inputs!$C$8&gt;INDEX('Methodology &amp; Sources'!$B$417:$J$429,0,4))*($D62*Inputs!$C$8-INDEX('Methodology &amp; Sources'!$B$417:$J$429,0,4))*INDEX('Methodology &amp; Sources'!$B$417:$J$429,0,4+2)),SUMPRODUCT(($D62*Inputs!$C$8&gt;INDEX('Methodology &amp; Sources'!$B$405:$J$412,0,1))*($D62*Inputs!$C$8-INDEX('Methodology &amp; Sources'!$B$405:$J$412,0,1))*INDEX('Methodology &amp; Sources'!$B$405:$J$412,0,1+2))))))/Inputs!$C$8,IF($AN62="NY",0.117*$D62,IF($AN62="OH",0.0275*$D62,IF($AN62="OK",0.045*$D62,IF($AN62="OR",0.08*$D62,IF($AN62="WI",IF($AY62&lt;12760,0.0354,IF($AY62&lt;25520,0.0465,IF($AY62&lt;280950,0.053,0.0765)))*$D62,0))))))))))))))))))))</f>
      </c>
      <c r="BD62" s="7">
        <f>IF($B62="","",$BD61+$Q62+$R62+$S62)</f>
      </c>
      <c r="BE62" s="6">
        <f>IF($B62="",$BE61,$BE61+$BF62)</f>
      </c>
      <c r="BF62" s="6">
        <f>IF($B62="","",IF(AND(IF(YEAR(IF(Inputs!$C$7="Weekly",Inputs!$C$9+7*(($BE61+1)-1),IF(Inputs!$C$7="Biweekly",Inputs!$C$9+14*(($BE61+1)-1),IF(Inputs!$C$7="Semimonthly",DATE(YEAR(Inputs!$C$9),MONTH(Inputs!$C$9)+INT((($BE61+1)-1)/2),MIN(DAY(Inputs!$C$9),DAY(EOMONTH(DATE(YEAR(Inputs!$C$9),MONTH(Inputs!$C$9)+INT((($BE61+1)-1)/2),1),0))))+IF(MOD(($BE61+1)-1,2)=1,15,0),EDATE(Inputs!$C$9,($BE61+1)-1)))))&lt;&gt;2026,"",IF(Inputs!$C$7="Weekly",Inputs!$C$9+7*(($BE61+1)-1),IF(Inputs!$C$7="Biweekly",Inputs!$C$9+14*(($BE61+1)-1),IF(Inputs!$C$7="Semimonthly",DATE(YEAR(Inputs!$C$9),MONTH(Inputs!$C$9)+INT((($BE61+1)-1)/2),MIN(DAY(Inputs!$C$9),DAY(EOMONTH(DATE(YEAR(Inputs!$C$9),MONTH(Inputs!$C$9)+INT((($BE61+1)-1)/2),1),0))))+IF(MOD(($BE61+1)-1,2)=1,15,0),EDATE(Inputs!$C$9,($BE61+1)-1)))))&lt;&gt;"",$B62=IF(YEAR(IF(Inputs!$C$7="Weekly",Inputs!$C$9+7*(($BE61+1)-1),IF(Inputs!$C$7="Biweekly",Inputs!$C$9+14*(($BE61+1)-1),IF(Inputs!$C$7="Semimonthly",DATE(YEAR(Inputs!$C$9),MONTH(Inputs!$C$9)+INT((($BE61+1)-1)/2),MIN(DAY(Inputs!$C$9),DAY(EOMONTH(DATE(YEAR(Inputs!$C$9),MONTH(Inputs!$C$9)+INT((($BE61+1)-1)/2),1),0))))+IF(MOD(($BE61+1)-1,2)=1,15,0),EDATE(Inputs!$C$9,($BE61+1)-1)))))&lt;&gt;2026,"",IF(Inputs!$C$7="Weekly",Inputs!$C$9+7*(($BE61+1)-1),IF(Inputs!$C$7="Biweekly",Inputs!$C$9+14*(($BE61+1)-1),IF(Inputs!$C$7="Semimonthly",DATE(YEAR(Inputs!$C$9),MONTH(Inputs!$C$9)+INT((($BE61+1)-1)/2),MIN(DAY(Inputs!$C$9),DAY(EOMONTH(DATE(YEAR(Inputs!$C$9),MONTH(Inputs!$C$9)+INT((($BE61+1)-1)/2),1),0))))+IF(MOD(($BE61+1)-1,2)=1,15,0),EDATE(Inputs!$C$9,($BE61+1)-1)))))),1,0))</f>
      </c>
      <c r="BG62" s="7">
        <f>IF($B62="","",$BG61+$H62)</f>
      </c>
      <c r="BH62" s="7">
        <f>IF($B62="","",$BH61+$I62)</f>
      </c>
      <c r="BI62" s="7">
        <f>IF($B62="","",$BI61+$G62)</f>
      </c>
      <c r="BJ62" s="7">
        <f>IF($B62="","",IFERROR(LOOKUP(2,1/((((Events!$C$6:$C$17="Deduction start"))*(Events!$D$6:$D$17="Health FSA"))*(Events!$B$6:$B$17&lt;=$B62)*(Events!$B$6:$B$17&lt;&gt;"")),Events!$E$6:$E$17),Inputs!$D$38))</f>
      </c>
      <c r="BK62" s="7">
        <f>IF($B62="","",IFERROR(LOOKUP(2,1/((((Events!$C$6:$C$17="Deduction start"))*(Events!$D$6:$D$17="Dependent-care FSA"))*(Events!$B$6:$B$17&lt;=$B62)*(Events!$B$6:$B$17&lt;&gt;"")),Events!$E$6:$E$17),Inputs!$D$39))</f>
      </c>
      <c r="BL62" s="7">
        <f>IF($B62="","",IFERROR(LOOKUP(2,1/((((Events!$C$6:$C$17="Deduction start")+(Events!$C$6:$C$17="Deduction stop"))*(Events!$D$6:$D$17="HSA"))*(Events!$B$6:$B$17&lt;=$B62)*(Events!$B$6:$B$17&lt;&gt;"")),Events!$I$6:$I$17),Inputs!$D$35))</f>
      </c>
      <c r="BM62" s="7">
        <f>IF($B62="","",IFERROR(LOOKUP(2,1/((((Events!$C$6:$C$17="Deduction start")+(Events!$C$6:$C$17="Deduction stop"))*(Events!$D$6:$D$17="Premiums"))*(Events!$B$6:$B$17&lt;=$B62)*(Events!$B$6:$B$17&lt;&gt;"")),Events!$I$6:$I$17),Inputs!$D$40+Inputs!$D$41+Inputs!$D$42))</f>
      </c>
      <c r="BN62" s="7">
        <f>IF($B62="","",IFERROR(LOOKUP(2,1/((((Events!$C$6:$C$17="Deduction start")+(Events!$C$6:$C$17="Deduction stop"))*(Events!$D$6:$D$17="Commuter"))*(Events!$B$6:$B$17&lt;=$B62)*(Events!$B$6:$B$17&lt;&gt;"")),Events!$I$6:$I$17),Inputs!$D$43))</f>
      </c>
      <c r="BO62" s="7">
        <f>IF($B62="","",IFERROR(LOOKUP(2,1/((((Events!$C$6:$C$17="Deduction start")+(Events!$C$6:$C$17="Deduction stop"))*(Events!$D$6:$D$17="Other pre-tax"))*(Events!$B$6:$B$17&lt;=$B62)*(Events!$B$6:$B$17&lt;&gt;"")),Events!$I$6:$I$17),Inputs!$D$44))</f>
      </c>
      <c r="BP62" s="7">
        <f>IF($B62="","",IFERROR(LOOKUP(2,1/((((Events!$C$6:$C$17="Deduction start")+(Events!$C$6:$C$17="Deduction stop"))*(Events!$D$6:$D$17="Other post-tax"))*(Events!$B$6:$B$17&lt;=$B62)*(Events!$B$6:$B$17&lt;&gt;"")),Events!$I$6:$I$17),Inputs!$D$45))</f>
      </c>
      <c r="BQ62" s="6">
        <f>IF($B62="","",IFERROR(LOOKUP(2,1/((((Events!$C$6:$C$17="Deduction start")+(Events!$C$6:$C$17="Deduction stop"))*(Events!$D$6:$D$17="Health FSA"))*(Events!$B$6:$B$17&lt;=$B62)*(Events!$B$6:$B$17&lt;&gt;"")),Events!$J$6:$J$17),0))</f>
      </c>
      <c r="BR62" s="6">
        <f>IF($B62="","",IFERROR(LOOKUP(2,1/((((Events!$C$6:$C$17="Deduction start")+(Events!$C$6:$C$17="Deduction stop"))*(Events!$D$6:$D$17="Dependent-care FSA"))*(Events!$B$6:$B$17&lt;=$B62)*(Events!$B$6:$B$17&lt;&gt;"")),Events!$J$6:$J$17),0))</f>
      </c>
      <c r="BS62" s="6">
        <f>IF($B62="","",IF(SUMPRODUCT((Events!$C$6:$C$17="Deduction start")*(Events!$B$6:$B$17&lt;=$B62)*(Events!$B$6:$B$17&lt;&gt;"")*(Events!$D$6:$D$17="Health FSA"))&gt;0,1,0))</f>
      </c>
      <c r="BT62" s="6">
        <f>IF($B62="","",IF(SUMPRODUCT((Events!$C$6:$C$17="Deduction start")*(Events!$B$6:$B$17&lt;=$B62)*(Events!$B$6:$B$17&lt;&gt;"")*(Events!$D$6:$D$17="Dependent-care FSA"))&gt;0,1,0))</f>
      </c>
      <c r="BU62" s="24">
        <f>IF($B62="","",IF(Inputs!$C$13,SUMPRODUCT(($AH62&gt;=INDEX('Methodology &amp; Sources'!$B$279:$J$286,0,IF(Inputs!$C$12="MFJ",1,IF(Inputs!$C$12="HoH",7,4))))*INDEX('Methodology &amp; Sources'!$B$279:$J$286,0,IF(Inputs!$C$12="MFJ",1,IF(Inputs!$C$12="HoH",7,4))+2)),SUMPRODUCT(($AH62&gt;=INDEX('Methodology &amp; Sources'!$B$269:$J$276,0,IF(Inputs!$C$12="MFJ",1,IF(Inputs!$C$12="HoH",7,4))))*INDEX('Methodology &amp; Sources'!$B$269:$J$276,0,IF(Inputs!$C$12="MFJ",1,IF(Inputs!$C$12="HoH",7,4))+2))))</f>
      </c>
      <c r="BV62" s="24">
        <f>IF($B62="","",IF($BZ62&lt;&gt;"",$BZ62,IF($CA62&lt;&gt;"",$CA62,IF($CB62&lt;&gt;"",$CB62,IF($CC62&lt;&gt;"",$CC62,0)))))</f>
      </c>
      <c r="BW62" s="7">
        <f>IF($B62="","",IF($AN62="MD",IF(OR($AU62="Married",$AU62="Head of household"),SUMPRODUCT(($AZ62&gt;INDEX('Methodology &amp; Sources'!$B$364:$J$370,0,1))*($AZ62-INDEX('Methodology &amp; Sources'!$B$364:$J$370,0,1))*INDEX('Methodology &amp; Sources'!$B$364:$J$370,0,1+2)),SUMPRODUCT(($AZ62&gt;INDEX('Methodology &amp; Sources'!$B$353:$J$359,0,7))*($AZ62-INDEX('Methodology &amp; Sources'!$B$353:$J$359,0,7))*INDEX('Methodology &amp; Sources'!$B$353:$J$359,0,7+2))),IF($AN62="MO",SUMPRODUCT(($AZ62&gt;INDEX('Methodology &amp; Sources'!$B$375:$J$382,0,1))*($AZ62-INDEX('Methodology &amp; Sources'!$B$375:$J$382,0,1))*INDEX('Methodology &amp; Sources'!$B$375:$J$382,0,1+2)),IF($AN62="MT",IF($AU62="Head of household",SUMPRODUCT(($AZ62&gt;INDEX('Methodology &amp; Sources'!$B$387:$J$389,0,1))*($AZ62-INDEX('Methodology &amp; Sources'!$B$387:$J$389,0,1))*INDEX('Methodology &amp; Sources'!$B$387:$J$389,0,1+2)),IF($AU62="Married",SUMPRODUCT(($AZ62&gt;INDEX('Methodology &amp; Sources'!$B$375:$J$382,0,7))*($AZ62-INDEX('Methodology &amp; Sources'!$B$375:$J$382,0,7))*INDEX('Methodology &amp; Sources'!$B$375:$J$382,0,7+2)),SUMPRODUCT(($AZ62&gt;INDEX('Methodology &amp; Sources'!$B$375:$J$382,0,4))*($AZ62-INDEX('Methodology &amp; Sources'!$B$375:$J$382,0,4))*INDEX('Methodology &amp; Sources'!$B$375:$J$382,0,4+2)))),IF($AN62="ND",IF($AU62="Head of household",SUMPRODUCT(($AZ62&gt;INDEX('Methodology &amp; Sources'!$B$394:$J$400,0,1))*($AZ62-INDEX('Methodology &amp; Sources'!$B$394:$J$400,0,1))*INDEX('Methodology &amp; Sources'!$B$394:$J$400,0,1+2)),IF($AU62="Married",SUMPRODUCT(($AZ62&gt;INDEX('Methodology &amp; Sources'!$B$387:$J$389,0,7))*($AZ62-INDEX('Methodology &amp; Sources'!$B$387:$J$389,0,7))*INDEX('Methodology &amp; Sources'!$B$387:$J$389,0,7+2)),SUMPRODUCT(($AZ62&gt;INDEX('Methodology &amp; Sources'!$B$387:$J$389,0,4))*($AZ62-INDEX('Methodology &amp; Sources'!$B$387:$J$389,0,4))*INDEX('Methodology &amp; Sources'!$B$387:$J$389,0,4+2)))),IF($AN62="NJ",IF(Inputs!$C$77="B",SUMPRODUCT(($AZ62&gt;INDEX('Methodology &amp; Sources'!$B$405:$J$412,0,4))*($AZ62-INDEX('Methodology &amp; Sources'!$B$405:$J$412,0,4))*INDEX('Methodology &amp; Sources'!$B$405:$J$412,0,4+2)),IF(Inputs!$C$77="C",SUMPRODUCT(($AZ62&gt;INDEX('Methodology &amp; Sources'!$B$405:$J$412,0,7))*($AZ62-INDEX('Methodology &amp; Sources'!$B$405:$J$412,0,7))*INDEX('Methodology &amp; Sources'!$B$405:$J$412,0,7+2)),IF(Inputs!$C$77="D",SUMPRODUCT(($AZ62&gt;INDEX('Methodology &amp; Sources'!$B$417:$J$429,0,1))*($AZ62-INDEX('Methodology &amp; Sources'!$B$417:$J$429,0,1))*INDEX('Methodology &amp; Sources'!$B$417:$J$429,0,1+2)),IF(Inputs!$C$77="E",SUMPRODUCT(($AZ62&gt;INDEX('Methodology &amp; Sources'!$B$417:$J$429,0,4))*($AZ62-INDEX('Methodology &amp; Sources'!$B$417:$J$429,0,4))*INDEX('Methodology &amp; Sources'!$B$417:$J$429,0,4+2)),SUMPRODUCT(($AZ62&gt;INDEX('Methodology &amp; Sources'!$B$405:$J$412,0,1))*($AZ62-INDEX('Methodology &amp; Sources'!$B$405:$J$412,0,1))*INDEX('Methodology &amp; Sources'!$B$405:$J$412,0,1+2)))))),IF($AN62="NY",IF($AU62="Married",IF($AZ62&gt;=2155350,$AZ62*IF($AZ62&gt;25000000,0.117,IF($AZ62&gt;5000000,0.111,0.1045)),SUMPRODUCT(($AZ62&gt;INDEX('Methodology &amp; Sources'!$B$434:$J$448,0,1))*($AZ62-INDEX('Methodology &amp; Sources'!$B$434:$J$448,0,1))*INDEX('Methodology &amp; Sources'!$B$434:$J$448,0,1+2))),IF($AZ62&gt;=1077550,$AZ62*IF($AZ62&gt;25000000,0.117,IF($AZ62&gt;5000000,0.111,0.1045)),SUMPRODUCT(($AZ62&gt;INDEX('Methodology &amp; Sources'!$B$417:$J$429,0,7))*($AZ62-INDEX('Methodology &amp; Sources'!$B$417:$J$429,0,7))*INDEX('Methodology &amp; Sources'!$B$417:$J$429,0,7+2)))),"")))))))</f>
      </c>
      <c r="BX62" s="7">
        <f>IF($B62="","",IF($AN62="AL",IF(OR($AU62="Married",$AU62="Head of household"),SUMPRODUCT(($AZ62&gt;INDEX('Methodology &amp; Sources'!$B$332:$J$336,0,4))*($AZ62-INDEX('Methodology &amp; Sources'!$B$332:$J$336,0,4))*INDEX('Methodology &amp; Sources'!$B$332:$J$336,0,4+2)),SUMPRODUCT(($AZ62&gt;INDEX('Methodology &amp; Sources'!$B$332:$J$336,0,1))*($AZ62-INDEX('Methodology &amp; Sources'!$B$332:$J$336,0,1))*INDEX('Methodology &amp; Sources'!$B$332:$J$336,0,1+2))),IF($AN62="KS",IF($AU62="Married",SUMPRODUCT(($AZ62&gt;INDEX('Methodology &amp; Sources'!$B$353:$J$359,0,4))*($AZ62-INDEX('Methodology &amp; Sources'!$B$353:$J$359,0,4))*INDEX('Methodology &amp; Sources'!$B$353:$J$359,0,4+2)),SUMPRODUCT(($AZ62&gt;INDEX('Methodology &amp; Sources'!$B$353:$J$359,0,1))*($AZ62-INDEX('Methodology &amp; Sources'!$B$353:$J$359,0,1))*INDEX('Methodology &amp; Sources'!$B$353:$J$359,0,1+2))),IF($AN62="MN",IF($AU62="Married",SUMPRODUCT(($AZ62&gt;INDEX('Methodology &amp; Sources'!$B$364:$J$370,0,7))*($AZ62-INDEX('Methodology &amp; Sources'!$B$364:$J$370,0,7))*INDEX('Methodology &amp; Sources'!$B$364:$J$370,0,7+2)),SUMPRODUCT(($AZ62&gt;INDEX('Methodology &amp; Sources'!$B$364:$J$370,0,4))*($AZ62-INDEX('Methodology &amp; Sources'!$B$364:$J$370,0,4))*INDEX('Methodology &amp; Sources'!$B$364:$J$370,0,4+2))),IF($AN62="NE",MAX(IF($AU62="Married",SUMPRODUCT(($AZ62&gt;INDEX('Methodology &amp; Sources'!$B$394:$J$400,0,7))*($AZ62-INDEX('Methodology &amp; Sources'!$B$394:$J$400,0,7))*INDEX('Methodology &amp; Sources'!$B$394:$J$400,0,7+2)),SUMPRODUCT(($AZ62&gt;INDEX('Methodology &amp; Sources'!$B$394:$J$400,0,4))*($AZ62-INDEX('Methodology &amp; Sources'!$B$394:$J$400,0,4))*INDEX('Methodology &amp; Sources'!$B$394:$J$400,0,4+2))),0.015*$AZ62),IF($AN62="OH",IF($B62&gt;=DATE(2026,8,1),SUMPRODUCT(($AZ62&gt;INDEX('Methodology &amp; Sources'!$B$453:$J$456,0,1))*($AZ62-INDEX('Methodology &amp; Sources'!$B$453:$J$456,0,1))*INDEX('Methodology &amp; Sources'!$B$453:$J$456,0,1+2)),SUMPRODUCT(($AZ62&gt;INDEX('Methodology &amp; Sources'!$B$434:$J$448,0,7))*($AZ62-INDEX('Methodology &amp; Sources'!$B$434:$J$448,0,7))*INDEX('Methodology &amp; Sources'!$B$434:$J$448,0,7+2))),IF($AN62="OK",IF($AU62="Married",SUMPRODUCT(($AZ62&gt;INDEX('Methodology &amp; Sources'!$B$453:$J$456,0,7))*($AZ62-INDEX('Methodology &amp; Sources'!$B$453:$J$456,0,7))*INDEX('Methodology &amp; Sources'!$B$453:$J$456,0,7+2)),SUMPRODUCT(($AZ62&gt;INDEX('Methodology &amp; Sources'!$B$453:$J$456,0,4))*($AZ62-INDEX('Methodology &amp; Sources'!$B$453:$J$456,0,4))*INDEX('Methodology &amp; Sources'!$B$453:$J$456,0,4+2))),IF($AN62="RI",SUMPRODUCT(($AZ62&gt;INDEX('Methodology &amp; Sources'!$B$461:$J$464,0,7))*($AZ62-INDEX('Methodology &amp; Sources'!$B$461:$J$464,0,7))*INDEX('Methodology &amp; Sources'!$B$461:$J$464,0,7+2)),IF($AN62="VT",IF($AU62="Married",SUMPRODUCT(($AZ62&gt;INDEX('Methodology &amp; Sources'!$B$478:$J$482,0,1))*($AZ62-INDEX('Methodology &amp; Sources'!$B$478:$J$482,0,1))*INDEX('Methodology &amp; Sources'!$B$478:$J$482,0,1+2)),SUMPRODUCT(($AZ62&gt;INDEX('Methodology &amp; Sources'!$B$469:$J$473,0,7))*($AZ62-INDEX('Methodology &amp; Sources'!$B$469:$J$473,0,7))*INDEX('Methodology &amp; Sources'!$B$469:$J$473,0,7+2))),IF($AN62="WV",IF($AU62="Married",SUMPRODUCT(($AZ62&gt;INDEX('Methodology &amp; Sources'!$B$487:$J$491,0,7))*($AZ62-INDEX('Methodology &amp; Sources'!$B$487:$J$491,0,7))*INDEX('Methodology &amp; Sources'!$B$487:$J$491,0,7+2)),SUMPRODUCT(($AZ62&gt;INDEX('Methodology &amp; Sources'!$B$478:$J$482,0,7))*($AZ62-INDEX('Methodology &amp; Sources'!$B$478:$J$482,0,7))*INDEX('Methodology &amp; Sources'!$B$478:$J$482,0,7+2))),""))))))))))</f>
      </c>
      <c r="BY62" s="7">
        <f>IF($B62="","",IF($AN62="AR",SUMPRODUCT(($AZ62&gt;INDEX('Methodology &amp; Sources'!$B$332:$J$336,0,7))*($AZ62-INDEX('Methodology &amp; Sources'!$B$332:$J$336,0,7))*INDEX('Methodology &amp; Sources'!$B$332:$J$336,0,7+2)),IF($AN62="DE",SUMPRODUCT(($AZ62&gt;INDEX('Methodology &amp; Sources'!$B$341:$J$348,0,1))*($AZ62-INDEX('Methodology &amp; Sources'!$B$341:$J$348,0,1))*INDEX('Methodology &amp; Sources'!$B$341:$J$348,0,1+2)),IF($AN62="HI",IF($AU62="Married",SUMPRODUCT(($AZ62&gt;INDEX('Methodology &amp; Sources'!$B$341:$J$348,0,7))*($AZ62-INDEX('Methodology &amp; Sources'!$B$341:$J$348,0,7))*INDEX('Methodology &amp; Sources'!$B$341:$J$348,0,7+2)),SUMPRODUCT(($AZ62&gt;INDEX('Methodology &amp; Sources'!$B$341:$J$348,0,4))*($AZ62-INDEX('Methodology &amp; Sources'!$B$341:$J$348,0,4))*INDEX('Methodology &amp; Sources'!$B$341:$J$348,0,4+2))),IF($AN62="SC",SUMPRODUCT(($AZ62&gt;INDEX('Methodology &amp; Sources'!$B$469:$J$473,0,1))*($AZ62-INDEX('Methodology &amp; Sources'!$B$469:$J$473,0,1))*INDEX('Methodology &amp; Sources'!$B$469:$J$473,0,1+2)),IF($AN62="VA",SUMPRODUCT(($AZ62&gt;INDEX('Methodology &amp; Sources'!$B$469:$J$473,0,4))*($AZ62-INDEX('Methodology &amp; Sources'!$B$469:$J$473,0,4))*INDEX('Methodology &amp; Sources'!$B$469:$J$473,0,4+2)),IF($AN62="WI",SUMPRODUCT(($AZ62&gt;INDEX('Methodology &amp; Sources'!$B$478:$J$482,0,4))*($AZ62-INDEX('Methodology &amp; Sources'!$B$478:$J$482,0,4))*INDEX('Methodology &amp; Sources'!$B$478:$J$482,0,4+2)),"")))))))</f>
      </c>
      <c r="BZ62" s="24">
        <f>IF($B62="","",IF($AN62="NJ",IF(Inputs!$C$77="B",SUMPRODUCT(($AZ62&gt;=INDEX('Methodology &amp; Sources'!$B$405:$J$412,0,4))*INDEX('Methodology &amp; Sources'!$B$405:$J$412,0,4+2)),IF(Inputs!$C$77="C",SUMPRODUCT(($AZ62&gt;=INDEX('Methodology &amp; Sources'!$B$405:$J$412,0,7))*INDEX('Methodology &amp; Sources'!$B$405:$J$412,0,7+2)),IF(Inputs!$C$77="D",SUMPRODUCT(($AZ62&gt;=INDEX('Methodology &amp; Sources'!$B$417:$J$429,0,1))*INDEX('Methodology &amp; Sources'!$B$417:$J$429,0,1+2)),IF(Inputs!$C$77="E",SUMPRODUCT(($AZ62&gt;=INDEX('Methodology &amp; Sources'!$B$417:$J$429,0,4))*INDEX('Methodology &amp; Sources'!$B$417:$J$429,0,4+2)),SUMPRODUCT(($AZ62&gt;=INDEX('Methodology &amp; Sources'!$B$405:$J$412,0,1))*INDEX('Methodology &amp; Sources'!$B$405:$J$412,0,1+2)))))),IF($AN62="OR",IF(OR($AU62="Married",AND($AU62="Single",$AS62&gt;=3)),SUMPRODUCT((MAX(0,$AY62-MIN(($P62-'Methodology &amp; Sources'!$C$260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Sources'!$B$461:$J$464,0,4))*INDEX('Methodology &amp; Sources'!$B$461:$J$464,0,4+2)),SUMPRODUCT((MAX(0,$AY62-MIN(($P62-'Methodology &amp; Sources'!$C$260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Sources'!$B$461:$J$464,0,1))*INDEX('Methodology &amp; Sources'!$B$461:$J$464,0,1+2)))*IF(($P62-'Methodology &amp; Sources'!$C$260*$D62)*Inputs!$C$8&gt;=IF(OR($AU62="Married",AND($AU62="Single",$AS62&gt;=3)),IF($AY62&lt;250000,8750,IF($AY62&lt;260000,7000,IF($AY62&lt;270000,5250,IF($AY62&lt;280000,3500,IF($AY62&lt;290000,1750,0))))),IF($AY62&lt;125000,8750,IF($AY62&lt;130000,7000,IF($AY62&lt;135000,5250,IF($AY62&lt;140000,3500,IF($AY62&lt;145000,1750,0)))))),1,1-IF(Inputs!$C$13,SUMPRODUCT(($AH62&gt;=INDEX('Methodology &amp; Sources'!$B$279:$J$286,0,IF(Inputs!$C$12="MFJ",1,IF(Inputs!$C$12="HoH",7,4))))*INDEX('Methodology &amp; Sources'!$B$279:$J$286,0,IF(Inputs!$C$12="MFJ",1,IF(Inputs!$C$12="HoH",7,4))+2)),SUMPRODUCT(($AH62&gt;=INDEX('Methodology &amp; Sources'!$B$269:$J$276,0,IF(Inputs!$C$12="MFJ",1,IF(Inputs!$C$12="HoH",7,4))))*INDEX('Methodology &amp; Sources'!$B$269:$J$276,0,IF(Inputs!$C$12="MFJ",1,IF(Inputs!$C$12="HoH",7,4))+2)))),IF($AN62="MI",IF($AY62&gt;5900*$AS62,0.0425,0),""))))</f>
      </c>
      <c r="CA62" s="24">
        <f>IF($B62="","",IF($AN62="AL",IF(OR($AU62="Married",$AU62="Head of household"),SUMPRODUCT(($AZ62&gt;=INDEX('Methodology &amp; Sources'!$B$332:$J$336,0,4))*INDEX('Methodology &amp; Sources'!$B$332:$J$336,0,4+2)),SUMPRODUCT(($AZ62&gt;=INDEX('Methodology &amp; Sources'!$B$332:$J$336,0,1))*INDEX('Methodology &amp; Sources'!$B$332:$J$336,0,1+2)))*(1-IF(Inputs!$C$13,SUMPRODUCT(($AH62&gt;=INDEX('Methodology &amp; Sources'!$B$279:$J$286,0,IF(Inputs!$C$12="MFJ",1,IF(Inputs!$C$12="HoH",7,4))))*INDEX('Methodology &amp; Sources'!$B$279:$J$286,0,IF(Inputs!$C$12="MFJ",1,IF(Inputs!$C$12="HoH",7,4))+2)),SUMPRODUCT(($AH62&gt;=INDEX('Methodology &amp; Sources'!$B$269:$J$276,0,IF(Inputs!$C$12="MFJ",1,IF(Inputs!$C$12="HoH",7,4))))*INDEX('Methodology &amp; Sources'!$B$269:$J$276,0,IF(Inputs!$C$12="MFJ",1,IF(Inputs!$C$12="HoH",7,4))+2)))),IF($AN62="KS",IF($AU62="Married",SUMPRODUCT(($AZ62&gt;=INDEX('Methodology &amp; Sources'!$B$353:$J$359,0,4))*INDEX('Methodology &amp; Sources'!$B$353:$J$359,0,4+2)),SUMPRODUCT(($AZ62&gt;=INDEX('Methodology &amp; Sources'!$B$353:$J$359,0,1))*INDEX('Methodology &amp; Sources'!$B$353:$J$359,0,1+2))),IF($AN62="MD",IF(OR($AU62="Married",$AU62="Head of household"),SUMPRODUCT(($AZ62&gt;=INDEX('Methodology &amp; Sources'!$B$364:$J$370,0,1))*INDEX('Methodology &amp; Sources'!$B$364:$J$370,0,1+2)),SUMPRODUCT(($AZ62&gt;=INDEX('Methodology &amp; Sources'!$B$353:$J$359,0,7))*INDEX('Methodology &amp; Sources'!$B$353:$J$359,0,7+2)))+Inputs!$C$74,IF($AN62="MT",IF($AU62="Head of household",SUMPRODUCT(($AZ62&gt;=INDEX('Methodology &amp; Sources'!$B$387:$J$389,0,1))*INDEX('Methodology &amp; Sources'!$B$387:$J$389,0,1+2)),IF($AU62="Married",SUMPRODUCT(($AZ62&gt;=INDEX('Methodology &amp; Sources'!$B$375:$J$382,0,7))*INDEX('Methodology &amp; Sources'!$B$375:$J$382,0,7+2)),SUMPRODUCT(($AZ62&gt;=INDEX('Methodology &amp; Sources'!$B$375:$J$382,0,4))*INDEX('Methodology &amp; Sources'!$B$375:$J$382,0,4+2)))),IF($AN62="ND",IF($AU62="Head of household",SUMPRODUCT(($AZ62&gt;=INDEX('Methodology &amp; Sources'!$B$394:$J$400,0,1))*INDEX('Methodology &amp; Sources'!$B$394:$J$400,0,1+2)),IF($AU62="Married",SUMPRODUCT(($AZ62&gt;=INDEX('Methodology &amp; Sources'!$B$387:$J$389,0,7))*INDEX('Methodology &amp; Sources'!$B$387:$J$389,0,7+2)),SUMPRODUCT(($AZ62&gt;=INDEX('Methodology &amp; Sources'!$B$387:$J$389,0,4))*INDEX('Methodology &amp; Sources'!$B$387:$J$389,0,4+2)))),IF($AN62="NY",IF($AU62="Married",IF($AZ62&gt;=2155350,IF($AZ62&gt;25000000,0.117,IF($AZ62&gt;5000000,0.111,0.1045)),SUMPRODUCT(($AZ62&gt;=INDEX('Methodology &amp; Sources'!$B$434:$J$448,0,1))*INDEX('Methodology &amp; Sources'!$B$434:$J$448,0,1+2))),IF($AZ62&gt;=1077550,IF($AZ62&gt;25000000,0.117,IF($AZ62&gt;5000000,0.111,0.1045)),SUMPRODUCT(($AZ62&gt;=INDEX('Methodology &amp; Sources'!$B$417:$J$429,0,7))*INDEX('Methodology &amp; Sources'!$B$417:$J$429,0,7+2)))),"")))))))</f>
      </c>
      <c r="CB62" s="24">
        <f>IF($B62="","",IF($AN62="CA",SUMPRODUCT(($AJ62&gt;=INDEX('Methodology &amp; Sources'!$B$289:$J$298,0,IF($AU62="Married",4,IF($AU62="Head of household",7,1))))*INDEX('Methodology &amp; Sources'!$B$289:$J$298,0,IF($AU62="Married",4,IF($AU62="Head of household",7,1))+2)),IF($AN62="HI",IF($AU62="Married",SUMPRODUCT(($AZ62&gt;=INDEX('Methodology &amp; Sources'!$B$341:$J$348,0,7))*INDEX('Methodology &amp; Sources'!$B$341:$J$348,0,7+2)),SUMPRODUCT(($AZ62&gt;=INDEX('Methodology &amp; Sources'!$B$341:$J$348,0,4))*INDEX('Methodology &amp; Sources'!$B$341:$J$348,0,4+2))),IF($AN62="MN",IF($AU62="Married",SUMPRODUCT(($AZ62&gt;=INDEX('Methodology &amp; Sources'!$B$364:$J$370,0,7))*INDEX('Methodology &amp; Sources'!$B$364:$J$370,0,7+2)),SUMPRODUCT(($AZ62&gt;=INDEX('Methodology &amp; Sources'!$B$364:$J$370,0,4))*INDEX('Methodology &amp; Sources'!$B$364:$J$370,0,4+2))),IF($AN62="MO",SUMPRODUCT(($AZ62&gt;=INDEX('Methodology &amp; Sources'!$B$375:$J$382,0,1))*INDEX('Methodology &amp; Sources'!$B$375:$J$382,0,1+2)),IF($AN62="NE",MAX(IF($AU62="Married",SUMPRODUCT(($AZ62&gt;=INDEX('Methodology &amp; Sources'!$B$394:$J$400,0,7))*INDEX('Methodology &amp; Sources'!$B$394:$J$400,0,7+2)),SUMPRODUCT(($AZ62&gt;=INDEX('Methodology &amp; Sources'!$B$394:$J$400,0,4))*INDEX('Methodology &amp; Sources'!$B$394:$J$400,0,4+2))),0.015),IF($AN62="OH",IF($B62&gt;=DATE(2026,8,1),SUMPRODUCT(($AZ62&gt;=INDEX('Methodology &amp; Sources'!$B$453:$J$456,0,1))*INDEX('Methodology &amp; Sources'!$B$453:$J$456,0,1+2)),SUMPRODUCT(($AZ62&gt;=INDEX('Methodology &amp; Sources'!$B$434:$J$448,0,7))*INDEX('Methodology &amp; Sources'!$B$434:$J$448,0,7+2))),IF($AN62="OK",IF($AU62="Married",SUMPRODUCT(($AZ62&gt;=INDEX('Methodology &amp; Sources'!$B$453:$J$456,0,7))*INDEX('Methodology &amp; Sources'!$B$453:$J$456,0,7+2)),SUMPRODUCT(($AZ62&gt;=INDEX('Methodology &amp; Sources'!$B$453:$J$456,0,4))*INDEX('Methodology &amp; Sources'!$B$453:$J$456,0,4+2))),IF($AN62="RI",SUMPRODUCT(($AZ62&gt;=INDEX('Methodology &amp; Sources'!$B$461:$J$464,0,7))*INDEX('Methodology &amp; Sources'!$B$461:$J$464,0,7+2)),IF($AN62="SC",SUMPRODUCT(($AZ62&gt;=INDEX('Methodology &amp; Sources'!$B$469:$J$473,0,1))*INDEX('Methodology &amp; Sources'!$B$469:$J$473,0,1+2)),IF($AN62="VT",IF($AU62="Married",SUMPRODUCT(($AZ62&gt;=INDEX('Methodology &amp; Sources'!$B$478:$J$482,0,1))*INDEX('Methodology &amp; Sources'!$B$478:$J$482,0,1+2)),SUMPRODUCT(($AZ62&gt;=INDEX('Methodology &amp; Sources'!$B$469:$J$473,0,7))*INDEX('Methodology &amp; Sources'!$B$469:$J$473,0,7+2))),IF($AN62="WV",IF($AU62="Married",SUMPRODUCT(($AZ62&gt;=INDEX('Methodology &amp; Sources'!$B$487:$J$491,0,7))*INDEX('Methodology &amp; Sources'!$B$487:$J$491,0,7+2)),SUMPRODUCT(($AZ62&gt;=INDEX('Methodology &amp; Sources'!$B$478:$J$482,0,7))*INDEX('Methodology &amp; Sources'!$B$478:$J$482,0,7+2))),IF($AN62="IN",(0.0295+Inputs!$C$76),"")))))))))))))</f>
      </c>
      <c r="CC62" s="24">
        <f>IF($B62="","",IF($AN62="AR",SUMPRODUCT(($AZ62&gt;=INDEX('Methodology &amp; Sources'!$B$332:$J$336,0,7))*INDEX('Methodology &amp; Sources'!$B$332:$J$336,0,7+2)),IF($AN62="DE",SUMPRODUCT(($AZ62&gt;=INDEX('Methodology &amp; Sources'!$B$341:$J$348,0,1))*INDEX('Methodology &amp; Sources'!$B$341:$J$348,0,1+2)),IF($AN62="VA",SUMPRODUCT(($AZ62&gt;=INDEX('Methodology &amp; Sources'!$B$469:$J$473,0,4))*INDEX('Methodology &amp; Sources'!$B$469:$J$473,0,4+2)),IF($AN62="WI",SUMPRODUCT(($AZ62&gt;=INDEX('Methodology &amp; Sources'!$B$478:$J$482,0,4))*INDEX('Methodology &amp; Sources'!$B$478:$J$482,0,4+2)),IF($AN62="AZ",Inputs!$C$82,IF($AN62="CO",IF($AY62&gt;IF($AU62="Married",10000,5000),0.044,0),IF($AN62="IA",IF($AY62&gt;IF($AU62="Head of household",19500,IF($AU62="Married",26000,13000)),0.038,0),IF($AN62="ID",IF($AY62&gt;IF($AU62="Married",32000,16094),0.053,0),IF($AN62="IL",IF($AY62&gt;(2925*$AS62+1000*$AT62),0.0495,0),IF($AN62="KY",IF($AI62&gt;3360,0.035,0),IF($AN62="LA",0.0309,IF($AN62="MA",IF(MAX(0,$AY62-MIN(($BD61+$Q62+$R62+$S62),2000)-IF($AS62=0,0,IF($AS62=1,4400,1000*$AS62+3400)))&gt;=1107750,0.09,0.05),IF($AN62="MS",IF($AI62-IF($AU62="Head of household",3400,IF($AU62="Married",4600,2300))-Inputs!$C$85&gt;10000,0.04,0),IF($AN62="PA",0.0307,"")))))))))))))))</f>
      </c>
      <c r="CD62" s="21">
        <f>IF(YEAR(IF(Inputs!$C$7="Weekly",Inputs!$C$9+7*(($BE61+1)-1),IF(Inputs!$C$7="Biweekly",Inputs!$C$9+14*(($BE61+1)-1),IF(Inputs!$C$7="Semimonthly",DATE(YEAR(Inputs!$C$9),MONTH(Inputs!$C$9)+INT((($BE61+1)-1)/2),MIN(DAY(Inputs!$C$9),DAY(EOMONTH(DATE(YEAR(Inputs!$C$9),MONTH(Inputs!$C$9)+INT((($BE61+1)-1)/2),1),0))))+IF(MOD(($BE61+1)-1,2)=1,15,0),EDATE(Inputs!$C$9,($BE61+1)-1)))))&lt;&gt;2026,"",IF(Inputs!$C$7="Weekly",Inputs!$C$9+7*(($BE61+1)-1),IF(Inputs!$C$7="Biweekly",Inputs!$C$9+14*(($BE61+1)-1),IF(Inputs!$C$7="Semimonthly",DATE(YEAR(Inputs!$C$9),MONTH(Inputs!$C$9)+INT((($BE61+1)-1)/2),MIN(DAY(Inputs!$C$9),DAY(EOMONTH(DATE(YEAR(Inputs!$C$9),MONTH(Inputs!$C$9)+INT((($BE61+1)-1)/2),1),0))))+IF(MOD(($BE61+1)-1,2)=1,15,0),EDATE(Inputs!$C$9,($BE61+1)-1)))))</f>
      </c>
      <c r="CE62" s="21">
        <f>IF(SUMPRODUCT(MIN(IF((Inputs!$C$58:$C$67&gt;MAX($B$6:$B61))*(Inputs!$C$58:$C$67&gt;=DATE(2026,1,1))*(Inputs!$C$58:$C$67&lt;=DATE(2026,12,31)),Inputs!$C$58:$C$67,999999)))=999999,"",SUMPRODUCT(MIN(IF((Inputs!$C$58:$C$67&gt;MAX($B$6:$B61))*(Inputs!$C$58:$C$67&gt;=DATE(2026,1,1))*(Inputs!$C$58:$C$67&lt;=DATE(2026,12,31)),Inputs!$C$58:$C$67,999999))))</f>
      </c>
    </row>
    <row r="63">
      <c r="A63" t="n">
        <v>58</v>
      </c>
      <c r="B63" s="21">
        <f>IF(AND($CD63="",$CE63=""),"",IF($CE63="",$CD63,IF($CD63="",$CE63,MIN($CD63,$CE63))))</f>
      </c>
      <c r="C63" s="7">
        <f>IF($B63="","",IF($BF63=0,0,IF(Inputs!$C$4="Annual salary",ROUND($AK63/IF(AND(Inputs!$C$88="Actual paydays",MONTH(Inputs!$C$9)=1),MAX(1,MAX($BE$6:$BE$68)),Inputs!$C$8),2),$AK63)))</f>
      </c>
      <c r="D63" s="7">
        <f>IF($B63="","",SUMIF(Inputs!$C$58:$C$67,$B63,Inputs!$D$58:$D$67))</f>
      </c>
      <c r="E63" s="7">
        <f>IF($B63="","",ROUND(MAX(0,MIN(IF($AL63="Percent",$AM63*($C63+$D63),$AM63),MAX(0,Inputs!$C$91-$AC62))),2))</f>
      </c>
      <c r="F63" s="7">
        <f>IF($B63="","",ROUND(MAX(0,MIN(IF(Inputs!$C$32="Percent",Inputs!$D$32*($C63+$D63),Inputs!$D$32),MAX(0,Inputs!$C$91-$AC62-$E63))),2))</f>
      </c>
      <c r="G63" s="7">
        <f>IF($B63="","",IF($BF63=0,0,ROUND(MAX(0,MIN($BL63,Inputs!$C$92-Inputs!$C$54-$BI62)),2)))</f>
      </c>
      <c r="H63" s="7">
        <f>IF($B63="","",IF(OR($BF63=0,$BQ63=1),0,ROUND(MAX(0,MIN(IF($BS63=1,ROUND(MAX(0,MIN($BJ63,'Methodology &amp; Sources'!$C$263)-$BG62)/MAX(1,MAX($BE$6:$BE$68)-($BE62)),2),ROUND(MIN($BJ63,'Methodology &amp; Sources'!$C$263)/Inputs!$C$8,2)),MIN($BJ63,'Methodology &amp; Sources'!$C$263)-$BG62)),2)))</f>
      </c>
      <c r="I63" s="7">
        <f>IF($B63="","",IF(OR($BF63=0,$BR63=1),0,ROUND(MAX(0,MIN(IF($BT63=1,ROUND(MAX(0,MIN($BK63,IF(Inputs!$C$12="MFJ",'Methodology &amp; Sources'!$C$264,'Methodology &amp; Sources'!$C$265))-$BH62)/MAX(1,MAX($BE$6:$BE$68)-($BE62)),2),ROUND(MIN($BK63,IF(Inputs!$C$12="MFJ",'Methodology &amp; Sources'!$C$264,'Methodology &amp; Sources'!$C$265))/Inputs!$C$8,2)),MIN($BK63,IF(Inputs!$C$12="MFJ",'Methodology &amp; Sources'!$C$264,'Methodology &amp; Sources'!$C$265))-$BH62)),2)))</f>
      </c>
      <c r="J63" s="7">
        <f>IF($B63="","",IF($BF63=0,0,$BM63))</f>
      </c>
      <c r="K63" s="7">
        <f>IF($B63="","",IF($BF63=0,0,$BN63+$BO63))</f>
      </c>
      <c r="L63" s="7">
        <f>IF($B63="","",IF($BF63=0,0,Inputs!$D$46))</f>
      </c>
      <c r="M63" s="7">
        <f>IF($B63="","",$C63+$D63+$L63-$E63-$G63-$H63-$I63-$J63-$K63)</f>
      </c>
      <c r="N63" s="7">
        <f>IF($B63="","",$C63+$D63+$L63-$G63-$H63-$I63-$J63-$K63)</f>
      </c>
      <c r="O63" s="7">
        <f>IF($B63="","",$C63+$D63+$L63-$E63-$H63-$I63-$J63-$K63-IF(OR($AN63="CA",$AN63="NJ"),0,$G63))</f>
      </c>
      <c r="P63" s="7">
        <f>IF($B63="","",IF(Inputs!$C$18,0,ROUND(MAX(0,IF(Inputs!$C$13,SUMPRODUCT(($AH63&gt;INDEX('Methodology &amp; Sources'!$B$279:$J$286,0,IF(Inputs!$C$12="MFJ",1,IF(Inputs!$C$12="HoH",7,4))))*($AH63-INDEX('Methodology &amp; Sources'!$B$279:$J$286,0,IF(Inputs!$C$12="MFJ",1,IF(Inputs!$C$12="HoH",7,4))))*INDEX('Methodology &amp; Sources'!$B$279:$J$286,0,IF(Inputs!$C$12="MFJ",1,IF(Inputs!$C$12="HoH",7,4))+2)),SUMPRODUCT(($AH63&gt;INDEX('Methodology &amp; Sources'!$B$269:$J$276,0,IF(Inputs!$C$12="MFJ",1,IF(Inputs!$C$12="HoH",7,4))))*($AH63-INDEX('Methodology &amp; Sources'!$B$269:$J$276,0,IF(Inputs!$C$12="MFJ",1,IF(Inputs!$C$12="HoH",7,4))))*INDEX('Methodology &amp; Sources'!$B$269:$J$276,0,IF(Inputs!$C$12="MFJ",1,IF(Inputs!$C$12="HoH",7,4))+2)))/Inputs!$C$8-$AO63/Inputs!$C$8)+$AR63+IF(Inputs!$C$89="Aggregate",MAX(0,IF(Inputs!$C$13,SUMPRODUCT((($AH63+$D63)&gt;INDEX('Methodology &amp; Sources'!$B$279:$J$286,0,IF(Inputs!$C$12="MFJ",1,IF(Inputs!$C$12="HoH",7,4))))*(($AH63+$D63)-INDEX('Methodology &amp; Sources'!$B$279:$J$286,0,IF(Inputs!$C$12="MFJ",1,IF(Inputs!$C$12="HoH",7,4))))*INDEX('Methodology &amp; Sources'!$B$279:$J$286,0,IF(Inputs!$C$12="MFJ",1,IF(Inputs!$C$12="HoH",7,4))+2)),SUMPRODUCT((($AH63+$D63)&gt;INDEX('Methodology &amp; Sources'!$B$269:$J$276,0,IF(Inputs!$C$12="MFJ",1,IF(Inputs!$C$12="HoH",7,4))))*(($AH63+$D63)-INDEX('Methodology &amp; Sources'!$B$269:$J$276,0,IF(Inputs!$C$12="MFJ",1,IF(Inputs!$C$12="HoH",7,4))))*INDEX('Methodology &amp; Sources'!$B$269:$J$276,0,IF(Inputs!$C$12="MFJ",1,IF(Inputs!$C$12="HoH",7,4))+2)))-IF(Inputs!$C$13,SUMPRODUCT(($AH63&gt;INDEX('Methodology &amp; Sources'!$B$279:$J$286,0,IF(Inputs!$C$12="MFJ",1,IF(Inputs!$C$12="HoH",7,4))))*($AH63-INDEX('Methodology &amp; Sources'!$B$279:$J$286,0,IF(Inputs!$C$12="MFJ",1,IF(Inputs!$C$12="HoH",7,4))))*INDEX('Methodology &amp; Sources'!$B$279:$J$286,0,IF(Inputs!$C$12="MFJ",1,IF(Inputs!$C$12="HoH",7,4))+2)),SUMPRODUCT(($AH63&gt;INDEX('Methodology &amp; Sources'!$B$269:$J$276,0,IF(Inputs!$C$12="MFJ",1,IF(Inputs!$C$12="HoH",7,4))))*($AH63-INDEX('Methodology &amp; Sources'!$B$269:$J$276,0,IF(Inputs!$C$12="MFJ",1,IF(Inputs!$C$12="HoH",7,4))))*INDEX('Methodology &amp; Sources'!$B$269:$J$276,0,IF(Inputs!$C$12="MFJ",1,IF(Inputs!$C$12="HoH",7,4))+2)))),'Methodology &amp; Sources'!$C$260*$D63),2)))</f>
      </c>
      <c r="Q63" s="7">
        <f>IF($B63="","",ROUND('Methodology &amp; Sources'!$C$254*MIN($N63,MAX(0,'Methodology &amp; Sources'!$C$253-($AX63+$AB62-$AW63))),2))</f>
      </c>
      <c r="R63" s="7">
        <f>IF($B63="","",ROUND('Methodology &amp; Sources'!$C$255*$N63,2))</f>
      </c>
      <c r="S63" s="7">
        <f>IF($B63="","",ROUND('Methodology &amp; Sources'!$C$256*MAX(0,MIN($N63,$AG62+$N63-'Methodology &amp; Sources'!$C$257)),2))</f>
      </c>
      <c r="T63" s="7">
        <f>IF($B63="","",IF(Inputs!$C$26,0,IF($AN63="CA",ROUND(IF($AI63&lt;=IF(($AS63+$AT63)&gt;=2,VLOOKUP($AN63,'StateTables 2026'!$A$6:$AB$56,10,FALSE),VLOOKUP($AN63,'StateTables 2026'!$A$6:$AB$56,9,FALSE)),0,MAX(0,SUMPRODUCT(($AJ63&gt;INDEX('Methodology &amp; Sources'!$B$289:$J$298,0,IF($AU63="Married",4,IF($AU63="Head of household",7,1))))*($AJ63-INDEX('Methodology &amp; Sources'!$B$289:$J$298,0,IF($AU63="Married",4,IF($AU63="Head of household",7,1))))*INDEX('Methodology &amp; Sources'!$B$289:$J$298,0,IF($AU63="Married",4,IF($AU63="Head of household",7,1))+2))-VLOOKUP($AN63,'StateTables 2026'!$A$6:$AB$56,11,FALSE)*$AS63)/Inputs!$C$8)+Inputs!$C$25+VLOOKUP($AN63,'StateTables 2026'!$A$6:$AB$56,13,FALSE)*$D63,2),IF(VLOOKUP($AN63,'StateTables 2026'!$A$6:$AB$56,4,FALSE)="None",0,IF(ISNUMBER(SEARCH("MANUAL",VLOOKUP($AN63,'StateTables 2026'!$A$6:$AB$56,5,FALSE))),Inputs!$C$28,ROUND(MAX(0,$BA63+$BB63)/Inputs!$C$8+Inputs!$C$25+$BC63,2))))))</f>
      </c>
      <c r="U63" s="7">
        <f>IF($B63="","",IF(VLOOKUP($AN63,'StateTables 2026'!$A$6:$AB$56,24,FALSE)="flatq",IF(OR(MONTH($B63)=1,MONTH($B63)=4,MONTH($B63)=7,MONTH($B63)=10),VLOOKUP($AN63,'StateTables 2026'!$A$6:$AB$56,25,FALSE),0),IF(VLOOKUP($AN63,'StateTables 2026'!$A$6:$AB$56,24,FALSE)="dbl",MIN(ROUND(0.005*$N63,2),ROUND(0.6*52/Inputs!$C$8,2)),IF(OR(VLOOKUP($AN63,'StateTables 2026'!$A$6:$AB$56,15,FALSE)="",VLOOKUP($AN63,'StateTables 2026'!$A$6:$AB$56,15,FALSE)=0),0,ROUND(VLOOKUP($AN63,'StateTables 2026'!$A$6:$AB$56,15,FALSE)*IF(OR(VLOOKUP($AN63,'StateTables 2026'!$A$6:$AB$56,16,FALSE)="",VLOOKUP($AN63,'StateTables 2026'!$A$6:$AB$56,16,FALSE)=0),$N63,MIN($N63,MAX(0,VLOOKUP($AN63,'StateTables 2026'!$A$6:$AB$56,16,FALSE)-($AX63+$AB62-$AW63)))),2))))+IF(VLOOKUP($AN63,'StateTables 2026'!$A$6:$AB$56,27,FALSE)="flatq",IF(OR(MONTH($B63)=1,MONTH($B63)=4,MONTH($B63)=7,MONTH($B63)=10),VLOOKUP($AN63,'StateTables 2026'!$A$6:$AB$56,28,FALSE),0),IF(VLOOKUP($AN63,'StateTables 2026'!$A$6:$AB$56,27,FALSE)="dbl",MIN(ROUND(0.005*$N63,2),ROUND(0.6*52/Inputs!$C$8,2)),IF(OR(VLOOKUP($AN63,'StateTables 2026'!$A$6:$AB$56,18,FALSE)="",VLOOKUP($AN63,'StateTables 2026'!$A$6:$AB$56,18,FALSE)=0),0,ROUND(VLOOKUP($AN63,'StateTables 2026'!$A$6:$AB$56,18,FALSE)*IF(OR(VLOOKUP($AN63,'StateTables 2026'!$A$6:$AB$56,19,FALSE)="",VLOOKUP($AN63,'StateTables 2026'!$A$6:$AB$56,19,FALSE)=0),$N63,MIN($N63,MAX(0,VLOOKUP($AN63,'StateTables 2026'!$A$6:$AB$56,19,FALSE)-($AX63+$AB62-$AW63)))),2)))))</f>
      </c>
      <c r="V63" s="7">
        <f>IF($B63="","",IF($AN63="NY",IF(Inputs!$C$78,ROUND(SUMPRODUCT((MAX(0,($O63-$D63)*Inputs!$C$8-(IF($AU63="Married",5500,5000)+1000*$AS63))&gt;INDEX('Methodology &amp; Sources'!$B$434:$J$448,0,4))*(MAX(0,($O63-$D63)*Inputs!$C$8-(IF($AU63="Married",5500,5000)+1000*$AS63))-INDEX('Methodology &amp; Sources'!$B$434:$J$448,0,4))*INDEX('Methodology &amp; Sources'!$B$434:$J$448,0,4+2))/Inputs!$C$8+0.0425*$D63,2),0)+IF(Inputs!$C$79="Resident",ROUND(0.1675*$T63,2),IF(Inputs!$C$79="Nonresident",ROUND(0.005*MAX(0,($O63-$D63)-(IF($AU63="Married",7950,7400)+1000*$AS63)/Inputs!$C$8),2),0)),IF($AN63="PA",IF(Inputs!$C$80="None",Inputs!$C$27+ROUND(Inputs!$C$81*($C63+$D63),2),ROUND(IF(Inputs!$C$80="Resident",IF($B63&lt;DATE(2026,7,1),0.0374,0.03735),IF($B63&lt;DATE(2026,7,1),0.0343,0.03425))*($C63+$D63),2)),IF($BF63=0,ROUND(Inputs!$C$81*($C63+$D63),2),Inputs!$C$27+ROUND(Inputs!$C$81*($C63+$D63),2)))))</f>
      </c>
      <c r="W63" s="7">
        <f>IF($B63="","",IF($BF63=0,0,$BP63))</f>
      </c>
      <c r="X63" s="7">
        <f>IF($B63="","",SUM($E63:$K63)+$P63+$Q63+$R63+$S63+$T63+$U63+$V63+$W63)</f>
      </c>
      <c r="Y63" s="22">
        <f>IF($B63="","",$C63+$D63-$X63)</f>
      </c>
      <c r="Z63" s="7">
        <f>IF($B63="","",$Z62+$C63+$D63)</f>
      </c>
      <c r="AA63" s="7">
        <f>IF($B63="","",$AA62+$Y63)</f>
      </c>
      <c r="AB63" s="7">
        <f>IF($B63="","",$AB62+MIN($N63,MAX(0,'Methodology &amp; Sources'!$C$253-($AX63+$AB62-$AW63))))</f>
      </c>
      <c r="AC63" s="7">
        <f>IF($B63="","",$AC62+$E63+$F63)</f>
      </c>
      <c r="AD63" s="3">
        <f>IF($B63="","",IF(AND($AB62&lt;'Methodology &amp; Sources'!$C$253,$AB63&gt;='Methodology &amp; Sources'!$C$253),"★ Social Security maxed on this check — from the next check your net rises by about $"&amp;TEXT(ROUND('Methodology &amp; Sources'!$C$254*$N63,2),"#,##0.00")&amp;". ","")&amp;IF(AND($AC62&lt;Inputs!$C$91,$AC63&gt;=Inputs!$C$91),"★ 401(k) reaches the $"&amp;TEXT(Inputs!$C$91,"#,##0")&amp;" cap on this check — deferrals stop and net pay rises. ","")&amp;IF(AND($AG62&lt;'Methodology &amp; Sources'!$C$257,$AG63&gt;='Methodology &amp; Sources'!$C$257),"★ Wages pass $200,000 — the 0.9% Additional Medicare Tax starts here. ","")&amp;IF(AND($BJ63&gt;0,$H63&gt;0,$BG62&lt;MIN($BJ63,'Methodology &amp; Sources'!$C$263),$BG62+$H63&gt;=MIN($BJ63,'Methodology &amp; Sources'!$C$263)),"★ Health FSA election is now fully deferred for the year. ",""))</f>
      </c>
      <c r="AE63" s="41" t="n"/>
      <c r="AF63" s="7">
        <f>IF(OR($B63="",$AE63=""),"",$AE63-$Y63)</f>
      </c>
      <c r="AG63" s="7">
        <f>IF($B63="","",$AG62+$N63)</f>
      </c>
      <c r="AH63" s="7">
        <f>IF($B63="","",MAX(0,($M63-$D63)*Inputs!$C$8+$AP63-$AQ63-IF(Inputs!$C$13,0,IF(Inputs!$C$12="MFJ",'Methodology &amp; Sources'!$C$258,'Methodology &amp; Sources'!$C$259))))</f>
      </c>
      <c r="AI63" s="7">
        <f>IF($B63="","",$O63*Inputs!$C$8)</f>
      </c>
      <c r="AJ63" s="7">
        <f>IF($B63="","",MAX(0,$AI63-VLOOKUP($AN63,'StateTables 2026'!$A$6:$AB$56,12,FALSE)*$AT63-IF(($AS63+$AT63)&gt;=2,VLOOKUP($AN63,'StateTables 2026'!$A$6:$AB$56,8,FALSE),VLOOKUP($AN63,'StateTables 2026'!$A$6:$AB$56,7,FALSE))))</f>
      </c>
      <c r="AK63" s="7">
        <f>IF($B63="","",IFERROR(LOOKUP(2,1/((Events!$C$6:$C$17="Salary change")*(Events!$B$6:$B$17&lt;=$B63)*(Events!$B$6:$B$17&lt;&gt;"")),Events!$D$6:$D$17),IF(Inputs!$C$4="Annual salary",Inputs!$C$5,Inputs!$C$6)))</f>
      </c>
      <c r="AL63">
        <f>IF($B63="","",IFERROR(LOOKUP(2,1/((Events!$C$6:$C$17="401(k) change")*(Events!$B$6:$B$17&lt;=$B63)*(Events!$B$6:$B$17&lt;&gt;"")),Events!$D$6:$D$17),Inputs!$C$30))</f>
      </c>
      <c r="AM63" s="7">
        <f>IF($B63="","",IFERROR(LOOKUP(2,1/((Events!$C$6:$C$17="401(k) change")*(Events!$B$6:$B$17&lt;=$B63)*(Events!$B$6:$B$17&lt;&gt;"")),Events!$E$6:$E$17),Inputs!$D$30))</f>
      </c>
      <c r="AN63">
        <f>IF($B63="","",IFERROR(LOOKUP(2,1/((Events!$C$6:$C$17="State move")*(Events!$B$6:$B$17&lt;=$B63)*(Events!$B$6:$B$17&lt;&gt;"")),Events!$D$6:$D$17),Inputs!$C$21))</f>
      </c>
      <c r="AO63" s="7">
        <f>IF($B63="","",IFERROR(LOOKUP(2,1/((Events!$C$6:$C$17="W-4 change")*(Events!$B$6:$B$17&lt;=$B63)*(Events!$B$6:$B$17&lt;&gt;"")),Events!$D$6:$D$17),Inputs!$C$14))</f>
      </c>
      <c r="AP63" s="7">
        <f>IF($B63="","",IFERROR(LOOKUP(2,1/((Events!$C$6:$C$17="W-4 change")*(Events!$B$6:$B$17&lt;=$B63)*(Events!$B$6:$B$17&lt;&gt;"")),Events!$E$6:$E$17),Inputs!$C$15))</f>
      </c>
      <c r="AQ63" s="7">
        <f>IF($B63="","",IFERROR(LOOKUP(2,1/((Events!$C$6:$C$17="W-4 change")*(Events!$B$6:$B$17&lt;=$B63)*(Events!$B$6:$B$17&lt;&gt;"")),Events!$F$6:$F$17),Inputs!$C$16))</f>
      </c>
      <c r="AR63" s="7">
        <f>IF($B63="","",IFERROR(LOOKUP(2,1/((Events!$C$6:$C$17="W-4 change")*(Events!$B$6:$B$17&lt;=$B63)*(Events!$B$6:$B$17&lt;&gt;"")),Events!$G$6:$G$17),Inputs!$C$17))</f>
      </c>
      <c r="AS63" s="6">
        <f>IF($B63="","",IFERROR(LOOKUP(2,1/(((Events!$C$6:$C$17="State move")+(Events!$C$6:$C$17="State cert change"))*(Events!$B$6:$B$17&lt;=$B63)*(Events!$B$6:$B$17&lt;&gt;"")),Events!$F$6:$F$17),Inputs!$C$23))</f>
      </c>
      <c r="AT63" s="6">
        <f>IF($B63="","",IFERROR(LOOKUP(2,1/(((Events!$C$6:$C$17="State move")+(Events!$C$6:$C$17="State cert change"))*(Events!$B$6:$B$17&lt;=$B63)*(Events!$B$6:$B$17&lt;&gt;"")),Events!$G$6:$G$17),Inputs!$C$24))</f>
      </c>
      <c r="AU63">
        <f>IF($B63="","",IFERROR(LOOKUP(2,1/((Events!$C$6:$C$17="State move")*(Events!$B$6:$B$17&lt;=$B63)*(Events!$B$6:$B$17&lt;&gt;"")),Events!$E$6:$E$17),Inputs!$C$22))</f>
      </c>
      <c r="AV63" s="6">
        <f>IF($B63="","",1+COUNTIFS(Events!$C$6:$C$17,"Employer change",Events!$B$6:$B$17,"&lt;="&amp;$B63,Events!$B$6:$B$17,"&lt;&gt;"))</f>
      </c>
      <c r="AW63" s="7">
        <f>IF($B63="","",IF($AV63=1,Inputs!$C$49,IF(IFERROR(MATCH(IFERROR(LOOKUP(2,1/((Events!$C$6:$C$17="Employer change")*(Events!$B$6:$B$17&lt;=$B63)*(Events!$B$6:$B$17&lt;&gt;"")),Events!$B$6:$B$17),""),$B$6:$B$68,1),1)&lt;=1,Inputs!$C$49,INDEX($AB$6:$AB$68,MATCH(IFERROR(LOOKUP(2,1/((Events!$C$6:$C$17="Employer change")*(Events!$B$6:$B$17&lt;=$B63)*(Events!$B$6:$B$17&lt;&gt;"")),Events!$B$6:$B$17),""),$B$6:$B$68,1)-1))))</f>
      </c>
      <c r="AX63" s="7">
        <f>IF($B63="","",IF($AV63=1,Inputs!$C$49,IFERROR(LOOKUP(2,1/((Events!$C$6:$C$17="Employer change")*(Events!$B$6:$B$17&lt;=$B63)*(Events!$B$6:$B$17&lt;&gt;"")),Events!$D$6:$D$17),0)))</f>
      </c>
      <c r="AY63" s="7">
        <f>IF($B63="","",($O63-$D63)*Inputs!$C$8)</f>
      </c>
      <c r="AZ63" s="7">
        <f>IF($B63="","",IF($AN63="AL",MAX(0,$AY63-IF($AU63="Married",IF($AY63&lt;=25999,8500,MAX(5000,8500-175*CEILING(($AY63-25999)/500,1))),IF($AU63="Head of household",IF($AY63&lt;=25999,5200,MAX(2500,5200-135*CEILING(($AY63-25999)/500,1))),IF($AY63&lt;=25999,3000,MAX(2500,3000-25*CEILING(($AY63-25999)/500,1)))))-($P63-'Methodology &amp; Sources'!$C$260*$D63)*Inputs!$C$8-IF(OR($AU63="Married",$AU63="Head of household"),3000,1500)-$AT63*IF($AY63&lt;=50000,1000,IF($AY63&lt;=100000,500,300))),IF($AN63="AR",IF(MAX(0,$AY63-2470)&lt;97701,INT(MAX(0,$AY63-2470)/100)*100+50,MAX(0,$AY63-2470)),IF($AN63="DE",MAX(0,$AI63-3250),IF($AN63="HI",MAX(0,$AI63-1144*$AS63-4350),IF($AN63="KS",MAX(0,$AI63-(9160*IF($AU63="Married",2,1)+2320*$AT63+IF($AU63="Head of household",2320,0))),IF($AN63="MD",MAX(0,$AI63-3400-3200*$AS63),IF($AN63="MN",MAX(0,$AY63-5300*$AS63),IF($AN63="MO",MAX(0,$AI63-IF($AU63="Head of household",24150,IF($AU63="Married",IF(Inputs!$C$83,16100,32200),16100))),IF($AN63="MT",$AY63,IF($AN63="ND",($C63+$L63)*Inputs!$C$8,IF($AN63="NE",MAX(0,$AY63-2440*$AS63),IF($AN63="NJ",MAX(0,$AY63-1000*$AS63),IF($AN63="NY",MAX(0,$AY63-(IF($AU63="Married",7950,7400)+1000*$AS63)),IF($AN63="OH",MAX(0,$AY63-650*$AS63),IF($AN63="OK",MAX(0,$AY63-1000*$AS63),IF($AN63="RI",MAX(0,$AI63-1000*$AS63),IF($AN63="SC",MAX(0,$AI63-5000*$AS63-IF($AS63=0,0,MIN(0.1*$AI63,7500))),IF($AN63="VA",MAX(0,$AI63-IF($AU63="Married",17500,8750)-930*$AS63-800*$AT63),IF($AN63="VT",MAX(0,$AI63-5400*$AS63),IF($AN63="WI",MAX(0,$AI63-MAX(0,IF($AU63="Married",9461-0.2*MAX(0,$AI63-25727),6702-0.12*MAX(0,$AI63-17780)))-400*$AS63),IF($AN63="WV",MAX(0,$AI63-2000*$AS63),$AI63))))))))))))))))))))))</f>
      </c>
      <c r="BA63" s="7">
        <f>IF($B63="","",IF($BW63&lt;&gt;"",$BW63,IF($BX63&lt;&gt;"",$BX63,IF($BY63&lt;&gt;"",$BY63,0))))</f>
      </c>
      <c r="BB63" s="7">
        <f>IF($B63="","",IF($AN63="AR",-29*$AS63,IF($AN63="DE",-110*$AS63,IF($AN63="MD",$AZ63*Inputs!$C$74,IF($AN63="AZ",Inputs!$C$82*($M63-$D63)*Inputs!$C$8,IF($AN63="CO",0.044*MAX(0,$AY63-IF($AU63="Married",10000,5000)),IF($AN63="IA",MAX(0,0.038*MAX(0,$AY63-IF($AU63="Head of household",19500,IF($AU63="Married",26000,13000)))-40*$AS63),IF($AN63="ID",0.053*MAX(0,$AY63-IF($AU63="Married",32000,16094)),IF($AN63="IL",0.0495*MAX(0,$AY63-(2925*$AS63+1000*$AT63)),IF($AN63="IN",(0.0295+Inputs!$C$76)*MAX(0,$AY63-(1000*$AS63+1500*$AT63+3000*Inputs!$C$86)),IF($AN63="KY",0.035*MAX(0,$AI63-3360),IF($AN63="LA",IF(Inputs!$C$84="0",0.0309*$AI63,0.0309*MAX(0,$AI63-IF(Inputs!$C$84="2",25750,12875))),IF($AN63="MA",0.05*MIN(MAX(0,$AY63-MIN(($BD62+$Q63+$R63+$S63),2000)-IF($AS63=0,0,IF($AS63=1,4400,1000*$AS63+3400))),1107750)+0.09*MAX(0,MAX(0,$AY63-MIN(($BD62+$Q63+$R63+$S63),2000)-IF($AS63=0,0,IF($AS63=1,4400,1000*$AS63+3400)))-1107750)-IF($AU63="Head of household",120,0)-110*Inputs!$C$75,IF($AN63="MI",0.0425*MAX(0,$AY63-5900*$AS63),IF($AN63="MS",0.04*MAX(0,$AI63-IF($AU63="Head of household",3400,IF($AU63="Married",4600,2300))-Inputs!$C$85-10000),IF($AN63="OR",IF(OR($AU63="Married",AND($AU63="Single",$AS63&gt;=3)),SUMPRODUCT((MAX(0,$AY63-MIN(($P63-'Methodology &amp; Sources'!$C$260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Sources'!$B$461:$J$464,0,4))*(MAX(0,$AY63-MIN(($P63-'Methodology &amp; Sources'!$C$260*$D63)*Inputs!$C$8,IF(OR($AU63="Married",AND($AU63="Single",$AS63&gt;=3)),IF($AY63&lt;250000,8750,IF($AY63&lt;260000,7000,IF($AY63&lt;270000,5250,IF($AY63&lt;280000,3500,IF($AY63&lt;290000,1750,0))))),IF($AY63&lt;125000,8750,IF($AY63&lt;130000,7000,IF($AY63&lt;135000,5250,IF($AY63&lt;140000,3500,IF($AY63&lt;145000,1750,0)))))))-IF(OR($AU63="Married",AND($AU63="Single",$AS63&gt;=3)),5820,2910))-INDEX('Methodology &amp; Sources'!$B$461:$J$464,0,4))*INDEX('Methodology &amp; Sources'!$B$461:$J$464,0,4+2)),SUMPRODUCT((MAX(0,$AY63-MIN(($P63-'Methodology &amp; Sources'!$C$260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Sources'!$B$461:$J$464,0,1))*(MAX(0,$AY63-MIN(($P63-'Methodology &amp; Sources'!$C$260*$D63)*Inputs!$C$8,IF(OR($AU63="Married",AND($AU63="Single",$AS63&gt;=3)),IF($AY63&lt;250000,8750,IF($AY63&lt;260000,7000,IF($AY63&lt;270000,5250,IF($AY63&lt;280000,3500,IF($AY63&lt;290000,1750,0))))),IF($AY63&lt;125000,8750,IF($AY63&lt;130000,7000,IF($AY63&lt;135000,5250,IF($AY63&lt;140000,3500,IF($AY63&lt;145000,1750,0)))))))-IF(OR($AU63="Married",AND($AU63="Single",$AS63&gt;=3)),5820,2910))-INDEX('Methodology &amp; Sources'!$B$461:$J$464,0,1))*INDEX('Methodology &amp; Sources'!$B$461:$J$464,0,1+2)))+263-263*IF(IF($AU63="Married",$AY63&gt;200000,$AY63&gt;100000),0,$AS63),IF($AN63="PA",0.0307*(($O63+$E63+$G63)*Inputs!$C$8),IF($AN63="NY",IF($AU63="Married",IF($AZ63&gt;=2155350,0,IF($AZ63&gt;=1077550,0.48,IF($AZ63&gt;=373200,1.21,IF($AZ63&gt;=323200,0.21,IF($AZ63&gt;=211550,-0.19,IF($AZ63&gt;=157650,-2.8,IF($AZ63&gt;=107650,-0.8,IF($AZ63&gt;=96800,0.05,IF($AZ63&gt;=80650,-0.1,IF($AZ63&gt;=13900,0.4,IF($AZ63&gt;=11700,-0.3,IF($AZ63&gt;=8500,0.5,0)))))))))))),IF($AZ63&gt;=1077550,0,IF($AZ63&gt;=265400,4.29,IF($AZ63&gt;=215400,2.29,IF($AZ63&gt;=157650,2.29,IF($AZ63&gt;=107650,0.29,IF($AZ63&gt;=96800,0.05,IF($AZ63&gt;=80650,-0.1,IF($AZ63&gt;=13900,0.4,IF($AZ63&gt;=11700,-0.3,IF($AZ63&gt;=8500,0.5,0))))))))))),0))))))))))))))))))</f>
      </c>
      <c r="BC63" s="7">
        <f>IF($B63="","",IF($AN63="AL",0.05*$D63,IF($AN63="AR",0.039*$D63,IF($AN63="ID",0.053*$D63,IF($AN63="IN",(0.0295+Inputs!$C$76)*$D63,IF($AN63="KS",0.05*$D63,IF($AN63="MA",0.09*MIN($D63,MAX(0,MAX(0,$AY63-MIN(($BD62+$Q63+$R63+$S63),2000)-IF($AS63=0,0,IF($AS63=1,4400,1000*$AS63+3400)))+$D63-1107750))+0.05*($D63-MIN($D63,MAX(0,MAX(0,$AY63-MIN(($BD62+$Q63+$R63+$S63),2000)-IF($AS63=0,0,IF($AS63=1,4400,1000*$AS63+3400)))+$D63-1107750))),IF($AN63="MD",(0.065+Inputs!$C$74)*$D63,IF($AN63="MI",0.0425*$D63,IF($AN63="MN",0.0625*$D63,IF($AN63="MO",0.047*$D63,IF($AN63="MT",0.05*$D63,IF($AN63="ND",0.015*$D63,IF($AN63="NE",0.035*$D63,IF($AN63="NJ",IF(Inputs!$C$77="B",SUMPRODUCT(($D63*Inputs!$C$8&gt;INDEX('Methodology &amp; Sources'!$B$405:$J$412,0,4))*($D63*Inputs!$C$8-INDEX('Methodology &amp; Sources'!$B$405:$J$412,0,4))*INDEX('Methodology &amp; Sources'!$B$405:$J$412,0,4+2)),IF(Inputs!$C$77="C",SUMPRODUCT(($D63*Inputs!$C$8&gt;INDEX('Methodology &amp; Sources'!$B$405:$J$412,0,7))*($D63*Inputs!$C$8-INDEX('Methodology &amp; Sources'!$B$405:$J$412,0,7))*INDEX('Methodology &amp; Sources'!$B$405:$J$412,0,7+2)),IF(Inputs!$C$77="D",SUMPRODUCT(($D63*Inputs!$C$8&gt;INDEX('Methodology &amp; Sources'!$B$417:$J$429,0,1))*($D63*Inputs!$C$8-INDEX('Methodology &amp; Sources'!$B$417:$J$429,0,1))*INDEX('Methodology &amp; Sources'!$B$417:$J$429,0,1+2)),IF(Inputs!$C$77="E",SUMPRODUCT(($D63*Inputs!$C$8&gt;INDEX('Methodology &amp; Sources'!$B$417:$J$429,0,4))*($D63*Inputs!$C$8-INDEX('Methodology &amp; Sources'!$B$417:$J$429,0,4))*INDEX('Methodology &amp; Sources'!$B$417:$J$429,0,4+2)),SUMPRODUCT(($D63*Inputs!$C$8&gt;INDEX('Methodology &amp; Sources'!$B$405:$J$412,0,1))*($D63*Inputs!$C$8-INDEX('Methodology &amp; Sources'!$B$405:$J$412,0,1))*INDEX('Methodology &amp; Sources'!$B$405:$J$412,0,1+2))))))/Inputs!$C$8,IF($AN63="NY",0.117*$D63,IF($AN63="OH",0.0275*$D63,IF($AN63="OK",0.045*$D63,IF($AN63="OR",0.08*$D63,IF($AN63="WI",IF($AY63&lt;12760,0.0354,IF($AY63&lt;25520,0.0465,IF($AY63&lt;280950,0.053,0.0765)))*$D63,0))))))))))))))))))))</f>
      </c>
      <c r="BD63" s="7">
        <f>IF($B63="","",$BD62+$Q63+$R63+$S63)</f>
      </c>
      <c r="BE63" s="6">
        <f>IF($B63="",$BE62,$BE62+$BF63)</f>
      </c>
      <c r="BF63" s="6">
        <f>IF($B63="","",IF(AND(IF(YEAR(IF(Inputs!$C$7="Weekly",Inputs!$C$9+7*(($BE62+1)-1),IF(Inputs!$C$7="Biweekly",Inputs!$C$9+14*(($BE62+1)-1),IF(Inputs!$C$7="Semimonthly",DATE(YEAR(Inputs!$C$9),MONTH(Inputs!$C$9)+INT((($BE62+1)-1)/2),MIN(DAY(Inputs!$C$9),DAY(EOMONTH(DATE(YEAR(Inputs!$C$9),MONTH(Inputs!$C$9)+INT((($BE62+1)-1)/2),1),0))))+IF(MOD(($BE62+1)-1,2)=1,15,0),EDATE(Inputs!$C$9,($BE62+1)-1)))))&lt;&gt;2026,"",IF(Inputs!$C$7="Weekly",Inputs!$C$9+7*(($BE62+1)-1),IF(Inputs!$C$7="Biweekly",Inputs!$C$9+14*(($BE62+1)-1),IF(Inputs!$C$7="Semimonthly",DATE(YEAR(Inputs!$C$9),MONTH(Inputs!$C$9)+INT((($BE62+1)-1)/2),MIN(DAY(Inputs!$C$9),DAY(EOMONTH(DATE(YEAR(Inputs!$C$9),MONTH(Inputs!$C$9)+INT((($BE62+1)-1)/2),1),0))))+IF(MOD(($BE62+1)-1,2)=1,15,0),EDATE(Inputs!$C$9,($BE62+1)-1)))))&lt;&gt;"",$B63=IF(YEAR(IF(Inputs!$C$7="Weekly",Inputs!$C$9+7*(($BE62+1)-1),IF(Inputs!$C$7="Biweekly",Inputs!$C$9+14*(($BE62+1)-1),IF(Inputs!$C$7="Semimonthly",DATE(YEAR(Inputs!$C$9),MONTH(Inputs!$C$9)+INT((($BE62+1)-1)/2),MIN(DAY(Inputs!$C$9),DAY(EOMONTH(DATE(YEAR(Inputs!$C$9),MONTH(Inputs!$C$9)+INT((($BE62+1)-1)/2),1),0))))+IF(MOD(($BE62+1)-1,2)=1,15,0),EDATE(Inputs!$C$9,($BE62+1)-1)))))&lt;&gt;2026,"",IF(Inputs!$C$7="Weekly",Inputs!$C$9+7*(($BE62+1)-1),IF(Inputs!$C$7="Biweekly",Inputs!$C$9+14*(($BE62+1)-1),IF(Inputs!$C$7="Semimonthly",DATE(YEAR(Inputs!$C$9),MONTH(Inputs!$C$9)+INT((($BE62+1)-1)/2),MIN(DAY(Inputs!$C$9),DAY(EOMONTH(DATE(YEAR(Inputs!$C$9),MONTH(Inputs!$C$9)+INT((($BE62+1)-1)/2),1),0))))+IF(MOD(($BE62+1)-1,2)=1,15,0),EDATE(Inputs!$C$9,($BE62+1)-1)))))),1,0))</f>
      </c>
      <c r="BG63" s="7">
        <f>IF($B63="","",$BG62+$H63)</f>
      </c>
      <c r="BH63" s="7">
        <f>IF($B63="","",$BH62+$I63)</f>
      </c>
      <c r="BI63" s="7">
        <f>IF($B63="","",$BI62+$G63)</f>
      </c>
      <c r="BJ63" s="7">
        <f>IF($B63="","",IFERROR(LOOKUP(2,1/((((Events!$C$6:$C$17="Deduction start"))*(Events!$D$6:$D$17="Health FSA"))*(Events!$B$6:$B$17&lt;=$B63)*(Events!$B$6:$B$17&lt;&gt;"")),Events!$E$6:$E$17),Inputs!$D$38))</f>
      </c>
      <c r="BK63" s="7">
        <f>IF($B63="","",IFERROR(LOOKUP(2,1/((((Events!$C$6:$C$17="Deduction start"))*(Events!$D$6:$D$17="Dependent-care FSA"))*(Events!$B$6:$B$17&lt;=$B63)*(Events!$B$6:$B$17&lt;&gt;"")),Events!$E$6:$E$17),Inputs!$D$39))</f>
      </c>
      <c r="BL63" s="7">
        <f>IF($B63="","",IFERROR(LOOKUP(2,1/((((Events!$C$6:$C$17="Deduction start")+(Events!$C$6:$C$17="Deduction stop"))*(Events!$D$6:$D$17="HSA"))*(Events!$B$6:$B$17&lt;=$B63)*(Events!$B$6:$B$17&lt;&gt;"")),Events!$I$6:$I$17),Inputs!$D$35))</f>
      </c>
      <c r="BM63" s="7">
        <f>IF($B63="","",IFERROR(LOOKUP(2,1/((((Events!$C$6:$C$17="Deduction start")+(Events!$C$6:$C$17="Deduction stop"))*(Events!$D$6:$D$17="Premiums"))*(Events!$B$6:$B$17&lt;=$B63)*(Events!$B$6:$B$17&lt;&gt;"")),Events!$I$6:$I$17),Inputs!$D$40+Inputs!$D$41+Inputs!$D$42))</f>
      </c>
      <c r="BN63" s="7">
        <f>IF($B63="","",IFERROR(LOOKUP(2,1/((((Events!$C$6:$C$17="Deduction start")+(Events!$C$6:$C$17="Deduction stop"))*(Events!$D$6:$D$17="Commuter"))*(Events!$B$6:$B$17&lt;=$B63)*(Events!$B$6:$B$17&lt;&gt;"")),Events!$I$6:$I$17),Inputs!$D$43))</f>
      </c>
      <c r="BO63" s="7">
        <f>IF($B63="","",IFERROR(LOOKUP(2,1/((((Events!$C$6:$C$17="Deduction start")+(Events!$C$6:$C$17="Deduction stop"))*(Events!$D$6:$D$17="Other pre-tax"))*(Events!$B$6:$B$17&lt;=$B63)*(Events!$B$6:$B$17&lt;&gt;"")),Events!$I$6:$I$17),Inputs!$D$44))</f>
      </c>
      <c r="BP63" s="7">
        <f>IF($B63="","",IFERROR(LOOKUP(2,1/((((Events!$C$6:$C$17="Deduction start")+(Events!$C$6:$C$17="Deduction stop"))*(Events!$D$6:$D$17="Other post-tax"))*(Events!$B$6:$B$17&lt;=$B63)*(Events!$B$6:$B$17&lt;&gt;"")),Events!$I$6:$I$17),Inputs!$D$45))</f>
      </c>
      <c r="BQ63" s="6">
        <f>IF($B63="","",IFERROR(LOOKUP(2,1/((((Events!$C$6:$C$17="Deduction start")+(Events!$C$6:$C$17="Deduction stop"))*(Events!$D$6:$D$17="Health FSA"))*(Events!$B$6:$B$17&lt;=$B63)*(Events!$B$6:$B$17&lt;&gt;"")),Events!$J$6:$J$17),0))</f>
      </c>
      <c r="BR63" s="6">
        <f>IF($B63="","",IFERROR(LOOKUP(2,1/((((Events!$C$6:$C$17="Deduction start")+(Events!$C$6:$C$17="Deduction stop"))*(Events!$D$6:$D$17="Dependent-care FSA"))*(Events!$B$6:$B$17&lt;=$B63)*(Events!$B$6:$B$17&lt;&gt;"")),Events!$J$6:$J$17),0))</f>
      </c>
      <c r="BS63" s="6">
        <f>IF($B63="","",IF(SUMPRODUCT((Events!$C$6:$C$17="Deduction start")*(Events!$B$6:$B$17&lt;=$B63)*(Events!$B$6:$B$17&lt;&gt;"")*(Events!$D$6:$D$17="Health FSA"))&gt;0,1,0))</f>
      </c>
      <c r="BT63" s="6">
        <f>IF($B63="","",IF(SUMPRODUCT((Events!$C$6:$C$17="Deduction start")*(Events!$B$6:$B$17&lt;=$B63)*(Events!$B$6:$B$17&lt;&gt;"")*(Events!$D$6:$D$17="Dependent-care FSA"))&gt;0,1,0))</f>
      </c>
      <c r="BU63" s="24">
        <f>IF($B63="","",IF(Inputs!$C$13,SUMPRODUCT(($AH63&gt;=INDEX('Methodology &amp; Sources'!$B$279:$J$286,0,IF(Inputs!$C$12="MFJ",1,IF(Inputs!$C$12="HoH",7,4))))*INDEX('Methodology &amp; Sources'!$B$279:$J$286,0,IF(Inputs!$C$12="MFJ",1,IF(Inputs!$C$12="HoH",7,4))+2)),SUMPRODUCT(($AH63&gt;=INDEX('Methodology &amp; Sources'!$B$269:$J$276,0,IF(Inputs!$C$12="MFJ",1,IF(Inputs!$C$12="HoH",7,4))))*INDEX('Methodology &amp; Sources'!$B$269:$J$276,0,IF(Inputs!$C$12="MFJ",1,IF(Inputs!$C$12="HoH",7,4))+2))))</f>
      </c>
      <c r="BV63" s="24">
        <f>IF($B63="","",IF($BZ63&lt;&gt;"",$BZ63,IF($CA63&lt;&gt;"",$CA63,IF($CB63&lt;&gt;"",$CB63,IF($CC63&lt;&gt;"",$CC63,0)))))</f>
      </c>
      <c r="BW63" s="7">
        <f>IF($B63="","",IF($AN63="MD",IF(OR($AU63="Married",$AU63="Head of household"),SUMPRODUCT(($AZ63&gt;INDEX('Methodology &amp; Sources'!$B$364:$J$370,0,1))*($AZ63-INDEX('Methodology &amp; Sources'!$B$364:$J$370,0,1))*INDEX('Methodology &amp; Sources'!$B$364:$J$370,0,1+2)),SUMPRODUCT(($AZ63&gt;INDEX('Methodology &amp; Sources'!$B$353:$J$359,0,7))*($AZ63-INDEX('Methodology &amp; Sources'!$B$353:$J$359,0,7))*INDEX('Methodology &amp; Sources'!$B$353:$J$359,0,7+2))),IF($AN63="MO",SUMPRODUCT(($AZ63&gt;INDEX('Methodology &amp; Sources'!$B$375:$J$382,0,1))*($AZ63-INDEX('Methodology &amp; Sources'!$B$375:$J$382,0,1))*INDEX('Methodology &amp; Sources'!$B$375:$J$382,0,1+2)),IF($AN63="MT",IF($AU63="Head of household",SUMPRODUCT(($AZ63&gt;INDEX('Methodology &amp; Sources'!$B$387:$J$389,0,1))*($AZ63-INDEX('Methodology &amp; Sources'!$B$387:$J$389,0,1))*INDEX('Methodology &amp; Sources'!$B$387:$J$389,0,1+2)),IF($AU63="Married",SUMPRODUCT(($AZ63&gt;INDEX('Methodology &amp; Sources'!$B$375:$J$382,0,7))*($AZ63-INDEX('Methodology &amp; Sources'!$B$375:$J$382,0,7))*INDEX('Methodology &amp; Sources'!$B$375:$J$382,0,7+2)),SUMPRODUCT(($AZ63&gt;INDEX('Methodology &amp; Sources'!$B$375:$J$382,0,4))*($AZ63-INDEX('Methodology &amp; Sources'!$B$375:$J$382,0,4))*INDEX('Methodology &amp; Sources'!$B$375:$J$382,0,4+2)))),IF($AN63="ND",IF($AU63="Head of household",SUMPRODUCT(($AZ63&gt;INDEX('Methodology &amp; Sources'!$B$394:$J$400,0,1))*($AZ63-INDEX('Methodology &amp; Sources'!$B$394:$J$400,0,1))*INDEX('Methodology &amp; Sources'!$B$394:$J$400,0,1+2)),IF($AU63="Married",SUMPRODUCT(($AZ63&gt;INDEX('Methodology &amp; Sources'!$B$387:$J$389,0,7))*($AZ63-INDEX('Methodology &amp; Sources'!$B$387:$J$389,0,7))*INDEX('Methodology &amp; Sources'!$B$387:$J$389,0,7+2)),SUMPRODUCT(($AZ63&gt;INDEX('Methodology &amp; Sources'!$B$387:$J$389,0,4))*($AZ63-INDEX('Methodology &amp; Sources'!$B$387:$J$389,0,4))*INDEX('Methodology &amp; Sources'!$B$387:$J$389,0,4+2)))),IF($AN63="NJ",IF(Inputs!$C$77="B",SUMPRODUCT(($AZ63&gt;INDEX('Methodology &amp; Sources'!$B$405:$J$412,0,4))*($AZ63-INDEX('Methodology &amp; Sources'!$B$405:$J$412,0,4))*INDEX('Methodology &amp; Sources'!$B$405:$J$412,0,4+2)),IF(Inputs!$C$77="C",SUMPRODUCT(($AZ63&gt;INDEX('Methodology &amp; Sources'!$B$405:$J$412,0,7))*($AZ63-INDEX('Methodology &amp; Sources'!$B$405:$J$412,0,7))*INDEX('Methodology &amp; Sources'!$B$405:$J$412,0,7+2)),IF(Inputs!$C$77="D",SUMPRODUCT(($AZ63&gt;INDEX('Methodology &amp; Sources'!$B$417:$J$429,0,1))*($AZ63-INDEX('Methodology &amp; Sources'!$B$417:$J$429,0,1))*INDEX('Methodology &amp; Sources'!$B$417:$J$429,0,1+2)),IF(Inputs!$C$77="E",SUMPRODUCT(($AZ63&gt;INDEX('Methodology &amp; Sources'!$B$417:$J$429,0,4))*($AZ63-INDEX('Methodology &amp; Sources'!$B$417:$J$429,0,4))*INDEX('Methodology &amp; Sources'!$B$417:$J$429,0,4+2)),SUMPRODUCT(($AZ63&gt;INDEX('Methodology &amp; Sources'!$B$405:$J$412,0,1))*($AZ63-INDEX('Methodology &amp; Sources'!$B$405:$J$412,0,1))*INDEX('Methodology &amp; Sources'!$B$405:$J$412,0,1+2)))))),IF($AN63="NY",IF($AU63="Married",IF($AZ63&gt;=2155350,$AZ63*IF($AZ63&gt;25000000,0.117,IF($AZ63&gt;5000000,0.111,0.1045)),SUMPRODUCT(($AZ63&gt;INDEX('Methodology &amp; Sources'!$B$434:$J$448,0,1))*($AZ63-INDEX('Methodology &amp; Sources'!$B$434:$J$448,0,1))*INDEX('Methodology &amp; Sources'!$B$434:$J$448,0,1+2))),IF($AZ63&gt;=1077550,$AZ63*IF($AZ63&gt;25000000,0.117,IF($AZ63&gt;5000000,0.111,0.1045)),SUMPRODUCT(($AZ63&gt;INDEX('Methodology &amp; Sources'!$B$417:$J$429,0,7))*($AZ63-INDEX('Methodology &amp; Sources'!$B$417:$J$429,0,7))*INDEX('Methodology &amp; Sources'!$B$417:$J$429,0,7+2)))),"")))))))</f>
      </c>
      <c r="BX63" s="7">
        <f>IF($B63="","",IF($AN63="AL",IF(OR($AU63="Married",$AU63="Head of household"),SUMPRODUCT(($AZ63&gt;INDEX('Methodology &amp; Sources'!$B$332:$J$336,0,4))*($AZ63-INDEX('Methodology &amp; Sources'!$B$332:$J$336,0,4))*INDEX('Methodology &amp; Sources'!$B$332:$J$336,0,4+2)),SUMPRODUCT(($AZ63&gt;INDEX('Methodology &amp; Sources'!$B$332:$J$336,0,1))*($AZ63-INDEX('Methodology &amp; Sources'!$B$332:$J$336,0,1))*INDEX('Methodology &amp; Sources'!$B$332:$J$336,0,1+2))),IF($AN63="KS",IF($AU63="Married",SUMPRODUCT(($AZ63&gt;INDEX('Methodology &amp; Sources'!$B$353:$J$359,0,4))*($AZ63-INDEX('Methodology &amp; Sources'!$B$353:$J$359,0,4))*INDEX('Methodology &amp; Sources'!$B$353:$J$359,0,4+2)),SUMPRODUCT(($AZ63&gt;INDEX('Methodology &amp; Sources'!$B$353:$J$359,0,1))*($AZ63-INDEX('Methodology &amp; Sources'!$B$353:$J$359,0,1))*INDEX('Methodology &amp; Sources'!$B$353:$J$359,0,1+2))),IF($AN63="MN",IF($AU63="Married",SUMPRODUCT(($AZ63&gt;INDEX('Methodology &amp; Sources'!$B$364:$J$370,0,7))*($AZ63-INDEX('Methodology &amp; Sources'!$B$364:$J$370,0,7))*INDEX('Methodology &amp; Sources'!$B$364:$J$370,0,7+2)),SUMPRODUCT(($AZ63&gt;INDEX('Methodology &amp; Sources'!$B$364:$J$370,0,4))*($AZ63-INDEX('Methodology &amp; Sources'!$B$364:$J$370,0,4))*INDEX('Methodology &amp; Sources'!$B$364:$J$370,0,4+2))),IF($AN63="NE",MAX(IF($AU63="Married",SUMPRODUCT(($AZ63&gt;INDEX('Methodology &amp; Sources'!$B$394:$J$400,0,7))*($AZ63-INDEX('Methodology &amp; Sources'!$B$394:$J$400,0,7))*INDEX('Methodology &amp; Sources'!$B$394:$J$400,0,7+2)),SUMPRODUCT(($AZ63&gt;INDEX('Methodology &amp; Sources'!$B$394:$J$400,0,4))*($AZ63-INDEX('Methodology &amp; Sources'!$B$394:$J$400,0,4))*INDEX('Methodology &amp; Sources'!$B$394:$J$400,0,4+2))),0.015*$AZ63),IF($AN63="OH",IF($B63&gt;=DATE(2026,8,1),SUMPRODUCT(($AZ63&gt;INDEX('Methodology &amp; Sources'!$B$453:$J$456,0,1))*($AZ63-INDEX('Methodology &amp; Sources'!$B$453:$J$456,0,1))*INDEX('Methodology &amp; Sources'!$B$453:$J$456,0,1+2)),SUMPRODUCT(($AZ63&gt;INDEX('Methodology &amp; Sources'!$B$434:$J$448,0,7))*($AZ63-INDEX('Methodology &amp; Sources'!$B$434:$J$448,0,7))*INDEX('Methodology &amp; Sources'!$B$434:$J$448,0,7+2))),IF($AN63="OK",IF($AU63="Married",SUMPRODUCT(($AZ63&gt;INDEX('Methodology &amp; Sources'!$B$453:$J$456,0,7))*($AZ63-INDEX('Methodology &amp; Sources'!$B$453:$J$456,0,7))*INDEX('Methodology &amp; Sources'!$B$453:$J$456,0,7+2)),SUMPRODUCT(($AZ63&gt;INDEX('Methodology &amp; Sources'!$B$453:$J$456,0,4))*($AZ63-INDEX('Methodology &amp; Sources'!$B$453:$J$456,0,4))*INDEX('Methodology &amp; Sources'!$B$453:$J$456,0,4+2))),IF($AN63="RI",SUMPRODUCT(($AZ63&gt;INDEX('Methodology &amp; Sources'!$B$461:$J$464,0,7))*($AZ63-INDEX('Methodology &amp; Sources'!$B$461:$J$464,0,7))*INDEX('Methodology &amp; Sources'!$B$461:$J$464,0,7+2)),IF($AN63="VT",IF($AU63="Married",SUMPRODUCT(($AZ63&gt;INDEX('Methodology &amp; Sources'!$B$478:$J$482,0,1))*($AZ63-INDEX('Methodology &amp; Sources'!$B$478:$J$482,0,1))*INDEX('Methodology &amp; Sources'!$B$478:$J$482,0,1+2)),SUMPRODUCT(($AZ63&gt;INDEX('Methodology &amp; Sources'!$B$469:$J$473,0,7))*($AZ63-INDEX('Methodology &amp; Sources'!$B$469:$J$473,0,7))*INDEX('Methodology &amp; Sources'!$B$469:$J$473,0,7+2))),IF($AN63="WV",IF($AU63="Married",SUMPRODUCT(($AZ63&gt;INDEX('Methodology &amp; Sources'!$B$487:$J$491,0,7))*($AZ63-INDEX('Methodology &amp; Sources'!$B$487:$J$491,0,7))*INDEX('Methodology &amp; Sources'!$B$487:$J$491,0,7+2)),SUMPRODUCT(($AZ63&gt;INDEX('Methodology &amp; Sources'!$B$478:$J$482,0,7))*($AZ63-INDEX('Methodology &amp; Sources'!$B$478:$J$482,0,7))*INDEX('Methodology &amp; Sources'!$B$478:$J$482,0,7+2))),""))))))))))</f>
      </c>
      <c r="BY63" s="7">
        <f>IF($B63="","",IF($AN63="AR",SUMPRODUCT(($AZ63&gt;INDEX('Methodology &amp; Sources'!$B$332:$J$336,0,7))*($AZ63-INDEX('Methodology &amp; Sources'!$B$332:$J$336,0,7))*INDEX('Methodology &amp; Sources'!$B$332:$J$336,0,7+2)),IF($AN63="DE",SUMPRODUCT(($AZ63&gt;INDEX('Methodology &amp; Sources'!$B$341:$J$348,0,1))*($AZ63-INDEX('Methodology &amp; Sources'!$B$341:$J$348,0,1))*INDEX('Methodology &amp; Sources'!$B$341:$J$348,0,1+2)),IF($AN63="HI",IF($AU63="Married",SUMPRODUCT(($AZ63&gt;INDEX('Methodology &amp; Sources'!$B$341:$J$348,0,7))*($AZ63-INDEX('Methodology &amp; Sources'!$B$341:$J$348,0,7))*INDEX('Methodology &amp; Sources'!$B$341:$J$348,0,7+2)),SUMPRODUCT(($AZ63&gt;INDEX('Methodology &amp; Sources'!$B$341:$J$348,0,4))*($AZ63-INDEX('Methodology &amp; Sources'!$B$341:$J$348,0,4))*INDEX('Methodology &amp; Sources'!$B$341:$J$348,0,4+2))),IF($AN63="SC",SUMPRODUCT(($AZ63&gt;INDEX('Methodology &amp; Sources'!$B$469:$J$473,0,1))*($AZ63-INDEX('Methodology &amp; Sources'!$B$469:$J$473,0,1))*INDEX('Methodology &amp; Sources'!$B$469:$J$473,0,1+2)),IF($AN63="VA",SUMPRODUCT(($AZ63&gt;INDEX('Methodology &amp; Sources'!$B$469:$J$473,0,4))*($AZ63-INDEX('Methodology &amp; Sources'!$B$469:$J$473,0,4))*INDEX('Methodology &amp; Sources'!$B$469:$J$473,0,4+2)),IF($AN63="WI",SUMPRODUCT(($AZ63&gt;INDEX('Methodology &amp; Sources'!$B$478:$J$482,0,4))*($AZ63-INDEX('Methodology &amp; Sources'!$B$478:$J$482,0,4))*INDEX('Methodology &amp; Sources'!$B$478:$J$482,0,4+2)),"")))))))</f>
      </c>
      <c r="BZ63" s="24">
        <f>IF($B63="","",IF($AN63="NJ",IF(Inputs!$C$77="B",SUMPRODUCT(($AZ63&gt;=INDEX('Methodology &amp; Sources'!$B$405:$J$412,0,4))*INDEX('Methodology &amp; Sources'!$B$405:$J$412,0,4+2)),IF(Inputs!$C$77="C",SUMPRODUCT(($AZ63&gt;=INDEX('Methodology &amp; Sources'!$B$405:$J$412,0,7))*INDEX('Methodology &amp; Sources'!$B$405:$J$412,0,7+2)),IF(Inputs!$C$77="D",SUMPRODUCT(($AZ63&gt;=INDEX('Methodology &amp; Sources'!$B$417:$J$429,0,1))*INDEX('Methodology &amp; Sources'!$B$417:$J$429,0,1+2)),IF(Inputs!$C$77="E",SUMPRODUCT(($AZ63&gt;=INDEX('Methodology &amp; Sources'!$B$417:$J$429,0,4))*INDEX('Methodology &amp; Sources'!$B$417:$J$429,0,4+2)),SUMPRODUCT(($AZ63&gt;=INDEX('Methodology &amp; Sources'!$B$405:$J$412,0,1))*INDEX('Methodology &amp; Sources'!$B$405:$J$412,0,1+2)))))),IF($AN63="OR",IF(OR($AU63="Married",AND($AU63="Single",$AS63&gt;=3)),SUMPRODUCT((MAX(0,$AY63-MIN(($P63-'Methodology &amp; Sources'!$C$260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Sources'!$B$461:$J$464,0,4))*INDEX('Methodology &amp; Sources'!$B$461:$J$464,0,4+2)),SUMPRODUCT((MAX(0,$AY63-MIN(($P63-'Methodology &amp; Sources'!$C$260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Sources'!$B$461:$J$464,0,1))*INDEX('Methodology &amp; Sources'!$B$461:$J$464,0,1+2)))*IF(($P63-'Methodology &amp; Sources'!$C$260*$D63)*Inputs!$C$8&gt;=IF(OR($AU63="Married",AND($AU63="Single",$AS63&gt;=3)),IF($AY63&lt;250000,8750,IF($AY63&lt;260000,7000,IF($AY63&lt;270000,5250,IF($AY63&lt;280000,3500,IF($AY63&lt;290000,1750,0))))),IF($AY63&lt;125000,8750,IF($AY63&lt;130000,7000,IF($AY63&lt;135000,5250,IF($AY63&lt;140000,3500,IF($AY63&lt;145000,1750,0)))))),1,1-IF(Inputs!$C$13,SUMPRODUCT(($AH63&gt;=INDEX('Methodology &amp; Sources'!$B$279:$J$286,0,IF(Inputs!$C$12="MFJ",1,IF(Inputs!$C$12="HoH",7,4))))*INDEX('Methodology &amp; Sources'!$B$279:$J$286,0,IF(Inputs!$C$12="MFJ",1,IF(Inputs!$C$12="HoH",7,4))+2)),SUMPRODUCT(($AH63&gt;=INDEX('Methodology &amp; Sources'!$B$269:$J$276,0,IF(Inputs!$C$12="MFJ",1,IF(Inputs!$C$12="HoH",7,4))))*INDEX('Methodology &amp; Sources'!$B$269:$J$276,0,IF(Inputs!$C$12="MFJ",1,IF(Inputs!$C$12="HoH",7,4))+2)))),IF($AN63="MI",IF($AY63&gt;5900*$AS63,0.0425,0),""))))</f>
      </c>
      <c r="CA63" s="24">
        <f>IF($B63="","",IF($AN63="AL",IF(OR($AU63="Married",$AU63="Head of household"),SUMPRODUCT(($AZ63&gt;=INDEX('Methodology &amp; Sources'!$B$332:$J$336,0,4))*INDEX('Methodology &amp; Sources'!$B$332:$J$336,0,4+2)),SUMPRODUCT(($AZ63&gt;=INDEX('Methodology &amp; Sources'!$B$332:$J$336,0,1))*INDEX('Methodology &amp; Sources'!$B$332:$J$336,0,1+2)))*(1-IF(Inputs!$C$13,SUMPRODUCT(($AH63&gt;=INDEX('Methodology &amp; Sources'!$B$279:$J$286,0,IF(Inputs!$C$12="MFJ",1,IF(Inputs!$C$12="HoH",7,4))))*INDEX('Methodology &amp; Sources'!$B$279:$J$286,0,IF(Inputs!$C$12="MFJ",1,IF(Inputs!$C$12="HoH",7,4))+2)),SUMPRODUCT(($AH63&gt;=INDEX('Methodology &amp; Sources'!$B$269:$J$276,0,IF(Inputs!$C$12="MFJ",1,IF(Inputs!$C$12="HoH",7,4))))*INDEX('Methodology &amp; Sources'!$B$269:$J$276,0,IF(Inputs!$C$12="MFJ",1,IF(Inputs!$C$12="HoH",7,4))+2)))),IF($AN63="KS",IF($AU63="Married",SUMPRODUCT(($AZ63&gt;=INDEX('Methodology &amp; Sources'!$B$353:$J$359,0,4))*INDEX('Methodology &amp; Sources'!$B$353:$J$359,0,4+2)),SUMPRODUCT(($AZ63&gt;=INDEX('Methodology &amp; Sources'!$B$353:$J$359,0,1))*INDEX('Methodology &amp; Sources'!$B$353:$J$359,0,1+2))),IF($AN63="MD",IF(OR($AU63="Married",$AU63="Head of household"),SUMPRODUCT(($AZ63&gt;=INDEX('Methodology &amp; Sources'!$B$364:$J$370,0,1))*INDEX('Methodology &amp; Sources'!$B$364:$J$370,0,1+2)),SUMPRODUCT(($AZ63&gt;=INDEX('Methodology &amp; Sources'!$B$353:$J$359,0,7))*INDEX('Methodology &amp; Sources'!$B$353:$J$359,0,7+2)))+Inputs!$C$74,IF($AN63="MT",IF($AU63="Head of household",SUMPRODUCT(($AZ63&gt;=INDEX('Methodology &amp; Sources'!$B$387:$J$389,0,1))*INDEX('Methodology &amp; Sources'!$B$387:$J$389,0,1+2)),IF($AU63="Married",SUMPRODUCT(($AZ63&gt;=INDEX('Methodology &amp; Sources'!$B$375:$J$382,0,7))*INDEX('Methodology &amp; Sources'!$B$375:$J$382,0,7+2)),SUMPRODUCT(($AZ63&gt;=INDEX('Methodology &amp; Sources'!$B$375:$J$382,0,4))*INDEX('Methodology &amp; Sources'!$B$375:$J$382,0,4+2)))),IF($AN63="ND",IF($AU63="Head of household",SUMPRODUCT(($AZ63&gt;=INDEX('Methodology &amp; Sources'!$B$394:$J$400,0,1))*INDEX('Methodology &amp; Sources'!$B$394:$J$400,0,1+2)),IF($AU63="Married",SUMPRODUCT(($AZ63&gt;=INDEX('Methodology &amp; Sources'!$B$387:$J$389,0,7))*INDEX('Methodology &amp; Sources'!$B$387:$J$389,0,7+2)),SUMPRODUCT(($AZ63&gt;=INDEX('Methodology &amp; Sources'!$B$387:$J$389,0,4))*INDEX('Methodology &amp; Sources'!$B$387:$J$389,0,4+2)))),IF($AN63="NY",IF($AU63="Married",IF($AZ63&gt;=2155350,IF($AZ63&gt;25000000,0.117,IF($AZ63&gt;5000000,0.111,0.1045)),SUMPRODUCT(($AZ63&gt;=INDEX('Methodology &amp; Sources'!$B$434:$J$448,0,1))*INDEX('Methodology &amp; Sources'!$B$434:$J$448,0,1+2))),IF($AZ63&gt;=1077550,IF($AZ63&gt;25000000,0.117,IF($AZ63&gt;5000000,0.111,0.1045)),SUMPRODUCT(($AZ63&gt;=INDEX('Methodology &amp; Sources'!$B$417:$J$429,0,7))*INDEX('Methodology &amp; Sources'!$B$417:$J$429,0,7+2)))),"")))))))</f>
      </c>
      <c r="CB63" s="24">
        <f>IF($B63="","",IF($AN63="CA",SUMPRODUCT(($AJ63&gt;=INDEX('Methodology &amp; Sources'!$B$289:$J$298,0,IF($AU63="Married",4,IF($AU63="Head of household",7,1))))*INDEX('Methodology &amp; Sources'!$B$289:$J$298,0,IF($AU63="Married",4,IF($AU63="Head of household",7,1))+2)),IF($AN63="HI",IF($AU63="Married",SUMPRODUCT(($AZ63&gt;=INDEX('Methodology &amp; Sources'!$B$341:$J$348,0,7))*INDEX('Methodology &amp; Sources'!$B$341:$J$348,0,7+2)),SUMPRODUCT(($AZ63&gt;=INDEX('Methodology &amp; Sources'!$B$341:$J$348,0,4))*INDEX('Methodology &amp; Sources'!$B$341:$J$348,0,4+2))),IF($AN63="MN",IF($AU63="Married",SUMPRODUCT(($AZ63&gt;=INDEX('Methodology &amp; Sources'!$B$364:$J$370,0,7))*INDEX('Methodology &amp; Sources'!$B$364:$J$370,0,7+2)),SUMPRODUCT(($AZ63&gt;=INDEX('Methodology &amp; Sources'!$B$364:$J$370,0,4))*INDEX('Methodology &amp; Sources'!$B$364:$J$370,0,4+2))),IF($AN63="MO",SUMPRODUCT(($AZ63&gt;=INDEX('Methodology &amp; Sources'!$B$375:$J$382,0,1))*INDEX('Methodology &amp; Sources'!$B$375:$J$382,0,1+2)),IF($AN63="NE",MAX(IF($AU63="Married",SUMPRODUCT(($AZ63&gt;=INDEX('Methodology &amp; Sources'!$B$394:$J$400,0,7))*INDEX('Methodology &amp; Sources'!$B$394:$J$400,0,7+2)),SUMPRODUCT(($AZ63&gt;=INDEX('Methodology &amp; Sources'!$B$394:$J$400,0,4))*INDEX('Methodology &amp; Sources'!$B$394:$J$400,0,4+2))),0.015),IF($AN63="OH",IF($B63&gt;=DATE(2026,8,1),SUMPRODUCT(($AZ63&gt;=INDEX('Methodology &amp; Sources'!$B$453:$J$456,0,1))*INDEX('Methodology &amp; Sources'!$B$453:$J$456,0,1+2)),SUMPRODUCT(($AZ63&gt;=INDEX('Methodology &amp; Sources'!$B$434:$J$448,0,7))*INDEX('Methodology &amp; Sources'!$B$434:$J$448,0,7+2))),IF($AN63="OK",IF($AU63="Married",SUMPRODUCT(($AZ63&gt;=INDEX('Methodology &amp; Sources'!$B$453:$J$456,0,7))*INDEX('Methodology &amp; Sources'!$B$453:$J$456,0,7+2)),SUMPRODUCT(($AZ63&gt;=INDEX('Methodology &amp; Sources'!$B$453:$J$456,0,4))*INDEX('Methodology &amp; Sources'!$B$453:$J$456,0,4+2))),IF($AN63="RI",SUMPRODUCT(($AZ63&gt;=INDEX('Methodology &amp; Sources'!$B$461:$J$464,0,7))*INDEX('Methodology &amp; Sources'!$B$461:$J$464,0,7+2)),IF($AN63="SC",SUMPRODUCT(($AZ63&gt;=INDEX('Methodology &amp; Sources'!$B$469:$J$473,0,1))*INDEX('Methodology &amp; Sources'!$B$469:$J$473,0,1+2)),IF($AN63="VT",IF($AU63="Married",SUMPRODUCT(($AZ63&gt;=INDEX('Methodology &amp; Sources'!$B$478:$J$482,0,1))*INDEX('Methodology &amp; Sources'!$B$478:$J$482,0,1+2)),SUMPRODUCT(($AZ63&gt;=INDEX('Methodology &amp; Sources'!$B$469:$J$473,0,7))*INDEX('Methodology &amp; Sources'!$B$469:$J$473,0,7+2))),IF($AN63="WV",IF($AU63="Married",SUMPRODUCT(($AZ63&gt;=INDEX('Methodology &amp; Sources'!$B$487:$J$491,0,7))*INDEX('Methodology &amp; Sources'!$B$487:$J$491,0,7+2)),SUMPRODUCT(($AZ63&gt;=INDEX('Methodology &amp; Sources'!$B$478:$J$482,0,7))*INDEX('Methodology &amp; Sources'!$B$478:$J$482,0,7+2))),IF($AN63="IN",(0.0295+Inputs!$C$76),"")))))))))))))</f>
      </c>
      <c r="CC63" s="24">
        <f>IF($B63="","",IF($AN63="AR",SUMPRODUCT(($AZ63&gt;=INDEX('Methodology &amp; Sources'!$B$332:$J$336,0,7))*INDEX('Methodology &amp; Sources'!$B$332:$J$336,0,7+2)),IF($AN63="DE",SUMPRODUCT(($AZ63&gt;=INDEX('Methodology &amp; Sources'!$B$341:$J$348,0,1))*INDEX('Methodology &amp; Sources'!$B$341:$J$348,0,1+2)),IF($AN63="VA",SUMPRODUCT(($AZ63&gt;=INDEX('Methodology &amp; Sources'!$B$469:$J$473,0,4))*INDEX('Methodology &amp; Sources'!$B$469:$J$473,0,4+2)),IF($AN63="WI",SUMPRODUCT(($AZ63&gt;=INDEX('Methodology &amp; Sources'!$B$478:$J$482,0,4))*INDEX('Methodology &amp; Sources'!$B$478:$J$482,0,4+2)),IF($AN63="AZ",Inputs!$C$82,IF($AN63="CO",IF($AY63&gt;IF($AU63="Married",10000,5000),0.044,0),IF($AN63="IA",IF($AY63&gt;IF($AU63="Head of household",19500,IF($AU63="Married",26000,13000)),0.038,0),IF($AN63="ID",IF($AY63&gt;IF($AU63="Married",32000,16094),0.053,0),IF($AN63="IL",IF($AY63&gt;(2925*$AS63+1000*$AT63),0.0495,0),IF($AN63="KY",IF($AI63&gt;3360,0.035,0),IF($AN63="LA",0.0309,IF($AN63="MA",IF(MAX(0,$AY63-MIN(($BD62+$Q63+$R63+$S63),2000)-IF($AS63=0,0,IF($AS63=1,4400,1000*$AS63+3400)))&gt;=1107750,0.09,0.05),IF($AN63="MS",IF($AI63-IF($AU63="Head of household",3400,IF($AU63="Married",4600,2300))-Inputs!$C$85&gt;10000,0.04,0),IF($AN63="PA",0.0307,"")))))))))))))))</f>
      </c>
      <c r="CD63" s="21">
        <f>IF(YEAR(IF(Inputs!$C$7="Weekly",Inputs!$C$9+7*(($BE62+1)-1),IF(Inputs!$C$7="Biweekly",Inputs!$C$9+14*(($BE62+1)-1),IF(Inputs!$C$7="Semimonthly",DATE(YEAR(Inputs!$C$9),MONTH(Inputs!$C$9)+INT((($BE62+1)-1)/2),MIN(DAY(Inputs!$C$9),DAY(EOMONTH(DATE(YEAR(Inputs!$C$9),MONTH(Inputs!$C$9)+INT((($BE62+1)-1)/2),1),0))))+IF(MOD(($BE62+1)-1,2)=1,15,0),EDATE(Inputs!$C$9,($BE62+1)-1)))))&lt;&gt;2026,"",IF(Inputs!$C$7="Weekly",Inputs!$C$9+7*(($BE62+1)-1),IF(Inputs!$C$7="Biweekly",Inputs!$C$9+14*(($BE62+1)-1),IF(Inputs!$C$7="Semimonthly",DATE(YEAR(Inputs!$C$9),MONTH(Inputs!$C$9)+INT((($BE62+1)-1)/2),MIN(DAY(Inputs!$C$9),DAY(EOMONTH(DATE(YEAR(Inputs!$C$9),MONTH(Inputs!$C$9)+INT((($BE62+1)-1)/2),1),0))))+IF(MOD(($BE62+1)-1,2)=1,15,0),EDATE(Inputs!$C$9,($BE62+1)-1)))))</f>
      </c>
      <c r="CE63" s="21">
        <f>IF(SUMPRODUCT(MIN(IF((Inputs!$C$58:$C$67&gt;MAX($B$6:$B62))*(Inputs!$C$58:$C$67&gt;=DATE(2026,1,1))*(Inputs!$C$58:$C$67&lt;=DATE(2026,12,31)),Inputs!$C$58:$C$67,999999)))=999999,"",SUMPRODUCT(MIN(IF((Inputs!$C$58:$C$67&gt;MAX($B$6:$B62))*(Inputs!$C$58:$C$67&gt;=DATE(2026,1,1))*(Inputs!$C$58:$C$67&lt;=DATE(2026,12,31)),Inputs!$C$58:$C$67,999999))))</f>
      </c>
    </row>
    <row r="64">
      <c r="A64" t="n">
        <v>59</v>
      </c>
      <c r="B64" s="21">
        <f>IF(AND($CD64="",$CE64=""),"",IF($CE64="",$CD64,IF($CD64="",$CE64,MIN($CD64,$CE64))))</f>
      </c>
      <c r="C64" s="7">
        <f>IF($B64="","",IF($BF64=0,0,IF(Inputs!$C$4="Annual salary",ROUND($AK64/IF(AND(Inputs!$C$88="Actual paydays",MONTH(Inputs!$C$9)=1),MAX(1,MAX($BE$6:$BE$68)),Inputs!$C$8),2),$AK64)))</f>
      </c>
      <c r="D64" s="7">
        <f>IF($B64="","",SUMIF(Inputs!$C$58:$C$67,$B64,Inputs!$D$58:$D$67))</f>
      </c>
      <c r="E64" s="7">
        <f>IF($B64="","",ROUND(MAX(0,MIN(IF($AL64="Percent",$AM64*($C64+$D64),$AM64),MAX(0,Inputs!$C$91-$AC63))),2))</f>
      </c>
      <c r="F64" s="7">
        <f>IF($B64="","",ROUND(MAX(0,MIN(IF(Inputs!$C$32="Percent",Inputs!$D$32*($C64+$D64),Inputs!$D$32),MAX(0,Inputs!$C$91-$AC63-$E64))),2))</f>
      </c>
      <c r="G64" s="7">
        <f>IF($B64="","",IF($BF64=0,0,ROUND(MAX(0,MIN($BL64,Inputs!$C$92-Inputs!$C$54-$BI63)),2)))</f>
      </c>
      <c r="H64" s="7">
        <f>IF($B64="","",IF(OR($BF64=0,$BQ64=1),0,ROUND(MAX(0,MIN(IF($BS64=1,ROUND(MAX(0,MIN($BJ64,'Methodology &amp; Sources'!$C$263)-$BG63)/MAX(1,MAX($BE$6:$BE$68)-($BE63)),2),ROUND(MIN($BJ64,'Methodology &amp; Sources'!$C$263)/Inputs!$C$8,2)),MIN($BJ64,'Methodology &amp; Sources'!$C$263)-$BG63)),2)))</f>
      </c>
      <c r="I64" s="7">
        <f>IF($B64="","",IF(OR($BF64=0,$BR64=1),0,ROUND(MAX(0,MIN(IF($BT64=1,ROUND(MAX(0,MIN($BK64,IF(Inputs!$C$12="MFJ",'Methodology &amp; Sources'!$C$264,'Methodology &amp; Sources'!$C$265))-$BH63)/MAX(1,MAX($BE$6:$BE$68)-($BE63)),2),ROUND(MIN($BK64,IF(Inputs!$C$12="MFJ",'Methodology &amp; Sources'!$C$264,'Methodology &amp; Sources'!$C$265))/Inputs!$C$8,2)),MIN($BK64,IF(Inputs!$C$12="MFJ",'Methodology &amp; Sources'!$C$264,'Methodology &amp; Sources'!$C$265))-$BH63)),2)))</f>
      </c>
      <c r="J64" s="7">
        <f>IF($B64="","",IF($BF64=0,0,$BM64))</f>
      </c>
      <c r="K64" s="7">
        <f>IF($B64="","",IF($BF64=0,0,$BN64+$BO64))</f>
      </c>
      <c r="L64" s="7">
        <f>IF($B64="","",IF($BF64=0,0,Inputs!$D$46))</f>
      </c>
      <c r="M64" s="7">
        <f>IF($B64="","",$C64+$D64+$L64-$E64-$G64-$H64-$I64-$J64-$K64)</f>
      </c>
      <c r="N64" s="7">
        <f>IF($B64="","",$C64+$D64+$L64-$G64-$H64-$I64-$J64-$K64)</f>
      </c>
      <c r="O64" s="7">
        <f>IF($B64="","",$C64+$D64+$L64-$E64-$H64-$I64-$J64-$K64-IF(OR($AN64="CA",$AN64="NJ"),0,$G64))</f>
      </c>
      <c r="P64" s="7">
        <f>IF($B64="","",IF(Inputs!$C$18,0,ROUND(MAX(0,IF(Inputs!$C$13,SUMPRODUCT(($AH64&gt;INDEX('Methodology &amp; Sources'!$B$279:$J$286,0,IF(Inputs!$C$12="MFJ",1,IF(Inputs!$C$12="HoH",7,4))))*($AH64-INDEX('Methodology &amp; Sources'!$B$279:$J$286,0,IF(Inputs!$C$12="MFJ",1,IF(Inputs!$C$12="HoH",7,4))))*INDEX('Methodology &amp; Sources'!$B$279:$J$286,0,IF(Inputs!$C$12="MFJ",1,IF(Inputs!$C$12="HoH",7,4))+2)),SUMPRODUCT(($AH64&gt;INDEX('Methodology &amp; Sources'!$B$269:$J$276,0,IF(Inputs!$C$12="MFJ",1,IF(Inputs!$C$12="HoH",7,4))))*($AH64-INDEX('Methodology &amp; Sources'!$B$269:$J$276,0,IF(Inputs!$C$12="MFJ",1,IF(Inputs!$C$12="HoH",7,4))))*INDEX('Methodology &amp; Sources'!$B$269:$J$276,0,IF(Inputs!$C$12="MFJ",1,IF(Inputs!$C$12="HoH",7,4))+2)))/Inputs!$C$8-$AO64/Inputs!$C$8)+$AR64+IF(Inputs!$C$89="Aggregate",MAX(0,IF(Inputs!$C$13,SUMPRODUCT((($AH64+$D64)&gt;INDEX('Methodology &amp; Sources'!$B$279:$J$286,0,IF(Inputs!$C$12="MFJ",1,IF(Inputs!$C$12="HoH",7,4))))*(($AH64+$D64)-INDEX('Methodology &amp; Sources'!$B$279:$J$286,0,IF(Inputs!$C$12="MFJ",1,IF(Inputs!$C$12="HoH",7,4))))*INDEX('Methodology &amp; Sources'!$B$279:$J$286,0,IF(Inputs!$C$12="MFJ",1,IF(Inputs!$C$12="HoH",7,4))+2)),SUMPRODUCT((($AH64+$D64)&gt;INDEX('Methodology &amp; Sources'!$B$269:$J$276,0,IF(Inputs!$C$12="MFJ",1,IF(Inputs!$C$12="HoH",7,4))))*(($AH64+$D64)-INDEX('Methodology &amp; Sources'!$B$269:$J$276,0,IF(Inputs!$C$12="MFJ",1,IF(Inputs!$C$12="HoH",7,4))))*INDEX('Methodology &amp; Sources'!$B$269:$J$276,0,IF(Inputs!$C$12="MFJ",1,IF(Inputs!$C$12="HoH",7,4))+2)))-IF(Inputs!$C$13,SUMPRODUCT(($AH64&gt;INDEX('Methodology &amp; Sources'!$B$279:$J$286,0,IF(Inputs!$C$12="MFJ",1,IF(Inputs!$C$12="HoH",7,4))))*($AH64-INDEX('Methodology &amp; Sources'!$B$279:$J$286,0,IF(Inputs!$C$12="MFJ",1,IF(Inputs!$C$12="HoH",7,4))))*INDEX('Methodology &amp; Sources'!$B$279:$J$286,0,IF(Inputs!$C$12="MFJ",1,IF(Inputs!$C$12="HoH",7,4))+2)),SUMPRODUCT(($AH64&gt;INDEX('Methodology &amp; Sources'!$B$269:$J$276,0,IF(Inputs!$C$12="MFJ",1,IF(Inputs!$C$12="HoH",7,4))))*($AH64-INDEX('Methodology &amp; Sources'!$B$269:$J$276,0,IF(Inputs!$C$12="MFJ",1,IF(Inputs!$C$12="HoH",7,4))))*INDEX('Methodology &amp; Sources'!$B$269:$J$276,0,IF(Inputs!$C$12="MFJ",1,IF(Inputs!$C$12="HoH",7,4))+2)))),'Methodology &amp; Sources'!$C$260*$D64),2)))</f>
      </c>
      <c r="Q64" s="7">
        <f>IF($B64="","",ROUND('Methodology &amp; Sources'!$C$254*MIN($N64,MAX(0,'Methodology &amp; Sources'!$C$253-($AX64+$AB63-$AW64))),2))</f>
      </c>
      <c r="R64" s="7">
        <f>IF($B64="","",ROUND('Methodology &amp; Sources'!$C$255*$N64,2))</f>
      </c>
      <c r="S64" s="7">
        <f>IF($B64="","",ROUND('Methodology &amp; Sources'!$C$256*MAX(0,MIN($N64,$AG63+$N64-'Methodology &amp; Sources'!$C$257)),2))</f>
      </c>
      <c r="T64" s="7">
        <f>IF($B64="","",IF(Inputs!$C$26,0,IF($AN64="CA",ROUND(IF($AI64&lt;=IF(($AS64+$AT64)&gt;=2,VLOOKUP($AN64,'StateTables 2026'!$A$6:$AB$56,10,FALSE),VLOOKUP($AN64,'StateTables 2026'!$A$6:$AB$56,9,FALSE)),0,MAX(0,SUMPRODUCT(($AJ64&gt;INDEX('Methodology &amp; Sources'!$B$289:$J$298,0,IF($AU64="Married",4,IF($AU64="Head of household",7,1))))*($AJ64-INDEX('Methodology &amp; Sources'!$B$289:$J$298,0,IF($AU64="Married",4,IF($AU64="Head of household",7,1))))*INDEX('Methodology &amp; Sources'!$B$289:$J$298,0,IF($AU64="Married",4,IF($AU64="Head of household",7,1))+2))-VLOOKUP($AN64,'StateTables 2026'!$A$6:$AB$56,11,FALSE)*$AS64)/Inputs!$C$8)+Inputs!$C$25+VLOOKUP($AN64,'StateTables 2026'!$A$6:$AB$56,13,FALSE)*$D64,2),IF(VLOOKUP($AN64,'StateTables 2026'!$A$6:$AB$56,4,FALSE)="None",0,IF(ISNUMBER(SEARCH("MANUAL",VLOOKUP($AN64,'StateTables 2026'!$A$6:$AB$56,5,FALSE))),Inputs!$C$28,ROUND(MAX(0,$BA64+$BB64)/Inputs!$C$8+Inputs!$C$25+$BC64,2))))))</f>
      </c>
      <c r="U64" s="7">
        <f>IF($B64="","",IF(VLOOKUP($AN64,'StateTables 2026'!$A$6:$AB$56,24,FALSE)="flatq",IF(OR(MONTH($B64)=1,MONTH($B64)=4,MONTH($B64)=7,MONTH($B64)=10),VLOOKUP($AN64,'StateTables 2026'!$A$6:$AB$56,25,FALSE),0),IF(VLOOKUP($AN64,'StateTables 2026'!$A$6:$AB$56,24,FALSE)="dbl",MIN(ROUND(0.005*$N64,2),ROUND(0.6*52/Inputs!$C$8,2)),IF(OR(VLOOKUP($AN64,'StateTables 2026'!$A$6:$AB$56,15,FALSE)="",VLOOKUP($AN64,'StateTables 2026'!$A$6:$AB$56,15,FALSE)=0),0,ROUND(VLOOKUP($AN64,'StateTables 2026'!$A$6:$AB$56,15,FALSE)*IF(OR(VLOOKUP($AN64,'StateTables 2026'!$A$6:$AB$56,16,FALSE)="",VLOOKUP($AN64,'StateTables 2026'!$A$6:$AB$56,16,FALSE)=0),$N64,MIN($N64,MAX(0,VLOOKUP($AN64,'StateTables 2026'!$A$6:$AB$56,16,FALSE)-($AX64+$AB63-$AW64)))),2))))+IF(VLOOKUP($AN64,'StateTables 2026'!$A$6:$AB$56,27,FALSE)="flatq",IF(OR(MONTH($B64)=1,MONTH($B64)=4,MONTH($B64)=7,MONTH($B64)=10),VLOOKUP($AN64,'StateTables 2026'!$A$6:$AB$56,28,FALSE),0),IF(VLOOKUP($AN64,'StateTables 2026'!$A$6:$AB$56,27,FALSE)="dbl",MIN(ROUND(0.005*$N64,2),ROUND(0.6*52/Inputs!$C$8,2)),IF(OR(VLOOKUP($AN64,'StateTables 2026'!$A$6:$AB$56,18,FALSE)="",VLOOKUP($AN64,'StateTables 2026'!$A$6:$AB$56,18,FALSE)=0),0,ROUND(VLOOKUP($AN64,'StateTables 2026'!$A$6:$AB$56,18,FALSE)*IF(OR(VLOOKUP($AN64,'StateTables 2026'!$A$6:$AB$56,19,FALSE)="",VLOOKUP($AN64,'StateTables 2026'!$A$6:$AB$56,19,FALSE)=0),$N64,MIN($N64,MAX(0,VLOOKUP($AN64,'StateTables 2026'!$A$6:$AB$56,19,FALSE)-($AX64+$AB63-$AW64)))),2)))))</f>
      </c>
      <c r="V64" s="7">
        <f>IF($B64="","",IF($AN64="NY",IF(Inputs!$C$78,ROUND(SUMPRODUCT((MAX(0,($O64-$D64)*Inputs!$C$8-(IF($AU64="Married",5500,5000)+1000*$AS64))&gt;INDEX('Methodology &amp; Sources'!$B$434:$J$448,0,4))*(MAX(0,($O64-$D64)*Inputs!$C$8-(IF($AU64="Married",5500,5000)+1000*$AS64))-INDEX('Methodology &amp; Sources'!$B$434:$J$448,0,4))*INDEX('Methodology &amp; Sources'!$B$434:$J$448,0,4+2))/Inputs!$C$8+0.0425*$D64,2),0)+IF(Inputs!$C$79="Resident",ROUND(0.1675*$T64,2),IF(Inputs!$C$79="Nonresident",ROUND(0.005*MAX(0,($O64-$D64)-(IF($AU64="Married",7950,7400)+1000*$AS64)/Inputs!$C$8),2),0)),IF($AN64="PA",IF(Inputs!$C$80="None",Inputs!$C$27+ROUND(Inputs!$C$81*($C64+$D64),2),ROUND(IF(Inputs!$C$80="Resident",IF($B64&lt;DATE(2026,7,1),0.0374,0.03735),IF($B64&lt;DATE(2026,7,1),0.0343,0.03425))*($C64+$D64),2)),IF($BF64=0,ROUND(Inputs!$C$81*($C64+$D64),2),Inputs!$C$27+ROUND(Inputs!$C$81*($C64+$D64),2)))))</f>
      </c>
      <c r="W64" s="7">
        <f>IF($B64="","",IF($BF64=0,0,$BP64))</f>
      </c>
      <c r="X64" s="7">
        <f>IF($B64="","",SUM($E64:$K64)+$P64+$Q64+$R64+$S64+$T64+$U64+$V64+$W64)</f>
      </c>
      <c r="Y64" s="22">
        <f>IF($B64="","",$C64+$D64-$X64)</f>
      </c>
      <c r="Z64" s="7">
        <f>IF($B64="","",$Z63+$C64+$D64)</f>
      </c>
      <c r="AA64" s="7">
        <f>IF($B64="","",$AA63+$Y64)</f>
      </c>
      <c r="AB64" s="7">
        <f>IF($B64="","",$AB63+MIN($N64,MAX(0,'Methodology &amp; Sources'!$C$253-($AX64+$AB63-$AW64))))</f>
      </c>
      <c r="AC64" s="7">
        <f>IF($B64="","",$AC63+$E64+$F64)</f>
      </c>
      <c r="AD64" s="3">
        <f>IF($B64="","",IF(AND($AB63&lt;'Methodology &amp; Sources'!$C$253,$AB64&gt;='Methodology &amp; Sources'!$C$253),"★ Social Security maxed on this check — from the next check your net rises by about $"&amp;TEXT(ROUND('Methodology &amp; Sources'!$C$254*$N64,2),"#,##0.00")&amp;". ","")&amp;IF(AND($AC63&lt;Inputs!$C$91,$AC64&gt;=Inputs!$C$91),"★ 401(k) reaches the $"&amp;TEXT(Inputs!$C$91,"#,##0")&amp;" cap on this check — deferrals stop and net pay rises. ","")&amp;IF(AND($AG63&lt;'Methodology &amp; Sources'!$C$257,$AG64&gt;='Methodology &amp; Sources'!$C$257),"★ Wages pass $200,000 — the 0.9% Additional Medicare Tax starts here. ","")&amp;IF(AND($BJ64&gt;0,$H64&gt;0,$BG63&lt;MIN($BJ64,'Methodology &amp; Sources'!$C$263),$BG63+$H64&gt;=MIN($BJ64,'Methodology &amp; Sources'!$C$263)),"★ Health FSA election is now fully deferred for the year. ",""))</f>
      </c>
      <c r="AE64" s="41" t="n"/>
      <c r="AF64" s="7">
        <f>IF(OR($B64="",$AE64=""),"",$AE64-$Y64)</f>
      </c>
      <c r="AG64" s="7">
        <f>IF($B64="","",$AG63+$N64)</f>
      </c>
      <c r="AH64" s="7">
        <f>IF($B64="","",MAX(0,($M64-$D64)*Inputs!$C$8+$AP64-$AQ64-IF(Inputs!$C$13,0,IF(Inputs!$C$12="MFJ",'Methodology &amp; Sources'!$C$258,'Methodology &amp; Sources'!$C$259))))</f>
      </c>
      <c r="AI64" s="7">
        <f>IF($B64="","",$O64*Inputs!$C$8)</f>
      </c>
      <c r="AJ64" s="7">
        <f>IF($B64="","",MAX(0,$AI64-VLOOKUP($AN64,'StateTables 2026'!$A$6:$AB$56,12,FALSE)*$AT64-IF(($AS64+$AT64)&gt;=2,VLOOKUP($AN64,'StateTables 2026'!$A$6:$AB$56,8,FALSE),VLOOKUP($AN64,'StateTables 2026'!$A$6:$AB$56,7,FALSE))))</f>
      </c>
      <c r="AK64" s="7">
        <f>IF($B64="","",IFERROR(LOOKUP(2,1/((Events!$C$6:$C$17="Salary change")*(Events!$B$6:$B$17&lt;=$B64)*(Events!$B$6:$B$17&lt;&gt;"")),Events!$D$6:$D$17),IF(Inputs!$C$4="Annual salary",Inputs!$C$5,Inputs!$C$6)))</f>
      </c>
      <c r="AL64">
        <f>IF($B64="","",IFERROR(LOOKUP(2,1/((Events!$C$6:$C$17="401(k) change")*(Events!$B$6:$B$17&lt;=$B64)*(Events!$B$6:$B$17&lt;&gt;"")),Events!$D$6:$D$17),Inputs!$C$30))</f>
      </c>
      <c r="AM64" s="7">
        <f>IF($B64="","",IFERROR(LOOKUP(2,1/((Events!$C$6:$C$17="401(k) change")*(Events!$B$6:$B$17&lt;=$B64)*(Events!$B$6:$B$17&lt;&gt;"")),Events!$E$6:$E$17),Inputs!$D$30))</f>
      </c>
      <c r="AN64">
        <f>IF($B64="","",IFERROR(LOOKUP(2,1/((Events!$C$6:$C$17="State move")*(Events!$B$6:$B$17&lt;=$B64)*(Events!$B$6:$B$17&lt;&gt;"")),Events!$D$6:$D$17),Inputs!$C$21))</f>
      </c>
      <c r="AO64" s="7">
        <f>IF($B64="","",IFERROR(LOOKUP(2,1/((Events!$C$6:$C$17="W-4 change")*(Events!$B$6:$B$17&lt;=$B64)*(Events!$B$6:$B$17&lt;&gt;"")),Events!$D$6:$D$17),Inputs!$C$14))</f>
      </c>
      <c r="AP64" s="7">
        <f>IF($B64="","",IFERROR(LOOKUP(2,1/((Events!$C$6:$C$17="W-4 change")*(Events!$B$6:$B$17&lt;=$B64)*(Events!$B$6:$B$17&lt;&gt;"")),Events!$E$6:$E$17),Inputs!$C$15))</f>
      </c>
      <c r="AQ64" s="7">
        <f>IF($B64="","",IFERROR(LOOKUP(2,1/((Events!$C$6:$C$17="W-4 change")*(Events!$B$6:$B$17&lt;=$B64)*(Events!$B$6:$B$17&lt;&gt;"")),Events!$F$6:$F$17),Inputs!$C$16))</f>
      </c>
      <c r="AR64" s="7">
        <f>IF($B64="","",IFERROR(LOOKUP(2,1/((Events!$C$6:$C$17="W-4 change")*(Events!$B$6:$B$17&lt;=$B64)*(Events!$B$6:$B$17&lt;&gt;"")),Events!$G$6:$G$17),Inputs!$C$17))</f>
      </c>
      <c r="AS64" s="6">
        <f>IF($B64="","",IFERROR(LOOKUP(2,1/(((Events!$C$6:$C$17="State move")+(Events!$C$6:$C$17="State cert change"))*(Events!$B$6:$B$17&lt;=$B64)*(Events!$B$6:$B$17&lt;&gt;"")),Events!$F$6:$F$17),Inputs!$C$23))</f>
      </c>
      <c r="AT64" s="6">
        <f>IF($B64="","",IFERROR(LOOKUP(2,1/(((Events!$C$6:$C$17="State move")+(Events!$C$6:$C$17="State cert change"))*(Events!$B$6:$B$17&lt;=$B64)*(Events!$B$6:$B$17&lt;&gt;"")),Events!$G$6:$G$17),Inputs!$C$24))</f>
      </c>
      <c r="AU64">
        <f>IF($B64="","",IFERROR(LOOKUP(2,1/((Events!$C$6:$C$17="State move")*(Events!$B$6:$B$17&lt;=$B64)*(Events!$B$6:$B$17&lt;&gt;"")),Events!$E$6:$E$17),Inputs!$C$22))</f>
      </c>
      <c r="AV64" s="6">
        <f>IF($B64="","",1+COUNTIFS(Events!$C$6:$C$17,"Employer change",Events!$B$6:$B$17,"&lt;="&amp;$B64,Events!$B$6:$B$17,"&lt;&gt;"))</f>
      </c>
      <c r="AW64" s="7">
        <f>IF($B64="","",IF($AV64=1,Inputs!$C$49,IF(IFERROR(MATCH(IFERROR(LOOKUP(2,1/((Events!$C$6:$C$17="Employer change")*(Events!$B$6:$B$17&lt;=$B64)*(Events!$B$6:$B$17&lt;&gt;"")),Events!$B$6:$B$17),""),$B$6:$B$68,1),1)&lt;=1,Inputs!$C$49,INDEX($AB$6:$AB$68,MATCH(IFERROR(LOOKUP(2,1/((Events!$C$6:$C$17="Employer change")*(Events!$B$6:$B$17&lt;=$B64)*(Events!$B$6:$B$17&lt;&gt;"")),Events!$B$6:$B$17),""),$B$6:$B$68,1)-1))))</f>
      </c>
      <c r="AX64" s="7">
        <f>IF($B64="","",IF($AV64=1,Inputs!$C$49,IFERROR(LOOKUP(2,1/((Events!$C$6:$C$17="Employer change")*(Events!$B$6:$B$17&lt;=$B64)*(Events!$B$6:$B$17&lt;&gt;"")),Events!$D$6:$D$17),0)))</f>
      </c>
      <c r="AY64" s="7">
        <f>IF($B64="","",($O64-$D64)*Inputs!$C$8)</f>
      </c>
      <c r="AZ64" s="7">
        <f>IF($B64="","",IF($AN64="AL",MAX(0,$AY64-IF($AU64="Married",IF($AY64&lt;=25999,8500,MAX(5000,8500-175*CEILING(($AY64-25999)/500,1))),IF($AU64="Head of household",IF($AY64&lt;=25999,5200,MAX(2500,5200-135*CEILING(($AY64-25999)/500,1))),IF($AY64&lt;=25999,3000,MAX(2500,3000-25*CEILING(($AY64-25999)/500,1)))))-($P64-'Methodology &amp; Sources'!$C$260*$D64)*Inputs!$C$8-IF(OR($AU64="Married",$AU64="Head of household"),3000,1500)-$AT64*IF($AY64&lt;=50000,1000,IF($AY64&lt;=100000,500,300))),IF($AN64="AR",IF(MAX(0,$AY64-2470)&lt;97701,INT(MAX(0,$AY64-2470)/100)*100+50,MAX(0,$AY64-2470)),IF($AN64="DE",MAX(0,$AI64-3250),IF($AN64="HI",MAX(0,$AI64-1144*$AS64-4350),IF($AN64="KS",MAX(0,$AI64-(9160*IF($AU64="Married",2,1)+2320*$AT64+IF($AU64="Head of household",2320,0))),IF($AN64="MD",MAX(0,$AI64-3400-3200*$AS64),IF($AN64="MN",MAX(0,$AY64-5300*$AS64),IF($AN64="MO",MAX(0,$AI64-IF($AU64="Head of household",24150,IF($AU64="Married",IF(Inputs!$C$83,16100,32200),16100))),IF($AN64="MT",$AY64,IF($AN64="ND",($C64+$L64)*Inputs!$C$8,IF($AN64="NE",MAX(0,$AY64-2440*$AS64),IF($AN64="NJ",MAX(0,$AY64-1000*$AS64),IF($AN64="NY",MAX(0,$AY64-(IF($AU64="Married",7950,7400)+1000*$AS64)),IF($AN64="OH",MAX(0,$AY64-650*$AS64),IF($AN64="OK",MAX(0,$AY64-1000*$AS64),IF($AN64="RI",MAX(0,$AI64-1000*$AS64),IF($AN64="SC",MAX(0,$AI64-5000*$AS64-IF($AS64=0,0,MIN(0.1*$AI64,7500))),IF($AN64="VA",MAX(0,$AI64-IF($AU64="Married",17500,8750)-930*$AS64-800*$AT64),IF($AN64="VT",MAX(0,$AI64-5400*$AS64),IF($AN64="WI",MAX(0,$AI64-MAX(0,IF($AU64="Married",9461-0.2*MAX(0,$AI64-25727),6702-0.12*MAX(0,$AI64-17780)))-400*$AS64),IF($AN64="WV",MAX(0,$AI64-2000*$AS64),$AI64))))))))))))))))))))))</f>
      </c>
      <c r="BA64" s="7">
        <f>IF($B64="","",IF($BW64&lt;&gt;"",$BW64,IF($BX64&lt;&gt;"",$BX64,IF($BY64&lt;&gt;"",$BY64,0))))</f>
      </c>
      <c r="BB64" s="7">
        <f>IF($B64="","",IF($AN64="AR",-29*$AS64,IF($AN64="DE",-110*$AS64,IF($AN64="MD",$AZ64*Inputs!$C$74,IF($AN64="AZ",Inputs!$C$82*($M64-$D64)*Inputs!$C$8,IF($AN64="CO",0.044*MAX(0,$AY64-IF($AU64="Married",10000,5000)),IF($AN64="IA",MAX(0,0.038*MAX(0,$AY64-IF($AU64="Head of household",19500,IF($AU64="Married",26000,13000)))-40*$AS64),IF($AN64="ID",0.053*MAX(0,$AY64-IF($AU64="Married",32000,16094)),IF($AN64="IL",0.0495*MAX(0,$AY64-(2925*$AS64+1000*$AT64)),IF($AN64="IN",(0.0295+Inputs!$C$76)*MAX(0,$AY64-(1000*$AS64+1500*$AT64+3000*Inputs!$C$86)),IF($AN64="KY",0.035*MAX(0,$AI64-3360),IF($AN64="LA",IF(Inputs!$C$84="0",0.0309*$AI64,0.0309*MAX(0,$AI64-IF(Inputs!$C$84="2",25750,12875))),IF($AN64="MA",0.05*MIN(MAX(0,$AY64-MIN(($BD63+$Q64+$R64+$S64),2000)-IF($AS64=0,0,IF($AS64=1,4400,1000*$AS64+3400))),1107750)+0.09*MAX(0,MAX(0,$AY64-MIN(($BD63+$Q64+$R64+$S64),2000)-IF($AS64=0,0,IF($AS64=1,4400,1000*$AS64+3400)))-1107750)-IF($AU64="Head of household",120,0)-110*Inputs!$C$75,IF($AN64="MI",0.0425*MAX(0,$AY64-5900*$AS64),IF($AN64="MS",0.04*MAX(0,$AI64-IF($AU64="Head of household",3400,IF($AU64="Married",4600,2300))-Inputs!$C$85-10000),IF($AN64="OR",IF(OR($AU64="Married",AND($AU64="Single",$AS64&gt;=3)),SUMPRODUCT((MAX(0,$AY64-MIN(($P64-'Methodology &amp; Sources'!$C$260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Sources'!$B$461:$J$464,0,4))*(MAX(0,$AY64-MIN(($P64-'Methodology &amp; Sources'!$C$260*$D64)*Inputs!$C$8,IF(OR($AU64="Married",AND($AU64="Single",$AS64&gt;=3)),IF($AY64&lt;250000,8750,IF($AY64&lt;260000,7000,IF($AY64&lt;270000,5250,IF($AY64&lt;280000,3500,IF($AY64&lt;290000,1750,0))))),IF($AY64&lt;125000,8750,IF($AY64&lt;130000,7000,IF($AY64&lt;135000,5250,IF($AY64&lt;140000,3500,IF($AY64&lt;145000,1750,0)))))))-IF(OR($AU64="Married",AND($AU64="Single",$AS64&gt;=3)),5820,2910))-INDEX('Methodology &amp; Sources'!$B$461:$J$464,0,4))*INDEX('Methodology &amp; Sources'!$B$461:$J$464,0,4+2)),SUMPRODUCT((MAX(0,$AY64-MIN(($P64-'Methodology &amp; Sources'!$C$260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Sources'!$B$461:$J$464,0,1))*(MAX(0,$AY64-MIN(($P64-'Methodology &amp; Sources'!$C$260*$D64)*Inputs!$C$8,IF(OR($AU64="Married",AND($AU64="Single",$AS64&gt;=3)),IF($AY64&lt;250000,8750,IF($AY64&lt;260000,7000,IF($AY64&lt;270000,5250,IF($AY64&lt;280000,3500,IF($AY64&lt;290000,1750,0))))),IF($AY64&lt;125000,8750,IF($AY64&lt;130000,7000,IF($AY64&lt;135000,5250,IF($AY64&lt;140000,3500,IF($AY64&lt;145000,1750,0)))))))-IF(OR($AU64="Married",AND($AU64="Single",$AS64&gt;=3)),5820,2910))-INDEX('Methodology &amp; Sources'!$B$461:$J$464,0,1))*INDEX('Methodology &amp; Sources'!$B$461:$J$464,0,1+2)))+263-263*IF(IF($AU64="Married",$AY64&gt;200000,$AY64&gt;100000),0,$AS64),IF($AN64="PA",0.0307*(($O64+$E64+$G64)*Inputs!$C$8),IF($AN64="NY",IF($AU64="Married",IF($AZ64&gt;=2155350,0,IF($AZ64&gt;=1077550,0.48,IF($AZ64&gt;=373200,1.21,IF($AZ64&gt;=323200,0.21,IF($AZ64&gt;=211550,-0.19,IF($AZ64&gt;=157650,-2.8,IF($AZ64&gt;=107650,-0.8,IF($AZ64&gt;=96800,0.05,IF($AZ64&gt;=80650,-0.1,IF($AZ64&gt;=13900,0.4,IF($AZ64&gt;=11700,-0.3,IF($AZ64&gt;=8500,0.5,0)))))))))))),IF($AZ64&gt;=1077550,0,IF($AZ64&gt;=265400,4.29,IF($AZ64&gt;=215400,2.29,IF($AZ64&gt;=157650,2.29,IF($AZ64&gt;=107650,0.29,IF($AZ64&gt;=96800,0.05,IF($AZ64&gt;=80650,-0.1,IF($AZ64&gt;=13900,0.4,IF($AZ64&gt;=11700,-0.3,IF($AZ64&gt;=8500,0.5,0))))))))))),0))))))))))))))))))</f>
      </c>
      <c r="BC64" s="7">
        <f>IF($B64="","",IF($AN64="AL",0.05*$D64,IF($AN64="AR",0.039*$D64,IF($AN64="ID",0.053*$D64,IF($AN64="IN",(0.0295+Inputs!$C$76)*$D64,IF($AN64="KS",0.05*$D64,IF($AN64="MA",0.09*MIN($D64,MAX(0,MAX(0,$AY64-MIN(($BD63+$Q64+$R64+$S64),2000)-IF($AS64=0,0,IF($AS64=1,4400,1000*$AS64+3400)))+$D64-1107750))+0.05*($D64-MIN($D64,MAX(0,MAX(0,$AY64-MIN(($BD63+$Q64+$R64+$S64),2000)-IF($AS64=0,0,IF($AS64=1,4400,1000*$AS64+3400)))+$D64-1107750))),IF($AN64="MD",(0.065+Inputs!$C$74)*$D64,IF($AN64="MI",0.0425*$D64,IF($AN64="MN",0.0625*$D64,IF($AN64="MO",0.047*$D64,IF($AN64="MT",0.05*$D64,IF($AN64="ND",0.015*$D64,IF($AN64="NE",0.035*$D64,IF($AN64="NJ",IF(Inputs!$C$77="B",SUMPRODUCT(($D64*Inputs!$C$8&gt;INDEX('Methodology &amp; Sources'!$B$405:$J$412,0,4))*($D64*Inputs!$C$8-INDEX('Methodology &amp; Sources'!$B$405:$J$412,0,4))*INDEX('Methodology &amp; Sources'!$B$405:$J$412,0,4+2)),IF(Inputs!$C$77="C",SUMPRODUCT(($D64*Inputs!$C$8&gt;INDEX('Methodology &amp; Sources'!$B$405:$J$412,0,7))*($D64*Inputs!$C$8-INDEX('Methodology &amp; Sources'!$B$405:$J$412,0,7))*INDEX('Methodology &amp; Sources'!$B$405:$J$412,0,7+2)),IF(Inputs!$C$77="D",SUMPRODUCT(($D64*Inputs!$C$8&gt;INDEX('Methodology &amp; Sources'!$B$417:$J$429,0,1))*($D64*Inputs!$C$8-INDEX('Methodology &amp; Sources'!$B$417:$J$429,0,1))*INDEX('Methodology &amp; Sources'!$B$417:$J$429,0,1+2)),IF(Inputs!$C$77="E",SUMPRODUCT(($D64*Inputs!$C$8&gt;INDEX('Methodology &amp; Sources'!$B$417:$J$429,0,4))*($D64*Inputs!$C$8-INDEX('Methodology &amp; Sources'!$B$417:$J$429,0,4))*INDEX('Methodology &amp; Sources'!$B$417:$J$429,0,4+2)),SUMPRODUCT(($D64*Inputs!$C$8&gt;INDEX('Methodology &amp; Sources'!$B$405:$J$412,0,1))*($D64*Inputs!$C$8-INDEX('Methodology &amp; Sources'!$B$405:$J$412,0,1))*INDEX('Methodology &amp; Sources'!$B$405:$J$412,0,1+2))))))/Inputs!$C$8,IF($AN64="NY",0.117*$D64,IF($AN64="OH",0.0275*$D64,IF($AN64="OK",0.045*$D64,IF($AN64="OR",0.08*$D64,IF($AN64="WI",IF($AY64&lt;12760,0.0354,IF($AY64&lt;25520,0.0465,IF($AY64&lt;280950,0.053,0.0765)))*$D64,0))))))))))))))))))))</f>
      </c>
      <c r="BD64" s="7">
        <f>IF($B64="","",$BD63+$Q64+$R64+$S64)</f>
      </c>
      <c r="BE64" s="6">
        <f>IF($B64="",$BE63,$BE63+$BF64)</f>
      </c>
      <c r="BF64" s="6">
        <f>IF($B64="","",IF(AND(IF(YEAR(IF(Inputs!$C$7="Weekly",Inputs!$C$9+7*(($BE63+1)-1),IF(Inputs!$C$7="Biweekly",Inputs!$C$9+14*(($BE63+1)-1),IF(Inputs!$C$7="Semimonthly",DATE(YEAR(Inputs!$C$9),MONTH(Inputs!$C$9)+INT((($BE63+1)-1)/2),MIN(DAY(Inputs!$C$9),DAY(EOMONTH(DATE(YEAR(Inputs!$C$9),MONTH(Inputs!$C$9)+INT((($BE63+1)-1)/2),1),0))))+IF(MOD(($BE63+1)-1,2)=1,15,0),EDATE(Inputs!$C$9,($BE63+1)-1)))))&lt;&gt;2026,"",IF(Inputs!$C$7="Weekly",Inputs!$C$9+7*(($BE63+1)-1),IF(Inputs!$C$7="Biweekly",Inputs!$C$9+14*(($BE63+1)-1),IF(Inputs!$C$7="Semimonthly",DATE(YEAR(Inputs!$C$9),MONTH(Inputs!$C$9)+INT((($BE63+1)-1)/2),MIN(DAY(Inputs!$C$9),DAY(EOMONTH(DATE(YEAR(Inputs!$C$9),MONTH(Inputs!$C$9)+INT((($BE63+1)-1)/2),1),0))))+IF(MOD(($BE63+1)-1,2)=1,15,0),EDATE(Inputs!$C$9,($BE63+1)-1)))))&lt;&gt;"",$B64=IF(YEAR(IF(Inputs!$C$7="Weekly",Inputs!$C$9+7*(($BE63+1)-1),IF(Inputs!$C$7="Biweekly",Inputs!$C$9+14*(($BE63+1)-1),IF(Inputs!$C$7="Semimonthly",DATE(YEAR(Inputs!$C$9),MONTH(Inputs!$C$9)+INT((($BE63+1)-1)/2),MIN(DAY(Inputs!$C$9),DAY(EOMONTH(DATE(YEAR(Inputs!$C$9),MONTH(Inputs!$C$9)+INT((($BE63+1)-1)/2),1),0))))+IF(MOD(($BE63+1)-1,2)=1,15,0),EDATE(Inputs!$C$9,($BE63+1)-1)))))&lt;&gt;2026,"",IF(Inputs!$C$7="Weekly",Inputs!$C$9+7*(($BE63+1)-1),IF(Inputs!$C$7="Biweekly",Inputs!$C$9+14*(($BE63+1)-1),IF(Inputs!$C$7="Semimonthly",DATE(YEAR(Inputs!$C$9),MONTH(Inputs!$C$9)+INT((($BE63+1)-1)/2),MIN(DAY(Inputs!$C$9),DAY(EOMONTH(DATE(YEAR(Inputs!$C$9),MONTH(Inputs!$C$9)+INT((($BE63+1)-1)/2),1),0))))+IF(MOD(($BE63+1)-1,2)=1,15,0),EDATE(Inputs!$C$9,($BE63+1)-1)))))),1,0))</f>
      </c>
      <c r="BG64" s="7">
        <f>IF($B64="","",$BG63+$H64)</f>
      </c>
      <c r="BH64" s="7">
        <f>IF($B64="","",$BH63+$I64)</f>
      </c>
      <c r="BI64" s="7">
        <f>IF($B64="","",$BI63+$G64)</f>
      </c>
      <c r="BJ64" s="7">
        <f>IF($B64="","",IFERROR(LOOKUP(2,1/((((Events!$C$6:$C$17="Deduction start"))*(Events!$D$6:$D$17="Health FSA"))*(Events!$B$6:$B$17&lt;=$B64)*(Events!$B$6:$B$17&lt;&gt;"")),Events!$E$6:$E$17),Inputs!$D$38))</f>
      </c>
      <c r="BK64" s="7">
        <f>IF($B64="","",IFERROR(LOOKUP(2,1/((((Events!$C$6:$C$17="Deduction start"))*(Events!$D$6:$D$17="Dependent-care FSA"))*(Events!$B$6:$B$17&lt;=$B64)*(Events!$B$6:$B$17&lt;&gt;"")),Events!$E$6:$E$17),Inputs!$D$39))</f>
      </c>
      <c r="BL64" s="7">
        <f>IF($B64="","",IFERROR(LOOKUP(2,1/((((Events!$C$6:$C$17="Deduction start")+(Events!$C$6:$C$17="Deduction stop"))*(Events!$D$6:$D$17="HSA"))*(Events!$B$6:$B$17&lt;=$B64)*(Events!$B$6:$B$17&lt;&gt;"")),Events!$I$6:$I$17),Inputs!$D$35))</f>
      </c>
      <c r="BM64" s="7">
        <f>IF($B64="","",IFERROR(LOOKUP(2,1/((((Events!$C$6:$C$17="Deduction start")+(Events!$C$6:$C$17="Deduction stop"))*(Events!$D$6:$D$17="Premiums"))*(Events!$B$6:$B$17&lt;=$B64)*(Events!$B$6:$B$17&lt;&gt;"")),Events!$I$6:$I$17),Inputs!$D$40+Inputs!$D$41+Inputs!$D$42))</f>
      </c>
      <c r="BN64" s="7">
        <f>IF($B64="","",IFERROR(LOOKUP(2,1/((((Events!$C$6:$C$17="Deduction start")+(Events!$C$6:$C$17="Deduction stop"))*(Events!$D$6:$D$17="Commuter"))*(Events!$B$6:$B$17&lt;=$B64)*(Events!$B$6:$B$17&lt;&gt;"")),Events!$I$6:$I$17),Inputs!$D$43))</f>
      </c>
      <c r="BO64" s="7">
        <f>IF($B64="","",IFERROR(LOOKUP(2,1/((((Events!$C$6:$C$17="Deduction start")+(Events!$C$6:$C$17="Deduction stop"))*(Events!$D$6:$D$17="Other pre-tax"))*(Events!$B$6:$B$17&lt;=$B64)*(Events!$B$6:$B$17&lt;&gt;"")),Events!$I$6:$I$17),Inputs!$D$44))</f>
      </c>
      <c r="BP64" s="7">
        <f>IF($B64="","",IFERROR(LOOKUP(2,1/((((Events!$C$6:$C$17="Deduction start")+(Events!$C$6:$C$17="Deduction stop"))*(Events!$D$6:$D$17="Other post-tax"))*(Events!$B$6:$B$17&lt;=$B64)*(Events!$B$6:$B$17&lt;&gt;"")),Events!$I$6:$I$17),Inputs!$D$45))</f>
      </c>
      <c r="BQ64" s="6">
        <f>IF($B64="","",IFERROR(LOOKUP(2,1/((((Events!$C$6:$C$17="Deduction start")+(Events!$C$6:$C$17="Deduction stop"))*(Events!$D$6:$D$17="Health FSA"))*(Events!$B$6:$B$17&lt;=$B64)*(Events!$B$6:$B$17&lt;&gt;"")),Events!$J$6:$J$17),0))</f>
      </c>
      <c r="BR64" s="6">
        <f>IF($B64="","",IFERROR(LOOKUP(2,1/((((Events!$C$6:$C$17="Deduction start")+(Events!$C$6:$C$17="Deduction stop"))*(Events!$D$6:$D$17="Dependent-care FSA"))*(Events!$B$6:$B$17&lt;=$B64)*(Events!$B$6:$B$17&lt;&gt;"")),Events!$J$6:$J$17),0))</f>
      </c>
      <c r="BS64" s="6">
        <f>IF($B64="","",IF(SUMPRODUCT((Events!$C$6:$C$17="Deduction start")*(Events!$B$6:$B$17&lt;=$B64)*(Events!$B$6:$B$17&lt;&gt;"")*(Events!$D$6:$D$17="Health FSA"))&gt;0,1,0))</f>
      </c>
      <c r="BT64" s="6">
        <f>IF($B64="","",IF(SUMPRODUCT((Events!$C$6:$C$17="Deduction start")*(Events!$B$6:$B$17&lt;=$B64)*(Events!$B$6:$B$17&lt;&gt;"")*(Events!$D$6:$D$17="Dependent-care FSA"))&gt;0,1,0))</f>
      </c>
      <c r="BU64" s="24">
        <f>IF($B64="","",IF(Inputs!$C$13,SUMPRODUCT(($AH64&gt;=INDEX('Methodology &amp; Sources'!$B$279:$J$286,0,IF(Inputs!$C$12="MFJ",1,IF(Inputs!$C$12="HoH",7,4))))*INDEX('Methodology &amp; Sources'!$B$279:$J$286,0,IF(Inputs!$C$12="MFJ",1,IF(Inputs!$C$12="HoH",7,4))+2)),SUMPRODUCT(($AH64&gt;=INDEX('Methodology &amp; Sources'!$B$269:$J$276,0,IF(Inputs!$C$12="MFJ",1,IF(Inputs!$C$12="HoH",7,4))))*INDEX('Methodology &amp; Sources'!$B$269:$J$276,0,IF(Inputs!$C$12="MFJ",1,IF(Inputs!$C$12="HoH",7,4))+2))))</f>
      </c>
      <c r="BV64" s="24">
        <f>IF($B64="","",IF($BZ64&lt;&gt;"",$BZ64,IF($CA64&lt;&gt;"",$CA64,IF($CB64&lt;&gt;"",$CB64,IF($CC64&lt;&gt;"",$CC64,0)))))</f>
      </c>
      <c r="BW64" s="7">
        <f>IF($B64="","",IF($AN64="MD",IF(OR($AU64="Married",$AU64="Head of household"),SUMPRODUCT(($AZ64&gt;INDEX('Methodology &amp; Sources'!$B$364:$J$370,0,1))*($AZ64-INDEX('Methodology &amp; Sources'!$B$364:$J$370,0,1))*INDEX('Methodology &amp; Sources'!$B$364:$J$370,0,1+2)),SUMPRODUCT(($AZ64&gt;INDEX('Methodology &amp; Sources'!$B$353:$J$359,0,7))*($AZ64-INDEX('Methodology &amp; Sources'!$B$353:$J$359,0,7))*INDEX('Methodology &amp; Sources'!$B$353:$J$359,0,7+2))),IF($AN64="MO",SUMPRODUCT(($AZ64&gt;INDEX('Methodology &amp; Sources'!$B$375:$J$382,0,1))*($AZ64-INDEX('Methodology &amp; Sources'!$B$375:$J$382,0,1))*INDEX('Methodology &amp; Sources'!$B$375:$J$382,0,1+2)),IF($AN64="MT",IF($AU64="Head of household",SUMPRODUCT(($AZ64&gt;INDEX('Methodology &amp; Sources'!$B$387:$J$389,0,1))*($AZ64-INDEX('Methodology &amp; Sources'!$B$387:$J$389,0,1))*INDEX('Methodology &amp; Sources'!$B$387:$J$389,0,1+2)),IF($AU64="Married",SUMPRODUCT(($AZ64&gt;INDEX('Methodology &amp; Sources'!$B$375:$J$382,0,7))*($AZ64-INDEX('Methodology &amp; Sources'!$B$375:$J$382,0,7))*INDEX('Methodology &amp; Sources'!$B$375:$J$382,0,7+2)),SUMPRODUCT(($AZ64&gt;INDEX('Methodology &amp; Sources'!$B$375:$J$382,0,4))*($AZ64-INDEX('Methodology &amp; Sources'!$B$375:$J$382,0,4))*INDEX('Methodology &amp; Sources'!$B$375:$J$382,0,4+2)))),IF($AN64="ND",IF($AU64="Head of household",SUMPRODUCT(($AZ64&gt;INDEX('Methodology &amp; Sources'!$B$394:$J$400,0,1))*($AZ64-INDEX('Methodology &amp; Sources'!$B$394:$J$400,0,1))*INDEX('Methodology &amp; Sources'!$B$394:$J$400,0,1+2)),IF($AU64="Married",SUMPRODUCT(($AZ64&gt;INDEX('Methodology &amp; Sources'!$B$387:$J$389,0,7))*($AZ64-INDEX('Methodology &amp; Sources'!$B$387:$J$389,0,7))*INDEX('Methodology &amp; Sources'!$B$387:$J$389,0,7+2)),SUMPRODUCT(($AZ64&gt;INDEX('Methodology &amp; Sources'!$B$387:$J$389,0,4))*($AZ64-INDEX('Methodology &amp; Sources'!$B$387:$J$389,0,4))*INDEX('Methodology &amp; Sources'!$B$387:$J$389,0,4+2)))),IF($AN64="NJ",IF(Inputs!$C$77="B",SUMPRODUCT(($AZ64&gt;INDEX('Methodology &amp; Sources'!$B$405:$J$412,0,4))*($AZ64-INDEX('Methodology &amp; Sources'!$B$405:$J$412,0,4))*INDEX('Methodology &amp; Sources'!$B$405:$J$412,0,4+2)),IF(Inputs!$C$77="C",SUMPRODUCT(($AZ64&gt;INDEX('Methodology &amp; Sources'!$B$405:$J$412,0,7))*($AZ64-INDEX('Methodology &amp; Sources'!$B$405:$J$412,0,7))*INDEX('Methodology &amp; Sources'!$B$405:$J$412,0,7+2)),IF(Inputs!$C$77="D",SUMPRODUCT(($AZ64&gt;INDEX('Methodology &amp; Sources'!$B$417:$J$429,0,1))*($AZ64-INDEX('Methodology &amp; Sources'!$B$417:$J$429,0,1))*INDEX('Methodology &amp; Sources'!$B$417:$J$429,0,1+2)),IF(Inputs!$C$77="E",SUMPRODUCT(($AZ64&gt;INDEX('Methodology &amp; Sources'!$B$417:$J$429,0,4))*($AZ64-INDEX('Methodology &amp; Sources'!$B$417:$J$429,0,4))*INDEX('Methodology &amp; Sources'!$B$417:$J$429,0,4+2)),SUMPRODUCT(($AZ64&gt;INDEX('Methodology &amp; Sources'!$B$405:$J$412,0,1))*($AZ64-INDEX('Methodology &amp; Sources'!$B$405:$J$412,0,1))*INDEX('Methodology &amp; Sources'!$B$405:$J$412,0,1+2)))))),IF($AN64="NY",IF($AU64="Married",IF($AZ64&gt;=2155350,$AZ64*IF($AZ64&gt;25000000,0.117,IF($AZ64&gt;5000000,0.111,0.1045)),SUMPRODUCT(($AZ64&gt;INDEX('Methodology &amp; Sources'!$B$434:$J$448,0,1))*($AZ64-INDEX('Methodology &amp; Sources'!$B$434:$J$448,0,1))*INDEX('Methodology &amp; Sources'!$B$434:$J$448,0,1+2))),IF($AZ64&gt;=1077550,$AZ64*IF($AZ64&gt;25000000,0.117,IF($AZ64&gt;5000000,0.111,0.1045)),SUMPRODUCT(($AZ64&gt;INDEX('Methodology &amp; Sources'!$B$417:$J$429,0,7))*($AZ64-INDEX('Methodology &amp; Sources'!$B$417:$J$429,0,7))*INDEX('Methodology &amp; Sources'!$B$417:$J$429,0,7+2)))),"")))))))</f>
      </c>
      <c r="BX64" s="7">
        <f>IF($B64="","",IF($AN64="AL",IF(OR($AU64="Married",$AU64="Head of household"),SUMPRODUCT(($AZ64&gt;INDEX('Methodology &amp; Sources'!$B$332:$J$336,0,4))*($AZ64-INDEX('Methodology &amp; Sources'!$B$332:$J$336,0,4))*INDEX('Methodology &amp; Sources'!$B$332:$J$336,0,4+2)),SUMPRODUCT(($AZ64&gt;INDEX('Methodology &amp; Sources'!$B$332:$J$336,0,1))*($AZ64-INDEX('Methodology &amp; Sources'!$B$332:$J$336,0,1))*INDEX('Methodology &amp; Sources'!$B$332:$J$336,0,1+2))),IF($AN64="KS",IF($AU64="Married",SUMPRODUCT(($AZ64&gt;INDEX('Methodology &amp; Sources'!$B$353:$J$359,0,4))*($AZ64-INDEX('Methodology &amp; Sources'!$B$353:$J$359,0,4))*INDEX('Methodology &amp; Sources'!$B$353:$J$359,0,4+2)),SUMPRODUCT(($AZ64&gt;INDEX('Methodology &amp; Sources'!$B$353:$J$359,0,1))*($AZ64-INDEX('Methodology &amp; Sources'!$B$353:$J$359,0,1))*INDEX('Methodology &amp; Sources'!$B$353:$J$359,0,1+2))),IF($AN64="MN",IF($AU64="Married",SUMPRODUCT(($AZ64&gt;INDEX('Methodology &amp; Sources'!$B$364:$J$370,0,7))*($AZ64-INDEX('Methodology &amp; Sources'!$B$364:$J$370,0,7))*INDEX('Methodology &amp; Sources'!$B$364:$J$370,0,7+2)),SUMPRODUCT(($AZ64&gt;INDEX('Methodology &amp; Sources'!$B$364:$J$370,0,4))*($AZ64-INDEX('Methodology &amp; Sources'!$B$364:$J$370,0,4))*INDEX('Methodology &amp; Sources'!$B$364:$J$370,0,4+2))),IF($AN64="NE",MAX(IF($AU64="Married",SUMPRODUCT(($AZ64&gt;INDEX('Methodology &amp; Sources'!$B$394:$J$400,0,7))*($AZ64-INDEX('Methodology &amp; Sources'!$B$394:$J$400,0,7))*INDEX('Methodology &amp; Sources'!$B$394:$J$400,0,7+2)),SUMPRODUCT(($AZ64&gt;INDEX('Methodology &amp; Sources'!$B$394:$J$400,0,4))*($AZ64-INDEX('Methodology &amp; Sources'!$B$394:$J$400,0,4))*INDEX('Methodology &amp; Sources'!$B$394:$J$400,0,4+2))),0.015*$AZ64),IF($AN64="OH",IF($B64&gt;=DATE(2026,8,1),SUMPRODUCT(($AZ64&gt;INDEX('Methodology &amp; Sources'!$B$453:$J$456,0,1))*($AZ64-INDEX('Methodology &amp; Sources'!$B$453:$J$456,0,1))*INDEX('Methodology &amp; Sources'!$B$453:$J$456,0,1+2)),SUMPRODUCT(($AZ64&gt;INDEX('Methodology &amp; Sources'!$B$434:$J$448,0,7))*($AZ64-INDEX('Methodology &amp; Sources'!$B$434:$J$448,0,7))*INDEX('Methodology &amp; Sources'!$B$434:$J$448,0,7+2))),IF($AN64="OK",IF($AU64="Married",SUMPRODUCT(($AZ64&gt;INDEX('Methodology &amp; Sources'!$B$453:$J$456,0,7))*($AZ64-INDEX('Methodology &amp; Sources'!$B$453:$J$456,0,7))*INDEX('Methodology &amp; Sources'!$B$453:$J$456,0,7+2)),SUMPRODUCT(($AZ64&gt;INDEX('Methodology &amp; Sources'!$B$453:$J$456,0,4))*($AZ64-INDEX('Methodology &amp; Sources'!$B$453:$J$456,0,4))*INDEX('Methodology &amp; Sources'!$B$453:$J$456,0,4+2))),IF($AN64="RI",SUMPRODUCT(($AZ64&gt;INDEX('Methodology &amp; Sources'!$B$461:$J$464,0,7))*($AZ64-INDEX('Methodology &amp; Sources'!$B$461:$J$464,0,7))*INDEX('Methodology &amp; Sources'!$B$461:$J$464,0,7+2)),IF($AN64="VT",IF($AU64="Married",SUMPRODUCT(($AZ64&gt;INDEX('Methodology &amp; Sources'!$B$478:$J$482,0,1))*($AZ64-INDEX('Methodology &amp; Sources'!$B$478:$J$482,0,1))*INDEX('Methodology &amp; Sources'!$B$478:$J$482,0,1+2)),SUMPRODUCT(($AZ64&gt;INDEX('Methodology &amp; Sources'!$B$469:$J$473,0,7))*($AZ64-INDEX('Methodology &amp; Sources'!$B$469:$J$473,0,7))*INDEX('Methodology &amp; Sources'!$B$469:$J$473,0,7+2))),IF($AN64="WV",IF($AU64="Married",SUMPRODUCT(($AZ64&gt;INDEX('Methodology &amp; Sources'!$B$487:$J$491,0,7))*($AZ64-INDEX('Methodology &amp; Sources'!$B$487:$J$491,0,7))*INDEX('Methodology &amp; Sources'!$B$487:$J$491,0,7+2)),SUMPRODUCT(($AZ64&gt;INDEX('Methodology &amp; Sources'!$B$478:$J$482,0,7))*($AZ64-INDEX('Methodology &amp; Sources'!$B$478:$J$482,0,7))*INDEX('Methodology &amp; Sources'!$B$478:$J$482,0,7+2))),""))))))))))</f>
      </c>
      <c r="BY64" s="7">
        <f>IF($B64="","",IF($AN64="AR",SUMPRODUCT(($AZ64&gt;INDEX('Methodology &amp; Sources'!$B$332:$J$336,0,7))*($AZ64-INDEX('Methodology &amp; Sources'!$B$332:$J$336,0,7))*INDEX('Methodology &amp; Sources'!$B$332:$J$336,0,7+2)),IF($AN64="DE",SUMPRODUCT(($AZ64&gt;INDEX('Methodology &amp; Sources'!$B$341:$J$348,0,1))*($AZ64-INDEX('Methodology &amp; Sources'!$B$341:$J$348,0,1))*INDEX('Methodology &amp; Sources'!$B$341:$J$348,0,1+2)),IF($AN64="HI",IF($AU64="Married",SUMPRODUCT(($AZ64&gt;INDEX('Methodology &amp; Sources'!$B$341:$J$348,0,7))*($AZ64-INDEX('Methodology &amp; Sources'!$B$341:$J$348,0,7))*INDEX('Methodology &amp; Sources'!$B$341:$J$348,0,7+2)),SUMPRODUCT(($AZ64&gt;INDEX('Methodology &amp; Sources'!$B$341:$J$348,0,4))*($AZ64-INDEX('Methodology &amp; Sources'!$B$341:$J$348,0,4))*INDEX('Methodology &amp; Sources'!$B$341:$J$348,0,4+2))),IF($AN64="SC",SUMPRODUCT(($AZ64&gt;INDEX('Methodology &amp; Sources'!$B$469:$J$473,0,1))*($AZ64-INDEX('Methodology &amp; Sources'!$B$469:$J$473,0,1))*INDEX('Methodology &amp; Sources'!$B$469:$J$473,0,1+2)),IF($AN64="VA",SUMPRODUCT(($AZ64&gt;INDEX('Methodology &amp; Sources'!$B$469:$J$473,0,4))*($AZ64-INDEX('Methodology &amp; Sources'!$B$469:$J$473,0,4))*INDEX('Methodology &amp; Sources'!$B$469:$J$473,0,4+2)),IF($AN64="WI",SUMPRODUCT(($AZ64&gt;INDEX('Methodology &amp; Sources'!$B$478:$J$482,0,4))*($AZ64-INDEX('Methodology &amp; Sources'!$B$478:$J$482,0,4))*INDEX('Methodology &amp; Sources'!$B$478:$J$482,0,4+2)),"")))))))</f>
      </c>
      <c r="BZ64" s="24">
        <f>IF($B64="","",IF($AN64="NJ",IF(Inputs!$C$77="B",SUMPRODUCT(($AZ64&gt;=INDEX('Methodology &amp; Sources'!$B$405:$J$412,0,4))*INDEX('Methodology &amp; Sources'!$B$405:$J$412,0,4+2)),IF(Inputs!$C$77="C",SUMPRODUCT(($AZ64&gt;=INDEX('Methodology &amp; Sources'!$B$405:$J$412,0,7))*INDEX('Methodology &amp; Sources'!$B$405:$J$412,0,7+2)),IF(Inputs!$C$77="D",SUMPRODUCT(($AZ64&gt;=INDEX('Methodology &amp; Sources'!$B$417:$J$429,0,1))*INDEX('Methodology &amp; Sources'!$B$417:$J$429,0,1+2)),IF(Inputs!$C$77="E",SUMPRODUCT(($AZ64&gt;=INDEX('Methodology &amp; Sources'!$B$417:$J$429,0,4))*INDEX('Methodology &amp; Sources'!$B$417:$J$429,0,4+2)),SUMPRODUCT(($AZ64&gt;=INDEX('Methodology &amp; Sources'!$B$405:$J$412,0,1))*INDEX('Methodology &amp; Sources'!$B$405:$J$412,0,1+2)))))),IF($AN64="OR",IF(OR($AU64="Married",AND($AU64="Single",$AS64&gt;=3)),SUMPRODUCT((MAX(0,$AY64-MIN(($P64-'Methodology &amp; Sources'!$C$260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Sources'!$B$461:$J$464,0,4))*INDEX('Methodology &amp; Sources'!$B$461:$J$464,0,4+2)),SUMPRODUCT((MAX(0,$AY64-MIN(($P64-'Methodology &amp; Sources'!$C$260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Sources'!$B$461:$J$464,0,1))*INDEX('Methodology &amp; Sources'!$B$461:$J$464,0,1+2)))*IF(($P64-'Methodology &amp; Sources'!$C$260*$D64)*Inputs!$C$8&gt;=IF(OR($AU64="Married",AND($AU64="Single",$AS64&gt;=3)),IF($AY64&lt;250000,8750,IF($AY64&lt;260000,7000,IF($AY64&lt;270000,5250,IF($AY64&lt;280000,3500,IF($AY64&lt;290000,1750,0))))),IF($AY64&lt;125000,8750,IF($AY64&lt;130000,7000,IF($AY64&lt;135000,5250,IF($AY64&lt;140000,3500,IF($AY64&lt;145000,1750,0)))))),1,1-IF(Inputs!$C$13,SUMPRODUCT(($AH64&gt;=INDEX('Methodology &amp; Sources'!$B$279:$J$286,0,IF(Inputs!$C$12="MFJ",1,IF(Inputs!$C$12="HoH",7,4))))*INDEX('Methodology &amp; Sources'!$B$279:$J$286,0,IF(Inputs!$C$12="MFJ",1,IF(Inputs!$C$12="HoH",7,4))+2)),SUMPRODUCT(($AH64&gt;=INDEX('Methodology &amp; Sources'!$B$269:$J$276,0,IF(Inputs!$C$12="MFJ",1,IF(Inputs!$C$12="HoH",7,4))))*INDEX('Methodology &amp; Sources'!$B$269:$J$276,0,IF(Inputs!$C$12="MFJ",1,IF(Inputs!$C$12="HoH",7,4))+2)))),IF($AN64="MI",IF($AY64&gt;5900*$AS64,0.0425,0),""))))</f>
      </c>
      <c r="CA64" s="24">
        <f>IF($B64="","",IF($AN64="AL",IF(OR($AU64="Married",$AU64="Head of household"),SUMPRODUCT(($AZ64&gt;=INDEX('Methodology &amp; Sources'!$B$332:$J$336,0,4))*INDEX('Methodology &amp; Sources'!$B$332:$J$336,0,4+2)),SUMPRODUCT(($AZ64&gt;=INDEX('Methodology &amp; Sources'!$B$332:$J$336,0,1))*INDEX('Methodology &amp; Sources'!$B$332:$J$336,0,1+2)))*(1-IF(Inputs!$C$13,SUMPRODUCT(($AH64&gt;=INDEX('Methodology &amp; Sources'!$B$279:$J$286,0,IF(Inputs!$C$12="MFJ",1,IF(Inputs!$C$12="HoH",7,4))))*INDEX('Methodology &amp; Sources'!$B$279:$J$286,0,IF(Inputs!$C$12="MFJ",1,IF(Inputs!$C$12="HoH",7,4))+2)),SUMPRODUCT(($AH64&gt;=INDEX('Methodology &amp; Sources'!$B$269:$J$276,0,IF(Inputs!$C$12="MFJ",1,IF(Inputs!$C$12="HoH",7,4))))*INDEX('Methodology &amp; Sources'!$B$269:$J$276,0,IF(Inputs!$C$12="MFJ",1,IF(Inputs!$C$12="HoH",7,4))+2)))),IF($AN64="KS",IF($AU64="Married",SUMPRODUCT(($AZ64&gt;=INDEX('Methodology &amp; Sources'!$B$353:$J$359,0,4))*INDEX('Methodology &amp; Sources'!$B$353:$J$359,0,4+2)),SUMPRODUCT(($AZ64&gt;=INDEX('Methodology &amp; Sources'!$B$353:$J$359,0,1))*INDEX('Methodology &amp; Sources'!$B$353:$J$359,0,1+2))),IF($AN64="MD",IF(OR($AU64="Married",$AU64="Head of household"),SUMPRODUCT(($AZ64&gt;=INDEX('Methodology &amp; Sources'!$B$364:$J$370,0,1))*INDEX('Methodology &amp; Sources'!$B$364:$J$370,0,1+2)),SUMPRODUCT(($AZ64&gt;=INDEX('Methodology &amp; Sources'!$B$353:$J$359,0,7))*INDEX('Methodology &amp; Sources'!$B$353:$J$359,0,7+2)))+Inputs!$C$74,IF($AN64="MT",IF($AU64="Head of household",SUMPRODUCT(($AZ64&gt;=INDEX('Methodology &amp; Sources'!$B$387:$J$389,0,1))*INDEX('Methodology &amp; Sources'!$B$387:$J$389,0,1+2)),IF($AU64="Married",SUMPRODUCT(($AZ64&gt;=INDEX('Methodology &amp; Sources'!$B$375:$J$382,0,7))*INDEX('Methodology &amp; Sources'!$B$375:$J$382,0,7+2)),SUMPRODUCT(($AZ64&gt;=INDEX('Methodology &amp; Sources'!$B$375:$J$382,0,4))*INDEX('Methodology &amp; Sources'!$B$375:$J$382,0,4+2)))),IF($AN64="ND",IF($AU64="Head of household",SUMPRODUCT(($AZ64&gt;=INDEX('Methodology &amp; Sources'!$B$394:$J$400,0,1))*INDEX('Methodology &amp; Sources'!$B$394:$J$400,0,1+2)),IF($AU64="Married",SUMPRODUCT(($AZ64&gt;=INDEX('Methodology &amp; Sources'!$B$387:$J$389,0,7))*INDEX('Methodology &amp; Sources'!$B$387:$J$389,0,7+2)),SUMPRODUCT(($AZ64&gt;=INDEX('Methodology &amp; Sources'!$B$387:$J$389,0,4))*INDEX('Methodology &amp; Sources'!$B$387:$J$389,0,4+2)))),IF($AN64="NY",IF($AU64="Married",IF($AZ64&gt;=2155350,IF($AZ64&gt;25000000,0.117,IF($AZ64&gt;5000000,0.111,0.1045)),SUMPRODUCT(($AZ64&gt;=INDEX('Methodology &amp; Sources'!$B$434:$J$448,0,1))*INDEX('Methodology &amp; Sources'!$B$434:$J$448,0,1+2))),IF($AZ64&gt;=1077550,IF($AZ64&gt;25000000,0.117,IF($AZ64&gt;5000000,0.111,0.1045)),SUMPRODUCT(($AZ64&gt;=INDEX('Methodology &amp; Sources'!$B$417:$J$429,0,7))*INDEX('Methodology &amp; Sources'!$B$417:$J$429,0,7+2)))),"")))))))</f>
      </c>
      <c r="CB64" s="24">
        <f>IF($B64="","",IF($AN64="CA",SUMPRODUCT(($AJ64&gt;=INDEX('Methodology &amp; Sources'!$B$289:$J$298,0,IF($AU64="Married",4,IF($AU64="Head of household",7,1))))*INDEX('Methodology &amp; Sources'!$B$289:$J$298,0,IF($AU64="Married",4,IF($AU64="Head of household",7,1))+2)),IF($AN64="HI",IF($AU64="Married",SUMPRODUCT(($AZ64&gt;=INDEX('Methodology &amp; Sources'!$B$341:$J$348,0,7))*INDEX('Methodology &amp; Sources'!$B$341:$J$348,0,7+2)),SUMPRODUCT(($AZ64&gt;=INDEX('Methodology &amp; Sources'!$B$341:$J$348,0,4))*INDEX('Methodology &amp; Sources'!$B$341:$J$348,0,4+2))),IF($AN64="MN",IF($AU64="Married",SUMPRODUCT(($AZ64&gt;=INDEX('Methodology &amp; Sources'!$B$364:$J$370,0,7))*INDEX('Methodology &amp; Sources'!$B$364:$J$370,0,7+2)),SUMPRODUCT(($AZ64&gt;=INDEX('Methodology &amp; Sources'!$B$364:$J$370,0,4))*INDEX('Methodology &amp; Sources'!$B$364:$J$370,0,4+2))),IF($AN64="MO",SUMPRODUCT(($AZ64&gt;=INDEX('Methodology &amp; Sources'!$B$375:$J$382,0,1))*INDEX('Methodology &amp; Sources'!$B$375:$J$382,0,1+2)),IF($AN64="NE",MAX(IF($AU64="Married",SUMPRODUCT(($AZ64&gt;=INDEX('Methodology &amp; Sources'!$B$394:$J$400,0,7))*INDEX('Methodology &amp; Sources'!$B$394:$J$400,0,7+2)),SUMPRODUCT(($AZ64&gt;=INDEX('Methodology &amp; Sources'!$B$394:$J$400,0,4))*INDEX('Methodology &amp; Sources'!$B$394:$J$400,0,4+2))),0.015),IF($AN64="OH",IF($B64&gt;=DATE(2026,8,1),SUMPRODUCT(($AZ64&gt;=INDEX('Methodology &amp; Sources'!$B$453:$J$456,0,1))*INDEX('Methodology &amp; Sources'!$B$453:$J$456,0,1+2)),SUMPRODUCT(($AZ64&gt;=INDEX('Methodology &amp; Sources'!$B$434:$J$448,0,7))*INDEX('Methodology &amp; Sources'!$B$434:$J$448,0,7+2))),IF($AN64="OK",IF($AU64="Married",SUMPRODUCT(($AZ64&gt;=INDEX('Methodology &amp; Sources'!$B$453:$J$456,0,7))*INDEX('Methodology &amp; Sources'!$B$453:$J$456,0,7+2)),SUMPRODUCT(($AZ64&gt;=INDEX('Methodology &amp; Sources'!$B$453:$J$456,0,4))*INDEX('Methodology &amp; Sources'!$B$453:$J$456,0,4+2))),IF($AN64="RI",SUMPRODUCT(($AZ64&gt;=INDEX('Methodology &amp; Sources'!$B$461:$J$464,0,7))*INDEX('Methodology &amp; Sources'!$B$461:$J$464,0,7+2)),IF($AN64="SC",SUMPRODUCT(($AZ64&gt;=INDEX('Methodology &amp; Sources'!$B$469:$J$473,0,1))*INDEX('Methodology &amp; Sources'!$B$469:$J$473,0,1+2)),IF($AN64="VT",IF($AU64="Married",SUMPRODUCT(($AZ64&gt;=INDEX('Methodology &amp; Sources'!$B$478:$J$482,0,1))*INDEX('Methodology &amp; Sources'!$B$478:$J$482,0,1+2)),SUMPRODUCT(($AZ64&gt;=INDEX('Methodology &amp; Sources'!$B$469:$J$473,0,7))*INDEX('Methodology &amp; Sources'!$B$469:$J$473,0,7+2))),IF($AN64="WV",IF($AU64="Married",SUMPRODUCT(($AZ64&gt;=INDEX('Methodology &amp; Sources'!$B$487:$J$491,0,7))*INDEX('Methodology &amp; Sources'!$B$487:$J$491,0,7+2)),SUMPRODUCT(($AZ64&gt;=INDEX('Methodology &amp; Sources'!$B$478:$J$482,0,7))*INDEX('Methodology &amp; Sources'!$B$478:$J$482,0,7+2))),IF($AN64="IN",(0.0295+Inputs!$C$76),"")))))))))))))</f>
      </c>
      <c r="CC64" s="24">
        <f>IF($B64="","",IF($AN64="AR",SUMPRODUCT(($AZ64&gt;=INDEX('Methodology &amp; Sources'!$B$332:$J$336,0,7))*INDEX('Methodology &amp; Sources'!$B$332:$J$336,0,7+2)),IF($AN64="DE",SUMPRODUCT(($AZ64&gt;=INDEX('Methodology &amp; Sources'!$B$341:$J$348,0,1))*INDEX('Methodology &amp; Sources'!$B$341:$J$348,0,1+2)),IF($AN64="VA",SUMPRODUCT(($AZ64&gt;=INDEX('Methodology &amp; Sources'!$B$469:$J$473,0,4))*INDEX('Methodology &amp; Sources'!$B$469:$J$473,0,4+2)),IF($AN64="WI",SUMPRODUCT(($AZ64&gt;=INDEX('Methodology &amp; Sources'!$B$478:$J$482,0,4))*INDEX('Methodology &amp; Sources'!$B$478:$J$482,0,4+2)),IF($AN64="AZ",Inputs!$C$82,IF($AN64="CO",IF($AY64&gt;IF($AU64="Married",10000,5000),0.044,0),IF($AN64="IA",IF($AY64&gt;IF($AU64="Head of household",19500,IF($AU64="Married",26000,13000)),0.038,0),IF($AN64="ID",IF($AY64&gt;IF($AU64="Married",32000,16094),0.053,0),IF($AN64="IL",IF($AY64&gt;(2925*$AS64+1000*$AT64),0.0495,0),IF($AN64="KY",IF($AI64&gt;3360,0.035,0),IF($AN64="LA",0.0309,IF($AN64="MA",IF(MAX(0,$AY64-MIN(($BD63+$Q64+$R64+$S64),2000)-IF($AS64=0,0,IF($AS64=1,4400,1000*$AS64+3400)))&gt;=1107750,0.09,0.05),IF($AN64="MS",IF($AI64-IF($AU64="Head of household",3400,IF($AU64="Married",4600,2300))-Inputs!$C$85&gt;10000,0.04,0),IF($AN64="PA",0.0307,"")))))))))))))))</f>
      </c>
      <c r="CD64" s="21">
        <f>IF(YEAR(IF(Inputs!$C$7="Weekly",Inputs!$C$9+7*(($BE63+1)-1),IF(Inputs!$C$7="Biweekly",Inputs!$C$9+14*(($BE63+1)-1),IF(Inputs!$C$7="Semimonthly",DATE(YEAR(Inputs!$C$9),MONTH(Inputs!$C$9)+INT((($BE63+1)-1)/2),MIN(DAY(Inputs!$C$9),DAY(EOMONTH(DATE(YEAR(Inputs!$C$9),MONTH(Inputs!$C$9)+INT((($BE63+1)-1)/2),1),0))))+IF(MOD(($BE63+1)-1,2)=1,15,0),EDATE(Inputs!$C$9,($BE63+1)-1)))))&lt;&gt;2026,"",IF(Inputs!$C$7="Weekly",Inputs!$C$9+7*(($BE63+1)-1),IF(Inputs!$C$7="Biweekly",Inputs!$C$9+14*(($BE63+1)-1),IF(Inputs!$C$7="Semimonthly",DATE(YEAR(Inputs!$C$9),MONTH(Inputs!$C$9)+INT((($BE63+1)-1)/2),MIN(DAY(Inputs!$C$9),DAY(EOMONTH(DATE(YEAR(Inputs!$C$9),MONTH(Inputs!$C$9)+INT((($BE63+1)-1)/2),1),0))))+IF(MOD(($BE63+1)-1,2)=1,15,0),EDATE(Inputs!$C$9,($BE63+1)-1)))))</f>
      </c>
      <c r="CE64" s="21">
        <f>IF(SUMPRODUCT(MIN(IF((Inputs!$C$58:$C$67&gt;MAX($B$6:$B63))*(Inputs!$C$58:$C$67&gt;=DATE(2026,1,1))*(Inputs!$C$58:$C$67&lt;=DATE(2026,12,31)),Inputs!$C$58:$C$67,999999)))=999999,"",SUMPRODUCT(MIN(IF((Inputs!$C$58:$C$67&gt;MAX($B$6:$B63))*(Inputs!$C$58:$C$67&gt;=DATE(2026,1,1))*(Inputs!$C$58:$C$67&lt;=DATE(2026,12,31)),Inputs!$C$58:$C$67,999999))))</f>
      </c>
    </row>
    <row r="65">
      <c r="A65" t="n">
        <v>60</v>
      </c>
      <c r="B65" s="21">
        <f>IF(AND($CD65="",$CE65=""),"",IF($CE65="",$CD65,IF($CD65="",$CE65,MIN($CD65,$CE65))))</f>
      </c>
      <c r="C65" s="7">
        <f>IF($B65="","",IF($BF65=0,0,IF(Inputs!$C$4="Annual salary",ROUND($AK65/IF(AND(Inputs!$C$88="Actual paydays",MONTH(Inputs!$C$9)=1),MAX(1,MAX($BE$6:$BE$68)),Inputs!$C$8),2),$AK65)))</f>
      </c>
      <c r="D65" s="7">
        <f>IF($B65="","",SUMIF(Inputs!$C$58:$C$67,$B65,Inputs!$D$58:$D$67))</f>
      </c>
      <c r="E65" s="7">
        <f>IF($B65="","",ROUND(MAX(0,MIN(IF($AL65="Percent",$AM65*($C65+$D65),$AM65),MAX(0,Inputs!$C$91-$AC64))),2))</f>
      </c>
      <c r="F65" s="7">
        <f>IF($B65="","",ROUND(MAX(0,MIN(IF(Inputs!$C$32="Percent",Inputs!$D$32*($C65+$D65),Inputs!$D$32),MAX(0,Inputs!$C$91-$AC64-$E65))),2))</f>
      </c>
      <c r="G65" s="7">
        <f>IF($B65="","",IF($BF65=0,0,ROUND(MAX(0,MIN($BL65,Inputs!$C$92-Inputs!$C$54-$BI64)),2)))</f>
      </c>
      <c r="H65" s="7">
        <f>IF($B65="","",IF(OR($BF65=0,$BQ65=1),0,ROUND(MAX(0,MIN(IF($BS65=1,ROUND(MAX(0,MIN($BJ65,'Methodology &amp; Sources'!$C$263)-$BG64)/MAX(1,MAX($BE$6:$BE$68)-($BE64)),2),ROUND(MIN($BJ65,'Methodology &amp; Sources'!$C$263)/Inputs!$C$8,2)),MIN($BJ65,'Methodology &amp; Sources'!$C$263)-$BG64)),2)))</f>
      </c>
      <c r="I65" s="7">
        <f>IF($B65="","",IF(OR($BF65=0,$BR65=1),0,ROUND(MAX(0,MIN(IF($BT65=1,ROUND(MAX(0,MIN($BK65,IF(Inputs!$C$12="MFJ",'Methodology &amp; Sources'!$C$264,'Methodology &amp; Sources'!$C$265))-$BH64)/MAX(1,MAX($BE$6:$BE$68)-($BE64)),2),ROUND(MIN($BK65,IF(Inputs!$C$12="MFJ",'Methodology &amp; Sources'!$C$264,'Methodology &amp; Sources'!$C$265))/Inputs!$C$8,2)),MIN($BK65,IF(Inputs!$C$12="MFJ",'Methodology &amp; Sources'!$C$264,'Methodology &amp; Sources'!$C$265))-$BH64)),2)))</f>
      </c>
      <c r="J65" s="7">
        <f>IF($B65="","",IF($BF65=0,0,$BM65))</f>
      </c>
      <c r="K65" s="7">
        <f>IF($B65="","",IF($BF65=0,0,$BN65+$BO65))</f>
      </c>
      <c r="L65" s="7">
        <f>IF($B65="","",IF($BF65=0,0,Inputs!$D$46))</f>
      </c>
      <c r="M65" s="7">
        <f>IF($B65="","",$C65+$D65+$L65-$E65-$G65-$H65-$I65-$J65-$K65)</f>
      </c>
      <c r="N65" s="7">
        <f>IF($B65="","",$C65+$D65+$L65-$G65-$H65-$I65-$J65-$K65)</f>
      </c>
      <c r="O65" s="7">
        <f>IF($B65="","",$C65+$D65+$L65-$E65-$H65-$I65-$J65-$K65-IF(OR($AN65="CA",$AN65="NJ"),0,$G65))</f>
      </c>
      <c r="P65" s="7">
        <f>IF($B65="","",IF(Inputs!$C$18,0,ROUND(MAX(0,IF(Inputs!$C$13,SUMPRODUCT(($AH65&gt;INDEX('Methodology &amp; Sources'!$B$279:$J$286,0,IF(Inputs!$C$12="MFJ",1,IF(Inputs!$C$12="HoH",7,4))))*($AH65-INDEX('Methodology &amp; Sources'!$B$279:$J$286,0,IF(Inputs!$C$12="MFJ",1,IF(Inputs!$C$12="HoH",7,4))))*INDEX('Methodology &amp; Sources'!$B$279:$J$286,0,IF(Inputs!$C$12="MFJ",1,IF(Inputs!$C$12="HoH",7,4))+2)),SUMPRODUCT(($AH65&gt;INDEX('Methodology &amp; Sources'!$B$269:$J$276,0,IF(Inputs!$C$12="MFJ",1,IF(Inputs!$C$12="HoH",7,4))))*($AH65-INDEX('Methodology &amp; Sources'!$B$269:$J$276,0,IF(Inputs!$C$12="MFJ",1,IF(Inputs!$C$12="HoH",7,4))))*INDEX('Methodology &amp; Sources'!$B$269:$J$276,0,IF(Inputs!$C$12="MFJ",1,IF(Inputs!$C$12="HoH",7,4))+2)))/Inputs!$C$8-$AO65/Inputs!$C$8)+$AR65+IF(Inputs!$C$89="Aggregate",MAX(0,IF(Inputs!$C$13,SUMPRODUCT((($AH65+$D65)&gt;INDEX('Methodology &amp; Sources'!$B$279:$J$286,0,IF(Inputs!$C$12="MFJ",1,IF(Inputs!$C$12="HoH",7,4))))*(($AH65+$D65)-INDEX('Methodology &amp; Sources'!$B$279:$J$286,0,IF(Inputs!$C$12="MFJ",1,IF(Inputs!$C$12="HoH",7,4))))*INDEX('Methodology &amp; Sources'!$B$279:$J$286,0,IF(Inputs!$C$12="MFJ",1,IF(Inputs!$C$12="HoH",7,4))+2)),SUMPRODUCT((($AH65+$D65)&gt;INDEX('Methodology &amp; Sources'!$B$269:$J$276,0,IF(Inputs!$C$12="MFJ",1,IF(Inputs!$C$12="HoH",7,4))))*(($AH65+$D65)-INDEX('Methodology &amp; Sources'!$B$269:$J$276,0,IF(Inputs!$C$12="MFJ",1,IF(Inputs!$C$12="HoH",7,4))))*INDEX('Methodology &amp; Sources'!$B$269:$J$276,0,IF(Inputs!$C$12="MFJ",1,IF(Inputs!$C$12="HoH",7,4))+2)))-IF(Inputs!$C$13,SUMPRODUCT(($AH65&gt;INDEX('Methodology &amp; Sources'!$B$279:$J$286,0,IF(Inputs!$C$12="MFJ",1,IF(Inputs!$C$12="HoH",7,4))))*($AH65-INDEX('Methodology &amp; Sources'!$B$279:$J$286,0,IF(Inputs!$C$12="MFJ",1,IF(Inputs!$C$12="HoH",7,4))))*INDEX('Methodology &amp; Sources'!$B$279:$J$286,0,IF(Inputs!$C$12="MFJ",1,IF(Inputs!$C$12="HoH",7,4))+2)),SUMPRODUCT(($AH65&gt;INDEX('Methodology &amp; Sources'!$B$269:$J$276,0,IF(Inputs!$C$12="MFJ",1,IF(Inputs!$C$12="HoH",7,4))))*($AH65-INDEX('Methodology &amp; Sources'!$B$269:$J$276,0,IF(Inputs!$C$12="MFJ",1,IF(Inputs!$C$12="HoH",7,4))))*INDEX('Methodology &amp; Sources'!$B$269:$J$276,0,IF(Inputs!$C$12="MFJ",1,IF(Inputs!$C$12="HoH",7,4))+2)))),'Methodology &amp; Sources'!$C$260*$D65),2)))</f>
      </c>
      <c r="Q65" s="7">
        <f>IF($B65="","",ROUND('Methodology &amp; Sources'!$C$254*MIN($N65,MAX(0,'Methodology &amp; Sources'!$C$253-($AX65+$AB64-$AW65))),2))</f>
      </c>
      <c r="R65" s="7">
        <f>IF($B65="","",ROUND('Methodology &amp; Sources'!$C$255*$N65,2))</f>
      </c>
      <c r="S65" s="7">
        <f>IF($B65="","",ROUND('Methodology &amp; Sources'!$C$256*MAX(0,MIN($N65,$AG64+$N65-'Methodology &amp; Sources'!$C$257)),2))</f>
      </c>
      <c r="T65" s="7">
        <f>IF($B65="","",IF(Inputs!$C$26,0,IF($AN65="CA",ROUND(IF($AI65&lt;=IF(($AS65+$AT65)&gt;=2,VLOOKUP($AN65,'StateTables 2026'!$A$6:$AB$56,10,FALSE),VLOOKUP($AN65,'StateTables 2026'!$A$6:$AB$56,9,FALSE)),0,MAX(0,SUMPRODUCT(($AJ65&gt;INDEX('Methodology &amp; Sources'!$B$289:$J$298,0,IF($AU65="Married",4,IF($AU65="Head of household",7,1))))*($AJ65-INDEX('Methodology &amp; Sources'!$B$289:$J$298,0,IF($AU65="Married",4,IF($AU65="Head of household",7,1))))*INDEX('Methodology &amp; Sources'!$B$289:$J$298,0,IF($AU65="Married",4,IF($AU65="Head of household",7,1))+2))-VLOOKUP($AN65,'StateTables 2026'!$A$6:$AB$56,11,FALSE)*$AS65)/Inputs!$C$8)+Inputs!$C$25+VLOOKUP($AN65,'StateTables 2026'!$A$6:$AB$56,13,FALSE)*$D65,2),IF(VLOOKUP($AN65,'StateTables 2026'!$A$6:$AB$56,4,FALSE)="None",0,IF(ISNUMBER(SEARCH("MANUAL",VLOOKUP($AN65,'StateTables 2026'!$A$6:$AB$56,5,FALSE))),Inputs!$C$28,ROUND(MAX(0,$BA65+$BB65)/Inputs!$C$8+Inputs!$C$25+$BC65,2))))))</f>
      </c>
      <c r="U65" s="7">
        <f>IF($B65="","",IF(VLOOKUP($AN65,'StateTables 2026'!$A$6:$AB$56,24,FALSE)="flatq",IF(OR(MONTH($B65)=1,MONTH($B65)=4,MONTH($B65)=7,MONTH($B65)=10),VLOOKUP($AN65,'StateTables 2026'!$A$6:$AB$56,25,FALSE),0),IF(VLOOKUP($AN65,'StateTables 2026'!$A$6:$AB$56,24,FALSE)="dbl",MIN(ROUND(0.005*$N65,2),ROUND(0.6*52/Inputs!$C$8,2)),IF(OR(VLOOKUP($AN65,'StateTables 2026'!$A$6:$AB$56,15,FALSE)="",VLOOKUP($AN65,'StateTables 2026'!$A$6:$AB$56,15,FALSE)=0),0,ROUND(VLOOKUP($AN65,'StateTables 2026'!$A$6:$AB$56,15,FALSE)*IF(OR(VLOOKUP($AN65,'StateTables 2026'!$A$6:$AB$56,16,FALSE)="",VLOOKUP($AN65,'StateTables 2026'!$A$6:$AB$56,16,FALSE)=0),$N65,MIN($N65,MAX(0,VLOOKUP($AN65,'StateTables 2026'!$A$6:$AB$56,16,FALSE)-($AX65+$AB64-$AW65)))),2))))+IF(VLOOKUP($AN65,'StateTables 2026'!$A$6:$AB$56,27,FALSE)="flatq",IF(OR(MONTH($B65)=1,MONTH($B65)=4,MONTH($B65)=7,MONTH($B65)=10),VLOOKUP($AN65,'StateTables 2026'!$A$6:$AB$56,28,FALSE),0),IF(VLOOKUP($AN65,'StateTables 2026'!$A$6:$AB$56,27,FALSE)="dbl",MIN(ROUND(0.005*$N65,2),ROUND(0.6*52/Inputs!$C$8,2)),IF(OR(VLOOKUP($AN65,'StateTables 2026'!$A$6:$AB$56,18,FALSE)="",VLOOKUP($AN65,'StateTables 2026'!$A$6:$AB$56,18,FALSE)=0),0,ROUND(VLOOKUP($AN65,'StateTables 2026'!$A$6:$AB$56,18,FALSE)*IF(OR(VLOOKUP($AN65,'StateTables 2026'!$A$6:$AB$56,19,FALSE)="",VLOOKUP($AN65,'StateTables 2026'!$A$6:$AB$56,19,FALSE)=0),$N65,MIN($N65,MAX(0,VLOOKUP($AN65,'StateTables 2026'!$A$6:$AB$56,19,FALSE)-($AX65+$AB64-$AW65)))),2)))))</f>
      </c>
      <c r="V65" s="7">
        <f>IF($B65="","",IF($AN65="NY",IF(Inputs!$C$78,ROUND(SUMPRODUCT((MAX(0,($O65-$D65)*Inputs!$C$8-(IF($AU65="Married",5500,5000)+1000*$AS65))&gt;INDEX('Methodology &amp; Sources'!$B$434:$J$448,0,4))*(MAX(0,($O65-$D65)*Inputs!$C$8-(IF($AU65="Married",5500,5000)+1000*$AS65))-INDEX('Methodology &amp; Sources'!$B$434:$J$448,0,4))*INDEX('Methodology &amp; Sources'!$B$434:$J$448,0,4+2))/Inputs!$C$8+0.0425*$D65,2),0)+IF(Inputs!$C$79="Resident",ROUND(0.1675*$T65,2),IF(Inputs!$C$79="Nonresident",ROUND(0.005*MAX(0,($O65-$D65)-(IF($AU65="Married",7950,7400)+1000*$AS65)/Inputs!$C$8),2),0)),IF($AN65="PA",IF(Inputs!$C$80="None",Inputs!$C$27+ROUND(Inputs!$C$81*($C65+$D65),2),ROUND(IF(Inputs!$C$80="Resident",IF($B65&lt;DATE(2026,7,1),0.0374,0.03735),IF($B65&lt;DATE(2026,7,1),0.0343,0.03425))*($C65+$D65),2)),IF($BF65=0,ROUND(Inputs!$C$81*($C65+$D65),2),Inputs!$C$27+ROUND(Inputs!$C$81*($C65+$D65),2)))))</f>
      </c>
      <c r="W65" s="7">
        <f>IF($B65="","",IF($BF65=0,0,$BP65))</f>
      </c>
      <c r="X65" s="7">
        <f>IF($B65="","",SUM($E65:$K65)+$P65+$Q65+$R65+$S65+$T65+$U65+$V65+$W65)</f>
      </c>
      <c r="Y65" s="22">
        <f>IF($B65="","",$C65+$D65-$X65)</f>
      </c>
      <c r="Z65" s="7">
        <f>IF($B65="","",$Z64+$C65+$D65)</f>
      </c>
      <c r="AA65" s="7">
        <f>IF($B65="","",$AA64+$Y65)</f>
      </c>
      <c r="AB65" s="7">
        <f>IF($B65="","",$AB64+MIN($N65,MAX(0,'Methodology &amp; Sources'!$C$253-($AX65+$AB64-$AW65))))</f>
      </c>
      <c r="AC65" s="7">
        <f>IF($B65="","",$AC64+$E65+$F65)</f>
      </c>
      <c r="AD65" s="3">
        <f>IF($B65="","",IF(AND($AB64&lt;'Methodology &amp; Sources'!$C$253,$AB65&gt;='Methodology &amp; Sources'!$C$253),"★ Social Security maxed on this check — from the next check your net rises by about $"&amp;TEXT(ROUND('Methodology &amp; Sources'!$C$254*$N65,2),"#,##0.00")&amp;". ","")&amp;IF(AND($AC64&lt;Inputs!$C$91,$AC65&gt;=Inputs!$C$91),"★ 401(k) reaches the $"&amp;TEXT(Inputs!$C$91,"#,##0")&amp;" cap on this check — deferrals stop and net pay rises. ","")&amp;IF(AND($AG64&lt;'Methodology &amp; Sources'!$C$257,$AG65&gt;='Methodology &amp; Sources'!$C$257),"★ Wages pass $200,000 — the 0.9% Additional Medicare Tax starts here. ","")&amp;IF(AND($BJ65&gt;0,$H65&gt;0,$BG64&lt;MIN($BJ65,'Methodology &amp; Sources'!$C$263),$BG64+$H65&gt;=MIN($BJ65,'Methodology &amp; Sources'!$C$263)),"★ Health FSA election is now fully deferred for the year. ",""))</f>
      </c>
      <c r="AE65" s="41" t="n"/>
      <c r="AF65" s="7">
        <f>IF(OR($B65="",$AE65=""),"",$AE65-$Y65)</f>
      </c>
      <c r="AG65" s="7">
        <f>IF($B65="","",$AG64+$N65)</f>
      </c>
      <c r="AH65" s="7">
        <f>IF($B65="","",MAX(0,($M65-$D65)*Inputs!$C$8+$AP65-$AQ65-IF(Inputs!$C$13,0,IF(Inputs!$C$12="MFJ",'Methodology &amp; Sources'!$C$258,'Methodology &amp; Sources'!$C$259))))</f>
      </c>
      <c r="AI65" s="7">
        <f>IF($B65="","",$O65*Inputs!$C$8)</f>
      </c>
      <c r="AJ65" s="7">
        <f>IF($B65="","",MAX(0,$AI65-VLOOKUP($AN65,'StateTables 2026'!$A$6:$AB$56,12,FALSE)*$AT65-IF(($AS65+$AT65)&gt;=2,VLOOKUP($AN65,'StateTables 2026'!$A$6:$AB$56,8,FALSE),VLOOKUP($AN65,'StateTables 2026'!$A$6:$AB$56,7,FALSE))))</f>
      </c>
      <c r="AK65" s="7">
        <f>IF($B65="","",IFERROR(LOOKUP(2,1/((Events!$C$6:$C$17="Salary change")*(Events!$B$6:$B$17&lt;=$B65)*(Events!$B$6:$B$17&lt;&gt;"")),Events!$D$6:$D$17),IF(Inputs!$C$4="Annual salary",Inputs!$C$5,Inputs!$C$6)))</f>
      </c>
      <c r="AL65">
        <f>IF($B65="","",IFERROR(LOOKUP(2,1/((Events!$C$6:$C$17="401(k) change")*(Events!$B$6:$B$17&lt;=$B65)*(Events!$B$6:$B$17&lt;&gt;"")),Events!$D$6:$D$17),Inputs!$C$30))</f>
      </c>
      <c r="AM65" s="7">
        <f>IF($B65="","",IFERROR(LOOKUP(2,1/((Events!$C$6:$C$17="401(k) change")*(Events!$B$6:$B$17&lt;=$B65)*(Events!$B$6:$B$17&lt;&gt;"")),Events!$E$6:$E$17),Inputs!$D$30))</f>
      </c>
      <c r="AN65">
        <f>IF($B65="","",IFERROR(LOOKUP(2,1/((Events!$C$6:$C$17="State move")*(Events!$B$6:$B$17&lt;=$B65)*(Events!$B$6:$B$17&lt;&gt;"")),Events!$D$6:$D$17),Inputs!$C$21))</f>
      </c>
      <c r="AO65" s="7">
        <f>IF($B65="","",IFERROR(LOOKUP(2,1/((Events!$C$6:$C$17="W-4 change")*(Events!$B$6:$B$17&lt;=$B65)*(Events!$B$6:$B$17&lt;&gt;"")),Events!$D$6:$D$17),Inputs!$C$14))</f>
      </c>
      <c r="AP65" s="7">
        <f>IF($B65="","",IFERROR(LOOKUP(2,1/((Events!$C$6:$C$17="W-4 change")*(Events!$B$6:$B$17&lt;=$B65)*(Events!$B$6:$B$17&lt;&gt;"")),Events!$E$6:$E$17),Inputs!$C$15))</f>
      </c>
      <c r="AQ65" s="7">
        <f>IF($B65="","",IFERROR(LOOKUP(2,1/((Events!$C$6:$C$17="W-4 change")*(Events!$B$6:$B$17&lt;=$B65)*(Events!$B$6:$B$17&lt;&gt;"")),Events!$F$6:$F$17),Inputs!$C$16))</f>
      </c>
      <c r="AR65" s="7">
        <f>IF($B65="","",IFERROR(LOOKUP(2,1/((Events!$C$6:$C$17="W-4 change")*(Events!$B$6:$B$17&lt;=$B65)*(Events!$B$6:$B$17&lt;&gt;"")),Events!$G$6:$G$17),Inputs!$C$17))</f>
      </c>
      <c r="AS65" s="6">
        <f>IF($B65="","",IFERROR(LOOKUP(2,1/(((Events!$C$6:$C$17="State move")+(Events!$C$6:$C$17="State cert change"))*(Events!$B$6:$B$17&lt;=$B65)*(Events!$B$6:$B$17&lt;&gt;"")),Events!$F$6:$F$17),Inputs!$C$23))</f>
      </c>
      <c r="AT65" s="6">
        <f>IF($B65="","",IFERROR(LOOKUP(2,1/(((Events!$C$6:$C$17="State move")+(Events!$C$6:$C$17="State cert change"))*(Events!$B$6:$B$17&lt;=$B65)*(Events!$B$6:$B$17&lt;&gt;"")),Events!$G$6:$G$17),Inputs!$C$24))</f>
      </c>
      <c r="AU65">
        <f>IF($B65="","",IFERROR(LOOKUP(2,1/((Events!$C$6:$C$17="State move")*(Events!$B$6:$B$17&lt;=$B65)*(Events!$B$6:$B$17&lt;&gt;"")),Events!$E$6:$E$17),Inputs!$C$22))</f>
      </c>
      <c r="AV65" s="6">
        <f>IF($B65="","",1+COUNTIFS(Events!$C$6:$C$17,"Employer change",Events!$B$6:$B$17,"&lt;="&amp;$B65,Events!$B$6:$B$17,"&lt;&gt;"))</f>
      </c>
      <c r="AW65" s="7">
        <f>IF($B65="","",IF($AV65=1,Inputs!$C$49,IF(IFERROR(MATCH(IFERROR(LOOKUP(2,1/((Events!$C$6:$C$17="Employer change")*(Events!$B$6:$B$17&lt;=$B65)*(Events!$B$6:$B$17&lt;&gt;"")),Events!$B$6:$B$17),""),$B$6:$B$68,1),1)&lt;=1,Inputs!$C$49,INDEX($AB$6:$AB$68,MATCH(IFERROR(LOOKUP(2,1/((Events!$C$6:$C$17="Employer change")*(Events!$B$6:$B$17&lt;=$B65)*(Events!$B$6:$B$17&lt;&gt;"")),Events!$B$6:$B$17),""),$B$6:$B$68,1)-1))))</f>
      </c>
      <c r="AX65" s="7">
        <f>IF($B65="","",IF($AV65=1,Inputs!$C$49,IFERROR(LOOKUP(2,1/((Events!$C$6:$C$17="Employer change")*(Events!$B$6:$B$17&lt;=$B65)*(Events!$B$6:$B$17&lt;&gt;"")),Events!$D$6:$D$17),0)))</f>
      </c>
      <c r="AY65" s="7">
        <f>IF($B65="","",($O65-$D65)*Inputs!$C$8)</f>
      </c>
      <c r="AZ65" s="7">
        <f>IF($B65="","",IF($AN65="AL",MAX(0,$AY65-IF($AU65="Married",IF($AY65&lt;=25999,8500,MAX(5000,8500-175*CEILING(($AY65-25999)/500,1))),IF($AU65="Head of household",IF($AY65&lt;=25999,5200,MAX(2500,5200-135*CEILING(($AY65-25999)/500,1))),IF($AY65&lt;=25999,3000,MAX(2500,3000-25*CEILING(($AY65-25999)/500,1)))))-($P65-'Methodology &amp; Sources'!$C$260*$D65)*Inputs!$C$8-IF(OR($AU65="Married",$AU65="Head of household"),3000,1500)-$AT65*IF($AY65&lt;=50000,1000,IF($AY65&lt;=100000,500,300))),IF($AN65="AR",IF(MAX(0,$AY65-2470)&lt;97701,INT(MAX(0,$AY65-2470)/100)*100+50,MAX(0,$AY65-2470)),IF($AN65="DE",MAX(0,$AI65-3250),IF($AN65="HI",MAX(0,$AI65-1144*$AS65-4350),IF($AN65="KS",MAX(0,$AI65-(9160*IF($AU65="Married",2,1)+2320*$AT65+IF($AU65="Head of household",2320,0))),IF($AN65="MD",MAX(0,$AI65-3400-3200*$AS65),IF($AN65="MN",MAX(0,$AY65-5300*$AS65),IF($AN65="MO",MAX(0,$AI65-IF($AU65="Head of household",24150,IF($AU65="Married",IF(Inputs!$C$83,16100,32200),16100))),IF($AN65="MT",$AY65,IF($AN65="ND",($C65+$L65)*Inputs!$C$8,IF($AN65="NE",MAX(0,$AY65-2440*$AS65),IF($AN65="NJ",MAX(0,$AY65-1000*$AS65),IF($AN65="NY",MAX(0,$AY65-(IF($AU65="Married",7950,7400)+1000*$AS65)),IF($AN65="OH",MAX(0,$AY65-650*$AS65),IF($AN65="OK",MAX(0,$AY65-1000*$AS65),IF($AN65="RI",MAX(0,$AI65-1000*$AS65),IF($AN65="SC",MAX(0,$AI65-5000*$AS65-IF($AS65=0,0,MIN(0.1*$AI65,7500))),IF($AN65="VA",MAX(0,$AI65-IF($AU65="Married",17500,8750)-930*$AS65-800*$AT65),IF($AN65="VT",MAX(0,$AI65-5400*$AS65),IF($AN65="WI",MAX(0,$AI65-MAX(0,IF($AU65="Married",9461-0.2*MAX(0,$AI65-25727),6702-0.12*MAX(0,$AI65-17780)))-400*$AS65),IF($AN65="WV",MAX(0,$AI65-2000*$AS65),$AI65))))))))))))))))))))))</f>
      </c>
      <c r="BA65" s="7">
        <f>IF($B65="","",IF($BW65&lt;&gt;"",$BW65,IF($BX65&lt;&gt;"",$BX65,IF($BY65&lt;&gt;"",$BY65,0))))</f>
      </c>
      <c r="BB65" s="7">
        <f>IF($B65="","",IF($AN65="AR",-29*$AS65,IF($AN65="DE",-110*$AS65,IF($AN65="MD",$AZ65*Inputs!$C$74,IF($AN65="AZ",Inputs!$C$82*($M65-$D65)*Inputs!$C$8,IF($AN65="CO",0.044*MAX(0,$AY65-IF($AU65="Married",10000,5000)),IF($AN65="IA",MAX(0,0.038*MAX(0,$AY65-IF($AU65="Head of household",19500,IF($AU65="Married",26000,13000)))-40*$AS65),IF($AN65="ID",0.053*MAX(0,$AY65-IF($AU65="Married",32000,16094)),IF($AN65="IL",0.0495*MAX(0,$AY65-(2925*$AS65+1000*$AT65)),IF($AN65="IN",(0.0295+Inputs!$C$76)*MAX(0,$AY65-(1000*$AS65+1500*$AT65+3000*Inputs!$C$86)),IF($AN65="KY",0.035*MAX(0,$AI65-3360),IF($AN65="LA",IF(Inputs!$C$84="0",0.0309*$AI65,0.0309*MAX(0,$AI65-IF(Inputs!$C$84="2",25750,12875))),IF($AN65="MA",0.05*MIN(MAX(0,$AY65-MIN(($BD64+$Q65+$R65+$S65),2000)-IF($AS65=0,0,IF($AS65=1,4400,1000*$AS65+3400))),1107750)+0.09*MAX(0,MAX(0,$AY65-MIN(($BD64+$Q65+$R65+$S65),2000)-IF($AS65=0,0,IF($AS65=1,4400,1000*$AS65+3400)))-1107750)-IF($AU65="Head of household",120,0)-110*Inputs!$C$75,IF($AN65="MI",0.0425*MAX(0,$AY65-5900*$AS65),IF($AN65="MS",0.04*MAX(0,$AI65-IF($AU65="Head of household",3400,IF($AU65="Married",4600,2300))-Inputs!$C$85-10000),IF($AN65="OR",IF(OR($AU65="Married",AND($AU65="Single",$AS65&gt;=3)),SUMPRODUCT((MAX(0,$AY65-MIN(($P65-'Methodology &amp; Sources'!$C$260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Sources'!$B$461:$J$464,0,4))*(MAX(0,$AY65-MIN(($P65-'Methodology &amp; Sources'!$C$260*$D65)*Inputs!$C$8,IF(OR($AU65="Married",AND($AU65="Single",$AS65&gt;=3)),IF($AY65&lt;250000,8750,IF($AY65&lt;260000,7000,IF($AY65&lt;270000,5250,IF($AY65&lt;280000,3500,IF($AY65&lt;290000,1750,0))))),IF($AY65&lt;125000,8750,IF($AY65&lt;130000,7000,IF($AY65&lt;135000,5250,IF($AY65&lt;140000,3500,IF($AY65&lt;145000,1750,0)))))))-IF(OR($AU65="Married",AND($AU65="Single",$AS65&gt;=3)),5820,2910))-INDEX('Methodology &amp; Sources'!$B$461:$J$464,0,4))*INDEX('Methodology &amp; Sources'!$B$461:$J$464,0,4+2)),SUMPRODUCT((MAX(0,$AY65-MIN(($P65-'Methodology &amp; Sources'!$C$260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Sources'!$B$461:$J$464,0,1))*(MAX(0,$AY65-MIN(($P65-'Methodology &amp; Sources'!$C$260*$D65)*Inputs!$C$8,IF(OR($AU65="Married",AND($AU65="Single",$AS65&gt;=3)),IF($AY65&lt;250000,8750,IF($AY65&lt;260000,7000,IF($AY65&lt;270000,5250,IF($AY65&lt;280000,3500,IF($AY65&lt;290000,1750,0))))),IF($AY65&lt;125000,8750,IF($AY65&lt;130000,7000,IF($AY65&lt;135000,5250,IF($AY65&lt;140000,3500,IF($AY65&lt;145000,1750,0)))))))-IF(OR($AU65="Married",AND($AU65="Single",$AS65&gt;=3)),5820,2910))-INDEX('Methodology &amp; Sources'!$B$461:$J$464,0,1))*INDEX('Methodology &amp; Sources'!$B$461:$J$464,0,1+2)))+263-263*IF(IF($AU65="Married",$AY65&gt;200000,$AY65&gt;100000),0,$AS65),IF($AN65="PA",0.0307*(($O65+$E65+$G65)*Inputs!$C$8),IF($AN65="NY",IF($AU65="Married",IF($AZ65&gt;=2155350,0,IF($AZ65&gt;=1077550,0.48,IF($AZ65&gt;=373200,1.21,IF($AZ65&gt;=323200,0.21,IF($AZ65&gt;=211550,-0.19,IF($AZ65&gt;=157650,-2.8,IF($AZ65&gt;=107650,-0.8,IF($AZ65&gt;=96800,0.05,IF($AZ65&gt;=80650,-0.1,IF($AZ65&gt;=13900,0.4,IF($AZ65&gt;=11700,-0.3,IF($AZ65&gt;=8500,0.5,0)))))))))))),IF($AZ65&gt;=1077550,0,IF($AZ65&gt;=265400,4.29,IF($AZ65&gt;=215400,2.29,IF($AZ65&gt;=157650,2.29,IF($AZ65&gt;=107650,0.29,IF($AZ65&gt;=96800,0.05,IF($AZ65&gt;=80650,-0.1,IF($AZ65&gt;=13900,0.4,IF($AZ65&gt;=11700,-0.3,IF($AZ65&gt;=8500,0.5,0))))))))))),0))))))))))))))))))</f>
      </c>
      <c r="BC65" s="7">
        <f>IF($B65="","",IF($AN65="AL",0.05*$D65,IF($AN65="AR",0.039*$D65,IF($AN65="ID",0.053*$D65,IF($AN65="IN",(0.0295+Inputs!$C$76)*$D65,IF($AN65="KS",0.05*$D65,IF($AN65="MA",0.09*MIN($D65,MAX(0,MAX(0,$AY65-MIN(($BD64+$Q65+$R65+$S65),2000)-IF($AS65=0,0,IF($AS65=1,4400,1000*$AS65+3400)))+$D65-1107750))+0.05*($D65-MIN($D65,MAX(0,MAX(0,$AY65-MIN(($BD64+$Q65+$R65+$S65),2000)-IF($AS65=0,0,IF($AS65=1,4400,1000*$AS65+3400)))+$D65-1107750))),IF($AN65="MD",(0.065+Inputs!$C$74)*$D65,IF($AN65="MI",0.0425*$D65,IF($AN65="MN",0.0625*$D65,IF($AN65="MO",0.047*$D65,IF($AN65="MT",0.05*$D65,IF($AN65="ND",0.015*$D65,IF($AN65="NE",0.035*$D65,IF($AN65="NJ",IF(Inputs!$C$77="B",SUMPRODUCT(($D65*Inputs!$C$8&gt;INDEX('Methodology &amp; Sources'!$B$405:$J$412,0,4))*($D65*Inputs!$C$8-INDEX('Methodology &amp; Sources'!$B$405:$J$412,0,4))*INDEX('Methodology &amp; Sources'!$B$405:$J$412,0,4+2)),IF(Inputs!$C$77="C",SUMPRODUCT(($D65*Inputs!$C$8&gt;INDEX('Methodology &amp; Sources'!$B$405:$J$412,0,7))*($D65*Inputs!$C$8-INDEX('Methodology &amp; Sources'!$B$405:$J$412,0,7))*INDEX('Methodology &amp; Sources'!$B$405:$J$412,0,7+2)),IF(Inputs!$C$77="D",SUMPRODUCT(($D65*Inputs!$C$8&gt;INDEX('Methodology &amp; Sources'!$B$417:$J$429,0,1))*($D65*Inputs!$C$8-INDEX('Methodology &amp; Sources'!$B$417:$J$429,0,1))*INDEX('Methodology &amp; Sources'!$B$417:$J$429,0,1+2)),IF(Inputs!$C$77="E",SUMPRODUCT(($D65*Inputs!$C$8&gt;INDEX('Methodology &amp; Sources'!$B$417:$J$429,0,4))*($D65*Inputs!$C$8-INDEX('Methodology &amp; Sources'!$B$417:$J$429,0,4))*INDEX('Methodology &amp; Sources'!$B$417:$J$429,0,4+2)),SUMPRODUCT(($D65*Inputs!$C$8&gt;INDEX('Methodology &amp; Sources'!$B$405:$J$412,0,1))*($D65*Inputs!$C$8-INDEX('Methodology &amp; Sources'!$B$405:$J$412,0,1))*INDEX('Methodology &amp; Sources'!$B$405:$J$412,0,1+2))))))/Inputs!$C$8,IF($AN65="NY",0.117*$D65,IF($AN65="OH",0.0275*$D65,IF($AN65="OK",0.045*$D65,IF($AN65="OR",0.08*$D65,IF($AN65="WI",IF($AY65&lt;12760,0.0354,IF($AY65&lt;25520,0.0465,IF($AY65&lt;280950,0.053,0.0765)))*$D65,0))))))))))))))))))))</f>
      </c>
      <c r="BD65" s="7">
        <f>IF($B65="","",$BD64+$Q65+$R65+$S65)</f>
      </c>
      <c r="BE65" s="6">
        <f>IF($B65="",$BE64,$BE64+$BF65)</f>
      </c>
      <c r="BF65" s="6">
        <f>IF($B65="","",IF(AND(IF(YEAR(IF(Inputs!$C$7="Weekly",Inputs!$C$9+7*(($BE64+1)-1),IF(Inputs!$C$7="Biweekly",Inputs!$C$9+14*(($BE64+1)-1),IF(Inputs!$C$7="Semimonthly",DATE(YEAR(Inputs!$C$9),MONTH(Inputs!$C$9)+INT((($BE64+1)-1)/2),MIN(DAY(Inputs!$C$9),DAY(EOMONTH(DATE(YEAR(Inputs!$C$9),MONTH(Inputs!$C$9)+INT((($BE64+1)-1)/2),1),0))))+IF(MOD(($BE64+1)-1,2)=1,15,0),EDATE(Inputs!$C$9,($BE64+1)-1)))))&lt;&gt;2026,"",IF(Inputs!$C$7="Weekly",Inputs!$C$9+7*(($BE64+1)-1),IF(Inputs!$C$7="Biweekly",Inputs!$C$9+14*(($BE64+1)-1),IF(Inputs!$C$7="Semimonthly",DATE(YEAR(Inputs!$C$9),MONTH(Inputs!$C$9)+INT((($BE64+1)-1)/2),MIN(DAY(Inputs!$C$9),DAY(EOMONTH(DATE(YEAR(Inputs!$C$9),MONTH(Inputs!$C$9)+INT((($BE64+1)-1)/2),1),0))))+IF(MOD(($BE64+1)-1,2)=1,15,0),EDATE(Inputs!$C$9,($BE64+1)-1)))))&lt;&gt;"",$B65=IF(YEAR(IF(Inputs!$C$7="Weekly",Inputs!$C$9+7*(($BE64+1)-1),IF(Inputs!$C$7="Biweekly",Inputs!$C$9+14*(($BE64+1)-1),IF(Inputs!$C$7="Semimonthly",DATE(YEAR(Inputs!$C$9),MONTH(Inputs!$C$9)+INT((($BE64+1)-1)/2),MIN(DAY(Inputs!$C$9),DAY(EOMONTH(DATE(YEAR(Inputs!$C$9),MONTH(Inputs!$C$9)+INT((($BE64+1)-1)/2),1),0))))+IF(MOD(($BE64+1)-1,2)=1,15,0),EDATE(Inputs!$C$9,($BE64+1)-1)))))&lt;&gt;2026,"",IF(Inputs!$C$7="Weekly",Inputs!$C$9+7*(($BE64+1)-1),IF(Inputs!$C$7="Biweekly",Inputs!$C$9+14*(($BE64+1)-1),IF(Inputs!$C$7="Semimonthly",DATE(YEAR(Inputs!$C$9),MONTH(Inputs!$C$9)+INT((($BE64+1)-1)/2),MIN(DAY(Inputs!$C$9),DAY(EOMONTH(DATE(YEAR(Inputs!$C$9),MONTH(Inputs!$C$9)+INT((($BE64+1)-1)/2),1),0))))+IF(MOD(($BE64+1)-1,2)=1,15,0),EDATE(Inputs!$C$9,($BE64+1)-1)))))),1,0))</f>
      </c>
      <c r="BG65" s="7">
        <f>IF($B65="","",$BG64+$H65)</f>
      </c>
      <c r="BH65" s="7">
        <f>IF($B65="","",$BH64+$I65)</f>
      </c>
      <c r="BI65" s="7">
        <f>IF($B65="","",$BI64+$G65)</f>
      </c>
      <c r="BJ65" s="7">
        <f>IF($B65="","",IFERROR(LOOKUP(2,1/((((Events!$C$6:$C$17="Deduction start"))*(Events!$D$6:$D$17="Health FSA"))*(Events!$B$6:$B$17&lt;=$B65)*(Events!$B$6:$B$17&lt;&gt;"")),Events!$E$6:$E$17),Inputs!$D$38))</f>
      </c>
      <c r="BK65" s="7">
        <f>IF($B65="","",IFERROR(LOOKUP(2,1/((((Events!$C$6:$C$17="Deduction start"))*(Events!$D$6:$D$17="Dependent-care FSA"))*(Events!$B$6:$B$17&lt;=$B65)*(Events!$B$6:$B$17&lt;&gt;"")),Events!$E$6:$E$17),Inputs!$D$39))</f>
      </c>
      <c r="BL65" s="7">
        <f>IF($B65="","",IFERROR(LOOKUP(2,1/((((Events!$C$6:$C$17="Deduction start")+(Events!$C$6:$C$17="Deduction stop"))*(Events!$D$6:$D$17="HSA"))*(Events!$B$6:$B$17&lt;=$B65)*(Events!$B$6:$B$17&lt;&gt;"")),Events!$I$6:$I$17),Inputs!$D$35))</f>
      </c>
      <c r="BM65" s="7">
        <f>IF($B65="","",IFERROR(LOOKUP(2,1/((((Events!$C$6:$C$17="Deduction start")+(Events!$C$6:$C$17="Deduction stop"))*(Events!$D$6:$D$17="Premiums"))*(Events!$B$6:$B$17&lt;=$B65)*(Events!$B$6:$B$17&lt;&gt;"")),Events!$I$6:$I$17),Inputs!$D$40+Inputs!$D$41+Inputs!$D$42))</f>
      </c>
      <c r="BN65" s="7">
        <f>IF($B65="","",IFERROR(LOOKUP(2,1/((((Events!$C$6:$C$17="Deduction start")+(Events!$C$6:$C$17="Deduction stop"))*(Events!$D$6:$D$17="Commuter"))*(Events!$B$6:$B$17&lt;=$B65)*(Events!$B$6:$B$17&lt;&gt;"")),Events!$I$6:$I$17),Inputs!$D$43))</f>
      </c>
      <c r="BO65" s="7">
        <f>IF($B65="","",IFERROR(LOOKUP(2,1/((((Events!$C$6:$C$17="Deduction start")+(Events!$C$6:$C$17="Deduction stop"))*(Events!$D$6:$D$17="Other pre-tax"))*(Events!$B$6:$B$17&lt;=$B65)*(Events!$B$6:$B$17&lt;&gt;"")),Events!$I$6:$I$17),Inputs!$D$44))</f>
      </c>
      <c r="BP65" s="7">
        <f>IF($B65="","",IFERROR(LOOKUP(2,1/((((Events!$C$6:$C$17="Deduction start")+(Events!$C$6:$C$17="Deduction stop"))*(Events!$D$6:$D$17="Other post-tax"))*(Events!$B$6:$B$17&lt;=$B65)*(Events!$B$6:$B$17&lt;&gt;"")),Events!$I$6:$I$17),Inputs!$D$45))</f>
      </c>
      <c r="BQ65" s="6">
        <f>IF($B65="","",IFERROR(LOOKUP(2,1/((((Events!$C$6:$C$17="Deduction start")+(Events!$C$6:$C$17="Deduction stop"))*(Events!$D$6:$D$17="Health FSA"))*(Events!$B$6:$B$17&lt;=$B65)*(Events!$B$6:$B$17&lt;&gt;"")),Events!$J$6:$J$17),0))</f>
      </c>
      <c r="BR65" s="6">
        <f>IF($B65="","",IFERROR(LOOKUP(2,1/((((Events!$C$6:$C$17="Deduction start")+(Events!$C$6:$C$17="Deduction stop"))*(Events!$D$6:$D$17="Dependent-care FSA"))*(Events!$B$6:$B$17&lt;=$B65)*(Events!$B$6:$B$17&lt;&gt;"")),Events!$J$6:$J$17),0))</f>
      </c>
      <c r="BS65" s="6">
        <f>IF($B65="","",IF(SUMPRODUCT((Events!$C$6:$C$17="Deduction start")*(Events!$B$6:$B$17&lt;=$B65)*(Events!$B$6:$B$17&lt;&gt;"")*(Events!$D$6:$D$17="Health FSA"))&gt;0,1,0))</f>
      </c>
      <c r="BT65" s="6">
        <f>IF($B65="","",IF(SUMPRODUCT((Events!$C$6:$C$17="Deduction start")*(Events!$B$6:$B$17&lt;=$B65)*(Events!$B$6:$B$17&lt;&gt;"")*(Events!$D$6:$D$17="Dependent-care FSA"))&gt;0,1,0))</f>
      </c>
      <c r="BU65" s="24">
        <f>IF($B65="","",IF(Inputs!$C$13,SUMPRODUCT(($AH65&gt;=INDEX('Methodology &amp; Sources'!$B$279:$J$286,0,IF(Inputs!$C$12="MFJ",1,IF(Inputs!$C$12="HoH",7,4))))*INDEX('Methodology &amp; Sources'!$B$279:$J$286,0,IF(Inputs!$C$12="MFJ",1,IF(Inputs!$C$12="HoH",7,4))+2)),SUMPRODUCT(($AH65&gt;=INDEX('Methodology &amp; Sources'!$B$269:$J$276,0,IF(Inputs!$C$12="MFJ",1,IF(Inputs!$C$12="HoH",7,4))))*INDEX('Methodology &amp; Sources'!$B$269:$J$276,0,IF(Inputs!$C$12="MFJ",1,IF(Inputs!$C$12="HoH",7,4))+2))))</f>
      </c>
      <c r="BV65" s="24">
        <f>IF($B65="","",IF($BZ65&lt;&gt;"",$BZ65,IF($CA65&lt;&gt;"",$CA65,IF($CB65&lt;&gt;"",$CB65,IF($CC65&lt;&gt;"",$CC65,0)))))</f>
      </c>
      <c r="BW65" s="7">
        <f>IF($B65="","",IF($AN65="MD",IF(OR($AU65="Married",$AU65="Head of household"),SUMPRODUCT(($AZ65&gt;INDEX('Methodology &amp; Sources'!$B$364:$J$370,0,1))*($AZ65-INDEX('Methodology &amp; Sources'!$B$364:$J$370,0,1))*INDEX('Methodology &amp; Sources'!$B$364:$J$370,0,1+2)),SUMPRODUCT(($AZ65&gt;INDEX('Methodology &amp; Sources'!$B$353:$J$359,0,7))*($AZ65-INDEX('Methodology &amp; Sources'!$B$353:$J$359,0,7))*INDEX('Methodology &amp; Sources'!$B$353:$J$359,0,7+2))),IF($AN65="MO",SUMPRODUCT(($AZ65&gt;INDEX('Methodology &amp; Sources'!$B$375:$J$382,0,1))*($AZ65-INDEX('Methodology &amp; Sources'!$B$375:$J$382,0,1))*INDEX('Methodology &amp; Sources'!$B$375:$J$382,0,1+2)),IF($AN65="MT",IF($AU65="Head of household",SUMPRODUCT(($AZ65&gt;INDEX('Methodology &amp; Sources'!$B$387:$J$389,0,1))*($AZ65-INDEX('Methodology &amp; Sources'!$B$387:$J$389,0,1))*INDEX('Methodology &amp; Sources'!$B$387:$J$389,0,1+2)),IF($AU65="Married",SUMPRODUCT(($AZ65&gt;INDEX('Methodology &amp; Sources'!$B$375:$J$382,0,7))*($AZ65-INDEX('Methodology &amp; Sources'!$B$375:$J$382,0,7))*INDEX('Methodology &amp; Sources'!$B$375:$J$382,0,7+2)),SUMPRODUCT(($AZ65&gt;INDEX('Methodology &amp; Sources'!$B$375:$J$382,0,4))*($AZ65-INDEX('Methodology &amp; Sources'!$B$375:$J$382,0,4))*INDEX('Methodology &amp; Sources'!$B$375:$J$382,0,4+2)))),IF($AN65="ND",IF($AU65="Head of household",SUMPRODUCT(($AZ65&gt;INDEX('Methodology &amp; Sources'!$B$394:$J$400,0,1))*($AZ65-INDEX('Methodology &amp; Sources'!$B$394:$J$400,0,1))*INDEX('Methodology &amp; Sources'!$B$394:$J$400,0,1+2)),IF($AU65="Married",SUMPRODUCT(($AZ65&gt;INDEX('Methodology &amp; Sources'!$B$387:$J$389,0,7))*($AZ65-INDEX('Methodology &amp; Sources'!$B$387:$J$389,0,7))*INDEX('Methodology &amp; Sources'!$B$387:$J$389,0,7+2)),SUMPRODUCT(($AZ65&gt;INDEX('Methodology &amp; Sources'!$B$387:$J$389,0,4))*($AZ65-INDEX('Methodology &amp; Sources'!$B$387:$J$389,0,4))*INDEX('Methodology &amp; Sources'!$B$387:$J$389,0,4+2)))),IF($AN65="NJ",IF(Inputs!$C$77="B",SUMPRODUCT(($AZ65&gt;INDEX('Methodology &amp; Sources'!$B$405:$J$412,0,4))*($AZ65-INDEX('Methodology &amp; Sources'!$B$405:$J$412,0,4))*INDEX('Methodology &amp; Sources'!$B$405:$J$412,0,4+2)),IF(Inputs!$C$77="C",SUMPRODUCT(($AZ65&gt;INDEX('Methodology &amp; Sources'!$B$405:$J$412,0,7))*($AZ65-INDEX('Methodology &amp; Sources'!$B$405:$J$412,0,7))*INDEX('Methodology &amp; Sources'!$B$405:$J$412,0,7+2)),IF(Inputs!$C$77="D",SUMPRODUCT(($AZ65&gt;INDEX('Methodology &amp; Sources'!$B$417:$J$429,0,1))*($AZ65-INDEX('Methodology &amp; Sources'!$B$417:$J$429,0,1))*INDEX('Methodology &amp; Sources'!$B$417:$J$429,0,1+2)),IF(Inputs!$C$77="E",SUMPRODUCT(($AZ65&gt;INDEX('Methodology &amp; Sources'!$B$417:$J$429,0,4))*($AZ65-INDEX('Methodology &amp; Sources'!$B$417:$J$429,0,4))*INDEX('Methodology &amp; Sources'!$B$417:$J$429,0,4+2)),SUMPRODUCT(($AZ65&gt;INDEX('Methodology &amp; Sources'!$B$405:$J$412,0,1))*($AZ65-INDEX('Methodology &amp; Sources'!$B$405:$J$412,0,1))*INDEX('Methodology &amp; Sources'!$B$405:$J$412,0,1+2)))))),IF($AN65="NY",IF($AU65="Married",IF($AZ65&gt;=2155350,$AZ65*IF($AZ65&gt;25000000,0.117,IF($AZ65&gt;5000000,0.111,0.1045)),SUMPRODUCT(($AZ65&gt;INDEX('Methodology &amp; Sources'!$B$434:$J$448,0,1))*($AZ65-INDEX('Methodology &amp; Sources'!$B$434:$J$448,0,1))*INDEX('Methodology &amp; Sources'!$B$434:$J$448,0,1+2))),IF($AZ65&gt;=1077550,$AZ65*IF($AZ65&gt;25000000,0.117,IF($AZ65&gt;5000000,0.111,0.1045)),SUMPRODUCT(($AZ65&gt;INDEX('Methodology &amp; Sources'!$B$417:$J$429,0,7))*($AZ65-INDEX('Methodology &amp; Sources'!$B$417:$J$429,0,7))*INDEX('Methodology &amp; Sources'!$B$417:$J$429,0,7+2)))),"")))))))</f>
      </c>
      <c r="BX65" s="7">
        <f>IF($B65="","",IF($AN65="AL",IF(OR($AU65="Married",$AU65="Head of household"),SUMPRODUCT(($AZ65&gt;INDEX('Methodology &amp; Sources'!$B$332:$J$336,0,4))*($AZ65-INDEX('Methodology &amp; Sources'!$B$332:$J$336,0,4))*INDEX('Methodology &amp; Sources'!$B$332:$J$336,0,4+2)),SUMPRODUCT(($AZ65&gt;INDEX('Methodology &amp; Sources'!$B$332:$J$336,0,1))*($AZ65-INDEX('Methodology &amp; Sources'!$B$332:$J$336,0,1))*INDEX('Methodology &amp; Sources'!$B$332:$J$336,0,1+2))),IF($AN65="KS",IF($AU65="Married",SUMPRODUCT(($AZ65&gt;INDEX('Methodology &amp; Sources'!$B$353:$J$359,0,4))*($AZ65-INDEX('Methodology &amp; Sources'!$B$353:$J$359,0,4))*INDEX('Methodology &amp; Sources'!$B$353:$J$359,0,4+2)),SUMPRODUCT(($AZ65&gt;INDEX('Methodology &amp; Sources'!$B$353:$J$359,0,1))*($AZ65-INDEX('Methodology &amp; Sources'!$B$353:$J$359,0,1))*INDEX('Methodology &amp; Sources'!$B$353:$J$359,0,1+2))),IF($AN65="MN",IF($AU65="Married",SUMPRODUCT(($AZ65&gt;INDEX('Methodology &amp; Sources'!$B$364:$J$370,0,7))*($AZ65-INDEX('Methodology &amp; Sources'!$B$364:$J$370,0,7))*INDEX('Methodology &amp; Sources'!$B$364:$J$370,0,7+2)),SUMPRODUCT(($AZ65&gt;INDEX('Methodology &amp; Sources'!$B$364:$J$370,0,4))*($AZ65-INDEX('Methodology &amp; Sources'!$B$364:$J$370,0,4))*INDEX('Methodology &amp; Sources'!$B$364:$J$370,0,4+2))),IF($AN65="NE",MAX(IF($AU65="Married",SUMPRODUCT(($AZ65&gt;INDEX('Methodology &amp; Sources'!$B$394:$J$400,0,7))*($AZ65-INDEX('Methodology &amp; Sources'!$B$394:$J$400,0,7))*INDEX('Methodology &amp; Sources'!$B$394:$J$400,0,7+2)),SUMPRODUCT(($AZ65&gt;INDEX('Methodology &amp; Sources'!$B$394:$J$400,0,4))*($AZ65-INDEX('Methodology &amp; Sources'!$B$394:$J$400,0,4))*INDEX('Methodology &amp; Sources'!$B$394:$J$400,0,4+2))),0.015*$AZ65),IF($AN65="OH",IF($B65&gt;=DATE(2026,8,1),SUMPRODUCT(($AZ65&gt;INDEX('Methodology &amp; Sources'!$B$453:$J$456,0,1))*($AZ65-INDEX('Methodology &amp; Sources'!$B$453:$J$456,0,1))*INDEX('Methodology &amp; Sources'!$B$453:$J$456,0,1+2)),SUMPRODUCT(($AZ65&gt;INDEX('Methodology &amp; Sources'!$B$434:$J$448,0,7))*($AZ65-INDEX('Methodology &amp; Sources'!$B$434:$J$448,0,7))*INDEX('Methodology &amp; Sources'!$B$434:$J$448,0,7+2))),IF($AN65="OK",IF($AU65="Married",SUMPRODUCT(($AZ65&gt;INDEX('Methodology &amp; Sources'!$B$453:$J$456,0,7))*($AZ65-INDEX('Methodology &amp; Sources'!$B$453:$J$456,0,7))*INDEX('Methodology &amp; Sources'!$B$453:$J$456,0,7+2)),SUMPRODUCT(($AZ65&gt;INDEX('Methodology &amp; Sources'!$B$453:$J$456,0,4))*($AZ65-INDEX('Methodology &amp; Sources'!$B$453:$J$456,0,4))*INDEX('Methodology &amp; Sources'!$B$453:$J$456,0,4+2))),IF($AN65="RI",SUMPRODUCT(($AZ65&gt;INDEX('Methodology &amp; Sources'!$B$461:$J$464,0,7))*($AZ65-INDEX('Methodology &amp; Sources'!$B$461:$J$464,0,7))*INDEX('Methodology &amp; Sources'!$B$461:$J$464,0,7+2)),IF($AN65="VT",IF($AU65="Married",SUMPRODUCT(($AZ65&gt;INDEX('Methodology &amp; Sources'!$B$478:$J$482,0,1))*($AZ65-INDEX('Methodology &amp; Sources'!$B$478:$J$482,0,1))*INDEX('Methodology &amp; Sources'!$B$478:$J$482,0,1+2)),SUMPRODUCT(($AZ65&gt;INDEX('Methodology &amp; Sources'!$B$469:$J$473,0,7))*($AZ65-INDEX('Methodology &amp; Sources'!$B$469:$J$473,0,7))*INDEX('Methodology &amp; Sources'!$B$469:$J$473,0,7+2))),IF($AN65="WV",IF($AU65="Married",SUMPRODUCT(($AZ65&gt;INDEX('Methodology &amp; Sources'!$B$487:$J$491,0,7))*($AZ65-INDEX('Methodology &amp; Sources'!$B$487:$J$491,0,7))*INDEX('Methodology &amp; Sources'!$B$487:$J$491,0,7+2)),SUMPRODUCT(($AZ65&gt;INDEX('Methodology &amp; Sources'!$B$478:$J$482,0,7))*($AZ65-INDEX('Methodology &amp; Sources'!$B$478:$J$482,0,7))*INDEX('Methodology &amp; Sources'!$B$478:$J$482,0,7+2))),""))))))))))</f>
      </c>
      <c r="BY65" s="7">
        <f>IF($B65="","",IF($AN65="AR",SUMPRODUCT(($AZ65&gt;INDEX('Methodology &amp; Sources'!$B$332:$J$336,0,7))*($AZ65-INDEX('Methodology &amp; Sources'!$B$332:$J$336,0,7))*INDEX('Methodology &amp; Sources'!$B$332:$J$336,0,7+2)),IF($AN65="DE",SUMPRODUCT(($AZ65&gt;INDEX('Methodology &amp; Sources'!$B$341:$J$348,0,1))*($AZ65-INDEX('Methodology &amp; Sources'!$B$341:$J$348,0,1))*INDEX('Methodology &amp; Sources'!$B$341:$J$348,0,1+2)),IF($AN65="HI",IF($AU65="Married",SUMPRODUCT(($AZ65&gt;INDEX('Methodology &amp; Sources'!$B$341:$J$348,0,7))*($AZ65-INDEX('Methodology &amp; Sources'!$B$341:$J$348,0,7))*INDEX('Methodology &amp; Sources'!$B$341:$J$348,0,7+2)),SUMPRODUCT(($AZ65&gt;INDEX('Methodology &amp; Sources'!$B$341:$J$348,0,4))*($AZ65-INDEX('Methodology &amp; Sources'!$B$341:$J$348,0,4))*INDEX('Methodology &amp; Sources'!$B$341:$J$348,0,4+2))),IF($AN65="SC",SUMPRODUCT(($AZ65&gt;INDEX('Methodology &amp; Sources'!$B$469:$J$473,0,1))*($AZ65-INDEX('Methodology &amp; Sources'!$B$469:$J$473,0,1))*INDEX('Methodology &amp; Sources'!$B$469:$J$473,0,1+2)),IF($AN65="VA",SUMPRODUCT(($AZ65&gt;INDEX('Methodology &amp; Sources'!$B$469:$J$473,0,4))*($AZ65-INDEX('Methodology &amp; Sources'!$B$469:$J$473,0,4))*INDEX('Methodology &amp; Sources'!$B$469:$J$473,0,4+2)),IF($AN65="WI",SUMPRODUCT(($AZ65&gt;INDEX('Methodology &amp; Sources'!$B$478:$J$482,0,4))*($AZ65-INDEX('Methodology &amp; Sources'!$B$478:$J$482,0,4))*INDEX('Methodology &amp; Sources'!$B$478:$J$482,0,4+2)),"")))))))</f>
      </c>
      <c r="BZ65" s="24">
        <f>IF($B65="","",IF($AN65="NJ",IF(Inputs!$C$77="B",SUMPRODUCT(($AZ65&gt;=INDEX('Methodology &amp; Sources'!$B$405:$J$412,0,4))*INDEX('Methodology &amp; Sources'!$B$405:$J$412,0,4+2)),IF(Inputs!$C$77="C",SUMPRODUCT(($AZ65&gt;=INDEX('Methodology &amp; Sources'!$B$405:$J$412,0,7))*INDEX('Methodology &amp; Sources'!$B$405:$J$412,0,7+2)),IF(Inputs!$C$77="D",SUMPRODUCT(($AZ65&gt;=INDEX('Methodology &amp; Sources'!$B$417:$J$429,0,1))*INDEX('Methodology &amp; Sources'!$B$417:$J$429,0,1+2)),IF(Inputs!$C$77="E",SUMPRODUCT(($AZ65&gt;=INDEX('Methodology &amp; Sources'!$B$417:$J$429,0,4))*INDEX('Methodology &amp; Sources'!$B$417:$J$429,0,4+2)),SUMPRODUCT(($AZ65&gt;=INDEX('Methodology &amp; Sources'!$B$405:$J$412,0,1))*INDEX('Methodology &amp; Sources'!$B$405:$J$412,0,1+2)))))),IF($AN65="OR",IF(OR($AU65="Married",AND($AU65="Single",$AS65&gt;=3)),SUMPRODUCT((MAX(0,$AY65-MIN(($P65-'Methodology &amp; Sources'!$C$260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Sources'!$B$461:$J$464,0,4))*INDEX('Methodology &amp; Sources'!$B$461:$J$464,0,4+2)),SUMPRODUCT((MAX(0,$AY65-MIN(($P65-'Methodology &amp; Sources'!$C$260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Sources'!$B$461:$J$464,0,1))*INDEX('Methodology &amp; Sources'!$B$461:$J$464,0,1+2)))*IF(($P65-'Methodology &amp; Sources'!$C$260*$D65)*Inputs!$C$8&gt;=IF(OR($AU65="Married",AND($AU65="Single",$AS65&gt;=3)),IF($AY65&lt;250000,8750,IF($AY65&lt;260000,7000,IF($AY65&lt;270000,5250,IF($AY65&lt;280000,3500,IF($AY65&lt;290000,1750,0))))),IF($AY65&lt;125000,8750,IF($AY65&lt;130000,7000,IF($AY65&lt;135000,5250,IF($AY65&lt;140000,3500,IF($AY65&lt;145000,1750,0)))))),1,1-IF(Inputs!$C$13,SUMPRODUCT(($AH65&gt;=INDEX('Methodology &amp; Sources'!$B$279:$J$286,0,IF(Inputs!$C$12="MFJ",1,IF(Inputs!$C$12="HoH",7,4))))*INDEX('Methodology &amp; Sources'!$B$279:$J$286,0,IF(Inputs!$C$12="MFJ",1,IF(Inputs!$C$12="HoH",7,4))+2)),SUMPRODUCT(($AH65&gt;=INDEX('Methodology &amp; Sources'!$B$269:$J$276,0,IF(Inputs!$C$12="MFJ",1,IF(Inputs!$C$12="HoH",7,4))))*INDEX('Methodology &amp; Sources'!$B$269:$J$276,0,IF(Inputs!$C$12="MFJ",1,IF(Inputs!$C$12="HoH",7,4))+2)))),IF($AN65="MI",IF($AY65&gt;5900*$AS65,0.0425,0),""))))</f>
      </c>
      <c r="CA65" s="24">
        <f>IF($B65="","",IF($AN65="AL",IF(OR($AU65="Married",$AU65="Head of household"),SUMPRODUCT(($AZ65&gt;=INDEX('Methodology &amp; Sources'!$B$332:$J$336,0,4))*INDEX('Methodology &amp; Sources'!$B$332:$J$336,0,4+2)),SUMPRODUCT(($AZ65&gt;=INDEX('Methodology &amp; Sources'!$B$332:$J$336,0,1))*INDEX('Methodology &amp; Sources'!$B$332:$J$336,0,1+2)))*(1-IF(Inputs!$C$13,SUMPRODUCT(($AH65&gt;=INDEX('Methodology &amp; Sources'!$B$279:$J$286,0,IF(Inputs!$C$12="MFJ",1,IF(Inputs!$C$12="HoH",7,4))))*INDEX('Methodology &amp; Sources'!$B$279:$J$286,0,IF(Inputs!$C$12="MFJ",1,IF(Inputs!$C$12="HoH",7,4))+2)),SUMPRODUCT(($AH65&gt;=INDEX('Methodology &amp; Sources'!$B$269:$J$276,0,IF(Inputs!$C$12="MFJ",1,IF(Inputs!$C$12="HoH",7,4))))*INDEX('Methodology &amp; Sources'!$B$269:$J$276,0,IF(Inputs!$C$12="MFJ",1,IF(Inputs!$C$12="HoH",7,4))+2)))),IF($AN65="KS",IF($AU65="Married",SUMPRODUCT(($AZ65&gt;=INDEX('Methodology &amp; Sources'!$B$353:$J$359,0,4))*INDEX('Methodology &amp; Sources'!$B$353:$J$359,0,4+2)),SUMPRODUCT(($AZ65&gt;=INDEX('Methodology &amp; Sources'!$B$353:$J$359,0,1))*INDEX('Methodology &amp; Sources'!$B$353:$J$359,0,1+2))),IF($AN65="MD",IF(OR($AU65="Married",$AU65="Head of household"),SUMPRODUCT(($AZ65&gt;=INDEX('Methodology &amp; Sources'!$B$364:$J$370,0,1))*INDEX('Methodology &amp; Sources'!$B$364:$J$370,0,1+2)),SUMPRODUCT(($AZ65&gt;=INDEX('Methodology &amp; Sources'!$B$353:$J$359,0,7))*INDEX('Methodology &amp; Sources'!$B$353:$J$359,0,7+2)))+Inputs!$C$74,IF($AN65="MT",IF($AU65="Head of household",SUMPRODUCT(($AZ65&gt;=INDEX('Methodology &amp; Sources'!$B$387:$J$389,0,1))*INDEX('Methodology &amp; Sources'!$B$387:$J$389,0,1+2)),IF($AU65="Married",SUMPRODUCT(($AZ65&gt;=INDEX('Methodology &amp; Sources'!$B$375:$J$382,0,7))*INDEX('Methodology &amp; Sources'!$B$375:$J$382,0,7+2)),SUMPRODUCT(($AZ65&gt;=INDEX('Methodology &amp; Sources'!$B$375:$J$382,0,4))*INDEX('Methodology &amp; Sources'!$B$375:$J$382,0,4+2)))),IF($AN65="ND",IF($AU65="Head of household",SUMPRODUCT(($AZ65&gt;=INDEX('Methodology &amp; Sources'!$B$394:$J$400,0,1))*INDEX('Methodology &amp; Sources'!$B$394:$J$400,0,1+2)),IF($AU65="Married",SUMPRODUCT(($AZ65&gt;=INDEX('Methodology &amp; Sources'!$B$387:$J$389,0,7))*INDEX('Methodology &amp; Sources'!$B$387:$J$389,0,7+2)),SUMPRODUCT(($AZ65&gt;=INDEX('Methodology &amp; Sources'!$B$387:$J$389,0,4))*INDEX('Methodology &amp; Sources'!$B$387:$J$389,0,4+2)))),IF($AN65="NY",IF($AU65="Married",IF($AZ65&gt;=2155350,IF($AZ65&gt;25000000,0.117,IF($AZ65&gt;5000000,0.111,0.1045)),SUMPRODUCT(($AZ65&gt;=INDEX('Methodology &amp; Sources'!$B$434:$J$448,0,1))*INDEX('Methodology &amp; Sources'!$B$434:$J$448,0,1+2))),IF($AZ65&gt;=1077550,IF($AZ65&gt;25000000,0.117,IF($AZ65&gt;5000000,0.111,0.1045)),SUMPRODUCT(($AZ65&gt;=INDEX('Methodology &amp; Sources'!$B$417:$J$429,0,7))*INDEX('Methodology &amp; Sources'!$B$417:$J$429,0,7+2)))),"")))))))</f>
      </c>
      <c r="CB65" s="24">
        <f>IF($B65="","",IF($AN65="CA",SUMPRODUCT(($AJ65&gt;=INDEX('Methodology &amp; Sources'!$B$289:$J$298,0,IF($AU65="Married",4,IF($AU65="Head of household",7,1))))*INDEX('Methodology &amp; Sources'!$B$289:$J$298,0,IF($AU65="Married",4,IF($AU65="Head of household",7,1))+2)),IF($AN65="HI",IF($AU65="Married",SUMPRODUCT(($AZ65&gt;=INDEX('Methodology &amp; Sources'!$B$341:$J$348,0,7))*INDEX('Methodology &amp; Sources'!$B$341:$J$348,0,7+2)),SUMPRODUCT(($AZ65&gt;=INDEX('Methodology &amp; Sources'!$B$341:$J$348,0,4))*INDEX('Methodology &amp; Sources'!$B$341:$J$348,0,4+2))),IF($AN65="MN",IF($AU65="Married",SUMPRODUCT(($AZ65&gt;=INDEX('Methodology &amp; Sources'!$B$364:$J$370,0,7))*INDEX('Methodology &amp; Sources'!$B$364:$J$370,0,7+2)),SUMPRODUCT(($AZ65&gt;=INDEX('Methodology &amp; Sources'!$B$364:$J$370,0,4))*INDEX('Methodology &amp; Sources'!$B$364:$J$370,0,4+2))),IF($AN65="MO",SUMPRODUCT(($AZ65&gt;=INDEX('Methodology &amp; Sources'!$B$375:$J$382,0,1))*INDEX('Methodology &amp; Sources'!$B$375:$J$382,0,1+2)),IF($AN65="NE",MAX(IF($AU65="Married",SUMPRODUCT(($AZ65&gt;=INDEX('Methodology &amp; Sources'!$B$394:$J$400,0,7))*INDEX('Methodology &amp; Sources'!$B$394:$J$400,0,7+2)),SUMPRODUCT(($AZ65&gt;=INDEX('Methodology &amp; Sources'!$B$394:$J$400,0,4))*INDEX('Methodology &amp; Sources'!$B$394:$J$400,0,4+2))),0.015),IF($AN65="OH",IF($B65&gt;=DATE(2026,8,1),SUMPRODUCT(($AZ65&gt;=INDEX('Methodology &amp; Sources'!$B$453:$J$456,0,1))*INDEX('Methodology &amp; Sources'!$B$453:$J$456,0,1+2)),SUMPRODUCT(($AZ65&gt;=INDEX('Methodology &amp; Sources'!$B$434:$J$448,0,7))*INDEX('Methodology &amp; Sources'!$B$434:$J$448,0,7+2))),IF($AN65="OK",IF($AU65="Married",SUMPRODUCT(($AZ65&gt;=INDEX('Methodology &amp; Sources'!$B$453:$J$456,0,7))*INDEX('Methodology &amp; Sources'!$B$453:$J$456,0,7+2)),SUMPRODUCT(($AZ65&gt;=INDEX('Methodology &amp; Sources'!$B$453:$J$456,0,4))*INDEX('Methodology &amp; Sources'!$B$453:$J$456,0,4+2))),IF($AN65="RI",SUMPRODUCT(($AZ65&gt;=INDEX('Methodology &amp; Sources'!$B$461:$J$464,0,7))*INDEX('Methodology &amp; Sources'!$B$461:$J$464,0,7+2)),IF($AN65="SC",SUMPRODUCT(($AZ65&gt;=INDEX('Methodology &amp; Sources'!$B$469:$J$473,0,1))*INDEX('Methodology &amp; Sources'!$B$469:$J$473,0,1+2)),IF($AN65="VT",IF($AU65="Married",SUMPRODUCT(($AZ65&gt;=INDEX('Methodology &amp; Sources'!$B$478:$J$482,0,1))*INDEX('Methodology &amp; Sources'!$B$478:$J$482,0,1+2)),SUMPRODUCT(($AZ65&gt;=INDEX('Methodology &amp; Sources'!$B$469:$J$473,0,7))*INDEX('Methodology &amp; Sources'!$B$469:$J$473,0,7+2))),IF($AN65="WV",IF($AU65="Married",SUMPRODUCT(($AZ65&gt;=INDEX('Methodology &amp; Sources'!$B$487:$J$491,0,7))*INDEX('Methodology &amp; Sources'!$B$487:$J$491,0,7+2)),SUMPRODUCT(($AZ65&gt;=INDEX('Methodology &amp; Sources'!$B$478:$J$482,0,7))*INDEX('Methodology &amp; Sources'!$B$478:$J$482,0,7+2))),IF($AN65="IN",(0.0295+Inputs!$C$76),"")))))))))))))</f>
      </c>
      <c r="CC65" s="24">
        <f>IF($B65="","",IF($AN65="AR",SUMPRODUCT(($AZ65&gt;=INDEX('Methodology &amp; Sources'!$B$332:$J$336,0,7))*INDEX('Methodology &amp; Sources'!$B$332:$J$336,0,7+2)),IF($AN65="DE",SUMPRODUCT(($AZ65&gt;=INDEX('Methodology &amp; Sources'!$B$341:$J$348,0,1))*INDEX('Methodology &amp; Sources'!$B$341:$J$348,0,1+2)),IF($AN65="VA",SUMPRODUCT(($AZ65&gt;=INDEX('Methodology &amp; Sources'!$B$469:$J$473,0,4))*INDEX('Methodology &amp; Sources'!$B$469:$J$473,0,4+2)),IF($AN65="WI",SUMPRODUCT(($AZ65&gt;=INDEX('Methodology &amp; Sources'!$B$478:$J$482,0,4))*INDEX('Methodology &amp; Sources'!$B$478:$J$482,0,4+2)),IF($AN65="AZ",Inputs!$C$82,IF($AN65="CO",IF($AY65&gt;IF($AU65="Married",10000,5000),0.044,0),IF($AN65="IA",IF($AY65&gt;IF($AU65="Head of household",19500,IF($AU65="Married",26000,13000)),0.038,0),IF($AN65="ID",IF($AY65&gt;IF($AU65="Married",32000,16094),0.053,0),IF($AN65="IL",IF($AY65&gt;(2925*$AS65+1000*$AT65),0.0495,0),IF($AN65="KY",IF($AI65&gt;3360,0.035,0),IF($AN65="LA",0.0309,IF($AN65="MA",IF(MAX(0,$AY65-MIN(($BD64+$Q65+$R65+$S65),2000)-IF($AS65=0,0,IF($AS65=1,4400,1000*$AS65+3400)))&gt;=1107750,0.09,0.05),IF($AN65="MS",IF($AI65-IF($AU65="Head of household",3400,IF($AU65="Married",4600,2300))-Inputs!$C$85&gt;10000,0.04,0),IF($AN65="PA",0.0307,"")))))))))))))))</f>
      </c>
      <c r="CD65" s="21">
        <f>IF(YEAR(IF(Inputs!$C$7="Weekly",Inputs!$C$9+7*(($BE64+1)-1),IF(Inputs!$C$7="Biweekly",Inputs!$C$9+14*(($BE64+1)-1),IF(Inputs!$C$7="Semimonthly",DATE(YEAR(Inputs!$C$9),MONTH(Inputs!$C$9)+INT((($BE64+1)-1)/2),MIN(DAY(Inputs!$C$9),DAY(EOMONTH(DATE(YEAR(Inputs!$C$9),MONTH(Inputs!$C$9)+INT((($BE64+1)-1)/2),1),0))))+IF(MOD(($BE64+1)-1,2)=1,15,0),EDATE(Inputs!$C$9,($BE64+1)-1)))))&lt;&gt;2026,"",IF(Inputs!$C$7="Weekly",Inputs!$C$9+7*(($BE64+1)-1),IF(Inputs!$C$7="Biweekly",Inputs!$C$9+14*(($BE64+1)-1),IF(Inputs!$C$7="Semimonthly",DATE(YEAR(Inputs!$C$9),MONTH(Inputs!$C$9)+INT((($BE64+1)-1)/2),MIN(DAY(Inputs!$C$9),DAY(EOMONTH(DATE(YEAR(Inputs!$C$9),MONTH(Inputs!$C$9)+INT((($BE64+1)-1)/2),1),0))))+IF(MOD(($BE64+1)-1,2)=1,15,0),EDATE(Inputs!$C$9,($BE64+1)-1)))))</f>
      </c>
      <c r="CE65" s="21">
        <f>IF(SUMPRODUCT(MIN(IF((Inputs!$C$58:$C$67&gt;MAX($B$6:$B64))*(Inputs!$C$58:$C$67&gt;=DATE(2026,1,1))*(Inputs!$C$58:$C$67&lt;=DATE(2026,12,31)),Inputs!$C$58:$C$67,999999)))=999999,"",SUMPRODUCT(MIN(IF((Inputs!$C$58:$C$67&gt;MAX($B$6:$B64))*(Inputs!$C$58:$C$67&gt;=DATE(2026,1,1))*(Inputs!$C$58:$C$67&lt;=DATE(2026,12,31)),Inputs!$C$58:$C$67,999999))))</f>
      </c>
    </row>
    <row r="66">
      <c r="A66" t="n">
        <v>61</v>
      </c>
      <c r="B66" s="21">
        <f>IF(AND($CD66="",$CE66=""),"",IF($CE66="",$CD66,IF($CD66="",$CE66,MIN($CD66,$CE66))))</f>
      </c>
      <c r="C66" s="7">
        <f>IF($B66="","",IF($BF66=0,0,IF(Inputs!$C$4="Annual salary",ROUND($AK66/IF(AND(Inputs!$C$88="Actual paydays",MONTH(Inputs!$C$9)=1),MAX(1,MAX($BE$6:$BE$68)),Inputs!$C$8),2),$AK66)))</f>
      </c>
      <c r="D66" s="7">
        <f>IF($B66="","",SUMIF(Inputs!$C$58:$C$67,$B66,Inputs!$D$58:$D$67))</f>
      </c>
      <c r="E66" s="7">
        <f>IF($B66="","",ROUND(MAX(0,MIN(IF($AL66="Percent",$AM66*($C66+$D66),$AM66),MAX(0,Inputs!$C$91-$AC65))),2))</f>
      </c>
      <c r="F66" s="7">
        <f>IF($B66="","",ROUND(MAX(0,MIN(IF(Inputs!$C$32="Percent",Inputs!$D$32*($C66+$D66),Inputs!$D$32),MAX(0,Inputs!$C$91-$AC65-$E66))),2))</f>
      </c>
      <c r="G66" s="7">
        <f>IF($B66="","",IF($BF66=0,0,ROUND(MAX(0,MIN($BL66,Inputs!$C$92-Inputs!$C$54-$BI65)),2)))</f>
      </c>
      <c r="H66" s="7">
        <f>IF($B66="","",IF(OR($BF66=0,$BQ66=1),0,ROUND(MAX(0,MIN(IF($BS66=1,ROUND(MAX(0,MIN($BJ66,'Methodology &amp; Sources'!$C$263)-$BG65)/MAX(1,MAX($BE$6:$BE$68)-($BE65)),2),ROUND(MIN($BJ66,'Methodology &amp; Sources'!$C$263)/Inputs!$C$8,2)),MIN($BJ66,'Methodology &amp; Sources'!$C$263)-$BG65)),2)))</f>
      </c>
      <c r="I66" s="7">
        <f>IF($B66="","",IF(OR($BF66=0,$BR66=1),0,ROUND(MAX(0,MIN(IF($BT66=1,ROUND(MAX(0,MIN($BK66,IF(Inputs!$C$12="MFJ",'Methodology &amp; Sources'!$C$264,'Methodology &amp; Sources'!$C$265))-$BH65)/MAX(1,MAX($BE$6:$BE$68)-($BE65)),2),ROUND(MIN($BK66,IF(Inputs!$C$12="MFJ",'Methodology &amp; Sources'!$C$264,'Methodology &amp; Sources'!$C$265))/Inputs!$C$8,2)),MIN($BK66,IF(Inputs!$C$12="MFJ",'Methodology &amp; Sources'!$C$264,'Methodology &amp; Sources'!$C$265))-$BH65)),2)))</f>
      </c>
      <c r="J66" s="7">
        <f>IF($B66="","",IF($BF66=0,0,$BM66))</f>
      </c>
      <c r="K66" s="7">
        <f>IF($B66="","",IF($BF66=0,0,$BN66+$BO66))</f>
      </c>
      <c r="L66" s="7">
        <f>IF($B66="","",IF($BF66=0,0,Inputs!$D$46))</f>
      </c>
      <c r="M66" s="7">
        <f>IF($B66="","",$C66+$D66+$L66-$E66-$G66-$H66-$I66-$J66-$K66)</f>
      </c>
      <c r="N66" s="7">
        <f>IF($B66="","",$C66+$D66+$L66-$G66-$H66-$I66-$J66-$K66)</f>
      </c>
      <c r="O66" s="7">
        <f>IF($B66="","",$C66+$D66+$L66-$E66-$H66-$I66-$J66-$K66-IF(OR($AN66="CA",$AN66="NJ"),0,$G66))</f>
      </c>
      <c r="P66" s="7">
        <f>IF($B66="","",IF(Inputs!$C$18,0,ROUND(MAX(0,IF(Inputs!$C$13,SUMPRODUCT(($AH66&gt;INDEX('Methodology &amp; Sources'!$B$279:$J$286,0,IF(Inputs!$C$12="MFJ",1,IF(Inputs!$C$12="HoH",7,4))))*($AH66-INDEX('Methodology &amp; Sources'!$B$279:$J$286,0,IF(Inputs!$C$12="MFJ",1,IF(Inputs!$C$12="HoH",7,4))))*INDEX('Methodology &amp; Sources'!$B$279:$J$286,0,IF(Inputs!$C$12="MFJ",1,IF(Inputs!$C$12="HoH",7,4))+2)),SUMPRODUCT(($AH66&gt;INDEX('Methodology &amp; Sources'!$B$269:$J$276,0,IF(Inputs!$C$12="MFJ",1,IF(Inputs!$C$12="HoH",7,4))))*($AH66-INDEX('Methodology &amp; Sources'!$B$269:$J$276,0,IF(Inputs!$C$12="MFJ",1,IF(Inputs!$C$12="HoH",7,4))))*INDEX('Methodology &amp; Sources'!$B$269:$J$276,0,IF(Inputs!$C$12="MFJ",1,IF(Inputs!$C$12="HoH",7,4))+2)))/Inputs!$C$8-$AO66/Inputs!$C$8)+$AR66+IF(Inputs!$C$89="Aggregate",MAX(0,IF(Inputs!$C$13,SUMPRODUCT((($AH66+$D66)&gt;INDEX('Methodology &amp; Sources'!$B$279:$J$286,0,IF(Inputs!$C$12="MFJ",1,IF(Inputs!$C$12="HoH",7,4))))*(($AH66+$D66)-INDEX('Methodology &amp; Sources'!$B$279:$J$286,0,IF(Inputs!$C$12="MFJ",1,IF(Inputs!$C$12="HoH",7,4))))*INDEX('Methodology &amp; Sources'!$B$279:$J$286,0,IF(Inputs!$C$12="MFJ",1,IF(Inputs!$C$12="HoH",7,4))+2)),SUMPRODUCT((($AH66+$D66)&gt;INDEX('Methodology &amp; Sources'!$B$269:$J$276,0,IF(Inputs!$C$12="MFJ",1,IF(Inputs!$C$12="HoH",7,4))))*(($AH66+$D66)-INDEX('Methodology &amp; Sources'!$B$269:$J$276,0,IF(Inputs!$C$12="MFJ",1,IF(Inputs!$C$12="HoH",7,4))))*INDEX('Methodology &amp; Sources'!$B$269:$J$276,0,IF(Inputs!$C$12="MFJ",1,IF(Inputs!$C$12="HoH",7,4))+2)))-IF(Inputs!$C$13,SUMPRODUCT(($AH66&gt;INDEX('Methodology &amp; Sources'!$B$279:$J$286,0,IF(Inputs!$C$12="MFJ",1,IF(Inputs!$C$12="HoH",7,4))))*($AH66-INDEX('Methodology &amp; Sources'!$B$279:$J$286,0,IF(Inputs!$C$12="MFJ",1,IF(Inputs!$C$12="HoH",7,4))))*INDEX('Methodology &amp; Sources'!$B$279:$J$286,0,IF(Inputs!$C$12="MFJ",1,IF(Inputs!$C$12="HoH",7,4))+2)),SUMPRODUCT(($AH66&gt;INDEX('Methodology &amp; Sources'!$B$269:$J$276,0,IF(Inputs!$C$12="MFJ",1,IF(Inputs!$C$12="HoH",7,4))))*($AH66-INDEX('Methodology &amp; Sources'!$B$269:$J$276,0,IF(Inputs!$C$12="MFJ",1,IF(Inputs!$C$12="HoH",7,4))))*INDEX('Methodology &amp; Sources'!$B$269:$J$276,0,IF(Inputs!$C$12="MFJ",1,IF(Inputs!$C$12="HoH",7,4))+2)))),'Methodology &amp; Sources'!$C$260*$D66),2)))</f>
      </c>
      <c r="Q66" s="7">
        <f>IF($B66="","",ROUND('Methodology &amp; Sources'!$C$254*MIN($N66,MAX(0,'Methodology &amp; Sources'!$C$253-($AX66+$AB65-$AW66))),2))</f>
      </c>
      <c r="R66" s="7">
        <f>IF($B66="","",ROUND('Methodology &amp; Sources'!$C$255*$N66,2))</f>
      </c>
      <c r="S66" s="7">
        <f>IF($B66="","",ROUND('Methodology &amp; Sources'!$C$256*MAX(0,MIN($N66,$AG65+$N66-'Methodology &amp; Sources'!$C$257)),2))</f>
      </c>
      <c r="T66" s="7">
        <f>IF($B66="","",IF(Inputs!$C$26,0,IF($AN66="CA",ROUND(IF($AI66&lt;=IF(($AS66+$AT66)&gt;=2,VLOOKUP($AN66,'StateTables 2026'!$A$6:$AB$56,10,FALSE),VLOOKUP($AN66,'StateTables 2026'!$A$6:$AB$56,9,FALSE)),0,MAX(0,SUMPRODUCT(($AJ66&gt;INDEX('Methodology &amp; Sources'!$B$289:$J$298,0,IF($AU66="Married",4,IF($AU66="Head of household",7,1))))*($AJ66-INDEX('Methodology &amp; Sources'!$B$289:$J$298,0,IF($AU66="Married",4,IF($AU66="Head of household",7,1))))*INDEX('Methodology &amp; Sources'!$B$289:$J$298,0,IF($AU66="Married",4,IF($AU66="Head of household",7,1))+2))-VLOOKUP($AN66,'StateTables 2026'!$A$6:$AB$56,11,FALSE)*$AS66)/Inputs!$C$8)+Inputs!$C$25+VLOOKUP($AN66,'StateTables 2026'!$A$6:$AB$56,13,FALSE)*$D66,2),IF(VLOOKUP($AN66,'StateTables 2026'!$A$6:$AB$56,4,FALSE)="None",0,IF(ISNUMBER(SEARCH("MANUAL",VLOOKUP($AN66,'StateTables 2026'!$A$6:$AB$56,5,FALSE))),Inputs!$C$28,ROUND(MAX(0,$BA66+$BB66)/Inputs!$C$8+Inputs!$C$25+$BC66,2))))))</f>
      </c>
      <c r="U66" s="7">
        <f>IF($B66="","",IF(VLOOKUP($AN66,'StateTables 2026'!$A$6:$AB$56,24,FALSE)="flatq",IF(OR(MONTH($B66)=1,MONTH($B66)=4,MONTH($B66)=7,MONTH($B66)=10),VLOOKUP($AN66,'StateTables 2026'!$A$6:$AB$56,25,FALSE),0),IF(VLOOKUP($AN66,'StateTables 2026'!$A$6:$AB$56,24,FALSE)="dbl",MIN(ROUND(0.005*$N66,2),ROUND(0.6*52/Inputs!$C$8,2)),IF(OR(VLOOKUP($AN66,'StateTables 2026'!$A$6:$AB$56,15,FALSE)="",VLOOKUP($AN66,'StateTables 2026'!$A$6:$AB$56,15,FALSE)=0),0,ROUND(VLOOKUP($AN66,'StateTables 2026'!$A$6:$AB$56,15,FALSE)*IF(OR(VLOOKUP($AN66,'StateTables 2026'!$A$6:$AB$56,16,FALSE)="",VLOOKUP($AN66,'StateTables 2026'!$A$6:$AB$56,16,FALSE)=0),$N66,MIN($N66,MAX(0,VLOOKUP($AN66,'StateTables 2026'!$A$6:$AB$56,16,FALSE)-($AX66+$AB65-$AW66)))),2))))+IF(VLOOKUP($AN66,'StateTables 2026'!$A$6:$AB$56,27,FALSE)="flatq",IF(OR(MONTH($B66)=1,MONTH($B66)=4,MONTH($B66)=7,MONTH($B66)=10),VLOOKUP($AN66,'StateTables 2026'!$A$6:$AB$56,28,FALSE),0),IF(VLOOKUP($AN66,'StateTables 2026'!$A$6:$AB$56,27,FALSE)="dbl",MIN(ROUND(0.005*$N66,2),ROUND(0.6*52/Inputs!$C$8,2)),IF(OR(VLOOKUP($AN66,'StateTables 2026'!$A$6:$AB$56,18,FALSE)="",VLOOKUP($AN66,'StateTables 2026'!$A$6:$AB$56,18,FALSE)=0),0,ROUND(VLOOKUP($AN66,'StateTables 2026'!$A$6:$AB$56,18,FALSE)*IF(OR(VLOOKUP($AN66,'StateTables 2026'!$A$6:$AB$56,19,FALSE)="",VLOOKUP($AN66,'StateTables 2026'!$A$6:$AB$56,19,FALSE)=0),$N66,MIN($N66,MAX(0,VLOOKUP($AN66,'StateTables 2026'!$A$6:$AB$56,19,FALSE)-($AX66+$AB65-$AW66)))),2)))))</f>
      </c>
      <c r="V66" s="7">
        <f>IF($B66="","",IF($AN66="NY",IF(Inputs!$C$78,ROUND(SUMPRODUCT((MAX(0,($O66-$D66)*Inputs!$C$8-(IF($AU66="Married",5500,5000)+1000*$AS66))&gt;INDEX('Methodology &amp; Sources'!$B$434:$J$448,0,4))*(MAX(0,($O66-$D66)*Inputs!$C$8-(IF($AU66="Married",5500,5000)+1000*$AS66))-INDEX('Methodology &amp; Sources'!$B$434:$J$448,0,4))*INDEX('Methodology &amp; Sources'!$B$434:$J$448,0,4+2))/Inputs!$C$8+0.0425*$D66,2),0)+IF(Inputs!$C$79="Resident",ROUND(0.1675*$T66,2),IF(Inputs!$C$79="Nonresident",ROUND(0.005*MAX(0,($O66-$D66)-(IF($AU66="Married",7950,7400)+1000*$AS66)/Inputs!$C$8),2),0)),IF($AN66="PA",IF(Inputs!$C$80="None",Inputs!$C$27+ROUND(Inputs!$C$81*($C66+$D66),2),ROUND(IF(Inputs!$C$80="Resident",IF($B66&lt;DATE(2026,7,1),0.0374,0.03735),IF($B66&lt;DATE(2026,7,1),0.0343,0.03425))*($C66+$D66),2)),IF($BF66=0,ROUND(Inputs!$C$81*($C66+$D66),2),Inputs!$C$27+ROUND(Inputs!$C$81*($C66+$D66),2)))))</f>
      </c>
      <c r="W66" s="7">
        <f>IF($B66="","",IF($BF66=0,0,$BP66))</f>
      </c>
      <c r="X66" s="7">
        <f>IF($B66="","",SUM($E66:$K66)+$P66+$Q66+$R66+$S66+$T66+$U66+$V66+$W66)</f>
      </c>
      <c r="Y66" s="22">
        <f>IF($B66="","",$C66+$D66-$X66)</f>
      </c>
      <c r="Z66" s="7">
        <f>IF($B66="","",$Z65+$C66+$D66)</f>
      </c>
      <c r="AA66" s="7">
        <f>IF($B66="","",$AA65+$Y66)</f>
      </c>
      <c r="AB66" s="7">
        <f>IF($B66="","",$AB65+MIN($N66,MAX(0,'Methodology &amp; Sources'!$C$253-($AX66+$AB65-$AW66))))</f>
      </c>
      <c r="AC66" s="7">
        <f>IF($B66="","",$AC65+$E66+$F66)</f>
      </c>
      <c r="AD66" s="3">
        <f>IF($B66="","",IF(AND($AB65&lt;'Methodology &amp; Sources'!$C$253,$AB66&gt;='Methodology &amp; Sources'!$C$253),"★ Social Security maxed on this check — from the next check your net rises by about $"&amp;TEXT(ROUND('Methodology &amp; Sources'!$C$254*$N66,2),"#,##0.00")&amp;". ","")&amp;IF(AND($AC65&lt;Inputs!$C$91,$AC66&gt;=Inputs!$C$91),"★ 401(k) reaches the $"&amp;TEXT(Inputs!$C$91,"#,##0")&amp;" cap on this check — deferrals stop and net pay rises. ","")&amp;IF(AND($AG65&lt;'Methodology &amp; Sources'!$C$257,$AG66&gt;='Methodology &amp; Sources'!$C$257),"★ Wages pass $200,000 — the 0.9% Additional Medicare Tax starts here. ","")&amp;IF(AND($BJ66&gt;0,$H66&gt;0,$BG65&lt;MIN($BJ66,'Methodology &amp; Sources'!$C$263),$BG65+$H66&gt;=MIN($BJ66,'Methodology &amp; Sources'!$C$263)),"★ Health FSA election is now fully deferred for the year. ",""))</f>
      </c>
      <c r="AE66" s="41" t="n"/>
      <c r="AF66" s="7">
        <f>IF(OR($B66="",$AE66=""),"",$AE66-$Y66)</f>
      </c>
      <c r="AG66" s="7">
        <f>IF($B66="","",$AG65+$N66)</f>
      </c>
      <c r="AH66" s="7">
        <f>IF($B66="","",MAX(0,($M66-$D66)*Inputs!$C$8+$AP66-$AQ66-IF(Inputs!$C$13,0,IF(Inputs!$C$12="MFJ",'Methodology &amp; Sources'!$C$258,'Methodology &amp; Sources'!$C$259))))</f>
      </c>
      <c r="AI66" s="7">
        <f>IF($B66="","",$O66*Inputs!$C$8)</f>
      </c>
      <c r="AJ66" s="7">
        <f>IF($B66="","",MAX(0,$AI66-VLOOKUP($AN66,'StateTables 2026'!$A$6:$AB$56,12,FALSE)*$AT66-IF(($AS66+$AT66)&gt;=2,VLOOKUP($AN66,'StateTables 2026'!$A$6:$AB$56,8,FALSE),VLOOKUP($AN66,'StateTables 2026'!$A$6:$AB$56,7,FALSE))))</f>
      </c>
      <c r="AK66" s="7">
        <f>IF($B66="","",IFERROR(LOOKUP(2,1/((Events!$C$6:$C$17="Salary change")*(Events!$B$6:$B$17&lt;=$B66)*(Events!$B$6:$B$17&lt;&gt;"")),Events!$D$6:$D$17),IF(Inputs!$C$4="Annual salary",Inputs!$C$5,Inputs!$C$6)))</f>
      </c>
      <c r="AL66">
        <f>IF($B66="","",IFERROR(LOOKUP(2,1/((Events!$C$6:$C$17="401(k) change")*(Events!$B$6:$B$17&lt;=$B66)*(Events!$B$6:$B$17&lt;&gt;"")),Events!$D$6:$D$17),Inputs!$C$30))</f>
      </c>
      <c r="AM66" s="7">
        <f>IF($B66="","",IFERROR(LOOKUP(2,1/((Events!$C$6:$C$17="401(k) change")*(Events!$B$6:$B$17&lt;=$B66)*(Events!$B$6:$B$17&lt;&gt;"")),Events!$E$6:$E$17),Inputs!$D$30))</f>
      </c>
      <c r="AN66">
        <f>IF($B66="","",IFERROR(LOOKUP(2,1/((Events!$C$6:$C$17="State move")*(Events!$B$6:$B$17&lt;=$B66)*(Events!$B$6:$B$17&lt;&gt;"")),Events!$D$6:$D$17),Inputs!$C$21))</f>
      </c>
      <c r="AO66" s="7">
        <f>IF($B66="","",IFERROR(LOOKUP(2,1/((Events!$C$6:$C$17="W-4 change")*(Events!$B$6:$B$17&lt;=$B66)*(Events!$B$6:$B$17&lt;&gt;"")),Events!$D$6:$D$17),Inputs!$C$14))</f>
      </c>
      <c r="AP66" s="7">
        <f>IF($B66="","",IFERROR(LOOKUP(2,1/((Events!$C$6:$C$17="W-4 change")*(Events!$B$6:$B$17&lt;=$B66)*(Events!$B$6:$B$17&lt;&gt;"")),Events!$E$6:$E$17),Inputs!$C$15))</f>
      </c>
      <c r="AQ66" s="7">
        <f>IF($B66="","",IFERROR(LOOKUP(2,1/((Events!$C$6:$C$17="W-4 change")*(Events!$B$6:$B$17&lt;=$B66)*(Events!$B$6:$B$17&lt;&gt;"")),Events!$F$6:$F$17),Inputs!$C$16))</f>
      </c>
      <c r="AR66" s="7">
        <f>IF($B66="","",IFERROR(LOOKUP(2,1/((Events!$C$6:$C$17="W-4 change")*(Events!$B$6:$B$17&lt;=$B66)*(Events!$B$6:$B$17&lt;&gt;"")),Events!$G$6:$G$17),Inputs!$C$17))</f>
      </c>
      <c r="AS66" s="6">
        <f>IF($B66="","",IFERROR(LOOKUP(2,1/(((Events!$C$6:$C$17="State move")+(Events!$C$6:$C$17="State cert change"))*(Events!$B$6:$B$17&lt;=$B66)*(Events!$B$6:$B$17&lt;&gt;"")),Events!$F$6:$F$17),Inputs!$C$23))</f>
      </c>
      <c r="AT66" s="6">
        <f>IF($B66="","",IFERROR(LOOKUP(2,1/(((Events!$C$6:$C$17="State move")+(Events!$C$6:$C$17="State cert change"))*(Events!$B$6:$B$17&lt;=$B66)*(Events!$B$6:$B$17&lt;&gt;"")),Events!$G$6:$G$17),Inputs!$C$24))</f>
      </c>
      <c r="AU66">
        <f>IF($B66="","",IFERROR(LOOKUP(2,1/((Events!$C$6:$C$17="State move")*(Events!$B$6:$B$17&lt;=$B66)*(Events!$B$6:$B$17&lt;&gt;"")),Events!$E$6:$E$17),Inputs!$C$22))</f>
      </c>
      <c r="AV66" s="6">
        <f>IF($B66="","",1+COUNTIFS(Events!$C$6:$C$17,"Employer change",Events!$B$6:$B$17,"&lt;="&amp;$B66,Events!$B$6:$B$17,"&lt;&gt;"))</f>
      </c>
      <c r="AW66" s="7">
        <f>IF($B66="","",IF($AV66=1,Inputs!$C$49,IF(IFERROR(MATCH(IFERROR(LOOKUP(2,1/((Events!$C$6:$C$17="Employer change")*(Events!$B$6:$B$17&lt;=$B66)*(Events!$B$6:$B$17&lt;&gt;"")),Events!$B$6:$B$17),""),$B$6:$B$68,1),1)&lt;=1,Inputs!$C$49,INDEX($AB$6:$AB$68,MATCH(IFERROR(LOOKUP(2,1/((Events!$C$6:$C$17="Employer change")*(Events!$B$6:$B$17&lt;=$B66)*(Events!$B$6:$B$17&lt;&gt;"")),Events!$B$6:$B$17),""),$B$6:$B$68,1)-1))))</f>
      </c>
      <c r="AX66" s="7">
        <f>IF($B66="","",IF($AV66=1,Inputs!$C$49,IFERROR(LOOKUP(2,1/((Events!$C$6:$C$17="Employer change")*(Events!$B$6:$B$17&lt;=$B66)*(Events!$B$6:$B$17&lt;&gt;"")),Events!$D$6:$D$17),0)))</f>
      </c>
      <c r="AY66" s="7">
        <f>IF($B66="","",($O66-$D66)*Inputs!$C$8)</f>
      </c>
      <c r="AZ66" s="7">
        <f>IF($B66="","",IF($AN66="AL",MAX(0,$AY66-IF($AU66="Married",IF($AY66&lt;=25999,8500,MAX(5000,8500-175*CEILING(($AY66-25999)/500,1))),IF($AU66="Head of household",IF($AY66&lt;=25999,5200,MAX(2500,5200-135*CEILING(($AY66-25999)/500,1))),IF($AY66&lt;=25999,3000,MAX(2500,3000-25*CEILING(($AY66-25999)/500,1)))))-($P66-'Methodology &amp; Sources'!$C$260*$D66)*Inputs!$C$8-IF(OR($AU66="Married",$AU66="Head of household"),3000,1500)-$AT66*IF($AY66&lt;=50000,1000,IF($AY66&lt;=100000,500,300))),IF($AN66="AR",IF(MAX(0,$AY66-2470)&lt;97701,INT(MAX(0,$AY66-2470)/100)*100+50,MAX(0,$AY66-2470)),IF($AN66="DE",MAX(0,$AI66-3250),IF($AN66="HI",MAX(0,$AI66-1144*$AS66-4350),IF($AN66="KS",MAX(0,$AI66-(9160*IF($AU66="Married",2,1)+2320*$AT66+IF($AU66="Head of household",2320,0))),IF($AN66="MD",MAX(0,$AI66-3400-3200*$AS66),IF($AN66="MN",MAX(0,$AY66-5300*$AS66),IF($AN66="MO",MAX(0,$AI66-IF($AU66="Head of household",24150,IF($AU66="Married",IF(Inputs!$C$83,16100,32200),16100))),IF($AN66="MT",$AY66,IF($AN66="ND",($C66+$L66)*Inputs!$C$8,IF($AN66="NE",MAX(0,$AY66-2440*$AS66),IF($AN66="NJ",MAX(0,$AY66-1000*$AS66),IF($AN66="NY",MAX(0,$AY66-(IF($AU66="Married",7950,7400)+1000*$AS66)),IF($AN66="OH",MAX(0,$AY66-650*$AS66),IF($AN66="OK",MAX(0,$AY66-1000*$AS66),IF($AN66="RI",MAX(0,$AI66-1000*$AS66),IF($AN66="SC",MAX(0,$AI66-5000*$AS66-IF($AS66=0,0,MIN(0.1*$AI66,7500))),IF($AN66="VA",MAX(0,$AI66-IF($AU66="Married",17500,8750)-930*$AS66-800*$AT66),IF($AN66="VT",MAX(0,$AI66-5400*$AS66),IF($AN66="WI",MAX(0,$AI66-MAX(0,IF($AU66="Married",9461-0.2*MAX(0,$AI66-25727),6702-0.12*MAX(0,$AI66-17780)))-400*$AS66),IF($AN66="WV",MAX(0,$AI66-2000*$AS66),$AI66))))))))))))))))))))))</f>
      </c>
      <c r="BA66" s="7">
        <f>IF($B66="","",IF($BW66&lt;&gt;"",$BW66,IF($BX66&lt;&gt;"",$BX66,IF($BY66&lt;&gt;"",$BY66,0))))</f>
      </c>
      <c r="BB66" s="7">
        <f>IF($B66="","",IF($AN66="AR",-29*$AS66,IF($AN66="DE",-110*$AS66,IF($AN66="MD",$AZ66*Inputs!$C$74,IF($AN66="AZ",Inputs!$C$82*($M66-$D66)*Inputs!$C$8,IF($AN66="CO",0.044*MAX(0,$AY66-IF($AU66="Married",10000,5000)),IF($AN66="IA",MAX(0,0.038*MAX(0,$AY66-IF($AU66="Head of household",19500,IF($AU66="Married",26000,13000)))-40*$AS66),IF($AN66="ID",0.053*MAX(0,$AY66-IF($AU66="Married",32000,16094)),IF($AN66="IL",0.0495*MAX(0,$AY66-(2925*$AS66+1000*$AT66)),IF($AN66="IN",(0.0295+Inputs!$C$76)*MAX(0,$AY66-(1000*$AS66+1500*$AT66+3000*Inputs!$C$86)),IF($AN66="KY",0.035*MAX(0,$AI66-3360),IF($AN66="LA",IF(Inputs!$C$84="0",0.0309*$AI66,0.0309*MAX(0,$AI66-IF(Inputs!$C$84="2",25750,12875))),IF($AN66="MA",0.05*MIN(MAX(0,$AY66-MIN(($BD65+$Q66+$R66+$S66),2000)-IF($AS66=0,0,IF($AS66=1,4400,1000*$AS66+3400))),1107750)+0.09*MAX(0,MAX(0,$AY66-MIN(($BD65+$Q66+$R66+$S66),2000)-IF($AS66=0,0,IF($AS66=1,4400,1000*$AS66+3400)))-1107750)-IF($AU66="Head of household",120,0)-110*Inputs!$C$75,IF($AN66="MI",0.0425*MAX(0,$AY66-5900*$AS66),IF($AN66="MS",0.04*MAX(0,$AI66-IF($AU66="Head of household",3400,IF($AU66="Married",4600,2300))-Inputs!$C$85-10000),IF($AN66="OR",IF(OR($AU66="Married",AND($AU66="Single",$AS66&gt;=3)),SUMPRODUCT((MAX(0,$AY66-MIN(($P66-'Methodology &amp; Sources'!$C$260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Sources'!$B$461:$J$464,0,4))*(MAX(0,$AY66-MIN(($P66-'Methodology &amp; Sources'!$C$260*$D66)*Inputs!$C$8,IF(OR($AU66="Married",AND($AU66="Single",$AS66&gt;=3)),IF($AY66&lt;250000,8750,IF($AY66&lt;260000,7000,IF($AY66&lt;270000,5250,IF($AY66&lt;280000,3500,IF($AY66&lt;290000,1750,0))))),IF($AY66&lt;125000,8750,IF($AY66&lt;130000,7000,IF($AY66&lt;135000,5250,IF($AY66&lt;140000,3500,IF($AY66&lt;145000,1750,0)))))))-IF(OR($AU66="Married",AND($AU66="Single",$AS66&gt;=3)),5820,2910))-INDEX('Methodology &amp; Sources'!$B$461:$J$464,0,4))*INDEX('Methodology &amp; Sources'!$B$461:$J$464,0,4+2)),SUMPRODUCT((MAX(0,$AY66-MIN(($P66-'Methodology &amp; Sources'!$C$260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Sources'!$B$461:$J$464,0,1))*(MAX(0,$AY66-MIN(($P66-'Methodology &amp; Sources'!$C$260*$D66)*Inputs!$C$8,IF(OR($AU66="Married",AND($AU66="Single",$AS66&gt;=3)),IF($AY66&lt;250000,8750,IF($AY66&lt;260000,7000,IF($AY66&lt;270000,5250,IF($AY66&lt;280000,3500,IF($AY66&lt;290000,1750,0))))),IF($AY66&lt;125000,8750,IF($AY66&lt;130000,7000,IF($AY66&lt;135000,5250,IF($AY66&lt;140000,3500,IF($AY66&lt;145000,1750,0)))))))-IF(OR($AU66="Married",AND($AU66="Single",$AS66&gt;=3)),5820,2910))-INDEX('Methodology &amp; Sources'!$B$461:$J$464,0,1))*INDEX('Methodology &amp; Sources'!$B$461:$J$464,0,1+2)))+263-263*IF(IF($AU66="Married",$AY66&gt;200000,$AY66&gt;100000),0,$AS66),IF($AN66="PA",0.0307*(($O66+$E66+$G66)*Inputs!$C$8),IF($AN66="NY",IF($AU66="Married",IF($AZ66&gt;=2155350,0,IF($AZ66&gt;=1077550,0.48,IF($AZ66&gt;=373200,1.21,IF($AZ66&gt;=323200,0.21,IF($AZ66&gt;=211550,-0.19,IF($AZ66&gt;=157650,-2.8,IF($AZ66&gt;=107650,-0.8,IF($AZ66&gt;=96800,0.05,IF($AZ66&gt;=80650,-0.1,IF($AZ66&gt;=13900,0.4,IF($AZ66&gt;=11700,-0.3,IF($AZ66&gt;=8500,0.5,0)))))))))))),IF($AZ66&gt;=1077550,0,IF($AZ66&gt;=265400,4.29,IF($AZ66&gt;=215400,2.29,IF($AZ66&gt;=157650,2.29,IF($AZ66&gt;=107650,0.29,IF($AZ66&gt;=96800,0.05,IF($AZ66&gt;=80650,-0.1,IF($AZ66&gt;=13900,0.4,IF($AZ66&gt;=11700,-0.3,IF($AZ66&gt;=8500,0.5,0))))))))))),0))))))))))))))))))</f>
      </c>
      <c r="BC66" s="7">
        <f>IF($B66="","",IF($AN66="AL",0.05*$D66,IF($AN66="AR",0.039*$D66,IF($AN66="ID",0.053*$D66,IF($AN66="IN",(0.0295+Inputs!$C$76)*$D66,IF($AN66="KS",0.05*$D66,IF($AN66="MA",0.09*MIN($D66,MAX(0,MAX(0,$AY66-MIN(($BD65+$Q66+$R66+$S66),2000)-IF($AS66=0,0,IF($AS66=1,4400,1000*$AS66+3400)))+$D66-1107750))+0.05*($D66-MIN($D66,MAX(0,MAX(0,$AY66-MIN(($BD65+$Q66+$R66+$S66),2000)-IF($AS66=0,0,IF($AS66=1,4400,1000*$AS66+3400)))+$D66-1107750))),IF($AN66="MD",(0.065+Inputs!$C$74)*$D66,IF($AN66="MI",0.0425*$D66,IF($AN66="MN",0.0625*$D66,IF($AN66="MO",0.047*$D66,IF($AN66="MT",0.05*$D66,IF($AN66="ND",0.015*$D66,IF($AN66="NE",0.035*$D66,IF($AN66="NJ",IF(Inputs!$C$77="B",SUMPRODUCT(($D66*Inputs!$C$8&gt;INDEX('Methodology &amp; Sources'!$B$405:$J$412,0,4))*($D66*Inputs!$C$8-INDEX('Methodology &amp; Sources'!$B$405:$J$412,0,4))*INDEX('Methodology &amp; Sources'!$B$405:$J$412,0,4+2)),IF(Inputs!$C$77="C",SUMPRODUCT(($D66*Inputs!$C$8&gt;INDEX('Methodology &amp; Sources'!$B$405:$J$412,0,7))*($D66*Inputs!$C$8-INDEX('Methodology &amp; Sources'!$B$405:$J$412,0,7))*INDEX('Methodology &amp; Sources'!$B$405:$J$412,0,7+2)),IF(Inputs!$C$77="D",SUMPRODUCT(($D66*Inputs!$C$8&gt;INDEX('Methodology &amp; Sources'!$B$417:$J$429,0,1))*($D66*Inputs!$C$8-INDEX('Methodology &amp; Sources'!$B$417:$J$429,0,1))*INDEX('Methodology &amp; Sources'!$B$417:$J$429,0,1+2)),IF(Inputs!$C$77="E",SUMPRODUCT(($D66*Inputs!$C$8&gt;INDEX('Methodology &amp; Sources'!$B$417:$J$429,0,4))*($D66*Inputs!$C$8-INDEX('Methodology &amp; Sources'!$B$417:$J$429,0,4))*INDEX('Methodology &amp; Sources'!$B$417:$J$429,0,4+2)),SUMPRODUCT(($D66*Inputs!$C$8&gt;INDEX('Methodology &amp; Sources'!$B$405:$J$412,0,1))*($D66*Inputs!$C$8-INDEX('Methodology &amp; Sources'!$B$405:$J$412,0,1))*INDEX('Methodology &amp; Sources'!$B$405:$J$412,0,1+2))))))/Inputs!$C$8,IF($AN66="NY",0.117*$D66,IF($AN66="OH",0.0275*$D66,IF($AN66="OK",0.045*$D66,IF($AN66="OR",0.08*$D66,IF($AN66="WI",IF($AY66&lt;12760,0.0354,IF($AY66&lt;25520,0.0465,IF($AY66&lt;280950,0.053,0.0765)))*$D66,0))))))))))))))))))))</f>
      </c>
      <c r="BD66" s="7">
        <f>IF($B66="","",$BD65+$Q66+$R66+$S66)</f>
      </c>
      <c r="BE66" s="6">
        <f>IF($B66="",$BE65,$BE65+$BF66)</f>
      </c>
      <c r="BF66" s="6">
        <f>IF($B66="","",IF(AND(IF(YEAR(IF(Inputs!$C$7="Weekly",Inputs!$C$9+7*(($BE65+1)-1),IF(Inputs!$C$7="Biweekly",Inputs!$C$9+14*(($BE65+1)-1),IF(Inputs!$C$7="Semimonthly",DATE(YEAR(Inputs!$C$9),MONTH(Inputs!$C$9)+INT((($BE65+1)-1)/2),MIN(DAY(Inputs!$C$9),DAY(EOMONTH(DATE(YEAR(Inputs!$C$9),MONTH(Inputs!$C$9)+INT((($BE65+1)-1)/2),1),0))))+IF(MOD(($BE65+1)-1,2)=1,15,0),EDATE(Inputs!$C$9,($BE65+1)-1)))))&lt;&gt;2026,"",IF(Inputs!$C$7="Weekly",Inputs!$C$9+7*(($BE65+1)-1),IF(Inputs!$C$7="Biweekly",Inputs!$C$9+14*(($BE65+1)-1),IF(Inputs!$C$7="Semimonthly",DATE(YEAR(Inputs!$C$9),MONTH(Inputs!$C$9)+INT((($BE65+1)-1)/2),MIN(DAY(Inputs!$C$9),DAY(EOMONTH(DATE(YEAR(Inputs!$C$9),MONTH(Inputs!$C$9)+INT((($BE65+1)-1)/2),1),0))))+IF(MOD(($BE65+1)-1,2)=1,15,0),EDATE(Inputs!$C$9,($BE65+1)-1)))))&lt;&gt;"",$B66=IF(YEAR(IF(Inputs!$C$7="Weekly",Inputs!$C$9+7*(($BE65+1)-1),IF(Inputs!$C$7="Biweekly",Inputs!$C$9+14*(($BE65+1)-1),IF(Inputs!$C$7="Semimonthly",DATE(YEAR(Inputs!$C$9),MONTH(Inputs!$C$9)+INT((($BE65+1)-1)/2),MIN(DAY(Inputs!$C$9),DAY(EOMONTH(DATE(YEAR(Inputs!$C$9),MONTH(Inputs!$C$9)+INT((($BE65+1)-1)/2),1),0))))+IF(MOD(($BE65+1)-1,2)=1,15,0),EDATE(Inputs!$C$9,($BE65+1)-1)))))&lt;&gt;2026,"",IF(Inputs!$C$7="Weekly",Inputs!$C$9+7*(($BE65+1)-1),IF(Inputs!$C$7="Biweekly",Inputs!$C$9+14*(($BE65+1)-1),IF(Inputs!$C$7="Semimonthly",DATE(YEAR(Inputs!$C$9),MONTH(Inputs!$C$9)+INT((($BE65+1)-1)/2),MIN(DAY(Inputs!$C$9),DAY(EOMONTH(DATE(YEAR(Inputs!$C$9),MONTH(Inputs!$C$9)+INT((($BE65+1)-1)/2),1),0))))+IF(MOD(($BE65+1)-1,2)=1,15,0),EDATE(Inputs!$C$9,($BE65+1)-1)))))),1,0))</f>
      </c>
      <c r="BG66" s="7">
        <f>IF($B66="","",$BG65+$H66)</f>
      </c>
      <c r="BH66" s="7">
        <f>IF($B66="","",$BH65+$I66)</f>
      </c>
      <c r="BI66" s="7">
        <f>IF($B66="","",$BI65+$G66)</f>
      </c>
      <c r="BJ66" s="7">
        <f>IF($B66="","",IFERROR(LOOKUP(2,1/((((Events!$C$6:$C$17="Deduction start"))*(Events!$D$6:$D$17="Health FSA"))*(Events!$B$6:$B$17&lt;=$B66)*(Events!$B$6:$B$17&lt;&gt;"")),Events!$E$6:$E$17),Inputs!$D$38))</f>
      </c>
      <c r="BK66" s="7">
        <f>IF($B66="","",IFERROR(LOOKUP(2,1/((((Events!$C$6:$C$17="Deduction start"))*(Events!$D$6:$D$17="Dependent-care FSA"))*(Events!$B$6:$B$17&lt;=$B66)*(Events!$B$6:$B$17&lt;&gt;"")),Events!$E$6:$E$17),Inputs!$D$39))</f>
      </c>
      <c r="BL66" s="7">
        <f>IF($B66="","",IFERROR(LOOKUP(2,1/((((Events!$C$6:$C$17="Deduction start")+(Events!$C$6:$C$17="Deduction stop"))*(Events!$D$6:$D$17="HSA"))*(Events!$B$6:$B$17&lt;=$B66)*(Events!$B$6:$B$17&lt;&gt;"")),Events!$I$6:$I$17),Inputs!$D$35))</f>
      </c>
      <c r="BM66" s="7">
        <f>IF($B66="","",IFERROR(LOOKUP(2,1/((((Events!$C$6:$C$17="Deduction start")+(Events!$C$6:$C$17="Deduction stop"))*(Events!$D$6:$D$17="Premiums"))*(Events!$B$6:$B$17&lt;=$B66)*(Events!$B$6:$B$17&lt;&gt;"")),Events!$I$6:$I$17),Inputs!$D$40+Inputs!$D$41+Inputs!$D$42))</f>
      </c>
      <c r="BN66" s="7">
        <f>IF($B66="","",IFERROR(LOOKUP(2,1/((((Events!$C$6:$C$17="Deduction start")+(Events!$C$6:$C$17="Deduction stop"))*(Events!$D$6:$D$17="Commuter"))*(Events!$B$6:$B$17&lt;=$B66)*(Events!$B$6:$B$17&lt;&gt;"")),Events!$I$6:$I$17),Inputs!$D$43))</f>
      </c>
      <c r="BO66" s="7">
        <f>IF($B66="","",IFERROR(LOOKUP(2,1/((((Events!$C$6:$C$17="Deduction start")+(Events!$C$6:$C$17="Deduction stop"))*(Events!$D$6:$D$17="Other pre-tax"))*(Events!$B$6:$B$17&lt;=$B66)*(Events!$B$6:$B$17&lt;&gt;"")),Events!$I$6:$I$17),Inputs!$D$44))</f>
      </c>
      <c r="BP66" s="7">
        <f>IF($B66="","",IFERROR(LOOKUP(2,1/((((Events!$C$6:$C$17="Deduction start")+(Events!$C$6:$C$17="Deduction stop"))*(Events!$D$6:$D$17="Other post-tax"))*(Events!$B$6:$B$17&lt;=$B66)*(Events!$B$6:$B$17&lt;&gt;"")),Events!$I$6:$I$17),Inputs!$D$45))</f>
      </c>
      <c r="BQ66" s="6">
        <f>IF($B66="","",IFERROR(LOOKUP(2,1/((((Events!$C$6:$C$17="Deduction start")+(Events!$C$6:$C$17="Deduction stop"))*(Events!$D$6:$D$17="Health FSA"))*(Events!$B$6:$B$17&lt;=$B66)*(Events!$B$6:$B$17&lt;&gt;"")),Events!$J$6:$J$17),0))</f>
      </c>
      <c r="BR66" s="6">
        <f>IF($B66="","",IFERROR(LOOKUP(2,1/((((Events!$C$6:$C$17="Deduction start")+(Events!$C$6:$C$17="Deduction stop"))*(Events!$D$6:$D$17="Dependent-care FSA"))*(Events!$B$6:$B$17&lt;=$B66)*(Events!$B$6:$B$17&lt;&gt;"")),Events!$J$6:$J$17),0))</f>
      </c>
      <c r="BS66" s="6">
        <f>IF($B66="","",IF(SUMPRODUCT((Events!$C$6:$C$17="Deduction start")*(Events!$B$6:$B$17&lt;=$B66)*(Events!$B$6:$B$17&lt;&gt;"")*(Events!$D$6:$D$17="Health FSA"))&gt;0,1,0))</f>
      </c>
      <c r="BT66" s="6">
        <f>IF($B66="","",IF(SUMPRODUCT((Events!$C$6:$C$17="Deduction start")*(Events!$B$6:$B$17&lt;=$B66)*(Events!$B$6:$B$17&lt;&gt;"")*(Events!$D$6:$D$17="Dependent-care FSA"))&gt;0,1,0))</f>
      </c>
      <c r="BU66" s="24">
        <f>IF($B66="","",IF(Inputs!$C$13,SUMPRODUCT(($AH66&gt;=INDEX('Methodology &amp; Sources'!$B$279:$J$286,0,IF(Inputs!$C$12="MFJ",1,IF(Inputs!$C$12="HoH",7,4))))*INDEX('Methodology &amp; Sources'!$B$279:$J$286,0,IF(Inputs!$C$12="MFJ",1,IF(Inputs!$C$12="HoH",7,4))+2)),SUMPRODUCT(($AH66&gt;=INDEX('Methodology &amp; Sources'!$B$269:$J$276,0,IF(Inputs!$C$12="MFJ",1,IF(Inputs!$C$12="HoH",7,4))))*INDEX('Methodology &amp; Sources'!$B$269:$J$276,0,IF(Inputs!$C$12="MFJ",1,IF(Inputs!$C$12="HoH",7,4))+2))))</f>
      </c>
      <c r="BV66" s="24">
        <f>IF($B66="","",IF($BZ66&lt;&gt;"",$BZ66,IF($CA66&lt;&gt;"",$CA66,IF($CB66&lt;&gt;"",$CB66,IF($CC66&lt;&gt;"",$CC66,0)))))</f>
      </c>
      <c r="BW66" s="7">
        <f>IF($B66="","",IF($AN66="MD",IF(OR($AU66="Married",$AU66="Head of household"),SUMPRODUCT(($AZ66&gt;INDEX('Methodology &amp; Sources'!$B$364:$J$370,0,1))*($AZ66-INDEX('Methodology &amp; Sources'!$B$364:$J$370,0,1))*INDEX('Methodology &amp; Sources'!$B$364:$J$370,0,1+2)),SUMPRODUCT(($AZ66&gt;INDEX('Methodology &amp; Sources'!$B$353:$J$359,0,7))*($AZ66-INDEX('Methodology &amp; Sources'!$B$353:$J$359,0,7))*INDEX('Methodology &amp; Sources'!$B$353:$J$359,0,7+2))),IF($AN66="MO",SUMPRODUCT(($AZ66&gt;INDEX('Methodology &amp; Sources'!$B$375:$J$382,0,1))*($AZ66-INDEX('Methodology &amp; Sources'!$B$375:$J$382,0,1))*INDEX('Methodology &amp; Sources'!$B$375:$J$382,0,1+2)),IF($AN66="MT",IF($AU66="Head of household",SUMPRODUCT(($AZ66&gt;INDEX('Methodology &amp; Sources'!$B$387:$J$389,0,1))*($AZ66-INDEX('Methodology &amp; Sources'!$B$387:$J$389,0,1))*INDEX('Methodology &amp; Sources'!$B$387:$J$389,0,1+2)),IF($AU66="Married",SUMPRODUCT(($AZ66&gt;INDEX('Methodology &amp; Sources'!$B$375:$J$382,0,7))*($AZ66-INDEX('Methodology &amp; Sources'!$B$375:$J$382,0,7))*INDEX('Methodology &amp; Sources'!$B$375:$J$382,0,7+2)),SUMPRODUCT(($AZ66&gt;INDEX('Methodology &amp; Sources'!$B$375:$J$382,0,4))*($AZ66-INDEX('Methodology &amp; Sources'!$B$375:$J$382,0,4))*INDEX('Methodology &amp; Sources'!$B$375:$J$382,0,4+2)))),IF($AN66="ND",IF($AU66="Head of household",SUMPRODUCT(($AZ66&gt;INDEX('Methodology &amp; Sources'!$B$394:$J$400,0,1))*($AZ66-INDEX('Methodology &amp; Sources'!$B$394:$J$400,0,1))*INDEX('Methodology &amp; Sources'!$B$394:$J$400,0,1+2)),IF($AU66="Married",SUMPRODUCT(($AZ66&gt;INDEX('Methodology &amp; Sources'!$B$387:$J$389,0,7))*($AZ66-INDEX('Methodology &amp; Sources'!$B$387:$J$389,0,7))*INDEX('Methodology &amp; Sources'!$B$387:$J$389,0,7+2)),SUMPRODUCT(($AZ66&gt;INDEX('Methodology &amp; Sources'!$B$387:$J$389,0,4))*($AZ66-INDEX('Methodology &amp; Sources'!$B$387:$J$389,0,4))*INDEX('Methodology &amp; Sources'!$B$387:$J$389,0,4+2)))),IF($AN66="NJ",IF(Inputs!$C$77="B",SUMPRODUCT(($AZ66&gt;INDEX('Methodology &amp; Sources'!$B$405:$J$412,0,4))*($AZ66-INDEX('Methodology &amp; Sources'!$B$405:$J$412,0,4))*INDEX('Methodology &amp; Sources'!$B$405:$J$412,0,4+2)),IF(Inputs!$C$77="C",SUMPRODUCT(($AZ66&gt;INDEX('Methodology &amp; Sources'!$B$405:$J$412,0,7))*($AZ66-INDEX('Methodology &amp; Sources'!$B$405:$J$412,0,7))*INDEX('Methodology &amp; Sources'!$B$405:$J$412,0,7+2)),IF(Inputs!$C$77="D",SUMPRODUCT(($AZ66&gt;INDEX('Methodology &amp; Sources'!$B$417:$J$429,0,1))*($AZ66-INDEX('Methodology &amp; Sources'!$B$417:$J$429,0,1))*INDEX('Methodology &amp; Sources'!$B$417:$J$429,0,1+2)),IF(Inputs!$C$77="E",SUMPRODUCT(($AZ66&gt;INDEX('Methodology &amp; Sources'!$B$417:$J$429,0,4))*($AZ66-INDEX('Methodology &amp; Sources'!$B$417:$J$429,0,4))*INDEX('Methodology &amp; Sources'!$B$417:$J$429,0,4+2)),SUMPRODUCT(($AZ66&gt;INDEX('Methodology &amp; Sources'!$B$405:$J$412,0,1))*($AZ66-INDEX('Methodology &amp; Sources'!$B$405:$J$412,0,1))*INDEX('Methodology &amp; Sources'!$B$405:$J$412,0,1+2)))))),IF($AN66="NY",IF($AU66="Married",IF($AZ66&gt;=2155350,$AZ66*IF($AZ66&gt;25000000,0.117,IF($AZ66&gt;5000000,0.111,0.1045)),SUMPRODUCT(($AZ66&gt;INDEX('Methodology &amp; Sources'!$B$434:$J$448,0,1))*($AZ66-INDEX('Methodology &amp; Sources'!$B$434:$J$448,0,1))*INDEX('Methodology &amp; Sources'!$B$434:$J$448,0,1+2))),IF($AZ66&gt;=1077550,$AZ66*IF($AZ66&gt;25000000,0.117,IF($AZ66&gt;5000000,0.111,0.1045)),SUMPRODUCT(($AZ66&gt;INDEX('Methodology &amp; Sources'!$B$417:$J$429,0,7))*($AZ66-INDEX('Methodology &amp; Sources'!$B$417:$J$429,0,7))*INDEX('Methodology &amp; Sources'!$B$417:$J$429,0,7+2)))),"")))))))</f>
      </c>
      <c r="BX66" s="7">
        <f>IF($B66="","",IF($AN66="AL",IF(OR($AU66="Married",$AU66="Head of household"),SUMPRODUCT(($AZ66&gt;INDEX('Methodology &amp; Sources'!$B$332:$J$336,0,4))*($AZ66-INDEX('Methodology &amp; Sources'!$B$332:$J$336,0,4))*INDEX('Methodology &amp; Sources'!$B$332:$J$336,0,4+2)),SUMPRODUCT(($AZ66&gt;INDEX('Methodology &amp; Sources'!$B$332:$J$336,0,1))*($AZ66-INDEX('Methodology &amp; Sources'!$B$332:$J$336,0,1))*INDEX('Methodology &amp; Sources'!$B$332:$J$336,0,1+2))),IF($AN66="KS",IF($AU66="Married",SUMPRODUCT(($AZ66&gt;INDEX('Methodology &amp; Sources'!$B$353:$J$359,0,4))*($AZ66-INDEX('Methodology &amp; Sources'!$B$353:$J$359,0,4))*INDEX('Methodology &amp; Sources'!$B$353:$J$359,0,4+2)),SUMPRODUCT(($AZ66&gt;INDEX('Methodology &amp; Sources'!$B$353:$J$359,0,1))*($AZ66-INDEX('Methodology &amp; Sources'!$B$353:$J$359,0,1))*INDEX('Methodology &amp; Sources'!$B$353:$J$359,0,1+2))),IF($AN66="MN",IF($AU66="Married",SUMPRODUCT(($AZ66&gt;INDEX('Methodology &amp; Sources'!$B$364:$J$370,0,7))*($AZ66-INDEX('Methodology &amp; Sources'!$B$364:$J$370,0,7))*INDEX('Methodology &amp; Sources'!$B$364:$J$370,0,7+2)),SUMPRODUCT(($AZ66&gt;INDEX('Methodology &amp; Sources'!$B$364:$J$370,0,4))*($AZ66-INDEX('Methodology &amp; Sources'!$B$364:$J$370,0,4))*INDEX('Methodology &amp; Sources'!$B$364:$J$370,0,4+2))),IF($AN66="NE",MAX(IF($AU66="Married",SUMPRODUCT(($AZ66&gt;INDEX('Methodology &amp; Sources'!$B$394:$J$400,0,7))*($AZ66-INDEX('Methodology &amp; Sources'!$B$394:$J$400,0,7))*INDEX('Methodology &amp; Sources'!$B$394:$J$400,0,7+2)),SUMPRODUCT(($AZ66&gt;INDEX('Methodology &amp; Sources'!$B$394:$J$400,0,4))*($AZ66-INDEX('Methodology &amp; Sources'!$B$394:$J$400,0,4))*INDEX('Methodology &amp; Sources'!$B$394:$J$400,0,4+2))),0.015*$AZ66),IF($AN66="OH",IF($B66&gt;=DATE(2026,8,1),SUMPRODUCT(($AZ66&gt;INDEX('Methodology &amp; Sources'!$B$453:$J$456,0,1))*($AZ66-INDEX('Methodology &amp; Sources'!$B$453:$J$456,0,1))*INDEX('Methodology &amp; Sources'!$B$453:$J$456,0,1+2)),SUMPRODUCT(($AZ66&gt;INDEX('Methodology &amp; Sources'!$B$434:$J$448,0,7))*($AZ66-INDEX('Methodology &amp; Sources'!$B$434:$J$448,0,7))*INDEX('Methodology &amp; Sources'!$B$434:$J$448,0,7+2))),IF($AN66="OK",IF($AU66="Married",SUMPRODUCT(($AZ66&gt;INDEX('Methodology &amp; Sources'!$B$453:$J$456,0,7))*($AZ66-INDEX('Methodology &amp; Sources'!$B$453:$J$456,0,7))*INDEX('Methodology &amp; Sources'!$B$453:$J$456,0,7+2)),SUMPRODUCT(($AZ66&gt;INDEX('Methodology &amp; Sources'!$B$453:$J$456,0,4))*($AZ66-INDEX('Methodology &amp; Sources'!$B$453:$J$456,0,4))*INDEX('Methodology &amp; Sources'!$B$453:$J$456,0,4+2))),IF($AN66="RI",SUMPRODUCT(($AZ66&gt;INDEX('Methodology &amp; Sources'!$B$461:$J$464,0,7))*($AZ66-INDEX('Methodology &amp; Sources'!$B$461:$J$464,0,7))*INDEX('Methodology &amp; Sources'!$B$461:$J$464,0,7+2)),IF($AN66="VT",IF($AU66="Married",SUMPRODUCT(($AZ66&gt;INDEX('Methodology &amp; Sources'!$B$478:$J$482,0,1))*($AZ66-INDEX('Methodology &amp; Sources'!$B$478:$J$482,0,1))*INDEX('Methodology &amp; Sources'!$B$478:$J$482,0,1+2)),SUMPRODUCT(($AZ66&gt;INDEX('Methodology &amp; Sources'!$B$469:$J$473,0,7))*($AZ66-INDEX('Methodology &amp; Sources'!$B$469:$J$473,0,7))*INDEX('Methodology &amp; Sources'!$B$469:$J$473,0,7+2))),IF($AN66="WV",IF($AU66="Married",SUMPRODUCT(($AZ66&gt;INDEX('Methodology &amp; Sources'!$B$487:$J$491,0,7))*($AZ66-INDEX('Methodology &amp; Sources'!$B$487:$J$491,0,7))*INDEX('Methodology &amp; Sources'!$B$487:$J$491,0,7+2)),SUMPRODUCT(($AZ66&gt;INDEX('Methodology &amp; Sources'!$B$478:$J$482,0,7))*($AZ66-INDEX('Methodology &amp; Sources'!$B$478:$J$482,0,7))*INDEX('Methodology &amp; Sources'!$B$478:$J$482,0,7+2))),""))))))))))</f>
      </c>
      <c r="BY66" s="7">
        <f>IF($B66="","",IF($AN66="AR",SUMPRODUCT(($AZ66&gt;INDEX('Methodology &amp; Sources'!$B$332:$J$336,0,7))*($AZ66-INDEX('Methodology &amp; Sources'!$B$332:$J$336,0,7))*INDEX('Methodology &amp; Sources'!$B$332:$J$336,0,7+2)),IF($AN66="DE",SUMPRODUCT(($AZ66&gt;INDEX('Methodology &amp; Sources'!$B$341:$J$348,0,1))*($AZ66-INDEX('Methodology &amp; Sources'!$B$341:$J$348,0,1))*INDEX('Methodology &amp; Sources'!$B$341:$J$348,0,1+2)),IF($AN66="HI",IF($AU66="Married",SUMPRODUCT(($AZ66&gt;INDEX('Methodology &amp; Sources'!$B$341:$J$348,0,7))*($AZ66-INDEX('Methodology &amp; Sources'!$B$341:$J$348,0,7))*INDEX('Methodology &amp; Sources'!$B$341:$J$348,0,7+2)),SUMPRODUCT(($AZ66&gt;INDEX('Methodology &amp; Sources'!$B$341:$J$348,0,4))*($AZ66-INDEX('Methodology &amp; Sources'!$B$341:$J$348,0,4))*INDEX('Methodology &amp; Sources'!$B$341:$J$348,0,4+2))),IF($AN66="SC",SUMPRODUCT(($AZ66&gt;INDEX('Methodology &amp; Sources'!$B$469:$J$473,0,1))*($AZ66-INDEX('Methodology &amp; Sources'!$B$469:$J$473,0,1))*INDEX('Methodology &amp; Sources'!$B$469:$J$473,0,1+2)),IF($AN66="VA",SUMPRODUCT(($AZ66&gt;INDEX('Methodology &amp; Sources'!$B$469:$J$473,0,4))*($AZ66-INDEX('Methodology &amp; Sources'!$B$469:$J$473,0,4))*INDEX('Methodology &amp; Sources'!$B$469:$J$473,0,4+2)),IF($AN66="WI",SUMPRODUCT(($AZ66&gt;INDEX('Methodology &amp; Sources'!$B$478:$J$482,0,4))*($AZ66-INDEX('Methodology &amp; Sources'!$B$478:$J$482,0,4))*INDEX('Methodology &amp; Sources'!$B$478:$J$482,0,4+2)),"")))))))</f>
      </c>
      <c r="BZ66" s="24">
        <f>IF($B66="","",IF($AN66="NJ",IF(Inputs!$C$77="B",SUMPRODUCT(($AZ66&gt;=INDEX('Methodology &amp; Sources'!$B$405:$J$412,0,4))*INDEX('Methodology &amp; Sources'!$B$405:$J$412,0,4+2)),IF(Inputs!$C$77="C",SUMPRODUCT(($AZ66&gt;=INDEX('Methodology &amp; Sources'!$B$405:$J$412,0,7))*INDEX('Methodology &amp; Sources'!$B$405:$J$412,0,7+2)),IF(Inputs!$C$77="D",SUMPRODUCT(($AZ66&gt;=INDEX('Methodology &amp; Sources'!$B$417:$J$429,0,1))*INDEX('Methodology &amp; Sources'!$B$417:$J$429,0,1+2)),IF(Inputs!$C$77="E",SUMPRODUCT(($AZ66&gt;=INDEX('Methodology &amp; Sources'!$B$417:$J$429,0,4))*INDEX('Methodology &amp; Sources'!$B$417:$J$429,0,4+2)),SUMPRODUCT(($AZ66&gt;=INDEX('Methodology &amp; Sources'!$B$405:$J$412,0,1))*INDEX('Methodology &amp; Sources'!$B$405:$J$412,0,1+2)))))),IF($AN66="OR",IF(OR($AU66="Married",AND($AU66="Single",$AS66&gt;=3)),SUMPRODUCT((MAX(0,$AY66-MIN(($P66-'Methodology &amp; Sources'!$C$260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Sources'!$B$461:$J$464,0,4))*INDEX('Methodology &amp; Sources'!$B$461:$J$464,0,4+2)),SUMPRODUCT((MAX(0,$AY66-MIN(($P66-'Methodology &amp; Sources'!$C$260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Sources'!$B$461:$J$464,0,1))*INDEX('Methodology &amp; Sources'!$B$461:$J$464,0,1+2)))*IF(($P66-'Methodology &amp; Sources'!$C$260*$D66)*Inputs!$C$8&gt;=IF(OR($AU66="Married",AND($AU66="Single",$AS66&gt;=3)),IF($AY66&lt;250000,8750,IF($AY66&lt;260000,7000,IF($AY66&lt;270000,5250,IF($AY66&lt;280000,3500,IF($AY66&lt;290000,1750,0))))),IF($AY66&lt;125000,8750,IF($AY66&lt;130000,7000,IF($AY66&lt;135000,5250,IF($AY66&lt;140000,3500,IF($AY66&lt;145000,1750,0)))))),1,1-IF(Inputs!$C$13,SUMPRODUCT(($AH66&gt;=INDEX('Methodology &amp; Sources'!$B$279:$J$286,0,IF(Inputs!$C$12="MFJ",1,IF(Inputs!$C$12="HoH",7,4))))*INDEX('Methodology &amp; Sources'!$B$279:$J$286,0,IF(Inputs!$C$12="MFJ",1,IF(Inputs!$C$12="HoH",7,4))+2)),SUMPRODUCT(($AH66&gt;=INDEX('Methodology &amp; Sources'!$B$269:$J$276,0,IF(Inputs!$C$12="MFJ",1,IF(Inputs!$C$12="HoH",7,4))))*INDEX('Methodology &amp; Sources'!$B$269:$J$276,0,IF(Inputs!$C$12="MFJ",1,IF(Inputs!$C$12="HoH",7,4))+2)))),IF($AN66="MI",IF($AY66&gt;5900*$AS66,0.0425,0),""))))</f>
      </c>
      <c r="CA66" s="24">
        <f>IF($B66="","",IF($AN66="AL",IF(OR($AU66="Married",$AU66="Head of household"),SUMPRODUCT(($AZ66&gt;=INDEX('Methodology &amp; Sources'!$B$332:$J$336,0,4))*INDEX('Methodology &amp; Sources'!$B$332:$J$336,0,4+2)),SUMPRODUCT(($AZ66&gt;=INDEX('Methodology &amp; Sources'!$B$332:$J$336,0,1))*INDEX('Methodology &amp; Sources'!$B$332:$J$336,0,1+2)))*(1-IF(Inputs!$C$13,SUMPRODUCT(($AH66&gt;=INDEX('Methodology &amp; Sources'!$B$279:$J$286,0,IF(Inputs!$C$12="MFJ",1,IF(Inputs!$C$12="HoH",7,4))))*INDEX('Methodology &amp; Sources'!$B$279:$J$286,0,IF(Inputs!$C$12="MFJ",1,IF(Inputs!$C$12="HoH",7,4))+2)),SUMPRODUCT(($AH66&gt;=INDEX('Methodology &amp; Sources'!$B$269:$J$276,0,IF(Inputs!$C$12="MFJ",1,IF(Inputs!$C$12="HoH",7,4))))*INDEX('Methodology &amp; Sources'!$B$269:$J$276,0,IF(Inputs!$C$12="MFJ",1,IF(Inputs!$C$12="HoH",7,4))+2)))),IF($AN66="KS",IF($AU66="Married",SUMPRODUCT(($AZ66&gt;=INDEX('Methodology &amp; Sources'!$B$353:$J$359,0,4))*INDEX('Methodology &amp; Sources'!$B$353:$J$359,0,4+2)),SUMPRODUCT(($AZ66&gt;=INDEX('Methodology &amp; Sources'!$B$353:$J$359,0,1))*INDEX('Methodology &amp; Sources'!$B$353:$J$359,0,1+2))),IF($AN66="MD",IF(OR($AU66="Married",$AU66="Head of household"),SUMPRODUCT(($AZ66&gt;=INDEX('Methodology &amp; Sources'!$B$364:$J$370,0,1))*INDEX('Methodology &amp; Sources'!$B$364:$J$370,0,1+2)),SUMPRODUCT(($AZ66&gt;=INDEX('Methodology &amp; Sources'!$B$353:$J$359,0,7))*INDEX('Methodology &amp; Sources'!$B$353:$J$359,0,7+2)))+Inputs!$C$74,IF($AN66="MT",IF($AU66="Head of household",SUMPRODUCT(($AZ66&gt;=INDEX('Methodology &amp; Sources'!$B$387:$J$389,0,1))*INDEX('Methodology &amp; Sources'!$B$387:$J$389,0,1+2)),IF($AU66="Married",SUMPRODUCT(($AZ66&gt;=INDEX('Methodology &amp; Sources'!$B$375:$J$382,0,7))*INDEX('Methodology &amp; Sources'!$B$375:$J$382,0,7+2)),SUMPRODUCT(($AZ66&gt;=INDEX('Methodology &amp; Sources'!$B$375:$J$382,0,4))*INDEX('Methodology &amp; Sources'!$B$375:$J$382,0,4+2)))),IF($AN66="ND",IF($AU66="Head of household",SUMPRODUCT(($AZ66&gt;=INDEX('Methodology &amp; Sources'!$B$394:$J$400,0,1))*INDEX('Methodology &amp; Sources'!$B$394:$J$400,0,1+2)),IF($AU66="Married",SUMPRODUCT(($AZ66&gt;=INDEX('Methodology &amp; Sources'!$B$387:$J$389,0,7))*INDEX('Methodology &amp; Sources'!$B$387:$J$389,0,7+2)),SUMPRODUCT(($AZ66&gt;=INDEX('Methodology &amp; Sources'!$B$387:$J$389,0,4))*INDEX('Methodology &amp; Sources'!$B$387:$J$389,0,4+2)))),IF($AN66="NY",IF($AU66="Married",IF($AZ66&gt;=2155350,IF($AZ66&gt;25000000,0.117,IF($AZ66&gt;5000000,0.111,0.1045)),SUMPRODUCT(($AZ66&gt;=INDEX('Methodology &amp; Sources'!$B$434:$J$448,0,1))*INDEX('Methodology &amp; Sources'!$B$434:$J$448,0,1+2))),IF($AZ66&gt;=1077550,IF($AZ66&gt;25000000,0.117,IF($AZ66&gt;5000000,0.111,0.1045)),SUMPRODUCT(($AZ66&gt;=INDEX('Methodology &amp; Sources'!$B$417:$J$429,0,7))*INDEX('Methodology &amp; Sources'!$B$417:$J$429,0,7+2)))),"")))))))</f>
      </c>
      <c r="CB66" s="24">
        <f>IF($B66="","",IF($AN66="CA",SUMPRODUCT(($AJ66&gt;=INDEX('Methodology &amp; Sources'!$B$289:$J$298,0,IF($AU66="Married",4,IF($AU66="Head of household",7,1))))*INDEX('Methodology &amp; Sources'!$B$289:$J$298,0,IF($AU66="Married",4,IF($AU66="Head of household",7,1))+2)),IF($AN66="HI",IF($AU66="Married",SUMPRODUCT(($AZ66&gt;=INDEX('Methodology &amp; Sources'!$B$341:$J$348,0,7))*INDEX('Methodology &amp; Sources'!$B$341:$J$348,0,7+2)),SUMPRODUCT(($AZ66&gt;=INDEX('Methodology &amp; Sources'!$B$341:$J$348,0,4))*INDEX('Methodology &amp; Sources'!$B$341:$J$348,0,4+2))),IF($AN66="MN",IF($AU66="Married",SUMPRODUCT(($AZ66&gt;=INDEX('Methodology &amp; Sources'!$B$364:$J$370,0,7))*INDEX('Methodology &amp; Sources'!$B$364:$J$370,0,7+2)),SUMPRODUCT(($AZ66&gt;=INDEX('Methodology &amp; Sources'!$B$364:$J$370,0,4))*INDEX('Methodology &amp; Sources'!$B$364:$J$370,0,4+2))),IF($AN66="MO",SUMPRODUCT(($AZ66&gt;=INDEX('Methodology &amp; Sources'!$B$375:$J$382,0,1))*INDEX('Methodology &amp; Sources'!$B$375:$J$382,0,1+2)),IF($AN66="NE",MAX(IF($AU66="Married",SUMPRODUCT(($AZ66&gt;=INDEX('Methodology &amp; Sources'!$B$394:$J$400,0,7))*INDEX('Methodology &amp; Sources'!$B$394:$J$400,0,7+2)),SUMPRODUCT(($AZ66&gt;=INDEX('Methodology &amp; Sources'!$B$394:$J$400,0,4))*INDEX('Methodology &amp; Sources'!$B$394:$J$400,0,4+2))),0.015),IF($AN66="OH",IF($B66&gt;=DATE(2026,8,1),SUMPRODUCT(($AZ66&gt;=INDEX('Methodology &amp; Sources'!$B$453:$J$456,0,1))*INDEX('Methodology &amp; Sources'!$B$453:$J$456,0,1+2)),SUMPRODUCT(($AZ66&gt;=INDEX('Methodology &amp; Sources'!$B$434:$J$448,0,7))*INDEX('Methodology &amp; Sources'!$B$434:$J$448,0,7+2))),IF($AN66="OK",IF($AU66="Married",SUMPRODUCT(($AZ66&gt;=INDEX('Methodology &amp; Sources'!$B$453:$J$456,0,7))*INDEX('Methodology &amp; Sources'!$B$453:$J$456,0,7+2)),SUMPRODUCT(($AZ66&gt;=INDEX('Methodology &amp; Sources'!$B$453:$J$456,0,4))*INDEX('Methodology &amp; Sources'!$B$453:$J$456,0,4+2))),IF($AN66="RI",SUMPRODUCT(($AZ66&gt;=INDEX('Methodology &amp; Sources'!$B$461:$J$464,0,7))*INDEX('Methodology &amp; Sources'!$B$461:$J$464,0,7+2)),IF($AN66="SC",SUMPRODUCT(($AZ66&gt;=INDEX('Methodology &amp; Sources'!$B$469:$J$473,0,1))*INDEX('Methodology &amp; Sources'!$B$469:$J$473,0,1+2)),IF($AN66="VT",IF($AU66="Married",SUMPRODUCT(($AZ66&gt;=INDEX('Methodology &amp; Sources'!$B$478:$J$482,0,1))*INDEX('Methodology &amp; Sources'!$B$478:$J$482,0,1+2)),SUMPRODUCT(($AZ66&gt;=INDEX('Methodology &amp; Sources'!$B$469:$J$473,0,7))*INDEX('Methodology &amp; Sources'!$B$469:$J$473,0,7+2))),IF($AN66="WV",IF($AU66="Married",SUMPRODUCT(($AZ66&gt;=INDEX('Methodology &amp; Sources'!$B$487:$J$491,0,7))*INDEX('Methodology &amp; Sources'!$B$487:$J$491,0,7+2)),SUMPRODUCT(($AZ66&gt;=INDEX('Methodology &amp; Sources'!$B$478:$J$482,0,7))*INDEX('Methodology &amp; Sources'!$B$478:$J$482,0,7+2))),IF($AN66="IN",(0.0295+Inputs!$C$76),"")))))))))))))</f>
      </c>
      <c r="CC66" s="24">
        <f>IF($B66="","",IF($AN66="AR",SUMPRODUCT(($AZ66&gt;=INDEX('Methodology &amp; Sources'!$B$332:$J$336,0,7))*INDEX('Methodology &amp; Sources'!$B$332:$J$336,0,7+2)),IF($AN66="DE",SUMPRODUCT(($AZ66&gt;=INDEX('Methodology &amp; Sources'!$B$341:$J$348,0,1))*INDEX('Methodology &amp; Sources'!$B$341:$J$348,0,1+2)),IF($AN66="VA",SUMPRODUCT(($AZ66&gt;=INDEX('Methodology &amp; Sources'!$B$469:$J$473,0,4))*INDEX('Methodology &amp; Sources'!$B$469:$J$473,0,4+2)),IF($AN66="WI",SUMPRODUCT(($AZ66&gt;=INDEX('Methodology &amp; Sources'!$B$478:$J$482,0,4))*INDEX('Methodology &amp; Sources'!$B$478:$J$482,0,4+2)),IF($AN66="AZ",Inputs!$C$82,IF($AN66="CO",IF($AY66&gt;IF($AU66="Married",10000,5000),0.044,0),IF($AN66="IA",IF($AY66&gt;IF($AU66="Head of household",19500,IF($AU66="Married",26000,13000)),0.038,0),IF($AN66="ID",IF($AY66&gt;IF($AU66="Married",32000,16094),0.053,0),IF($AN66="IL",IF($AY66&gt;(2925*$AS66+1000*$AT66),0.0495,0),IF($AN66="KY",IF($AI66&gt;3360,0.035,0),IF($AN66="LA",0.0309,IF($AN66="MA",IF(MAX(0,$AY66-MIN(($BD65+$Q66+$R66+$S66),2000)-IF($AS66=0,0,IF($AS66=1,4400,1000*$AS66+3400)))&gt;=1107750,0.09,0.05),IF($AN66="MS",IF($AI66-IF($AU66="Head of household",3400,IF($AU66="Married",4600,2300))-Inputs!$C$85&gt;10000,0.04,0),IF($AN66="PA",0.0307,"")))))))))))))))</f>
      </c>
      <c r="CD66" s="21">
        <f>IF(YEAR(IF(Inputs!$C$7="Weekly",Inputs!$C$9+7*(($BE65+1)-1),IF(Inputs!$C$7="Biweekly",Inputs!$C$9+14*(($BE65+1)-1),IF(Inputs!$C$7="Semimonthly",DATE(YEAR(Inputs!$C$9),MONTH(Inputs!$C$9)+INT((($BE65+1)-1)/2),MIN(DAY(Inputs!$C$9),DAY(EOMONTH(DATE(YEAR(Inputs!$C$9),MONTH(Inputs!$C$9)+INT((($BE65+1)-1)/2),1),0))))+IF(MOD(($BE65+1)-1,2)=1,15,0),EDATE(Inputs!$C$9,($BE65+1)-1)))))&lt;&gt;2026,"",IF(Inputs!$C$7="Weekly",Inputs!$C$9+7*(($BE65+1)-1),IF(Inputs!$C$7="Biweekly",Inputs!$C$9+14*(($BE65+1)-1),IF(Inputs!$C$7="Semimonthly",DATE(YEAR(Inputs!$C$9),MONTH(Inputs!$C$9)+INT((($BE65+1)-1)/2),MIN(DAY(Inputs!$C$9),DAY(EOMONTH(DATE(YEAR(Inputs!$C$9),MONTH(Inputs!$C$9)+INT((($BE65+1)-1)/2),1),0))))+IF(MOD(($BE65+1)-1,2)=1,15,0),EDATE(Inputs!$C$9,($BE65+1)-1)))))</f>
      </c>
      <c r="CE66" s="21">
        <f>IF(SUMPRODUCT(MIN(IF((Inputs!$C$58:$C$67&gt;MAX($B$6:$B65))*(Inputs!$C$58:$C$67&gt;=DATE(2026,1,1))*(Inputs!$C$58:$C$67&lt;=DATE(2026,12,31)),Inputs!$C$58:$C$67,999999)))=999999,"",SUMPRODUCT(MIN(IF((Inputs!$C$58:$C$67&gt;MAX($B$6:$B65))*(Inputs!$C$58:$C$67&gt;=DATE(2026,1,1))*(Inputs!$C$58:$C$67&lt;=DATE(2026,12,31)),Inputs!$C$58:$C$67,999999))))</f>
      </c>
    </row>
    <row r="67">
      <c r="A67" t="n">
        <v>62</v>
      </c>
      <c r="B67" s="21">
        <f>IF(AND($CD67="",$CE67=""),"",IF($CE67="",$CD67,IF($CD67="",$CE67,MIN($CD67,$CE67))))</f>
      </c>
      <c r="C67" s="7">
        <f>IF($B67="","",IF($BF67=0,0,IF(Inputs!$C$4="Annual salary",ROUND($AK67/IF(AND(Inputs!$C$88="Actual paydays",MONTH(Inputs!$C$9)=1),MAX(1,MAX($BE$6:$BE$68)),Inputs!$C$8),2),$AK67)))</f>
      </c>
      <c r="D67" s="7">
        <f>IF($B67="","",SUMIF(Inputs!$C$58:$C$67,$B67,Inputs!$D$58:$D$67))</f>
      </c>
      <c r="E67" s="7">
        <f>IF($B67="","",ROUND(MAX(0,MIN(IF($AL67="Percent",$AM67*($C67+$D67),$AM67),MAX(0,Inputs!$C$91-$AC66))),2))</f>
      </c>
      <c r="F67" s="7">
        <f>IF($B67="","",ROUND(MAX(0,MIN(IF(Inputs!$C$32="Percent",Inputs!$D$32*($C67+$D67),Inputs!$D$32),MAX(0,Inputs!$C$91-$AC66-$E67))),2))</f>
      </c>
      <c r="G67" s="7">
        <f>IF($B67="","",IF($BF67=0,0,ROUND(MAX(0,MIN($BL67,Inputs!$C$92-Inputs!$C$54-$BI66)),2)))</f>
      </c>
      <c r="H67" s="7">
        <f>IF($B67="","",IF(OR($BF67=0,$BQ67=1),0,ROUND(MAX(0,MIN(IF($BS67=1,ROUND(MAX(0,MIN($BJ67,'Methodology &amp; Sources'!$C$263)-$BG66)/MAX(1,MAX($BE$6:$BE$68)-($BE66)),2),ROUND(MIN($BJ67,'Methodology &amp; Sources'!$C$263)/Inputs!$C$8,2)),MIN($BJ67,'Methodology &amp; Sources'!$C$263)-$BG66)),2)))</f>
      </c>
      <c r="I67" s="7">
        <f>IF($B67="","",IF(OR($BF67=0,$BR67=1),0,ROUND(MAX(0,MIN(IF($BT67=1,ROUND(MAX(0,MIN($BK67,IF(Inputs!$C$12="MFJ",'Methodology &amp; Sources'!$C$264,'Methodology &amp; Sources'!$C$265))-$BH66)/MAX(1,MAX($BE$6:$BE$68)-($BE66)),2),ROUND(MIN($BK67,IF(Inputs!$C$12="MFJ",'Methodology &amp; Sources'!$C$264,'Methodology &amp; Sources'!$C$265))/Inputs!$C$8,2)),MIN($BK67,IF(Inputs!$C$12="MFJ",'Methodology &amp; Sources'!$C$264,'Methodology &amp; Sources'!$C$265))-$BH66)),2)))</f>
      </c>
      <c r="J67" s="7">
        <f>IF($B67="","",IF($BF67=0,0,$BM67))</f>
      </c>
      <c r="K67" s="7">
        <f>IF($B67="","",IF($BF67=0,0,$BN67+$BO67))</f>
      </c>
      <c r="L67" s="7">
        <f>IF($B67="","",IF($BF67=0,0,Inputs!$D$46))</f>
      </c>
      <c r="M67" s="7">
        <f>IF($B67="","",$C67+$D67+$L67-$E67-$G67-$H67-$I67-$J67-$K67)</f>
      </c>
      <c r="N67" s="7">
        <f>IF($B67="","",$C67+$D67+$L67-$G67-$H67-$I67-$J67-$K67)</f>
      </c>
      <c r="O67" s="7">
        <f>IF($B67="","",$C67+$D67+$L67-$E67-$H67-$I67-$J67-$K67-IF(OR($AN67="CA",$AN67="NJ"),0,$G67))</f>
      </c>
      <c r="P67" s="7">
        <f>IF($B67="","",IF(Inputs!$C$18,0,ROUND(MAX(0,IF(Inputs!$C$13,SUMPRODUCT(($AH67&gt;INDEX('Methodology &amp; Sources'!$B$279:$J$286,0,IF(Inputs!$C$12="MFJ",1,IF(Inputs!$C$12="HoH",7,4))))*($AH67-INDEX('Methodology &amp; Sources'!$B$279:$J$286,0,IF(Inputs!$C$12="MFJ",1,IF(Inputs!$C$12="HoH",7,4))))*INDEX('Methodology &amp; Sources'!$B$279:$J$286,0,IF(Inputs!$C$12="MFJ",1,IF(Inputs!$C$12="HoH",7,4))+2)),SUMPRODUCT(($AH67&gt;INDEX('Methodology &amp; Sources'!$B$269:$J$276,0,IF(Inputs!$C$12="MFJ",1,IF(Inputs!$C$12="HoH",7,4))))*($AH67-INDEX('Methodology &amp; Sources'!$B$269:$J$276,0,IF(Inputs!$C$12="MFJ",1,IF(Inputs!$C$12="HoH",7,4))))*INDEX('Methodology &amp; Sources'!$B$269:$J$276,0,IF(Inputs!$C$12="MFJ",1,IF(Inputs!$C$12="HoH",7,4))+2)))/Inputs!$C$8-$AO67/Inputs!$C$8)+$AR67+IF(Inputs!$C$89="Aggregate",MAX(0,IF(Inputs!$C$13,SUMPRODUCT((($AH67+$D67)&gt;INDEX('Methodology &amp; Sources'!$B$279:$J$286,0,IF(Inputs!$C$12="MFJ",1,IF(Inputs!$C$12="HoH",7,4))))*(($AH67+$D67)-INDEX('Methodology &amp; Sources'!$B$279:$J$286,0,IF(Inputs!$C$12="MFJ",1,IF(Inputs!$C$12="HoH",7,4))))*INDEX('Methodology &amp; Sources'!$B$279:$J$286,0,IF(Inputs!$C$12="MFJ",1,IF(Inputs!$C$12="HoH",7,4))+2)),SUMPRODUCT((($AH67+$D67)&gt;INDEX('Methodology &amp; Sources'!$B$269:$J$276,0,IF(Inputs!$C$12="MFJ",1,IF(Inputs!$C$12="HoH",7,4))))*(($AH67+$D67)-INDEX('Methodology &amp; Sources'!$B$269:$J$276,0,IF(Inputs!$C$12="MFJ",1,IF(Inputs!$C$12="HoH",7,4))))*INDEX('Methodology &amp; Sources'!$B$269:$J$276,0,IF(Inputs!$C$12="MFJ",1,IF(Inputs!$C$12="HoH",7,4))+2)))-IF(Inputs!$C$13,SUMPRODUCT(($AH67&gt;INDEX('Methodology &amp; Sources'!$B$279:$J$286,0,IF(Inputs!$C$12="MFJ",1,IF(Inputs!$C$12="HoH",7,4))))*($AH67-INDEX('Methodology &amp; Sources'!$B$279:$J$286,0,IF(Inputs!$C$12="MFJ",1,IF(Inputs!$C$12="HoH",7,4))))*INDEX('Methodology &amp; Sources'!$B$279:$J$286,0,IF(Inputs!$C$12="MFJ",1,IF(Inputs!$C$12="HoH",7,4))+2)),SUMPRODUCT(($AH67&gt;INDEX('Methodology &amp; Sources'!$B$269:$J$276,0,IF(Inputs!$C$12="MFJ",1,IF(Inputs!$C$12="HoH",7,4))))*($AH67-INDEX('Methodology &amp; Sources'!$B$269:$J$276,0,IF(Inputs!$C$12="MFJ",1,IF(Inputs!$C$12="HoH",7,4))))*INDEX('Methodology &amp; Sources'!$B$269:$J$276,0,IF(Inputs!$C$12="MFJ",1,IF(Inputs!$C$12="HoH",7,4))+2)))),'Methodology &amp; Sources'!$C$260*$D67),2)))</f>
      </c>
      <c r="Q67" s="7">
        <f>IF($B67="","",ROUND('Methodology &amp; Sources'!$C$254*MIN($N67,MAX(0,'Methodology &amp; Sources'!$C$253-($AX67+$AB66-$AW67))),2))</f>
      </c>
      <c r="R67" s="7">
        <f>IF($B67="","",ROUND('Methodology &amp; Sources'!$C$255*$N67,2))</f>
      </c>
      <c r="S67" s="7">
        <f>IF($B67="","",ROUND('Methodology &amp; Sources'!$C$256*MAX(0,MIN($N67,$AG66+$N67-'Methodology &amp; Sources'!$C$257)),2))</f>
      </c>
      <c r="T67" s="7">
        <f>IF($B67="","",IF(Inputs!$C$26,0,IF($AN67="CA",ROUND(IF($AI67&lt;=IF(($AS67+$AT67)&gt;=2,VLOOKUP($AN67,'StateTables 2026'!$A$6:$AB$56,10,FALSE),VLOOKUP($AN67,'StateTables 2026'!$A$6:$AB$56,9,FALSE)),0,MAX(0,SUMPRODUCT(($AJ67&gt;INDEX('Methodology &amp; Sources'!$B$289:$J$298,0,IF($AU67="Married",4,IF($AU67="Head of household",7,1))))*($AJ67-INDEX('Methodology &amp; Sources'!$B$289:$J$298,0,IF($AU67="Married",4,IF($AU67="Head of household",7,1))))*INDEX('Methodology &amp; Sources'!$B$289:$J$298,0,IF($AU67="Married",4,IF($AU67="Head of household",7,1))+2))-VLOOKUP($AN67,'StateTables 2026'!$A$6:$AB$56,11,FALSE)*$AS67)/Inputs!$C$8)+Inputs!$C$25+VLOOKUP($AN67,'StateTables 2026'!$A$6:$AB$56,13,FALSE)*$D67,2),IF(VLOOKUP($AN67,'StateTables 2026'!$A$6:$AB$56,4,FALSE)="None",0,IF(ISNUMBER(SEARCH("MANUAL",VLOOKUP($AN67,'StateTables 2026'!$A$6:$AB$56,5,FALSE))),Inputs!$C$28,ROUND(MAX(0,$BA67+$BB67)/Inputs!$C$8+Inputs!$C$25+$BC67,2))))))</f>
      </c>
      <c r="U67" s="7">
        <f>IF($B67="","",IF(VLOOKUP($AN67,'StateTables 2026'!$A$6:$AB$56,24,FALSE)="flatq",IF(OR(MONTH($B67)=1,MONTH($B67)=4,MONTH($B67)=7,MONTH($B67)=10),VLOOKUP($AN67,'StateTables 2026'!$A$6:$AB$56,25,FALSE),0),IF(VLOOKUP($AN67,'StateTables 2026'!$A$6:$AB$56,24,FALSE)="dbl",MIN(ROUND(0.005*$N67,2),ROUND(0.6*52/Inputs!$C$8,2)),IF(OR(VLOOKUP($AN67,'StateTables 2026'!$A$6:$AB$56,15,FALSE)="",VLOOKUP($AN67,'StateTables 2026'!$A$6:$AB$56,15,FALSE)=0),0,ROUND(VLOOKUP($AN67,'StateTables 2026'!$A$6:$AB$56,15,FALSE)*IF(OR(VLOOKUP($AN67,'StateTables 2026'!$A$6:$AB$56,16,FALSE)="",VLOOKUP($AN67,'StateTables 2026'!$A$6:$AB$56,16,FALSE)=0),$N67,MIN($N67,MAX(0,VLOOKUP($AN67,'StateTables 2026'!$A$6:$AB$56,16,FALSE)-($AX67+$AB66-$AW67)))),2))))+IF(VLOOKUP($AN67,'StateTables 2026'!$A$6:$AB$56,27,FALSE)="flatq",IF(OR(MONTH($B67)=1,MONTH($B67)=4,MONTH($B67)=7,MONTH($B67)=10),VLOOKUP($AN67,'StateTables 2026'!$A$6:$AB$56,28,FALSE),0),IF(VLOOKUP($AN67,'StateTables 2026'!$A$6:$AB$56,27,FALSE)="dbl",MIN(ROUND(0.005*$N67,2),ROUND(0.6*52/Inputs!$C$8,2)),IF(OR(VLOOKUP($AN67,'StateTables 2026'!$A$6:$AB$56,18,FALSE)="",VLOOKUP($AN67,'StateTables 2026'!$A$6:$AB$56,18,FALSE)=0),0,ROUND(VLOOKUP($AN67,'StateTables 2026'!$A$6:$AB$56,18,FALSE)*IF(OR(VLOOKUP($AN67,'StateTables 2026'!$A$6:$AB$56,19,FALSE)="",VLOOKUP($AN67,'StateTables 2026'!$A$6:$AB$56,19,FALSE)=0),$N67,MIN($N67,MAX(0,VLOOKUP($AN67,'StateTables 2026'!$A$6:$AB$56,19,FALSE)-($AX67+$AB66-$AW67)))),2)))))</f>
      </c>
      <c r="V67" s="7">
        <f>IF($B67="","",IF($AN67="NY",IF(Inputs!$C$78,ROUND(SUMPRODUCT((MAX(0,($O67-$D67)*Inputs!$C$8-(IF($AU67="Married",5500,5000)+1000*$AS67))&gt;INDEX('Methodology &amp; Sources'!$B$434:$J$448,0,4))*(MAX(0,($O67-$D67)*Inputs!$C$8-(IF($AU67="Married",5500,5000)+1000*$AS67))-INDEX('Methodology &amp; Sources'!$B$434:$J$448,0,4))*INDEX('Methodology &amp; Sources'!$B$434:$J$448,0,4+2))/Inputs!$C$8+0.0425*$D67,2),0)+IF(Inputs!$C$79="Resident",ROUND(0.1675*$T67,2),IF(Inputs!$C$79="Nonresident",ROUND(0.005*MAX(0,($O67-$D67)-(IF($AU67="Married",7950,7400)+1000*$AS67)/Inputs!$C$8),2),0)),IF($AN67="PA",IF(Inputs!$C$80="None",Inputs!$C$27+ROUND(Inputs!$C$81*($C67+$D67),2),ROUND(IF(Inputs!$C$80="Resident",IF($B67&lt;DATE(2026,7,1),0.0374,0.03735),IF($B67&lt;DATE(2026,7,1),0.0343,0.03425))*($C67+$D67),2)),IF($BF67=0,ROUND(Inputs!$C$81*($C67+$D67),2),Inputs!$C$27+ROUND(Inputs!$C$81*($C67+$D67),2)))))</f>
      </c>
      <c r="W67" s="7">
        <f>IF($B67="","",IF($BF67=0,0,$BP67))</f>
      </c>
      <c r="X67" s="7">
        <f>IF($B67="","",SUM($E67:$K67)+$P67+$Q67+$R67+$S67+$T67+$U67+$V67+$W67)</f>
      </c>
      <c r="Y67" s="22">
        <f>IF($B67="","",$C67+$D67-$X67)</f>
      </c>
      <c r="Z67" s="7">
        <f>IF($B67="","",$Z66+$C67+$D67)</f>
      </c>
      <c r="AA67" s="7">
        <f>IF($B67="","",$AA66+$Y67)</f>
      </c>
      <c r="AB67" s="7">
        <f>IF($B67="","",$AB66+MIN($N67,MAX(0,'Methodology &amp; Sources'!$C$253-($AX67+$AB66-$AW67))))</f>
      </c>
      <c r="AC67" s="7">
        <f>IF($B67="","",$AC66+$E67+$F67)</f>
      </c>
      <c r="AD67" s="3">
        <f>IF($B67="","",IF(AND($AB66&lt;'Methodology &amp; Sources'!$C$253,$AB67&gt;='Methodology &amp; Sources'!$C$253),"★ Social Security maxed on this check — from the next check your net rises by about $"&amp;TEXT(ROUND('Methodology &amp; Sources'!$C$254*$N67,2),"#,##0.00")&amp;". ","")&amp;IF(AND($AC66&lt;Inputs!$C$91,$AC67&gt;=Inputs!$C$91),"★ 401(k) reaches the $"&amp;TEXT(Inputs!$C$91,"#,##0")&amp;" cap on this check — deferrals stop and net pay rises. ","")&amp;IF(AND($AG66&lt;'Methodology &amp; Sources'!$C$257,$AG67&gt;='Methodology &amp; Sources'!$C$257),"★ Wages pass $200,000 — the 0.9% Additional Medicare Tax starts here. ","")&amp;IF(AND($BJ67&gt;0,$H67&gt;0,$BG66&lt;MIN($BJ67,'Methodology &amp; Sources'!$C$263),$BG66+$H67&gt;=MIN($BJ67,'Methodology &amp; Sources'!$C$263)),"★ Health FSA election is now fully deferred for the year. ",""))</f>
      </c>
      <c r="AE67" s="41" t="n"/>
      <c r="AF67" s="7">
        <f>IF(OR($B67="",$AE67=""),"",$AE67-$Y67)</f>
      </c>
      <c r="AG67" s="7">
        <f>IF($B67="","",$AG66+$N67)</f>
      </c>
      <c r="AH67" s="7">
        <f>IF($B67="","",MAX(0,($M67-$D67)*Inputs!$C$8+$AP67-$AQ67-IF(Inputs!$C$13,0,IF(Inputs!$C$12="MFJ",'Methodology &amp; Sources'!$C$258,'Methodology &amp; Sources'!$C$259))))</f>
      </c>
      <c r="AI67" s="7">
        <f>IF($B67="","",$O67*Inputs!$C$8)</f>
      </c>
      <c r="AJ67" s="7">
        <f>IF($B67="","",MAX(0,$AI67-VLOOKUP($AN67,'StateTables 2026'!$A$6:$AB$56,12,FALSE)*$AT67-IF(($AS67+$AT67)&gt;=2,VLOOKUP($AN67,'StateTables 2026'!$A$6:$AB$56,8,FALSE),VLOOKUP($AN67,'StateTables 2026'!$A$6:$AB$56,7,FALSE))))</f>
      </c>
      <c r="AK67" s="7">
        <f>IF($B67="","",IFERROR(LOOKUP(2,1/((Events!$C$6:$C$17="Salary change")*(Events!$B$6:$B$17&lt;=$B67)*(Events!$B$6:$B$17&lt;&gt;"")),Events!$D$6:$D$17),IF(Inputs!$C$4="Annual salary",Inputs!$C$5,Inputs!$C$6)))</f>
      </c>
      <c r="AL67">
        <f>IF($B67="","",IFERROR(LOOKUP(2,1/((Events!$C$6:$C$17="401(k) change")*(Events!$B$6:$B$17&lt;=$B67)*(Events!$B$6:$B$17&lt;&gt;"")),Events!$D$6:$D$17),Inputs!$C$30))</f>
      </c>
      <c r="AM67" s="7">
        <f>IF($B67="","",IFERROR(LOOKUP(2,1/((Events!$C$6:$C$17="401(k) change")*(Events!$B$6:$B$17&lt;=$B67)*(Events!$B$6:$B$17&lt;&gt;"")),Events!$E$6:$E$17),Inputs!$D$30))</f>
      </c>
      <c r="AN67">
        <f>IF($B67="","",IFERROR(LOOKUP(2,1/((Events!$C$6:$C$17="State move")*(Events!$B$6:$B$17&lt;=$B67)*(Events!$B$6:$B$17&lt;&gt;"")),Events!$D$6:$D$17),Inputs!$C$21))</f>
      </c>
      <c r="AO67" s="7">
        <f>IF($B67="","",IFERROR(LOOKUP(2,1/((Events!$C$6:$C$17="W-4 change")*(Events!$B$6:$B$17&lt;=$B67)*(Events!$B$6:$B$17&lt;&gt;"")),Events!$D$6:$D$17),Inputs!$C$14))</f>
      </c>
      <c r="AP67" s="7">
        <f>IF($B67="","",IFERROR(LOOKUP(2,1/((Events!$C$6:$C$17="W-4 change")*(Events!$B$6:$B$17&lt;=$B67)*(Events!$B$6:$B$17&lt;&gt;"")),Events!$E$6:$E$17),Inputs!$C$15))</f>
      </c>
      <c r="AQ67" s="7">
        <f>IF($B67="","",IFERROR(LOOKUP(2,1/((Events!$C$6:$C$17="W-4 change")*(Events!$B$6:$B$17&lt;=$B67)*(Events!$B$6:$B$17&lt;&gt;"")),Events!$F$6:$F$17),Inputs!$C$16))</f>
      </c>
      <c r="AR67" s="7">
        <f>IF($B67="","",IFERROR(LOOKUP(2,1/((Events!$C$6:$C$17="W-4 change")*(Events!$B$6:$B$17&lt;=$B67)*(Events!$B$6:$B$17&lt;&gt;"")),Events!$G$6:$G$17),Inputs!$C$17))</f>
      </c>
      <c r="AS67" s="6">
        <f>IF($B67="","",IFERROR(LOOKUP(2,1/(((Events!$C$6:$C$17="State move")+(Events!$C$6:$C$17="State cert change"))*(Events!$B$6:$B$17&lt;=$B67)*(Events!$B$6:$B$17&lt;&gt;"")),Events!$F$6:$F$17),Inputs!$C$23))</f>
      </c>
      <c r="AT67" s="6">
        <f>IF($B67="","",IFERROR(LOOKUP(2,1/(((Events!$C$6:$C$17="State move")+(Events!$C$6:$C$17="State cert change"))*(Events!$B$6:$B$17&lt;=$B67)*(Events!$B$6:$B$17&lt;&gt;"")),Events!$G$6:$G$17),Inputs!$C$24))</f>
      </c>
      <c r="AU67">
        <f>IF($B67="","",IFERROR(LOOKUP(2,1/((Events!$C$6:$C$17="State move")*(Events!$B$6:$B$17&lt;=$B67)*(Events!$B$6:$B$17&lt;&gt;"")),Events!$E$6:$E$17),Inputs!$C$22))</f>
      </c>
      <c r="AV67" s="6">
        <f>IF($B67="","",1+COUNTIFS(Events!$C$6:$C$17,"Employer change",Events!$B$6:$B$17,"&lt;="&amp;$B67,Events!$B$6:$B$17,"&lt;&gt;"))</f>
      </c>
      <c r="AW67" s="7">
        <f>IF($B67="","",IF($AV67=1,Inputs!$C$49,IF(IFERROR(MATCH(IFERROR(LOOKUP(2,1/((Events!$C$6:$C$17="Employer change")*(Events!$B$6:$B$17&lt;=$B67)*(Events!$B$6:$B$17&lt;&gt;"")),Events!$B$6:$B$17),""),$B$6:$B$68,1),1)&lt;=1,Inputs!$C$49,INDEX($AB$6:$AB$68,MATCH(IFERROR(LOOKUP(2,1/((Events!$C$6:$C$17="Employer change")*(Events!$B$6:$B$17&lt;=$B67)*(Events!$B$6:$B$17&lt;&gt;"")),Events!$B$6:$B$17),""),$B$6:$B$68,1)-1))))</f>
      </c>
      <c r="AX67" s="7">
        <f>IF($B67="","",IF($AV67=1,Inputs!$C$49,IFERROR(LOOKUP(2,1/((Events!$C$6:$C$17="Employer change")*(Events!$B$6:$B$17&lt;=$B67)*(Events!$B$6:$B$17&lt;&gt;"")),Events!$D$6:$D$17),0)))</f>
      </c>
      <c r="AY67" s="7">
        <f>IF($B67="","",($O67-$D67)*Inputs!$C$8)</f>
      </c>
      <c r="AZ67" s="7">
        <f>IF($B67="","",IF($AN67="AL",MAX(0,$AY67-IF($AU67="Married",IF($AY67&lt;=25999,8500,MAX(5000,8500-175*CEILING(($AY67-25999)/500,1))),IF($AU67="Head of household",IF($AY67&lt;=25999,5200,MAX(2500,5200-135*CEILING(($AY67-25999)/500,1))),IF($AY67&lt;=25999,3000,MAX(2500,3000-25*CEILING(($AY67-25999)/500,1)))))-($P67-'Methodology &amp; Sources'!$C$260*$D67)*Inputs!$C$8-IF(OR($AU67="Married",$AU67="Head of household"),3000,1500)-$AT67*IF($AY67&lt;=50000,1000,IF($AY67&lt;=100000,500,300))),IF($AN67="AR",IF(MAX(0,$AY67-2470)&lt;97701,INT(MAX(0,$AY67-2470)/100)*100+50,MAX(0,$AY67-2470)),IF($AN67="DE",MAX(0,$AI67-3250),IF($AN67="HI",MAX(0,$AI67-1144*$AS67-4350),IF($AN67="KS",MAX(0,$AI67-(9160*IF($AU67="Married",2,1)+2320*$AT67+IF($AU67="Head of household",2320,0))),IF($AN67="MD",MAX(0,$AI67-3400-3200*$AS67),IF($AN67="MN",MAX(0,$AY67-5300*$AS67),IF($AN67="MO",MAX(0,$AI67-IF($AU67="Head of household",24150,IF($AU67="Married",IF(Inputs!$C$83,16100,32200),16100))),IF($AN67="MT",$AY67,IF($AN67="ND",($C67+$L67)*Inputs!$C$8,IF($AN67="NE",MAX(0,$AY67-2440*$AS67),IF($AN67="NJ",MAX(0,$AY67-1000*$AS67),IF($AN67="NY",MAX(0,$AY67-(IF($AU67="Married",7950,7400)+1000*$AS67)),IF($AN67="OH",MAX(0,$AY67-650*$AS67),IF($AN67="OK",MAX(0,$AY67-1000*$AS67),IF($AN67="RI",MAX(0,$AI67-1000*$AS67),IF($AN67="SC",MAX(0,$AI67-5000*$AS67-IF($AS67=0,0,MIN(0.1*$AI67,7500))),IF($AN67="VA",MAX(0,$AI67-IF($AU67="Married",17500,8750)-930*$AS67-800*$AT67),IF($AN67="VT",MAX(0,$AI67-5400*$AS67),IF($AN67="WI",MAX(0,$AI67-MAX(0,IF($AU67="Married",9461-0.2*MAX(0,$AI67-25727),6702-0.12*MAX(0,$AI67-17780)))-400*$AS67),IF($AN67="WV",MAX(0,$AI67-2000*$AS67),$AI67))))))))))))))))))))))</f>
      </c>
      <c r="BA67" s="7">
        <f>IF($B67="","",IF($BW67&lt;&gt;"",$BW67,IF($BX67&lt;&gt;"",$BX67,IF($BY67&lt;&gt;"",$BY67,0))))</f>
      </c>
      <c r="BB67" s="7">
        <f>IF($B67="","",IF($AN67="AR",-29*$AS67,IF($AN67="DE",-110*$AS67,IF($AN67="MD",$AZ67*Inputs!$C$74,IF($AN67="AZ",Inputs!$C$82*($M67-$D67)*Inputs!$C$8,IF($AN67="CO",0.044*MAX(0,$AY67-IF($AU67="Married",10000,5000)),IF($AN67="IA",MAX(0,0.038*MAX(0,$AY67-IF($AU67="Head of household",19500,IF($AU67="Married",26000,13000)))-40*$AS67),IF($AN67="ID",0.053*MAX(0,$AY67-IF($AU67="Married",32000,16094)),IF($AN67="IL",0.0495*MAX(0,$AY67-(2925*$AS67+1000*$AT67)),IF($AN67="IN",(0.0295+Inputs!$C$76)*MAX(0,$AY67-(1000*$AS67+1500*$AT67+3000*Inputs!$C$86)),IF($AN67="KY",0.035*MAX(0,$AI67-3360),IF($AN67="LA",IF(Inputs!$C$84="0",0.0309*$AI67,0.0309*MAX(0,$AI67-IF(Inputs!$C$84="2",25750,12875))),IF($AN67="MA",0.05*MIN(MAX(0,$AY67-MIN(($BD66+$Q67+$R67+$S67),2000)-IF($AS67=0,0,IF($AS67=1,4400,1000*$AS67+3400))),1107750)+0.09*MAX(0,MAX(0,$AY67-MIN(($BD66+$Q67+$R67+$S67),2000)-IF($AS67=0,0,IF($AS67=1,4400,1000*$AS67+3400)))-1107750)-IF($AU67="Head of household",120,0)-110*Inputs!$C$75,IF($AN67="MI",0.0425*MAX(0,$AY67-5900*$AS67),IF($AN67="MS",0.04*MAX(0,$AI67-IF($AU67="Head of household",3400,IF($AU67="Married",4600,2300))-Inputs!$C$85-10000),IF($AN67="OR",IF(OR($AU67="Married",AND($AU67="Single",$AS67&gt;=3)),SUMPRODUCT((MAX(0,$AY67-MIN(($P67-'Methodology &amp; Sources'!$C$260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Sources'!$B$461:$J$464,0,4))*(MAX(0,$AY67-MIN(($P67-'Methodology &amp; Sources'!$C$260*$D67)*Inputs!$C$8,IF(OR($AU67="Married",AND($AU67="Single",$AS67&gt;=3)),IF($AY67&lt;250000,8750,IF($AY67&lt;260000,7000,IF($AY67&lt;270000,5250,IF($AY67&lt;280000,3500,IF($AY67&lt;290000,1750,0))))),IF($AY67&lt;125000,8750,IF($AY67&lt;130000,7000,IF($AY67&lt;135000,5250,IF($AY67&lt;140000,3500,IF($AY67&lt;145000,1750,0)))))))-IF(OR($AU67="Married",AND($AU67="Single",$AS67&gt;=3)),5820,2910))-INDEX('Methodology &amp; Sources'!$B$461:$J$464,0,4))*INDEX('Methodology &amp; Sources'!$B$461:$J$464,0,4+2)),SUMPRODUCT((MAX(0,$AY67-MIN(($P67-'Methodology &amp; Sources'!$C$260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Sources'!$B$461:$J$464,0,1))*(MAX(0,$AY67-MIN(($P67-'Methodology &amp; Sources'!$C$260*$D67)*Inputs!$C$8,IF(OR($AU67="Married",AND($AU67="Single",$AS67&gt;=3)),IF($AY67&lt;250000,8750,IF($AY67&lt;260000,7000,IF($AY67&lt;270000,5250,IF($AY67&lt;280000,3500,IF($AY67&lt;290000,1750,0))))),IF($AY67&lt;125000,8750,IF($AY67&lt;130000,7000,IF($AY67&lt;135000,5250,IF($AY67&lt;140000,3500,IF($AY67&lt;145000,1750,0)))))))-IF(OR($AU67="Married",AND($AU67="Single",$AS67&gt;=3)),5820,2910))-INDEX('Methodology &amp; Sources'!$B$461:$J$464,0,1))*INDEX('Methodology &amp; Sources'!$B$461:$J$464,0,1+2)))+263-263*IF(IF($AU67="Married",$AY67&gt;200000,$AY67&gt;100000),0,$AS67),IF($AN67="PA",0.0307*(($O67+$E67+$G67)*Inputs!$C$8),IF($AN67="NY",IF($AU67="Married",IF($AZ67&gt;=2155350,0,IF($AZ67&gt;=1077550,0.48,IF($AZ67&gt;=373200,1.21,IF($AZ67&gt;=323200,0.21,IF($AZ67&gt;=211550,-0.19,IF($AZ67&gt;=157650,-2.8,IF($AZ67&gt;=107650,-0.8,IF($AZ67&gt;=96800,0.05,IF($AZ67&gt;=80650,-0.1,IF($AZ67&gt;=13900,0.4,IF($AZ67&gt;=11700,-0.3,IF($AZ67&gt;=8500,0.5,0)))))))))))),IF($AZ67&gt;=1077550,0,IF($AZ67&gt;=265400,4.29,IF($AZ67&gt;=215400,2.29,IF($AZ67&gt;=157650,2.29,IF($AZ67&gt;=107650,0.29,IF($AZ67&gt;=96800,0.05,IF($AZ67&gt;=80650,-0.1,IF($AZ67&gt;=13900,0.4,IF($AZ67&gt;=11700,-0.3,IF($AZ67&gt;=8500,0.5,0))))))))))),0))))))))))))))))))</f>
      </c>
      <c r="BC67" s="7">
        <f>IF($B67="","",IF($AN67="AL",0.05*$D67,IF($AN67="AR",0.039*$D67,IF($AN67="ID",0.053*$D67,IF($AN67="IN",(0.0295+Inputs!$C$76)*$D67,IF($AN67="KS",0.05*$D67,IF($AN67="MA",0.09*MIN($D67,MAX(0,MAX(0,$AY67-MIN(($BD66+$Q67+$R67+$S67),2000)-IF($AS67=0,0,IF($AS67=1,4400,1000*$AS67+3400)))+$D67-1107750))+0.05*($D67-MIN($D67,MAX(0,MAX(0,$AY67-MIN(($BD66+$Q67+$R67+$S67),2000)-IF($AS67=0,0,IF($AS67=1,4400,1000*$AS67+3400)))+$D67-1107750))),IF($AN67="MD",(0.065+Inputs!$C$74)*$D67,IF($AN67="MI",0.0425*$D67,IF($AN67="MN",0.0625*$D67,IF($AN67="MO",0.047*$D67,IF($AN67="MT",0.05*$D67,IF($AN67="ND",0.015*$D67,IF($AN67="NE",0.035*$D67,IF($AN67="NJ",IF(Inputs!$C$77="B",SUMPRODUCT(($D67*Inputs!$C$8&gt;INDEX('Methodology &amp; Sources'!$B$405:$J$412,0,4))*($D67*Inputs!$C$8-INDEX('Methodology &amp; Sources'!$B$405:$J$412,0,4))*INDEX('Methodology &amp; Sources'!$B$405:$J$412,0,4+2)),IF(Inputs!$C$77="C",SUMPRODUCT(($D67*Inputs!$C$8&gt;INDEX('Methodology &amp; Sources'!$B$405:$J$412,0,7))*($D67*Inputs!$C$8-INDEX('Methodology &amp; Sources'!$B$405:$J$412,0,7))*INDEX('Methodology &amp; Sources'!$B$405:$J$412,0,7+2)),IF(Inputs!$C$77="D",SUMPRODUCT(($D67*Inputs!$C$8&gt;INDEX('Methodology &amp; Sources'!$B$417:$J$429,0,1))*($D67*Inputs!$C$8-INDEX('Methodology &amp; Sources'!$B$417:$J$429,0,1))*INDEX('Methodology &amp; Sources'!$B$417:$J$429,0,1+2)),IF(Inputs!$C$77="E",SUMPRODUCT(($D67*Inputs!$C$8&gt;INDEX('Methodology &amp; Sources'!$B$417:$J$429,0,4))*($D67*Inputs!$C$8-INDEX('Methodology &amp; Sources'!$B$417:$J$429,0,4))*INDEX('Methodology &amp; Sources'!$B$417:$J$429,0,4+2)),SUMPRODUCT(($D67*Inputs!$C$8&gt;INDEX('Methodology &amp; Sources'!$B$405:$J$412,0,1))*($D67*Inputs!$C$8-INDEX('Methodology &amp; Sources'!$B$405:$J$412,0,1))*INDEX('Methodology &amp; Sources'!$B$405:$J$412,0,1+2))))))/Inputs!$C$8,IF($AN67="NY",0.117*$D67,IF($AN67="OH",0.0275*$D67,IF($AN67="OK",0.045*$D67,IF($AN67="OR",0.08*$D67,IF($AN67="WI",IF($AY67&lt;12760,0.0354,IF($AY67&lt;25520,0.0465,IF($AY67&lt;280950,0.053,0.0765)))*$D67,0))))))))))))))))))))</f>
      </c>
      <c r="BD67" s="7">
        <f>IF($B67="","",$BD66+$Q67+$R67+$S67)</f>
      </c>
      <c r="BE67" s="6">
        <f>IF($B67="",$BE66,$BE66+$BF67)</f>
      </c>
      <c r="BF67" s="6">
        <f>IF($B67="","",IF(AND(IF(YEAR(IF(Inputs!$C$7="Weekly",Inputs!$C$9+7*(($BE66+1)-1),IF(Inputs!$C$7="Biweekly",Inputs!$C$9+14*(($BE66+1)-1),IF(Inputs!$C$7="Semimonthly",DATE(YEAR(Inputs!$C$9),MONTH(Inputs!$C$9)+INT((($BE66+1)-1)/2),MIN(DAY(Inputs!$C$9),DAY(EOMONTH(DATE(YEAR(Inputs!$C$9),MONTH(Inputs!$C$9)+INT((($BE66+1)-1)/2),1),0))))+IF(MOD(($BE66+1)-1,2)=1,15,0),EDATE(Inputs!$C$9,($BE66+1)-1)))))&lt;&gt;2026,"",IF(Inputs!$C$7="Weekly",Inputs!$C$9+7*(($BE66+1)-1),IF(Inputs!$C$7="Biweekly",Inputs!$C$9+14*(($BE66+1)-1),IF(Inputs!$C$7="Semimonthly",DATE(YEAR(Inputs!$C$9),MONTH(Inputs!$C$9)+INT((($BE66+1)-1)/2),MIN(DAY(Inputs!$C$9),DAY(EOMONTH(DATE(YEAR(Inputs!$C$9),MONTH(Inputs!$C$9)+INT((($BE66+1)-1)/2),1),0))))+IF(MOD(($BE66+1)-1,2)=1,15,0),EDATE(Inputs!$C$9,($BE66+1)-1)))))&lt;&gt;"",$B67=IF(YEAR(IF(Inputs!$C$7="Weekly",Inputs!$C$9+7*(($BE66+1)-1),IF(Inputs!$C$7="Biweekly",Inputs!$C$9+14*(($BE66+1)-1),IF(Inputs!$C$7="Semimonthly",DATE(YEAR(Inputs!$C$9),MONTH(Inputs!$C$9)+INT((($BE66+1)-1)/2),MIN(DAY(Inputs!$C$9),DAY(EOMONTH(DATE(YEAR(Inputs!$C$9),MONTH(Inputs!$C$9)+INT((($BE66+1)-1)/2),1),0))))+IF(MOD(($BE66+1)-1,2)=1,15,0),EDATE(Inputs!$C$9,($BE66+1)-1)))))&lt;&gt;2026,"",IF(Inputs!$C$7="Weekly",Inputs!$C$9+7*(($BE66+1)-1),IF(Inputs!$C$7="Biweekly",Inputs!$C$9+14*(($BE66+1)-1),IF(Inputs!$C$7="Semimonthly",DATE(YEAR(Inputs!$C$9),MONTH(Inputs!$C$9)+INT((($BE66+1)-1)/2),MIN(DAY(Inputs!$C$9),DAY(EOMONTH(DATE(YEAR(Inputs!$C$9),MONTH(Inputs!$C$9)+INT((($BE66+1)-1)/2),1),0))))+IF(MOD(($BE66+1)-1,2)=1,15,0),EDATE(Inputs!$C$9,($BE66+1)-1)))))),1,0))</f>
      </c>
      <c r="BG67" s="7">
        <f>IF($B67="","",$BG66+$H67)</f>
      </c>
      <c r="BH67" s="7">
        <f>IF($B67="","",$BH66+$I67)</f>
      </c>
      <c r="BI67" s="7">
        <f>IF($B67="","",$BI66+$G67)</f>
      </c>
      <c r="BJ67" s="7">
        <f>IF($B67="","",IFERROR(LOOKUP(2,1/((((Events!$C$6:$C$17="Deduction start"))*(Events!$D$6:$D$17="Health FSA"))*(Events!$B$6:$B$17&lt;=$B67)*(Events!$B$6:$B$17&lt;&gt;"")),Events!$E$6:$E$17),Inputs!$D$38))</f>
      </c>
      <c r="BK67" s="7">
        <f>IF($B67="","",IFERROR(LOOKUP(2,1/((((Events!$C$6:$C$17="Deduction start"))*(Events!$D$6:$D$17="Dependent-care FSA"))*(Events!$B$6:$B$17&lt;=$B67)*(Events!$B$6:$B$17&lt;&gt;"")),Events!$E$6:$E$17),Inputs!$D$39))</f>
      </c>
      <c r="BL67" s="7">
        <f>IF($B67="","",IFERROR(LOOKUP(2,1/((((Events!$C$6:$C$17="Deduction start")+(Events!$C$6:$C$17="Deduction stop"))*(Events!$D$6:$D$17="HSA"))*(Events!$B$6:$B$17&lt;=$B67)*(Events!$B$6:$B$17&lt;&gt;"")),Events!$I$6:$I$17),Inputs!$D$35))</f>
      </c>
      <c r="BM67" s="7">
        <f>IF($B67="","",IFERROR(LOOKUP(2,1/((((Events!$C$6:$C$17="Deduction start")+(Events!$C$6:$C$17="Deduction stop"))*(Events!$D$6:$D$17="Premiums"))*(Events!$B$6:$B$17&lt;=$B67)*(Events!$B$6:$B$17&lt;&gt;"")),Events!$I$6:$I$17),Inputs!$D$40+Inputs!$D$41+Inputs!$D$42))</f>
      </c>
      <c r="BN67" s="7">
        <f>IF($B67="","",IFERROR(LOOKUP(2,1/((((Events!$C$6:$C$17="Deduction start")+(Events!$C$6:$C$17="Deduction stop"))*(Events!$D$6:$D$17="Commuter"))*(Events!$B$6:$B$17&lt;=$B67)*(Events!$B$6:$B$17&lt;&gt;"")),Events!$I$6:$I$17),Inputs!$D$43))</f>
      </c>
      <c r="BO67" s="7">
        <f>IF($B67="","",IFERROR(LOOKUP(2,1/((((Events!$C$6:$C$17="Deduction start")+(Events!$C$6:$C$17="Deduction stop"))*(Events!$D$6:$D$17="Other pre-tax"))*(Events!$B$6:$B$17&lt;=$B67)*(Events!$B$6:$B$17&lt;&gt;"")),Events!$I$6:$I$17),Inputs!$D$44))</f>
      </c>
      <c r="BP67" s="7">
        <f>IF($B67="","",IFERROR(LOOKUP(2,1/((((Events!$C$6:$C$17="Deduction start")+(Events!$C$6:$C$17="Deduction stop"))*(Events!$D$6:$D$17="Other post-tax"))*(Events!$B$6:$B$17&lt;=$B67)*(Events!$B$6:$B$17&lt;&gt;"")),Events!$I$6:$I$17),Inputs!$D$45))</f>
      </c>
      <c r="BQ67" s="6">
        <f>IF($B67="","",IFERROR(LOOKUP(2,1/((((Events!$C$6:$C$17="Deduction start")+(Events!$C$6:$C$17="Deduction stop"))*(Events!$D$6:$D$17="Health FSA"))*(Events!$B$6:$B$17&lt;=$B67)*(Events!$B$6:$B$17&lt;&gt;"")),Events!$J$6:$J$17),0))</f>
      </c>
      <c r="BR67" s="6">
        <f>IF($B67="","",IFERROR(LOOKUP(2,1/((((Events!$C$6:$C$17="Deduction start")+(Events!$C$6:$C$17="Deduction stop"))*(Events!$D$6:$D$17="Dependent-care FSA"))*(Events!$B$6:$B$17&lt;=$B67)*(Events!$B$6:$B$17&lt;&gt;"")),Events!$J$6:$J$17),0))</f>
      </c>
      <c r="BS67" s="6">
        <f>IF($B67="","",IF(SUMPRODUCT((Events!$C$6:$C$17="Deduction start")*(Events!$B$6:$B$17&lt;=$B67)*(Events!$B$6:$B$17&lt;&gt;"")*(Events!$D$6:$D$17="Health FSA"))&gt;0,1,0))</f>
      </c>
      <c r="BT67" s="6">
        <f>IF($B67="","",IF(SUMPRODUCT((Events!$C$6:$C$17="Deduction start")*(Events!$B$6:$B$17&lt;=$B67)*(Events!$B$6:$B$17&lt;&gt;"")*(Events!$D$6:$D$17="Dependent-care FSA"))&gt;0,1,0))</f>
      </c>
      <c r="BU67" s="24">
        <f>IF($B67="","",IF(Inputs!$C$13,SUMPRODUCT(($AH67&gt;=INDEX('Methodology &amp; Sources'!$B$279:$J$286,0,IF(Inputs!$C$12="MFJ",1,IF(Inputs!$C$12="HoH",7,4))))*INDEX('Methodology &amp; Sources'!$B$279:$J$286,0,IF(Inputs!$C$12="MFJ",1,IF(Inputs!$C$12="HoH",7,4))+2)),SUMPRODUCT(($AH67&gt;=INDEX('Methodology &amp; Sources'!$B$269:$J$276,0,IF(Inputs!$C$12="MFJ",1,IF(Inputs!$C$12="HoH",7,4))))*INDEX('Methodology &amp; Sources'!$B$269:$J$276,0,IF(Inputs!$C$12="MFJ",1,IF(Inputs!$C$12="HoH",7,4))+2))))</f>
      </c>
      <c r="BV67" s="24">
        <f>IF($B67="","",IF($BZ67&lt;&gt;"",$BZ67,IF($CA67&lt;&gt;"",$CA67,IF($CB67&lt;&gt;"",$CB67,IF($CC67&lt;&gt;"",$CC67,0)))))</f>
      </c>
      <c r="BW67" s="7">
        <f>IF($B67="","",IF($AN67="MD",IF(OR($AU67="Married",$AU67="Head of household"),SUMPRODUCT(($AZ67&gt;INDEX('Methodology &amp; Sources'!$B$364:$J$370,0,1))*($AZ67-INDEX('Methodology &amp; Sources'!$B$364:$J$370,0,1))*INDEX('Methodology &amp; Sources'!$B$364:$J$370,0,1+2)),SUMPRODUCT(($AZ67&gt;INDEX('Methodology &amp; Sources'!$B$353:$J$359,0,7))*($AZ67-INDEX('Methodology &amp; Sources'!$B$353:$J$359,0,7))*INDEX('Methodology &amp; Sources'!$B$353:$J$359,0,7+2))),IF($AN67="MO",SUMPRODUCT(($AZ67&gt;INDEX('Methodology &amp; Sources'!$B$375:$J$382,0,1))*($AZ67-INDEX('Methodology &amp; Sources'!$B$375:$J$382,0,1))*INDEX('Methodology &amp; Sources'!$B$375:$J$382,0,1+2)),IF($AN67="MT",IF($AU67="Head of household",SUMPRODUCT(($AZ67&gt;INDEX('Methodology &amp; Sources'!$B$387:$J$389,0,1))*($AZ67-INDEX('Methodology &amp; Sources'!$B$387:$J$389,0,1))*INDEX('Methodology &amp; Sources'!$B$387:$J$389,0,1+2)),IF($AU67="Married",SUMPRODUCT(($AZ67&gt;INDEX('Methodology &amp; Sources'!$B$375:$J$382,0,7))*($AZ67-INDEX('Methodology &amp; Sources'!$B$375:$J$382,0,7))*INDEX('Methodology &amp; Sources'!$B$375:$J$382,0,7+2)),SUMPRODUCT(($AZ67&gt;INDEX('Methodology &amp; Sources'!$B$375:$J$382,0,4))*($AZ67-INDEX('Methodology &amp; Sources'!$B$375:$J$382,0,4))*INDEX('Methodology &amp; Sources'!$B$375:$J$382,0,4+2)))),IF($AN67="ND",IF($AU67="Head of household",SUMPRODUCT(($AZ67&gt;INDEX('Methodology &amp; Sources'!$B$394:$J$400,0,1))*($AZ67-INDEX('Methodology &amp; Sources'!$B$394:$J$400,0,1))*INDEX('Methodology &amp; Sources'!$B$394:$J$400,0,1+2)),IF($AU67="Married",SUMPRODUCT(($AZ67&gt;INDEX('Methodology &amp; Sources'!$B$387:$J$389,0,7))*($AZ67-INDEX('Methodology &amp; Sources'!$B$387:$J$389,0,7))*INDEX('Methodology &amp; Sources'!$B$387:$J$389,0,7+2)),SUMPRODUCT(($AZ67&gt;INDEX('Methodology &amp; Sources'!$B$387:$J$389,0,4))*($AZ67-INDEX('Methodology &amp; Sources'!$B$387:$J$389,0,4))*INDEX('Methodology &amp; Sources'!$B$387:$J$389,0,4+2)))),IF($AN67="NJ",IF(Inputs!$C$77="B",SUMPRODUCT(($AZ67&gt;INDEX('Methodology &amp; Sources'!$B$405:$J$412,0,4))*($AZ67-INDEX('Methodology &amp; Sources'!$B$405:$J$412,0,4))*INDEX('Methodology &amp; Sources'!$B$405:$J$412,0,4+2)),IF(Inputs!$C$77="C",SUMPRODUCT(($AZ67&gt;INDEX('Methodology &amp; Sources'!$B$405:$J$412,0,7))*($AZ67-INDEX('Methodology &amp; Sources'!$B$405:$J$412,0,7))*INDEX('Methodology &amp; Sources'!$B$405:$J$412,0,7+2)),IF(Inputs!$C$77="D",SUMPRODUCT(($AZ67&gt;INDEX('Methodology &amp; Sources'!$B$417:$J$429,0,1))*($AZ67-INDEX('Methodology &amp; Sources'!$B$417:$J$429,0,1))*INDEX('Methodology &amp; Sources'!$B$417:$J$429,0,1+2)),IF(Inputs!$C$77="E",SUMPRODUCT(($AZ67&gt;INDEX('Methodology &amp; Sources'!$B$417:$J$429,0,4))*($AZ67-INDEX('Methodology &amp; Sources'!$B$417:$J$429,0,4))*INDEX('Methodology &amp; Sources'!$B$417:$J$429,0,4+2)),SUMPRODUCT(($AZ67&gt;INDEX('Methodology &amp; Sources'!$B$405:$J$412,0,1))*($AZ67-INDEX('Methodology &amp; Sources'!$B$405:$J$412,0,1))*INDEX('Methodology &amp; Sources'!$B$405:$J$412,0,1+2)))))),IF($AN67="NY",IF($AU67="Married",IF($AZ67&gt;=2155350,$AZ67*IF($AZ67&gt;25000000,0.117,IF($AZ67&gt;5000000,0.111,0.1045)),SUMPRODUCT(($AZ67&gt;INDEX('Methodology &amp; Sources'!$B$434:$J$448,0,1))*($AZ67-INDEX('Methodology &amp; Sources'!$B$434:$J$448,0,1))*INDEX('Methodology &amp; Sources'!$B$434:$J$448,0,1+2))),IF($AZ67&gt;=1077550,$AZ67*IF($AZ67&gt;25000000,0.117,IF($AZ67&gt;5000000,0.111,0.1045)),SUMPRODUCT(($AZ67&gt;INDEX('Methodology &amp; Sources'!$B$417:$J$429,0,7))*($AZ67-INDEX('Methodology &amp; Sources'!$B$417:$J$429,0,7))*INDEX('Methodology &amp; Sources'!$B$417:$J$429,0,7+2)))),"")))))))</f>
      </c>
      <c r="BX67" s="7">
        <f>IF($B67="","",IF($AN67="AL",IF(OR($AU67="Married",$AU67="Head of household"),SUMPRODUCT(($AZ67&gt;INDEX('Methodology &amp; Sources'!$B$332:$J$336,0,4))*($AZ67-INDEX('Methodology &amp; Sources'!$B$332:$J$336,0,4))*INDEX('Methodology &amp; Sources'!$B$332:$J$336,0,4+2)),SUMPRODUCT(($AZ67&gt;INDEX('Methodology &amp; Sources'!$B$332:$J$336,0,1))*($AZ67-INDEX('Methodology &amp; Sources'!$B$332:$J$336,0,1))*INDEX('Methodology &amp; Sources'!$B$332:$J$336,0,1+2))),IF($AN67="KS",IF($AU67="Married",SUMPRODUCT(($AZ67&gt;INDEX('Methodology &amp; Sources'!$B$353:$J$359,0,4))*($AZ67-INDEX('Methodology &amp; Sources'!$B$353:$J$359,0,4))*INDEX('Methodology &amp; Sources'!$B$353:$J$359,0,4+2)),SUMPRODUCT(($AZ67&gt;INDEX('Methodology &amp; Sources'!$B$353:$J$359,0,1))*($AZ67-INDEX('Methodology &amp; Sources'!$B$353:$J$359,0,1))*INDEX('Methodology &amp; Sources'!$B$353:$J$359,0,1+2))),IF($AN67="MN",IF($AU67="Married",SUMPRODUCT(($AZ67&gt;INDEX('Methodology &amp; Sources'!$B$364:$J$370,0,7))*($AZ67-INDEX('Methodology &amp; Sources'!$B$364:$J$370,0,7))*INDEX('Methodology &amp; Sources'!$B$364:$J$370,0,7+2)),SUMPRODUCT(($AZ67&gt;INDEX('Methodology &amp; Sources'!$B$364:$J$370,0,4))*($AZ67-INDEX('Methodology &amp; Sources'!$B$364:$J$370,0,4))*INDEX('Methodology &amp; Sources'!$B$364:$J$370,0,4+2))),IF($AN67="NE",MAX(IF($AU67="Married",SUMPRODUCT(($AZ67&gt;INDEX('Methodology &amp; Sources'!$B$394:$J$400,0,7))*($AZ67-INDEX('Methodology &amp; Sources'!$B$394:$J$400,0,7))*INDEX('Methodology &amp; Sources'!$B$394:$J$400,0,7+2)),SUMPRODUCT(($AZ67&gt;INDEX('Methodology &amp; Sources'!$B$394:$J$400,0,4))*($AZ67-INDEX('Methodology &amp; Sources'!$B$394:$J$400,0,4))*INDEX('Methodology &amp; Sources'!$B$394:$J$400,0,4+2))),0.015*$AZ67),IF($AN67="OH",IF($B67&gt;=DATE(2026,8,1),SUMPRODUCT(($AZ67&gt;INDEX('Methodology &amp; Sources'!$B$453:$J$456,0,1))*($AZ67-INDEX('Methodology &amp; Sources'!$B$453:$J$456,0,1))*INDEX('Methodology &amp; Sources'!$B$453:$J$456,0,1+2)),SUMPRODUCT(($AZ67&gt;INDEX('Methodology &amp; Sources'!$B$434:$J$448,0,7))*($AZ67-INDEX('Methodology &amp; Sources'!$B$434:$J$448,0,7))*INDEX('Methodology &amp; Sources'!$B$434:$J$448,0,7+2))),IF($AN67="OK",IF($AU67="Married",SUMPRODUCT(($AZ67&gt;INDEX('Methodology &amp; Sources'!$B$453:$J$456,0,7))*($AZ67-INDEX('Methodology &amp; Sources'!$B$453:$J$456,0,7))*INDEX('Methodology &amp; Sources'!$B$453:$J$456,0,7+2)),SUMPRODUCT(($AZ67&gt;INDEX('Methodology &amp; Sources'!$B$453:$J$456,0,4))*($AZ67-INDEX('Methodology &amp; Sources'!$B$453:$J$456,0,4))*INDEX('Methodology &amp; Sources'!$B$453:$J$456,0,4+2))),IF($AN67="RI",SUMPRODUCT(($AZ67&gt;INDEX('Methodology &amp; Sources'!$B$461:$J$464,0,7))*($AZ67-INDEX('Methodology &amp; Sources'!$B$461:$J$464,0,7))*INDEX('Methodology &amp; Sources'!$B$461:$J$464,0,7+2)),IF($AN67="VT",IF($AU67="Married",SUMPRODUCT(($AZ67&gt;INDEX('Methodology &amp; Sources'!$B$478:$J$482,0,1))*($AZ67-INDEX('Methodology &amp; Sources'!$B$478:$J$482,0,1))*INDEX('Methodology &amp; Sources'!$B$478:$J$482,0,1+2)),SUMPRODUCT(($AZ67&gt;INDEX('Methodology &amp; Sources'!$B$469:$J$473,0,7))*($AZ67-INDEX('Methodology &amp; Sources'!$B$469:$J$473,0,7))*INDEX('Methodology &amp; Sources'!$B$469:$J$473,0,7+2))),IF($AN67="WV",IF($AU67="Married",SUMPRODUCT(($AZ67&gt;INDEX('Methodology &amp; Sources'!$B$487:$J$491,0,7))*($AZ67-INDEX('Methodology &amp; Sources'!$B$487:$J$491,0,7))*INDEX('Methodology &amp; Sources'!$B$487:$J$491,0,7+2)),SUMPRODUCT(($AZ67&gt;INDEX('Methodology &amp; Sources'!$B$478:$J$482,0,7))*($AZ67-INDEX('Methodology &amp; Sources'!$B$478:$J$482,0,7))*INDEX('Methodology &amp; Sources'!$B$478:$J$482,0,7+2))),""))))))))))</f>
      </c>
      <c r="BY67" s="7">
        <f>IF($B67="","",IF($AN67="AR",SUMPRODUCT(($AZ67&gt;INDEX('Methodology &amp; Sources'!$B$332:$J$336,0,7))*($AZ67-INDEX('Methodology &amp; Sources'!$B$332:$J$336,0,7))*INDEX('Methodology &amp; Sources'!$B$332:$J$336,0,7+2)),IF($AN67="DE",SUMPRODUCT(($AZ67&gt;INDEX('Methodology &amp; Sources'!$B$341:$J$348,0,1))*($AZ67-INDEX('Methodology &amp; Sources'!$B$341:$J$348,0,1))*INDEX('Methodology &amp; Sources'!$B$341:$J$348,0,1+2)),IF($AN67="HI",IF($AU67="Married",SUMPRODUCT(($AZ67&gt;INDEX('Methodology &amp; Sources'!$B$341:$J$348,0,7))*($AZ67-INDEX('Methodology &amp; Sources'!$B$341:$J$348,0,7))*INDEX('Methodology &amp; Sources'!$B$341:$J$348,0,7+2)),SUMPRODUCT(($AZ67&gt;INDEX('Methodology &amp; Sources'!$B$341:$J$348,0,4))*($AZ67-INDEX('Methodology &amp; Sources'!$B$341:$J$348,0,4))*INDEX('Methodology &amp; Sources'!$B$341:$J$348,0,4+2))),IF($AN67="SC",SUMPRODUCT(($AZ67&gt;INDEX('Methodology &amp; Sources'!$B$469:$J$473,0,1))*($AZ67-INDEX('Methodology &amp; Sources'!$B$469:$J$473,0,1))*INDEX('Methodology &amp; Sources'!$B$469:$J$473,0,1+2)),IF($AN67="VA",SUMPRODUCT(($AZ67&gt;INDEX('Methodology &amp; Sources'!$B$469:$J$473,0,4))*($AZ67-INDEX('Methodology &amp; Sources'!$B$469:$J$473,0,4))*INDEX('Methodology &amp; Sources'!$B$469:$J$473,0,4+2)),IF($AN67="WI",SUMPRODUCT(($AZ67&gt;INDEX('Methodology &amp; Sources'!$B$478:$J$482,0,4))*($AZ67-INDEX('Methodology &amp; Sources'!$B$478:$J$482,0,4))*INDEX('Methodology &amp; Sources'!$B$478:$J$482,0,4+2)),"")))))))</f>
      </c>
      <c r="BZ67" s="24">
        <f>IF($B67="","",IF($AN67="NJ",IF(Inputs!$C$77="B",SUMPRODUCT(($AZ67&gt;=INDEX('Methodology &amp; Sources'!$B$405:$J$412,0,4))*INDEX('Methodology &amp; Sources'!$B$405:$J$412,0,4+2)),IF(Inputs!$C$77="C",SUMPRODUCT(($AZ67&gt;=INDEX('Methodology &amp; Sources'!$B$405:$J$412,0,7))*INDEX('Methodology &amp; Sources'!$B$405:$J$412,0,7+2)),IF(Inputs!$C$77="D",SUMPRODUCT(($AZ67&gt;=INDEX('Methodology &amp; Sources'!$B$417:$J$429,0,1))*INDEX('Methodology &amp; Sources'!$B$417:$J$429,0,1+2)),IF(Inputs!$C$77="E",SUMPRODUCT(($AZ67&gt;=INDEX('Methodology &amp; Sources'!$B$417:$J$429,0,4))*INDEX('Methodology &amp; Sources'!$B$417:$J$429,0,4+2)),SUMPRODUCT(($AZ67&gt;=INDEX('Methodology &amp; Sources'!$B$405:$J$412,0,1))*INDEX('Methodology &amp; Sources'!$B$405:$J$412,0,1+2)))))),IF($AN67="OR",IF(OR($AU67="Married",AND($AU67="Single",$AS67&gt;=3)),SUMPRODUCT((MAX(0,$AY67-MIN(($P67-'Methodology &amp; Sources'!$C$260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Sources'!$B$461:$J$464,0,4))*INDEX('Methodology &amp; Sources'!$B$461:$J$464,0,4+2)),SUMPRODUCT((MAX(0,$AY67-MIN(($P67-'Methodology &amp; Sources'!$C$260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Sources'!$B$461:$J$464,0,1))*INDEX('Methodology &amp; Sources'!$B$461:$J$464,0,1+2)))*IF(($P67-'Methodology &amp; Sources'!$C$260*$D67)*Inputs!$C$8&gt;=IF(OR($AU67="Married",AND($AU67="Single",$AS67&gt;=3)),IF($AY67&lt;250000,8750,IF($AY67&lt;260000,7000,IF($AY67&lt;270000,5250,IF($AY67&lt;280000,3500,IF($AY67&lt;290000,1750,0))))),IF($AY67&lt;125000,8750,IF($AY67&lt;130000,7000,IF($AY67&lt;135000,5250,IF($AY67&lt;140000,3500,IF($AY67&lt;145000,1750,0)))))),1,1-IF(Inputs!$C$13,SUMPRODUCT(($AH67&gt;=INDEX('Methodology &amp; Sources'!$B$279:$J$286,0,IF(Inputs!$C$12="MFJ",1,IF(Inputs!$C$12="HoH",7,4))))*INDEX('Methodology &amp; Sources'!$B$279:$J$286,0,IF(Inputs!$C$12="MFJ",1,IF(Inputs!$C$12="HoH",7,4))+2)),SUMPRODUCT(($AH67&gt;=INDEX('Methodology &amp; Sources'!$B$269:$J$276,0,IF(Inputs!$C$12="MFJ",1,IF(Inputs!$C$12="HoH",7,4))))*INDEX('Methodology &amp; Sources'!$B$269:$J$276,0,IF(Inputs!$C$12="MFJ",1,IF(Inputs!$C$12="HoH",7,4))+2)))),IF($AN67="MI",IF($AY67&gt;5900*$AS67,0.0425,0),""))))</f>
      </c>
      <c r="CA67" s="24">
        <f>IF($B67="","",IF($AN67="AL",IF(OR($AU67="Married",$AU67="Head of household"),SUMPRODUCT(($AZ67&gt;=INDEX('Methodology &amp; Sources'!$B$332:$J$336,0,4))*INDEX('Methodology &amp; Sources'!$B$332:$J$336,0,4+2)),SUMPRODUCT(($AZ67&gt;=INDEX('Methodology &amp; Sources'!$B$332:$J$336,0,1))*INDEX('Methodology &amp; Sources'!$B$332:$J$336,0,1+2)))*(1-IF(Inputs!$C$13,SUMPRODUCT(($AH67&gt;=INDEX('Methodology &amp; Sources'!$B$279:$J$286,0,IF(Inputs!$C$12="MFJ",1,IF(Inputs!$C$12="HoH",7,4))))*INDEX('Methodology &amp; Sources'!$B$279:$J$286,0,IF(Inputs!$C$12="MFJ",1,IF(Inputs!$C$12="HoH",7,4))+2)),SUMPRODUCT(($AH67&gt;=INDEX('Methodology &amp; Sources'!$B$269:$J$276,0,IF(Inputs!$C$12="MFJ",1,IF(Inputs!$C$12="HoH",7,4))))*INDEX('Methodology &amp; Sources'!$B$269:$J$276,0,IF(Inputs!$C$12="MFJ",1,IF(Inputs!$C$12="HoH",7,4))+2)))),IF($AN67="KS",IF($AU67="Married",SUMPRODUCT(($AZ67&gt;=INDEX('Methodology &amp; Sources'!$B$353:$J$359,0,4))*INDEX('Methodology &amp; Sources'!$B$353:$J$359,0,4+2)),SUMPRODUCT(($AZ67&gt;=INDEX('Methodology &amp; Sources'!$B$353:$J$359,0,1))*INDEX('Methodology &amp; Sources'!$B$353:$J$359,0,1+2))),IF($AN67="MD",IF(OR($AU67="Married",$AU67="Head of household"),SUMPRODUCT(($AZ67&gt;=INDEX('Methodology &amp; Sources'!$B$364:$J$370,0,1))*INDEX('Methodology &amp; Sources'!$B$364:$J$370,0,1+2)),SUMPRODUCT(($AZ67&gt;=INDEX('Methodology &amp; Sources'!$B$353:$J$359,0,7))*INDEX('Methodology &amp; Sources'!$B$353:$J$359,0,7+2)))+Inputs!$C$74,IF($AN67="MT",IF($AU67="Head of household",SUMPRODUCT(($AZ67&gt;=INDEX('Methodology &amp; Sources'!$B$387:$J$389,0,1))*INDEX('Methodology &amp; Sources'!$B$387:$J$389,0,1+2)),IF($AU67="Married",SUMPRODUCT(($AZ67&gt;=INDEX('Methodology &amp; Sources'!$B$375:$J$382,0,7))*INDEX('Methodology &amp; Sources'!$B$375:$J$382,0,7+2)),SUMPRODUCT(($AZ67&gt;=INDEX('Methodology &amp; Sources'!$B$375:$J$382,0,4))*INDEX('Methodology &amp; Sources'!$B$375:$J$382,0,4+2)))),IF($AN67="ND",IF($AU67="Head of household",SUMPRODUCT(($AZ67&gt;=INDEX('Methodology &amp; Sources'!$B$394:$J$400,0,1))*INDEX('Methodology &amp; Sources'!$B$394:$J$400,0,1+2)),IF($AU67="Married",SUMPRODUCT(($AZ67&gt;=INDEX('Methodology &amp; Sources'!$B$387:$J$389,0,7))*INDEX('Methodology &amp; Sources'!$B$387:$J$389,0,7+2)),SUMPRODUCT(($AZ67&gt;=INDEX('Methodology &amp; Sources'!$B$387:$J$389,0,4))*INDEX('Methodology &amp; Sources'!$B$387:$J$389,0,4+2)))),IF($AN67="NY",IF($AU67="Married",IF($AZ67&gt;=2155350,IF($AZ67&gt;25000000,0.117,IF($AZ67&gt;5000000,0.111,0.1045)),SUMPRODUCT(($AZ67&gt;=INDEX('Methodology &amp; Sources'!$B$434:$J$448,0,1))*INDEX('Methodology &amp; Sources'!$B$434:$J$448,0,1+2))),IF($AZ67&gt;=1077550,IF($AZ67&gt;25000000,0.117,IF($AZ67&gt;5000000,0.111,0.1045)),SUMPRODUCT(($AZ67&gt;=INDEX('Methodology &amp; Sources'!$B$417:$J$429,0,7))*INDEX('Methodology &amp; Sources'!$B$417:$J$429,0,7+2)))),"")))))))</f>
      </c>
      <c r="CB67" s="24">
        <f>IF($B67="","",IF($AN67="CA",SUMPRODUCT(($AJ67&gt;=INDEX('Methodology &amp; Sources'!$B$289:$J$298,0,IF($AU67="Married",4,IF($AU67="Head of household",7,1))))*INDEX('Methodology &amp; Sources'!$B$289:$J$298,0,IF($AU67="Married",4,IF($AU67="Head of household",7,1))+2)),IF($AN67="HI",IF($AU67="Married",SUMPRODUCT(($AZ67&gt;=INDEX('Methodology &amp; Sources'!$B$341:$J$348,0,7))*INDEX('Methodology &amp; Sources'!$B$341:$J$348,0,7+2)),SUMPRODUCT(($AZ67&gt;=INDEX('Methodology &amp; Sources'!$B$341:$J$348,0,4))*INDEX('Methodology &amp; Sources'!$B$341:$J$348,0,4+2))),IF($AN67="MN",IF($AU67="Married",SUMPRODUCT(($AZ67&gt;=INDEX('Methodology &amp; Sources'!$B$364:$J$370,0,7))*INDEX('Methodology &amp; Sources'!$B$364:$J$370,0,7+2)),SUMPRODUCT(($AZ67&gt;=INDEX('Methodology &amp; Sources'!$B$364:$J$370,0,4))*INDEX('Methodology &amp; Sources'!$B$364:$J$370,0,4+2))),IF($AN67="MO",SUMPRODUCT(($AZ67&gt;=INDEX('Methodology &amp; Sources'!$B$375:$J$382,0,1))*INDEX('Methodology &amp; Sources'!$B$375:$J$382,0,1+2)),IF($AN67="NE",MAX(IF($AU67="Married",SUMPRODUCT(($AZ67&gt;=INDEX('Methodology &amp; Sources'!$B$394:$J$400,0,7))*INDEX('Methodology &amp; Sources'!$B$394:$J$400,0,7+2)),SUMPRODUCT(($AZ67&gt;=INDEX('Methodology &amp; Sources'!$B$394:$J$400,0,4))*INDEX('Methodology &amp; Sources'!$B$394:$J$400,0,4+2))),0.015),IF($AN67="OH",IF($B67&gt;=DATE(2026,8,1),SUMPRODUCT(($AZ67&gt;=INDEX('Methodology &amp; Sources'!$B$453:$J$456,0,1))*INDEX('Methodology &amp; Sources'!$B$453:$J$456,0,1+2)),SUMPRODUCT(($AZ67&gt;=INDEX('Methodology &amp; Sources'!$B$434:$J$448,0,7))*INDEX('Methodology &amp; Sources'!$B$434:$J$448,0,7+2))),IF($AN67="OK",IF($AU67="Married",SUMPRODUCT(($AZ67&gt;=INDEX('Methodology &amp; Sources'!$B$453:$J$456,0,7))*INDEX('Methodology &amp; Sources'!$B$453:$J$456,0,7+2)),SUMPRODUCT(($AZ67&gt;=INDEX('Methodology &amp; Sources'!$B$453:$J$456,0,4))*INDEX('Methodology &amp; Sources'!$B$453:$J$456,0,4+2))),IF($AN67="RI",SUMPRODUCT(($AZ67&gt;=INDEX('Methodology &amp; Sources'!$B$461:$J$464,0,7))*INDEX('Methodology &amp; Sources'!$B$461:$J$464,0,7+2)),IF($AN67="SC",SUMPRODUCT(($AZ67&gt;=INDEX('Methodology &amp; Sources'!$B$469:$J$473,0,1))*INDEX('Methodology &amp; Sources'!$B$469:$J$473,0,1+2)),IF($AN67="VT",IF($AU67="Married",SUMPRODUCT(($AZ67&gt;=INDEX('Methodology &amp; Sources'!$B$478:$J$482,0,1))*INDEX('Methodology &amp; Sources'!$B$478:$J$482,0,1+2)),SUMPRODUCT(($AZ67&gt;=INDEX('Methodology &amp; Sources'!$B$469:$J$473,0,7))*INDEX('Methodology &amp; Sources'!$B$469:$J$473,0,7+2))),IF($AN67="WV",IF($AU67="Married",SUMPRODUCT(($AZ67&gt;=INDEX('Methodology &amp; Sources'!$B$487:$J$491,0,7))*INDEX('Methodology &amp; Sources'!$B$487:$J$491,0,7+2)),SUMPRODUCT(($AZ67&gt;=INDEX('Methodology &amp; Sources'!$B$478:$J$482,0,7))*INDEX('Methodology &amp; Sources'!$B$478:$J$482,0,7+2))),IF($AN67="IN",(0.0295+Inputs!$C$76),"")))))))))))))</f>
      </c>
      <c r="CC67" s="24">
        <f>IF($B67="","",IF($AN67="AR",SUMPRODUCT(($AZ67&gt;=INDEX('Methodology &amp; Sources'!$B$332:$J$336,0,7))*INDEX('Methodology &amp; Sources'!$B$332:$J$336,0,7+2)),IF($AN67="DE",SUMPRODUCT(($AZ67&gt;=INDEX('Methodology &amp; Sources'!$B$341:$J$348,0,1))*INDEX('Methodology &amp; Sources'!$B$341:$J$348,0,1+2)),IF($AN67="VA",SUMPRODUCT(($AZ67&gt;=INDEX('Methodology &amp; Sources'!$B$469:$J$473,0,4))*INDEX('Methodology &amp; Sources'!$B$469:$J$473,0,4+2)),IF($AN67="WI",SUMPRODUCT(($AZ67&gt;=INDEX('Methodology &amp; Sources'!$B$478:$J$482,0,4))*INDEX('Methodology &amp; Sources'!$B$478:$J$482,0,4+2)),IF($AN67="AZ",Inputs!$C$82,IF($AN67="CO",IF($AY67&gt;IF($AU67="Married",10000,5000),0.044,0),IF($AN67="IA",IF($AY67&gt;IF($AU67="Head of household",19500,IF($AU67="Married",26000,13000)),0.038,0),IF($AN67="ID",IF($AY67&gt;IF($AU67="Married",32000,16094),0.053,0),IF($AN67="IL",IF($AY67&gt;(2925*$AS67+1000*$AT67),0.0495,0),IF($AN67="KY",IF($AI67&gt;3360,0.035,0),IF($AN67="LA",0.0309,IF($AN67="MA",IF(MAX(0,$AY67-MIN(($BD66+$Q67+$R67+$S67),2000)-IF($AS67=0,0,IF($AS67=1,4400,1000*$AS67+3400)))&gt;=1107750,0.09,0.05),IF($AN67="MS",IF($AI67-IF($AU67="Head of household",3400,IF($AU67="Married",4600,2300))-Inputs!$C$85&gt;10000,0.04,0),IF($AN67="PA",0.0307,"")))))))))))))))</f>
      </c>
      <c r="CD67" s="21">
        <f>IF(YEAR(IF(Inputs!$C$7="Weekly",Inputs!$C$9+7*(($BE66+1)-1),IF(Inputs!$C$7="Biweekly",Inputs!$C$9+14*(($BE66+1)-1),IF(Inputs!$C$7="Semimonthly",DATE(YEAR(Inputs!$C$9),MONTH(Inputs!$C$9)+INT((($BE66+1)-1)/2),MIN(DAY(Inputs!$C$9),DAY(EOMONTH(DATE(YEAR(Inputs!$C$9),MONTH(Inputs!$C$9)+INT((($BE66+1)-1)/2),1),0))))+IF(MOD(($BE66+1)-1,2)=1,15,0),EDATE(Inputs!$C$9,($BE66+1)-1)))))&lt;&gt;2026,"",IF(Inputs!$C$7="Weekly",Inputs!$C$9+7*(($BE66+1)-1),IF(Inputs!$C$7="Biweekly",Inputs!$C$9+14*(($BE66+1)-1),IF(Inputs!$C$7="Semimonthly",DATE(YEAR(Inputs!$C$9),MONTH(Inputs!$C$9)+INT((($BE66+1)-1)/2),MIN(DAY(Inputs!$C$9),DAY(EOMONTH(DATE(YEAR(Inputs!$C$9),MONTH(Inputs!$C$9)+INT((($BE66+1)-1)/2),1),0))))+IF(MOD(($BE66+1)-1,2)=1,15,0),EDATE(Inputs!$C$9,($BE66+1)-1)))))</f>
      </c>
      <c r="CE67" s="21">
        <f>IF(SUMPRODUCT(MIN(IF((Inputs!$C$58:$C$67&gt;MAX($B$6:$B66))*(Inputs!$C$58:$C$67&gt;=DATE(2026,1,1))*(Inputs!$C$58:$C$67&lt;=DATE(2026,12,31)),Inputs!$C$58:$C$67,999999)))=999999,"",SUMPRODUCT(MIN(IF((Inputs!$C$58:$C$67&gt;MAX($B$6:$B66))*(Inputs!$C$58:$C$67&gt;=DATE(2026,1,1))*(Inputs!$C$58:$C$67&lt;=DATE(2026,12,31)),Inputs!$C$58:$C$67,999999))))</f>
      </c>
    </row>
    <row r="68">
      <c r="A68" t="n">
        <v>63</v>
      </c>
      <c r="B68" s="21">
        <f>IF(AND($CD68="",$CE68=""),"",IF($CE68="",$CD68,IF($CD68="",$CE68,MIN($CD68,$CE68))))</f>
      </c>
      <c r="C68" s="7">
        <f>IF($B68="","",IF($BF68=0,0,IF(Inputs!$C$4="Annual salary",ROUND($AK68/IF(AND(Inputs!$C$88="Actual paydays",MONTH(Inputs!$C$9)=1),MAX(1,MAX($BE$6:$BE$68)),Inputs!$C$8),2),$AK68)))</f>
      </c>
      <c r="D68" s="7">
        <f>IF($B68="","",SUMIF(Inputs!$C$58:$C$67,$B68,Inputs!$D$58:$D$67))</f>
      </c>
      <c r="E68" s="7">
        <f>IF($B68="","",ROUND(MAX(0,MIN(IF($AL68="Percent",$AM68*($C68+$D68),$AM68),MAX(0,Inputs!$C$91-$AC67))),2))</f>
      </c>
      <c r="F68" s="7">
        <f>IF($B68="","",ROUND(MAX(0,MIN(IF(Inputs!$C$32="Percent",Inputs!$D$32*($C68+$D68),Inputs!$D$32),MAX(0,Inputs!$C$91-$AC67-$E68))),2))</f>
      </c>
      <c r="G68" s="7">
        <f>IF($B68="","",IF($BF68=0,0,ROUND(MAX(0,MIN($BL68,Inputs!$C$92-Inputs!$C$54-$BI67)),2)))</f>
      </c>
      <c r="H68" s="7">
        <f>IF($B68="","",IF(OR($BF68=0,$BQ68=1),0,ROUND(MAX(0,MIN(IF($BS68=1,ROUND(MAX(0,MIN($BJ68,'Methodology &amp; Sources'!$C$263)-$BG67)/MAX(1,MAX($BE$6:$BE$68)-($BE67)),2),ROUND(MIN($BJ68,'Methodology &amp; Sources'!$C$263)/Inputs!$C$8,2)),MIN($BJ68,'Methodology &amp; Sources'!$C$263)-$BG67)),2)))</f>
      </c>
      <c r="I68" s="7">
        <f>IF($B68="","",IF(OR($BF68=0,$BR68=1),0,ROUND(MAX(0,MIN(IF($BT68=1,ROUND(MAX(0,MIN($BK68,IF(Inputs!$C$12="MFJ",'Methodology &amp; Sources'!$C$264,'Methodology &amp; Sources'!$C$265))-$BH67)/MAX(1,MAX($BE$6:$BE$68)-($BE67)),2),ROUND(MIN($BK68,IF(Inputs!$C$12="MFJ",'Methodology &amp; Sources'!$C$264,'Methodology &amp; Sources'!$C$265))/Inputs!$C$8,2)),MIN($BK68,IF(Inputs!$C$12="MFJ",'Methodology &amp; Sources'!$C$264,'Methodology &amp; Sources'!$C$265))-$BH67)),2)))</f>
      </c>
      <c r="J68" s="7">
        <f>IF($B68="","",IF($BF68=0,0,$BM68))</f>
      </c>
      <c r="K68" s="7">
        <f>IF($B68="","",IF($BF68=0,0,$BN68+$BO68))</f>
      </c>
      <c r="L68" s="7">
        <f>IF($B68="","",IF($BF68=0,0,Inputs!$D$46))</f>
      </c>
      <c r="M68" s="7">
        <f>IF($B68="","",$C68+$D68+$L68-$E68-$G68-$H68-$I68-$J68-$K68)</f>
      </c>
      <c r="N68" s="7">
        <f>IF($B68="","",$C68+$D68+$L68-$G68-$H68-$I68-$J68-$K68)</f>
      </c>
      <c r="O68" s="7">
        <f>IF($B68="","",$C68+$D68+$L68-$E68-$H68-$I68-$J68-$K68-IF(OR($AN68="CA",$AN68="NJ"),0,$G68))</f>
      </c>
      <c r="P68" s="7">
        <f>IF($B68="","",IF(Inputs!$C$18,0,ROUND(MAX(0,IF(Inputs!$C$13,SUMPRODUCT(($AH68&gt;INDEX('Methodology &amp; Sources'!$B$279:$J$286,0,IF(Inputs!$C$12="MFJ",1,IF(Inputs!$C$12="HoH",7,4))))*($AH68-INDEX('Methodology &amp; Sources'!$B$279:$J$286,0,IF(Inputs!$C$12="MFJ",1,IF(Inputs!$C$12="HoH",7,4))))*INDEX('Methodology &amp; Sources'!$B$279:$J$286,0,IF(Inputs!$C$12="MFJ",1,IF(Inputs!$C$12="HoH",7,4))+2)),SUMPRODUCT(($AH68&gt;INDEX('Methodology &amp; Sources'!$B$269:$J$276,0,IF(Inputs!$C$12="MFJ",1,IF(Inputs!$C$12="HoH",7,4))))*($AH68-INDEX('Methodology &amp; Sources'!$B$269:$J$276,0,IF(Inputs!$C$12="MFJ",1,IF(Inputs!$C$12="HoH",7,4))))*INDEX('Methodology &amp; Sources'!$B$269:$J$276,0,IF(Inputs!$C$12="MFJ",1,IF(Inputs!$C$12="HoH",7,4))+2)))/Inputs!$C$8-$AO68/Inputs!$C$8)+$AR68+IF(Inputs!$C$89="Aggregate",MAX(0,IF(Inputs!$C$13,SUMPRODUCT((($AH68+$D68)&gt;INDEX('Methodology &amp; Sources'!$B$279:$J$286,0,IF(Inputs!$C$12="MFJ",1,IF(Inputs!$C$12="HoH",7,4))))*(($AH68+$D68)-INDEX('Methodology &amp; Sources'!$B$279:$J$286,0,IF(Inputs!$C$12="MFJ",1,IF(Inputs!$C$12="HoH",7,4))))*INDEX('Methodology &amp; Sources'!$B$279:$J$286,0,IF(Inputs!$C$12="MFJ",1,IF(Inputs!$C$12="HoH",7,4))+2)),SUMPRODUCT((($AH68+$D68)&gt;INDEX('Methodology &amp; Sources'!$B$269:$J$276,0,IF(Inputs!$C$12="MFJ",1,IF(Inputs!$C$12="HoH",7,4))))*(($AH68+$D68)-INDEX('Methodology &amp; Sources'!$B$269:$J$276,0,IF(Inputs!$C$12="MFJ",1,IF(Inputs!$C$12="HoH",7,4))))*INDEX('Methodology &amp; Sources'!$B$269:$J$276,0,IF(Inputs!$C$12="MFJ",1,IF(Inputs!$C$12="HoH",7,4))+2)))-IF(Inputs!$C$13,SUMPRODUCT(($AH68&gt;INDEX('Methodology &amp; Sources'!$B$279:$J$286,0,IF(Inputs!$C$12="MFJ",1,IF(Inputs!$C$12="HoH",7,4))))*($AH68-INDEX('Methodology &amp; Sources'!$B$279:$J$286,0,IF(Inputs!$C$12="MFJ",1,IF(Inputs!$C$12="HoH",7,4))))*INDEX('Methodology &amp; Sources'!$B$279:$J$286,0,IF(Inputs!$C$12="MFJ",1,IF(Inputs!$C$12="HoH",7,4))+2)),SUMPRODUCT(($AH68&gt;INDEX('Methodology &amp; Sources'!$B$269:$J$276,0,IF(Inputs!$C$12="MFJ",1,IF(Inputs!$C$12="HoH",7,4))))*($AH68-INDEX('Methodology &amp; Sources'!$B$269:$J$276,0,IF(Inputs!$C$12="MFJ",1,IF(Inputs!$C$12="HoH",7,4))))*INDEX('Methodology &amp; Sources'!$B$269:$J$276,0,IF(Inputs!$C$12="MFJ",1,IF(Inputs!$C$12="HoH",7,4))+2)))),'Methodology &amp; Sources'!$C$260*$D68),2)))</f>
      </c>
      <c r="Q68" s="7">
        <f>IF($B68="","",ROUND('Methodology &amp; Sources'!$C$254*MIN($N68,MAX(0,'Methodology &amp; Sources'!$C$253-($AX68+$AB67-$AW68))),2))</f>
      </c>
      <c r="R68" s="7">
        <f>IF($B68="","",ROUND('Methodology &amp; Sources'!$C$255*$N68,2))</f>
      </c>
      <c r="S68" s="7">
        <f>IF($B68="","",ROUND('Methodology &amp; Sources'!$C$256*MAX(0,MIN($N68,$AG67+$N68-'Methodology &amp; Sources'!$C$257)),2))</f>
      </c>
      <c r="T68" s="7">
        <f>IF($B68="","",IF(Inputs!$C$26,0,IF($AN68="CA",ROUND(IF($AI68&lt;=IF(($AS68+$AT68)&gt;=2,VLOOKUP($AN68,'StateTables 2026'!$A$6:$AB$56,10,FALSE),VLOOKUP($AN68,'StateTables 2026'!$A$6:$AB$56,9,FALSE)),0,MAX(0,SUMPRODUCT(($AJ68&gt;INDEX('Methodology &amp; Sources'!$B$289:$J$298,0,IF($AU68="Married",4,IF($AU68="Head of household",7,1))))*($AJ68-INDEX('Methodology &amp; Sources'!$B$289:$J$298,0,IF($AU68="Married",4,IF($AU68="Head of household",7,1))))*INDEX('Methodology &amp; Sources'!$B$289:$J$298,0,IF($AU68="Married",4,IF($AU68="Head of household",7,1))+2))-VLOOKUP($AN68,'StateTables 2026'!$A$6:$AB$56,11,FALSE)*$AS68)/Inputs!$C$8)+Inputs!$C$25+VLOOKUP($AN68,'StateTables 2026'!$A$6:$AB$56,13,FALSE)*$D68,2),IF(VLOOKUP($AN68,'StateTables 2026'!$A$6:$AB$56,4,FALSE)="None",0,IF(ISNUMBER(SEARCH("MANUAL",VLOOKUP($AN68,'StateTables 2026'!$A$6:$AB$56,5,FALSE))),Inputs!$C$28,ROUND(MAX(0,$BA68+$BB68)/Inputs!$C$8+Inputs!$C$25+$BC68,2))))))</f>
      </c>
      <c r="U68" s="7">
        <f>IF($B68="","",IF(VLOOKUP($AN68,'StateTables 2026'!$A$6:$AB$56,24,FALSE)="flatq",IF(OR(MONTH($B68)=1,MONTH($B68)=4,MONTH($B68)=7,MONTH($B68)=10),VLOOKUP($AN68,'StateTables 2026'!$A$6:$AB$56,25,FALSE),0),IF(VLOOKUP($AN68,'StateTables 2026'!$A$6:$AB$56,24,FALSE)="dbl",MIN(ROUND(0.005*$N68,2),ROUND(0.6*52/Inputs!$C$8,2)),IF(OR(VLOOKUP($AN68,'StateTables 2026'!$A$6:$AB$56,15,FALSE)="",VLOOKUP($AN68,'StateTables 2026'!$A$6:$AB$56,15,FALSE)=0),0,ROUND(VLOOKUP($AN68,'StateTables 2026'!$A$6:$AB$56,15,FALSE)*IF(OR(VLOOKUP($AN68,'StateTables 2026'!$A$6:$AB$56,16,FALSE)="",VLOOKUP($AN68,'StateTables 2026'!$A$6:$AB$56,16,FALSE)=0),$N68,MIN($N68,MAX(0,VLOOKUP($AN68,'StateTables 2026'!$A$6:$AB$56,16,FALSE)-($AX68+$AB67-$AW68)))),2))))+IF(VLOOKUP($AN68,'StateTables 2026'!$A$6:$AB$56,27,FALSE)="flatq",IF(OR(MONTH($B68)=1,MONTH($B68)=4,MONTH($B68)=7,MONTH($B68)=10),VLOOKUP($AN68,'StateTables 2026'!$A$6:$AB$56,28,FALSE),0),IF(VLOOKUP($AN68,'StateTables 2026'!$A$6:$AB$56,27,FALSE)="dbl",MIN(ROUND(0.005*$N68,2),ROUND(0.6*52/Inputs!$C$8,2)),IF(OR(VLOOKUP($AN68,'StateTables 2026'!$A$6:$AB$56,18,FALSE)="",VLOOKUP($AN68,'StateTables 2026'!$A$6:$AB$56,18,FALSE)=0),0,ROUND(VLOOKUP($AN68,'StateTables 2026'!$A$6:$AB$56,18,FALSE)*IF(OR(VLOOKUP($AN68,'StateTables 2026'!$A$6:$AB$56,19,FALSE)="",VLOOKUP($AN68,'StateTables 2026'!$A$6:$AB$56,19,FALSE)=0),$N68,MIN($N68,MAX(0,VLOOKUP($AN68,'StateTables 2026'!$A$6:$AB$56,19,FALSE)-($AX68+$AB67-$AW68)))),2)))))</f>
      </c>
      <c r="V68" s="7">
        <f>IF($B68="","",IF($AN68="NY",IF(Inputs!$C$78,ROUND(SUMPRODUCT((MAX(0,($O68-$D68)*Inputs!$C$8-(IF($AU68="Married",5500,5000)+1000*$AS68))&gt;INDEX('Methodology &amp; Sources'!$B$434:$J$448,0,4))*(MAX(0,($O68-$D68)*Inputs!$C$8-(IF($AU68="Married",5500,5000)+1000*$AS68))-INDEX('Methodology &amp; Sources'!$B$434:$J$448,0,4))*INDEX('Methodology &amp; Sources'!$B$434:$J$448,0,4+2))/Inputs!$C$8+0.0425*$D68,2),0)+IF(Inputs!$C$79="Resident",ROUND(0.1675*$T68,2),IF(Inputs!$C$79="Nonresident",ROUND(0.005*MAX(0,($O68-$D68)-(IF($AU68="Married",7950,7400)+1000*$AS68)/Inputs!$C$8),2),0)),IF($AN68="PA",IF(Inputs!$C$80="None",Inputs!$C$27+ROUND(Inputs!$C$81*($C68+$D68),2),ROUND(IF(Inputs!$C$80="Resident",IF($B68&lt;DATE(2026,7,1),0.0374,0.03735),IF($B68&lt;DATE(2026,7,1),0.0343,0.03425))*($C68+$D68),2)),IF($BF68=0,ROUND(Inputs!$C$81*($C68+$D68),2),Inputs!$C$27+ROUND(Inputs!$C$81*($C68+$D68),2)))))</f>
      </c>
      <c r="W68" s="7">
        <f>IF($B68="","",IF($BF68=0,0,$BP68))</f>
      </c>
      <c r="X68" s="7">
        <f>IF($B68="","",SUM($E68:$K68)+$P68+$Q68+$R68+$S68+$T68+$U68+$V68+$W68)</f>
      </c>
      <c r="Y68" s="22">
        <f>IF($B68="","",$C68+$D68-$X68)</f>
      </c>
      <c r="Z68" s="7">
        <f>IF($B68="","",$Z67+$C68+$D68)</f>
      </c>
      <c r="AA68" s="7">
        <f>IF($B68="","",$AA67+$Y68)</f>
      </c>
      <c r="AB68" s="7">
        <f>IF($B68="","",$AB67+MIN($N68,MAX(0,'Methodology &amp; Sources'!$C$253-($AX68+$AB67-$AW68))))</f>
      </c>
      <c r="AC68" s="7">
        <f>IF($B68="","",$AC67+$E68+$F68)</f>
      </c>
      <c r="AD68" s="3">
        <f>IF($B68="","",IF(AND($AB67&lt;'Methodology &amp; Sources'!$C$253,$AB68&gt;='Methodology &amp; Sources'!$C$253),"★ Social Security maxed on this check — from the next check your net rises by about $"&amp;TEXT(ROUND('Methodology &amp; Sources'!$C$254*$N68,2),"#,##0.00")&amp;". ","")&amp;IF(AND($AC67&lt;Inputs!$C$91,$AC68&gt;=Inputs!$C$91),"★ 401(k) reaches the $"&amp;TEXT(Inputs!$C$91,"#,##0")&amp;" cap on this check — deferrals stop and net pay rises. ","")&amp;IF(AND($AG67&lt;'Methodology &amp; Sources'!$C$257,$AG68&gt;='Methodology &amp; Sources'!$C$257),"★ Wages pass $200,000 — the 0.9% Additional Medicare Tax starts here. ","")&amp;IF(AND($BJ68&gt;0,$H68&gt;0,$BG67&lt;MIN($BJ68,'Methodology &amp; Sources'!$C$263),$BG67+$H68&gt;=MIN($BJ68,'Methodology &amp; Sources'!$C$263)),"★ Health FSA election is now fully deferred for the year. ",""))</f>
      </c>
      <c r="AE68" s="41" t="n"/>
      <c r="AF68" s="7">
        <f>IF(OR($B68="",$AE68=""),"",$AE68-$Y68)</f>
      </c>
      <c r="AG68" s="7">
        <f>IF($B68="","",$AG67+$N68)</f>
      </c>
      <c r="AH68" s="7">
        <f>IF($B68="","",MAX(0,($M68-$D68)*Inputs!$C$8+$AP68-$AQ68-IF(Inputs!$C$13,0,IF(Inputs!$C$12="MFJ",'Methodology &amp; Sources'!$C$258,'Methodology &amp; Sources'!$C$259))))</f>
      </c>
      <c r="AI68" s="7">
        <f>IF($B68="","",$O68*Inputs!$C$8)</f>
      </c>
      <c r="AJ68" s="7">
        <f>IF($B68="","",MAX(0,$AI68-VLOOKUP($AN68,'StateTables 2026'!$A$6:$AB$56,12,FALSE)*$AT68-IF(($AS68+$AT68)&gt;=2,VLOOKUP($AN68,'StateTables 2026'!$A$6:$AB$56,8,FALSE),VLOOKUP($AN68,'StateTables 2026'!$A$6:$AB$56,7,FALSE))))</f>
      </c>
      <c r="AK68" s="7">
        <f>IF($B68="","",IFERROR(LOOKUP(2,1/((Events!$C$6:$C$17="Salary change")*(Events!$B$6:$B$17&lt;=$B68)*(Events!$B$6:$B$17&lt;&gt;"")),Events!$D$6:$D$17),IF(Inputs!$C$4="Annual salary",Inputs!$C$5,Inputs!$C$6)))</f>
      </c>
      <c r="AL68">
        <f>IF($B68="","",IFERROR(LOOKUP(2,1/((Events!$C$6:$C$17="401(k) change")*(Events!$B$6:$B$17&lt;=$B68)*(Events!$B$6:$B$17&lt;&gt;"")),Events!$D$6:$D$17),Inputs!$C$30))</f>
      </c>
      <c r="AM68" s="7">
        <f>IF($B68="","",IFERROR(LOOKUP(2,1/((Events!$C$6:$C$17="401(k) change")*(Events!$B$6:$B$17&lt;=$B68)*(Events!$B$6:$B$17&lt;&gt;"")),Events!$E$6:$E$17),Inputs!$D$30))</f>
      </c>
      <c r="AN68">
        <f>IF($B68="","",IFERROR(LOOKUP(2,1/((Events!$C$6:$C$17="State move")*(Events!$B$6:$B$17&lt;=$B68)*(Events!$B$6:$B$17&lt;&gt;"")),Events!$D$6:$D$17),Inputs!$C$21))</f>
      </c>
      <c r="AO68" s="7">
        <f>IF($B68="","",IFERROR(LOOKUP(2,1/((Events!$C$6:$C$17="W-4 change")*(Events!$B$6:$B$17&lt;=$B68)*(Events!$B$6:$B$17&lt;&gt;"")),Events!$D$6:$D$17),Inputs!$C$14))</f>
      </c>
      <c r="AP68" s="7">
        <f>IF($B68="","",IFERROR(LOOKUP(2,1/((Events!$C$6:$C$17="W-4 change")*(Events!$B$6:$B$17&lt;=$B68)*(Events!$B$6:$B$17&lt;&gt;"")),Events!$E$6:$E$17),Inputs!$C$15))</f>
      </c>
      <c r="AQ68" s="7">
        <f>IF($B68="","",IFERROR(LOOKUP(2,1/((Events!$C$6:$C$17="W-4 change")*(Events!$B$6:$B$17&lt;=$B68)*(Events!$B$6:$B$17&lt;&gt;"")),Events!$F$6:$F$17),Inputs!$C$16))</f>
      </c>
      <c r="AR68" s="7">
        <f>IF($B68="","",IFERROR(LOOKUP(2,1/((Events!$C$6:$C$17="W-4 change")*(Events!$B$6:$B$17&lt;=$B68)*(Events!$B$6:$B$17&lt;&gt;"")),Events!$G$6:$G$17),Inputs!$C$17))</f>
      </c>
      <c r="AS68" s="6">
        <f>IF($B68="","",IFERROR(LOOKUP(2,1/(((Events!$C$6:$C$17="State move")+(Events!$C$6:$C$17="State cert change"))*(Events!$B$6:$B$17&lt;=$B68)*(Events!$B$6:$B$17&lt;&gt;"")),Events!$F$6:$F$17),Inputs!$C$23))</f>
      </c>
      <c r="AT68" s="6">
        <f>IF($B68="","",IFERROR(LOOKUP(2,1/(((Events!$C$6:$C$17="State move")+(Events!$C$6:$C$17="State cert change"))*(Events!$B$6:$B$17&lt;=$B68)*(Events!$B$6:$B$17&lt;&gt;"")),Events!$G$6:$G$17),Inputs!$C$24))</f>
      </c>
      <c r="AU68">
        <f>IF($B68="","",IFERROR(LOOKUP(2,1/((Events!$C$6:$C$17="State move")*(Events!$B$6:$B$17&lt;=$B68)*(Events!$B$6:$B$17&lt;&gt;"")),Events!$E$6:$E$17),Inputs!$C$22))</f>
      </c>
      <c r="AV68" s="6">
        <f>IF($B68="","",1+COUNTIFS(Events!$C$6:$C$17,"Employer change",Events!$B$6:$B$17,"&lt;="&amp;$B68,Events!$B$6:$B$17,"&lt;&gt;"))</f>
      </c>
      <c r="AW68" s="7">
        <f>IF($B68="","",IF($AV68=1,Inputs!$C$49,IF(IFERROR(MATCH(IFERROR(LOOKUP(2,1/((Events!$C$6:$C$17="Employer change")*(Events!$B$6:$B$17&lt;=$B68)*(Events!$B$6:$B$17&lt;&gt;"")),Events!$B$6:$B$17),""),$B$6:$B$68,1),1)&lt;=1,Inputs!$C$49,INDEX($AB$6:$AB$68,MATCH(IFERROR(LOOKUP(2,1/((Events!$C$6:$C$17="Employer change")*(Events!$B$6:$B$17&lt;=$B68)*(Events!$B$6:$B$17&lt;&gt;"")),Events!$B$6:$B$17),""),$B$6:$B$68,1)-1))))</f>
      </c>
      <c r="AX68" s="7">
        <f>IF($B68="","",IF($AV68=1,Inputs!$C$49,IFERROR(LOOKUP(2,1/((Events!$C$6:$C$17="Employer change")*(Events!$B$6:$B$17&lt;=$B68)*(Events!$B$6:$B$17&lt;&gt;"")),Events!$D$6:$D$17),0)))</f>
      </c>
      <c r="AY68" s="7">
        <f>IF($B68="","",($O68-$D68)*Inputs!$C$8)</f>
      </c>
      <c r="AZ68" s="7">
        <f>IF($B68="","",IF($AN68="AL",MAX(0,$AY68-IF($AU68="Married",IF($AY68&lt;=25999,8500,MAX(5000,8500-175*CEILING(($AY68-25999)/500,1))),IF($AU68="Head of household",IF($AY68&lt;=25999,5200,MAX(2500,5200-135*CEILING(($AY68-25999)/500,1))),IF($AY68&lt;=25999,3000,MAX(2500,3000-25*CEILING(($AY68-25999)/500,1)))))-($P68-'Methodology &amp; Sources'!$C$260*$D68)*Inputs!$C$8-IF(OR($AU68="Married",$AU68="Head of household"),3000,1500)-$AT68*IF($AY68&lt;=50000,1000,IF($AY68&lt;=100000,500,300))),IF($AN68="AR",IF(MAX(0,$AY68-2470)&lt;97701,INT(MAX(0,$AY68-2470)/100)*100+50,MAX(0,$AY68-2470)),IF($AN68="DE",MAX(0,$AI68-3250),IF($AN68="HI",MAX(0,$AI68-1144*$AS68-4350),IF($AN68="KS",MAX(0,$AI68-(9160*IF($AU68="Married",2,1)+2320*$AT68+IF($AU68="Head of household",2320,0))),IF($AN68="MD",MAX(0,$AI68-3400-3200*$AS68),IF($AN68="MN",MAX(0,$AY68-5300*$AS68),IF($AN68="MO",MAX(0,$AI68-IF($AU68="Head of household",24150,IF($AU68="Married",IF(Inputs!$C$83,16100,32200),16100))),IF($AN68="MT",$AY68,IF($AN68="ND",($C68+$L68)*Inputs!$C$8,IF($AN68="NE",MAX(0,$AY68-2440*$AS68),IF($AN68="NJ",MAX(0,$AY68-1000*$AS68),IF($AN68="NY",MAX(0,$AY68-(IF($AU68="Married",7950,7400)+1000*$AS68)),IF($AN68="OH",MAX(0,$AY68-650*$AS68),IF($AN68="OK",MAX(0,$AY68-1000*$AS68),IF($AN68="RI",MAX(0,$AI68-1000*$AS68),IF($AN68="SC",MAX(0,$AI68-5000*$AS68-IF($AS68=0,0,MIN(0.1*$AI68,7500))),IF($AN68="VA",MAX(0,$AI68-IF($AU68="Married",17500,8750)-930*$AS68-800*$AT68),IF($AN68="VT",MAX(0,$AI68-5400*$AS68),IF($AN68="WI",MAX(0,$AI68-MAX(0,IF($AU68="Married",9461-0.2*MAX(0,$AI68-25727),6702-0.12*MAX(0,$AI68-17780)))-400*$AS68),IF($AN68="WV",MAX(0,$AI68-2000*$AS68),$AI68))))))))))))))))))))))</f>
      </c>
      <c r="BA68" s="7">
        <f>IF($B68="","",IF($BW68&lt;&gt;"",$BW68,IF($BX68&lt;&gt;"",$BX68,IF($BY68&lt;&gt;"",$BY68,0))))</f>
      </c>
      <c r="BB68" s="7">
        <f>IF($B68="","",IF($AN68="AR",-29*$AS68,IF($AN68="DE",-110*$AS68,IF($AN68="MD",$AZ68*Inputs!$C$74,IF($AN68="AZ",Inputs!$C$82*($M68-$D68)*Inputs!$C$8,IF($AN68="CO",0.044*MAX(0,$AY68-IF($AU68="Married",10000,5000)),IF($AN68="IA",MAX(0,0.038*MAX(0,$AY68-IF($AU68="Head of household",19500,IF($AU68="Married",26000,13000)))-40*$AS68),IF($AN68="ID",0.053*MAX(0,$AY68-IF($AU68="Married",32000,16094)),IF($AN68="IL",0.0495*MAX(0,$AY68-(2925*$AS68+1000*$AT68)),IF($AN68="IN",(0.0295+Inputs!$C$76)*MAX(0,$AY68-(1000*$AS68+1500*$AT68+3000*Inputs!$C$86)),IF($AN68="KY",0.035*MAX(0,$AI68-3360),IF($AN68="LA",IF(Inputs!$C$84="0",0.0309*$AI68,0.0309*MAX(0,$AI68-IF(Inputs!$C$84="2",25750,12875))),IF($AN68="MA",0.05*MIN(MAX(0,$AY68-MIN(($BD67+$Q68+$R68+$S68),2000)-IF($AS68=0,0,IF($AS68=1,4400,1000*$AS68+3400))),1107750)+0.09*MAX(0,MAX(0,$AY68-MIN(($BD67+$Q68+$R68+$S68),2000)-IF($AS68=0,0,IF($AS68=1,4400,1000*$AS68+3400)))-1107750)-IF($AU68="Head of household",120,0)-110*Inputs!$C$75,IF($AN68="MI",0.0425*MAX(0,$AY68-5900*$AS68),IF($AN68="MS",0.04*MAX(0,$AI68-IF($AU68="Head of household",3400,IF($AU68="Married",4600,2300))-Inputs!$C$85-10000),IF($AN68="OR",IF(OR($AU68="Married",AND($AU68="Single",$AS68&gt;=3)),SUMPRODUCT((MAX(0,$AY68-MIN(($P68-'Methodology &amp; Sources'!$C$260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Sources'!$B$461:$J$464,0,4))*(MAX(0,$AY68-MIN(($P68-'Methodology &amp; Sources'!$C$260*$D68)*Inputs!$C$8,IF(OR($AU68="Married",AND($AU68="Single",$AS68&gt;=3)),IF($AY68&lt;250000,8750,IF($AY68&lt;260000,7000,IF($AY68&lt;270000,5250,IF($AY68&lt;280000,3500,IF($AY68&lt;290000,1750,0))))),IF($AY68&lt;125000,8750,IF($AY68&lt;130000,7000,IF($AY68&lt;135000,5250,IF($AY68&lt;140000,3500,IF($AY68&lt;145000,1750,0)))))))-IF(OR($AU68="Married",AND($AU68="Single",$AS68&gt;=3)),5820,2910))-INDEX('Methodology &amp; Sources'!$B$461:$J$464,0,4))*INDEX('Methodology &amp; Sources'!$B$461:$J$464,0,4+2)),SUMPRODUCT((MAX(0,$AY68-MIN(($P68-'Methodology &amp; Sources'!$C$260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Sources'!$B$461:$J$464,0,1))*(MAX(0,$AY68-MIN(($P68-'Methodology &amp; Sources'!$C$260*$D68)*Inputs!$C$8,IF(OR($AU68="Married",AND($AU68="Single",$AS68&gt;=3)),IF($AY68&lt;250000,8750,IF($AY68&lt;260000,7000,IF($AY68&lt;270000,5250,IF($AY68&lt;280000,3500,IF($AY68&lt;290000,1750,0))))),IF($AY68&lt;125000,8750,IF($AY68&lt;130000,7000,IF($AY68&lt;135000,5250,IF($AY68&lt;140000,3500,IF($AY68&lt;145000,1750,0)))))))-IF(OR($AU68="Married",AND($AU68="Single",$AS68&gt;=3)),5820,2910))-INDEX('Methodology &amp; Sources'!$B$461:$J$464,0,1))*INDEX('Methodology &amp; Sources'!$B$461:$J$464,0,1+2)))+263-263*IF(IF($AU68="Married",$AY68&gt;200000,$AY68&gt;100000),0,$AS68),IF($AN68="PA",0.0307*(($O68+$E68+$G68)*Inputs!$C$8),IF($AN68="NY",IF($AU68="Married",IF($AZ68&gt;=2155350,0,IF($AZ68&gt;=1077550,0.48,IF($AZ68&gt;=373200,1.21,IF($AZ68&gt;=323200,0.21,IF($AZ68&gt;=211550,-0.19,IF($AZ68&gt;=157650,-2.8,IF($AZ68&gt;=107650,-0.8,IF($AZ68&gt;=96800,0.05,IF($AZ68&gt;=80650,-0.1,IF($AZ68&gt;=13900,0.4,IF($AZ68&gt;=11700,-0.3,IF($AZ68&gt;=8500,0.5,0)))))))))))),IF($AZ68&gt;=1077550,0,IF($AZ68&gt;=265400,4.29,IF($AZ68&gt;=215400,2.29,IF($AZ68&gt;=157650,2.29,IF($AZ68&gt;=107650,0.29,IF($AZ68&gt;=96800,0.05,IF($AZ68&gt;=80650,-0.1,IF($AZ68&gt;=13900,0.4,IF($AZ68&gt;=11700,-0.3,IF($AZ68&gt;=8500,0.5,0))))))))))),0))))))))))))))))))</f>
      </c>
      <c r="BC68" s="7">
        <f>IF($B68="","",IF($AN68="AL",0.05*$D68,IF($AN68="AR",0.039*$D68,IF($AN68="ID",0.053*$D68,IF($AN68="IN",(0.0295+Inputs!$C$76)*$D68,IF($AN68="KS",0.05*$D68,IF($AN68="MA",0.09*MIN($D68,MAX(0,MAX(0,$AY68-MIN(($BD67+$Q68+$R68+$S68),2000)-IF($AS68=0,0,IF($AS68=1,4400,1000*$AS68+3400)))+$D68-1107750))+0.05*($D68-MIN($D68,MAX(0,MAX(0,$AY68-MIN(($BD67+$Q68+$R68+$S68),2000)-IF($AS68=0,0,IF($AS68=1,4400,1000*$AS68+3400)))+$D68-1107750))),IF($AN68="MD",(0.065+Inputs!$C$74)*$D68,IF($AN68="MI",0.0425*$D68,IF($AN68="MN",0.0625*$D68,IF($AN68="MO",0.047*$D68,IF($AN68="MT",0.05*$D68,IF($AN68="ND",0.015*$D68,IF($AN68="NE",0.035*$D68,IF($AN68="NJ",IF(Inputs!$C$77="B",SUMPRODUCT(($D68*Inputs!$C$8&gt;INDEX('Methodology &amp; Sources'!$B$405:$J$412,0,4))*($D68*Inputs!$C$8-INDEX('Methodology &amp; Sources'!$B$405:$J$412,0,4))*INDEX('Methodology &amp; Sources'!$B$405:$J$412,0,4+2)),IF(Inputs!$C$77="C",SUMPRODUCT(($D68*Inputs!$C$8&gt;INDEX('Methodology &amp; Sources'!$B$405:$J$412,0,7))*($D68*Inputs!$C$8-INDEX('Methodology &amp; Sources'!$B$405:$J$412,0,7))*INDEX('Methodology &amp; Sources'!$B$405:$J$412,0,7+2)),IF(Inputs!$C$77="D",SUMPRODUCT(($D68*Inputs!$C$8&gt;INDEX('Methodology &amp; Sources'!$B$417:$J$429,0,1))*($D68*Inputs!$C$8-INDEX('Methodology &amp; Sources'!$B$417:$J$429,0,1))*INDEX('Methodology &amp; Sources'!$B$417:$J$429,0,1+2)),IF(Inputs!$C$77="E",SUMPRODUCT(($D68*Inputs!$C$8&gt;INDEX('Methodology &amp; Sources'!$B$417:$J$429,0,4))*($D68*Inputs!$C$8-INDEX('Methodology &amp; Sources'!$B$417:$J$429,0,4))*INDEX('Methodology &amp; Sources'!$B$417:$J$429,0,4+2)),SUMPRODUCT(($D68*Inputs!$C$8&gt;INDEX('Methodology &amp; Sources'!$B$405:$J$412,0,1))*($D68*Inputs!$C$8-INDEX('Methodology &amp; Sources'!$B$405:$J$412,0,1))*INDEX('Methodology &amp; Sources'!$B$405:$J$412,0,1+2))))))/Inputs!$C$8,IF($AN68="NY",0.117*$D68,IF($AN68="OH",0.0275*$D68,IF($AN68="OK",0.045*$D68,IF($AN68="OR",0.08*$D68,IF($AN68="WI",IF($AY68&lt;12760,0.0354,IF($AY68&lt;25520,0.0465,IF($AY68&lt;280950,0.053,0.0765)))*$D68,0))))))))))))))))))))</f>
      </c>
      <c r="BD68" s="7">
        <f>IF($B68="","",$BD67+$Q68+$R68+$S68)</f>
      </c>
      <c r="BE68" s="6">
        <f>IF($B68="",$BE67,$BE67+$BF68)</f>
      </c>
      <c r="BF68" s="6">
        <f>IF($B68="","",IF(AND(IF(YEAR(IF(Inputs!$C$7="Weekly",Inputs!$C$9+7*(($BE67+1)-1),IF(Inputs!$C$7="Biweekly",Inputs!$C$9+14*(($BE67+1)-1),IF(Inputs!$C$7="Semimonthly",DATE(YEAR(Inputs!$C$9),MONTH(Inputs!$C$9)+INT((($BE67+1)-1)/2),MIN(DAY(Inputs!$C$9),DAY(EOMONTH(DATE(YEAR(Inputs!$C$9),MONTH(Inputs!$C$9)+INT((($BE67+1)-1)/2),1),0))))+IF(MOD(($BE67+1)-1,2)=1,15,0),EDATE(Inputs!$C$9,($BE67+1)-1)))))&lt;&gt;2026,"",IF(Inputs!$C$7="Weekly",Inputs!$C$9+7*(($BE67+1)-1),IF(Inputs!$C$7="Biweekly",Inputs!$C$9+14*(($BE67+1)-1),IF(Inputs!$C$7="Semimonthly",DATE(YEAR(Inputs!$C$9),MONTH(Inputs!$C$9)+INT((($BE67+1)-1)/2),MIN(DAY(Inputs!$C$9),DAY(EOMONTH(DATE(YEAR(Inputs!$C$9),MONTH(Inputs!$C$9)+INT((($BE67+1)-1)/2),1),0))))+IF(MOD(($BE67+1)-1,2)=1,15,0),EDATE(Inputs!$C$9,($BE67+1)-1)))))&lt;&gt;"",$B68=IF(YEAR(IF(Inputs!$C$7="Weekly",Inputs!$C$9+7*(($BE67+1)-1),IF(Inputs!$C$7="Biweekly",Inputs!$C$9+14*(($BE67+1)-1),IF(Inputs!$C$7="Semimonthly",DATE(YEAR(Inputs!$C$9),MONTH(Inputs!$C$9)+INT((($BE67+1)-1)/2),MIN(DAY(Inputs!$C$9),DAY(EOMONTH(DATE(YEAR(Inputs!$C$9),MONTH(Inputs!$C$9)+INT((($BE67+1)-1)/2),1),0))))+IF(MOD(($BE67+1)-1,2)=1,15,0),EDATE(Inputs!$C$9,($BE67+1)-1)))))&lt;&gt;2026,"",IF(Inputs!$C$7="Weekly",Inputs!$C$9+7*(($BE67+1)-1),IF(Inputs!$C$7="Biweekly",Inputs!$C$9+14*(($BE67+1)-1),IF(Inputs!$C$7="Semimonthly",DATE(YEAR(Inputs!$C$9),MONTH(Inputs!$C$9)+INT((($BE67+1)-1)/2),MIN(DAY(Inputs!$C$9),DAY(EOMONTH(DATE(YEAR(Inputs!$C$9),MONTH(Inputs!$C$9)+INT((($BE67+1)-1)/2),1),0))))+IF(MOD(($BE67+1)-1,2)=1,15,0),EDATE(Inputs!$C$9,($BE67+1)-1)))))),1,0))</f>
      </c>
      <c r="BG68" s="7">
        <f>IF($B68="","",$BG67+$H68)</f>
      </c>
      <c r="BH68" s="7">
        <f>IF($B68="","",$BH67+$I68)</f>
      </c>
      <c r="BI68" s="7">
        <f>IF($B68="","",$BI67+$G68)</f>
      </c>
      <c r="BJ68" s="7">
        <f>IF($B68="","",IFERROR(LOOKUP(2,1/((((Events!$C$6:$C$17="Deduction start"))*(Events!$D$6:$D$17="Health FSA"))*(Events!$B$6:$B$17&lt;=$B68)*(Events!$B$6:$B$17&lt;&gt;"")),Events!$E$6:$E$17),Inputs!$D$38))</f>
      </c>
      <c r="BK68" s="7">
        <f>IF($B68="","",IFERROR(LOOKUP(2,1/((((Events!$C$6:$C$17="Deduction start"))*(Events!$D$6:$D$17="Dependent-care FSA"))*(Events!$B$6:$B$17&lt;=$B68)*(Events!$B$6:$B$17&lt;&gt;"")),Events!$E$6:$E$17),Inputs!$D$39))</f>
      </c>
      <c r="BL68" s="7">
        <f>IF($B68="","",IFERROR(LOOKUP(2,1/((((Events!$C$6:$C$17="Deduction start")+(Events!$C$6:$C$17="Deduction stop"))*(Events!$D$6:$D$17="HSA"))*(Events!$B$6:$B$17&lt;=$B68)*(Events!$B$6:$B$17&lt;&gt;"")),Events!$I$6:$I$17),Inputs!$D$35))</f>
      </c>
      <c r="BM68" s="7">
        <f>IF($B68="","",IFERROR(LOOKUP(2,1/((((Events!$C$6:$C$17="Deduction start")+(Events!$C$6:$C$17="Deduction stop"))*(Events!$D$6:$D$17="Premiums"))*(Events!$B$6:$B$17&lt;=$B68)*(Events!$B$6:$B$17&lt;&gt;"")),Events!$I$6:$I$17),Inputs!$D$40+Inputs!$D$41+Inputs!$D$42))</f>
      </c>
      <c r="BN68" s="7">
        <f>IF($B68="","",IFERROR(LOOKUP(2,1/((((Events!$C$6:$C$17="Deduction start")+(Events!$C$6:$C$17="Deduction stop"))*(Events!$D$6:$D$17="Commuter"))*(Events!$B$6:$B$17&lt;=$B68)*(Events!$B$6:$B$17&lt;&gt;"")),Events!$I$6:$I$17),Inputs!$D$43))</f>
      </c>
      <c r="BO68" s="7">
        <f>IF($B68="","",IFERROR(LOOKUP(2,1/((((Events!$C$6:$C$17="Deduction start")+(Events!$C$6:$C$17="Deduction stop"))*(Events!$D$6:$D$17="Other pre-tax"))*(Events!$B$6:$B$17&lt;=$B68)*(Events!$B$6:$B$17&lt;&gt;"")),Events!$I$6:$I$17),Inputs!$D$44))</f>
      </c>
      <c r="BP68" s="7">
        <f>IF($B68="","",IFERROR(LOOKUP(2,1/((((Events!$C$6:$C$17="Deduction start")+(Events!$C$6:$C$17="Deduction stop"))*(Events!$D$6:$D$17="Other post-tax"))*(Events!$B$6:$B$17&lt;=$B68)*(Events!$B$6:$B$17&lt;&gt;"")),Events!$I$6:$I$17),Inputs!$D$45))</f>
      </c>
      <c r="BQ68" s="6">
        <f>IF($B68="","",IFERROR(LOOKUP(2,1/((((Events!$C$6:$C$17="Deduction start")+(Events!$C$6:$C$17="Deduction stop"))*(Events!$D$6:$D$17="Health FSA"))*(Events!$B$6:$B$17&lt;=$B68)*(Events!$B$6:$B$17&lt;&gt;"")),Events!$J$6:$J$17),0))</f>
      </c>
      <c r="BR68" s="6">
        <f>IF($B68="","",IFERROR(LOOKUP(2,1/((((Events!$C$6:$C$17="Deduction start")+(Events!$C$6:$C$17="Deduction stop"))*(Events!$D$6:$D$17="Dependent-care FSA"))*(Events!$B$6:$B$17&lt;=$B68)*(Events!$B$6:$B$17&lt;&gt;"")),Events!$J$6:$J$17),0))</f>
      </c>
      <c r="BS68" s="6">
        <f>IF($B68="","",IF(SUMPRODUCT((Events!$C$6:$C$17="Deduction start")*(Events!$B$6:$B$17&lt;=$B68)*(Events!$B$6:$B$17&lt;&gt;"")*(Events!$D$6:$D$17="Health FSA"))&gt;0,1,0))</f>
      </c>
      <c r="BT68" s="6">
        <f>IF($B68="","",IF(SUMPRODUCT((Events!$C$6:$C$17="Deduction start")*(Events!$B$6:$B$17&lt;=$B68)*(Events!$B$6:$B$17&lt;&gt;"")*(Events!$D$6:$D$17="Dependent-care FSA"))&gt;0,1,0))</f>
      </c>
      <c r="BU68" s="24">
        <f>IF($B68="","",IF(Inputs!$C$13,SUMPRODUCT(($AH68&gt;=INDEX('Methodology &amp; Sources'!$B$279:$J$286,0,IF(Inputs!$C$12="MFJ",1,IF(Inputs!$C$12="HoH",7,4))))*INDEX('Methodology &amp; Sources'!$B$279:$J$286,0,IF(Inputs!$C$12="MFJ",1,IF(Inputs!$C$12="HoH",7,4))+2)),SUMPRODUCT(($AH68&gt;=INDEX('Methodology &amp; Sources'!$B$269:$J$276,0,IF(Inputs!$C$12="MFJ",1,IF(Inputs!$C$12="HoH",7,4))))*INDEX('Methodology &amp; Sources'!$B$269:$J$276,0,IF(Inputs!$C$12="MFJ",1,IF(Inputs!$C$12="HoH",7,4))+2))))</f>
      </c>
      <c r="BV68" s="24">
        <f>IF($B68="","",IF($BZ68&lt;&gt;"",$BZ68,IF($CA68&lt;&gt;"",$CA68,IF($CB68&lt;&gt;"",$CB68,IF($CC68&lt;&gt;"",$CC68,0)))))</f>
      </c>
      <c r="BW68" s="7">
        <f>IF($B68="","",IF($AN68="MD",IF(OR($AU68="Married",$AU68="Head of household"),SUMPRODUCT(($AZ68&gt;INDEX('Methodology &amp; Sources'!$B$364:$J$370,0,1))*($AZ68-INDEX('Methodology &amp; Sources'!$B$364:$J$370,0,1))*INDEX('Methodology &amp; Sources'!$B$364:$J$370,0,1+2)),SUMPRODUCT(($AZ68&gt;INDEX('Methodology &amp; Sources'!$B$353:$J$359,0,7))*($AZ68-INDEX('Methodology &amp; Sources'!$B$353:$J$359,0,7))*INDEX('Methodology &amp; Sources'!$B$353:$J$359,0,7+2))),IF($AN68="MO",SUMPRODUCT(($AZ68&gt;INDEX('Methodology &amp; Sources'!$B$375:$J$382,0,1))*($AZ68-INDEX('Methodology &amp; Sources'!$B$375:$J$382,0,1))*INDEX('Methodology &amp; Sources'!$B$375:$J$382,0,1+2)),IF($AN68="MT",IF($AU68="Head of household",SUMPRODUCT(($AZ68&gt;INDEX('Methodology &amp; Sources'!$B$387:$J$389,0,1))*($AZ68-INDEX('Methodology &amp; Sources'!$B$387:$J$389,0,1))*INDEX('Methodology &amp; Sources'!$B$387:$J$389,0,1+2)),IF($AU68="Married",SUMPRODUCT(($AZ68&gt;INDEX('Methodology &amp; Sources'!$B$375:$J$382,0,7))*($AZ68-INDEX('Methodology &amp; Sources'!$B$375:$J$382,0,7))*INDEX('Methodology &amp; Sources'!$B$375:$J$382,0,7+2)),SUMPRODUCT(($AZ68&gt;INDEX('Methodology &amp; Sources'!$B$375:$J$382,0,4))*($AZ68-INDEX('Methodology &amp; Sources'!$B$375:$J$382,0,4))*INDEX('Methodology &amp; Sources'!$B$375:$J$382,0,4+2)))),IF($AN68="ND",IF($AU68="Head of household",SUMPRODUCT(($AZ68&gt;INDEX('Methodology &amp; Sources'!$B$394:$J$400,0,1))*($AZ68-INDEX('Methodology &amp; Sources'!$B$394:$J$400,0,1))*INDEX('Methodology &amp; Sources'!$B$394:$J$400,0,1+2)),IF($AU68="Married",SUMPRODUCT(($AZ68&gt;INDEX('Methodology &amp; Sources'!$B$387:$J$389,0,7))*($AZ68-INDEX('Methodology &amp; Sources'!$B$387:$J$389,0,7))*INDEX('Methodology &amp; Sources'!$B$387:$J$389,0,7+2)),SUMPRODUCT(($AZ68&gt;INDEX('Methodology &amp; Sources'!$B$387:$J$389,0,4))*($AZ68-INDEX('Methodology &amp; Sources'!$B$387:$J$389,0,4))*INDEX('Methodology &amp; Sources'!$B$387:$J$389,0,4+2)))),IF($AN68="NJ",IF(Inputs!$C$77="B",SUMPRODUCT(($AZ68&gt;INDEX('Methodology &amp; Sources'!$B$405:$J$412,0,4))*($AZ68-INDEX('Methodology &amp; Sources'!$B$405:$J$412,0,4))*INDEX('Methodology &amp; Sources'!$B$405:$J$412,0,4+2)),IF(Inputs!$C$77="C",SUMPRODUCT(($AZ68&gt;INDEX('Methodology &amp; Sources'!$B$405:$J$412,0,7))*($AZ68-INDEX('Methodology &amp; Sources'!$B$405:$J$412,0,7))*INDEX('Methodology &amp; Sources'!$B$405:$J$412,0,7+2)),IF(Inputs!$C$77="D",SUMPRODUCT(($AZ68&gt;INDEX('Methodology &amp; Sources'!$B$417:$J$429,0,1))*($AZ68-INDEX('Methodology &amp; Sources'!$B$417:$J$429,0,1))*INDEX('Methodology &amp; Sources'!$B$417:$J$429,0,1+2)),IF(Inputs!$C$77="E",SUMPRODUCT(($AZ68&gt;INDEX('Methodology &amp; Sources'!$B$417:$J$429,0,4))*($AZ68-INDEX('Methodology &amp; Sources'!$B$417:$J$429,0,4))*INDEX('Methodology &amp; Sources'!$B$417:$J$429,0,4+2)),SUMPRODUCT(($AZ68&gt;INDEX('Methodology &amp; Sources'!$B$405:$J$412,0,1))*($AZ68-INDEX('Methodology &amp; Sources'!$B$405:$J$412,0,1))*INDEX('Methodology &amp; Sources'!$B$405:$J$412,0,1+2)))))),IF($AN68="NY",IF($AU68="Married",IF($AZ68&gt;=2155350,$AZ68*IF($AZ68&gt;25000000,0.117,IF($AZ68&gt;5000000,0.111,0.1045)),SUMPRODUCT(($AZ68&gt;INDEX('Methodology &amp; Sources'!$B$434:$J$448,0,1))*($AZ68-INDEX('Methodology &amp; Sources'!$B$434:$J$448,0,1))*INDEX('Methodology &amp; Sources'!$B$434:$J$448,0,1+2))),IF($AZ68&gt;=1077550,$AZ68*IF($AZ68&gt;25000000,0.117,IF($AZ68&gt;5000000,0.111,0.1045)),SUMPRODUCT(($AZ68&gt;INDEX('Methodology &amp; Sources'!$B$417:$J$429,0,7))*($AZ68-INDEX('Methodology &amp; Sources'!$B$417:$J$429,0,7))*INDEX('Methodology &amp; Sources'!$B$417:$J$429,0,7+2)))),"")))))))</f>
      </c>
      <c r="BX68" s="7">
        <f>IF($B68="","",IF($AN68="AL",IF(OR($AU68="Married",$AU68="Head of household"),SUMPRODUCT(($AZ68&gt;INDEX('Methodology &amp; Sources'!$B$332:$J$336,0,4))*($AZ68-INDEX('Methodology &amp; Sources'!$B$332:$J$336,0,4))*INDEX('Methodology &amp; Sources'!$B$332:$J$336,0,4+2)),SUMPRODUCT(($AZ68&gt;INDEX('Methodology &amp; Sources'!$B$332:$J$336,0,1))*($AZ68-INDEX('Methodology &amp; Sources'!$B$332:$J$336,0,1))*INDEX('Methodology &amp; Sources'!$B$332:$J$336,0,1+2))),IF($AN68="KS",IF($AU68="Married",SUMPRODUCT(($AZ68&gt;INDEX('Methodology &amp; Sources'!$B$353:$J$359,0,4))*($AZ68-INDEX('Methodology &amp; Sources'!$B$353:$J$359,0,4))*INDEX('Methodology &amp; Sources'!$B$353:$J$359,0,4+2)),SUMPRODUCT(($AZ68&gt;INDEX('Methodology &amp; Sources'!$B$353:$J$359,0,1))*($AZ68-INDEX('Methodology &amp; Sources'!$B$353:$J$359,0,1))*INDEX('Methodology &amp; Sources'!$B$353:$J$359,0,1+2))),IF($AN68="MN",IF($AU68="Married",SUMPRODUCT(($AZ68&gt;INDEX('Methodology &amp; Sources'!$B$364:$J$370,0,7))*($AZ68-INDEX('Methodology &amp; Sources'!$B$364:$J$370,0,7))*INDEX('Methodology &amp; Sources'!$B$364:$J$370,0,7+2)),SUMPRODUCT(($AZ68&gt;INDEX('Methodology &amp; Sources'!$B$364:$J$370,0,4))*($AZ68-INDEX('Methodology &amp; Sources'!$B$364:$J$370,0,4))*INDEX('Methodology &amp; Sources'!$B$364:$J$370,0,4+2))),IF($AN68="NE",MAX(IF($AU68="Married",SUMPRODUCT(($AZ68&gt;INDEX('Methodology &amp; Sources'!$B$394:$J$400,0,7))*($AZ68-INDEX('Methodology &amp; Sources'!$B$394:$J$400,0,7))*INDEX('Methodology &amp; Sources'!$B$394:$J$400,0,7+2)),SUMPRODUCT(($AZ68&gt;INDEX('Methodology &amp; Sources'!$B$394:$J$400,0,4))*($AZ68-INDEX('Methodology &amp; Sources'!$B$394:$J$400,0,4))*INDEX('Methodology &amp; Sources'!$B$394:$J$400,0,4+2))),0.015*$AZ68),IF($AN68="OH",IF($B68&gt;=DATE(2026,8,1),SUMPRODUCT(($AZ68&gt;INDEX('Methodology &amp; Sources'!$B$453:$J$456,0,1))*($AZ68-INDEX('Methodology &amp; Sources'!$B$453:$J$456,0,1))*INDEX('Methodology &amp; Sources'!$B$453:$J$456,0,1+2)),SUMPRODUCT(($AZ68&gt;INDEX('Methodology &amp; Sources'!$B$434:$J$448,0,7))*($AZ68-INDEX('Methodology &amp; Sources'!$B$434:$J$448,0,7))*INDEX('Methodology &amp; Sources'!$B$434:$J$448,0,7+2))),IF($AN68="OK",IF($AU68="Married",SUMPRODUCT(($AZ68&gt;INDEX('Methodology &amp; Sources'!$B$453:$J$456,0,7))*($AZ68-INDEX('Methodology &amp; Sources'!$B$453:$J$456,0,7))*INDEX('Methodology &amp; Sources'!$B$453:$J$456,0,7+2)),SUMPRODUCT(($AZ68&gt;INDEX('Methodology &amp; Sources'!$B$453:$J$456,0,4))*($AZ68-INDEX('Methodology &amp; Sources'!$B$453:$J$456,0,4))*INDEX('Methodology &amp; Sources'!$B$453:$J$456,0,4+2))),IF($AN68="RI",SUMPRODUCT(($AZ68&gt;INDEX('Methodology &amp; Sources'!$B$461:$J$464,0,7))*($AZ68-INDEX('Methodology &amp; Sources'!$B$461:$J$464,0,7))*INDEX('Methodology &amp; Sources'!$B$461:$J$464,0,7+2)),IF($AN68="VT",IF($AU68="Married",SUMPRODUCT(($AZ68&gt;INDEX('Methodology &amp; Sources'!$B$478:$J$482,0,1))*($AZ68-INDEX('Methodology &amp; Sources'!$B$478:$J$482,0,1))*INDEX('Methodology &amp; Sources'!$B$478:$J$482,0,1+2)),SUMPRODUCT(($AZ68&gt;INDEX('Methodology &amp; Sources'!$B$469:$J$473,0,7))*($AZ68-INDEX('Methodology &amp; Sources'!$B$469:$J$473,0,7))*INDEX('Methodology &amp; Sources'!$B$469:$J$473,0,7+2))),IF($AN68="WV",IF($AU68="Married",SUMPRODUCT(($AZ68&gt;INDEX('Methodology &amp; Sources'!$B$487:$J$491,0,7))*($AZ68-INDEX('Methodology &amp; Sources'!$B$487:$J$491,0,7))*INDEX('Methodology &amp; Sources'!$B$487:$J$491,0,7+2)),SUMPRODUCT(($AZ68&gt;INDEX('Methodology &amp; Sources'!$B$478:$J$482,0,7))*($AZ68-INDEX('Methodology &amp; Sources'!$B$478:$J$482,0,7))*INDEX('Methodology &amp; Sources'!$B$478:$J$482,0,7+2))),""))))))))))</f>
      </c>
      <c r="BY68" s="7">
        <f>IF($B68="","",IF($AN68="AR",SUMPRODUCT(($AZ68&gt;INDEX('Methodology &amp; Sources'!$B$332:$J$336,0,7))*($AZ68-INDEX('Methodology &amp; Sources'!$B$332:$J$336,0,7))*INDEX('Methodology &amp; Sources'!$B$332:$J$336,0,7+2)),IF($AN68="DE",SUMPRODUCT(($AZ68&gt;INDEX('Methodology &amp; Sources'!$B$341:$J$348,0,1))*($AZ68-INDEX('Methodology &amp; Sources'!$B$341:$J$348,0,1))*INDEX('Methodology &amp; Sources'!$B$341:$J$348,0,1+2)),IF($AN68="HI",IF($AU68="Married",SUMPRODUCT(($AZ68&gt;INDEX('Methodology &amp; Sources'!$B$341:$J$348,0,7))*($AZ68-INDEX('Methodology &amp; Sources'!$B$341:$J$348,0,7))*INDEX('Methodology &amp; Sources'!$B$341:$J$348,0,7+2)),SUMPRODUCT(($AZ68&gt;INDEX('Methodology &amp; Sources'!$B$341:$J$348,0,4))*($AZ68-INDEX('Methodology &amp; Sources'!$B$341:$J$348,0,4))*INDEX('Methodology &amp; Sources'!$B$341:$J$348,0,4+2))),IF($AN68="SC",SUMPRODUCT(($AZ68&gt;INDEX('Methodology &amp; Sources'!$B$469:$J$473,0,1))*($AZ68-INDEX('Methodology &amp; Sources'!$B$469:$J$473,0,1))*INDEX('Methodology &amp; Sources'!$B$469:$J$473,0,1+2)),IF($AN68="VA",SUMPRODUCT(($AZ68&gt;INDEX('Methodology &amp; Sources'!$B$469:$J$473,0,4))*($AZ68-INDEX('Methodology &amp; Sources'!$B$469:$J$473,0,4))*INDEX('Methodology &amp; Sources'!$B$469:$J$473,0,4+2)),IF($AN68="WI",SUMPRODUCT(($AZ68&gt;INDEX('Methodology &amp; Sources'!$B$478:$J$482,0,4))*($AZ68-INDEX('Methodology &amp; Sources'!$B$478:$J$482,0,4))*INDEX('Methodology &amp; Sources'!$B$478:$J$482,0,4+2)),"")))))))</f>
      </c>
      <c r="BZ68" s="24">
        <f>IF($B68="","",IF($AN68="NJ",IF(Inputs!$C$77="B",SUMPRODUCT(($AZ68&gt;=INDEX('Methodology &amp; Sources'!$B$405:$J$412,0,4))*INDEX('Methodology &amp; Sources'!$B$405:$J$412,0,4+2)),IF(Inputs!$C$77="C",SUMPRODUCT(($AZ68&gt;=INDEX('Methodology &amp; Sources'!$B$405:$J$412,0,7))*INDEX('Methodology &amp; Sources'!$B$405:$J$412,0,7+2)),IF(Inputs!$C$77="D",SUMPRODUCT(($AZ68&gt;=INDEX('Methodology &amp; Sources'!$B$417:$J$429,0,1))*INDEX('Methodology &amp; Sources'!$B$417:$J$429,0,1+2)),IF(Inputs!$C$77="E",SUMPRODUCT(($AZ68&gt;=INDEX('Methodology &amp; Sources'!$B$417:$J$429,0,4))*INDEX('Methodology &amp; Sources'!$B$417:$J$429,0,4+2)),SUMPRODUCT(($AZ68&gt;=INDEX('Methodology &amp; Sources'!$B$405:$J$412,0,1))*INDEX('Methodology &amp; Sources'!$B$405:$J$412,0,1+2)))))),IF($AN68="OR",IF(OR($AU68="Married",AND($AU68="Single",$AS68&gt;=3)),SUMPRODUCT((MAX(0,$AY68-MIN(($P68-'Methodology &amp; Sources'!$C$260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Sources'!$B$461:$J$464,0,4))*INDEX('Methodology &amp; Sources'!$B$461:$J$464,0,4+2)),SUMPRODUCT((MAX(0,$AY68-MIN(($P68-'Methodology &amp; Sources'!$C$260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Sources'!$B$461:$J$464,0,1))*INDEX('Methodology &amp; Sources'!$B$461:$J$464,0,1+2)))*IF(($P68-'Methodology &amp; Sources'!$C$260*$D68)*Inputs!$C$8&gt;=IF(OR($AU68="Married",AND($AU68="Single",$AS68&gt;=3)),IF($AY68&lt;250000,8750,IF($AY68&lt;260000,7000,IF($AY68&lt;270000,5250,IF($AY68&lt;280000,3500,IF($AY68&lt;290000,1750,0))))),IF($AY68&lt;125000,8750,IF($AY68&lt;130000,7000,IF($AY68&lt;135000,5250,IF($AY68&lt;140000,3500,IF($AY68&lt;145000,1750,0)))))),1,1-IF(Inputs!$C$13,SUMPRODUCT(($AH68&gt;=INDEX('Methodology &amp; Sources'!$B$279:$J$286,0,IF(Inputs!$C$12="MFJ",1,IF(Inputs!$C$12="HoH",7,4))))*INDEX('Methodology &amp; Sources'!$B$279:$J$286,0,IF(Inputs!$C$12="MFJ",1,IF(Inputs!$C$12="HoH",7,4))+2)),SUMPRODUCT(($AH68&gt;=INDEX('Methodology &amp; Sources'!$B$269:$J$276,0,IF(Inputs!$C$12="MFJ",1,IF(Inputs!$C$12="HoH",7,4))))*INDEX('Methodology &amp; Sources'!$B$269:$J$276,0,IF(Inputs!$C$12="MFJ",1,IF(Inputs!$C$12="HoH",7,4))+2)))),IF($AN68="MI",IF($AY68&gt;5900*$AS68,0.0425,0),""))))</f>
      </c>
      <c r="CA68" s="24">
        <f>IF($B68="","",IF($AN68="AL",IF(OR($AU68="Married",$AU68="Head of household"),SUMPRODUCT(($AZ68&gt;=INDEX('Methodology &amp; Sources'!$B$332:$J$336,0,4))*INDEX('Methodology &amp; Sources'!$B$332:$J$336,0,4+2)),SUMPRODUCT(($AZ68&gt;=INDEX('Methodology &amp; Sources'!$B$332:$J$336,0,1))*INDEX('Methodology &amp; Sources'!$B$332:$J$336,0,1+2)))*(1-IF(Inputs!$C$13,SUMPRODUCT(($AH68&gt;=INDEX('Methodology &amp; Sources'!$B$279:$J$286,0,IF(Inputs!$C$12="MFJ",1,IF(Inputs!$C$12="HoH",7,4))))*INDEX('Methodology &amp; Sources'!$B$279:$J$286,0,IF(Inputs!$C$12="MFJ",1,IF(Inputs!$C$12="HoH",7,4))+2)),SUMPRODUCT(($AH68&gt;=INDEX('Methodology &amp; Sources'!$B$269:$J$276,0,IF(Inputs!$C$12="MFJ",1,IF(Inputs!$C$12="HoH",7,4))))*INDEX('Methodology &amp; Sources'!$B$269:$J$276,0,IF(Inputs!$C$12="MFJ",1,IF(Inputs!$C$12="HoH",7,4))+2)))),IF($AN68="KS",IF($AU68="Married",SUMPRODUCT(($AZ68&gt;=INDEX('Methodology &amp; Sources'!$B$353:$J$359,0,4))*INDEX('Methodology &amp; Sources'!$B$353:$J$359,0,4+2)),SUMPRODUCT(($AZ68&gt;=INDEX('Methodology &amp; Sources'!$B$353:$J$359,0,1))*INDEX('Methodology &amp; Sources'!$B$353:$J$359,0,1+2))),IF($AN68="MD",IF(OR($AU68="Married",$AU68="Head of household"),SUMPRODUCT(($AZ68&gt;=INDEX('Methodology &amp; Sources'!$B$364:$J$370,0,1))*INDEX('Methodology &amp; Sources'!$B$364:$J$370,0,1+2)),SUMPRODUCT(($AZ68&gt;=INDEX('Methodology &amp; Sources'!$B$353:$J$359,0,7))*INDEX('Methodology &amp; Sources'!$B$353:$J$359,0,7+2)))+Inputs!$C$74,IF($AN68="MT",IF($AU68="Head of household",SUMPRODUCT(($AZ68&gt;=INDEX('Methodology &amp; Sources'!$B$387:$J$389,0,1))*INDEX('Methodology &amp; Sources'!$B$387:$J$389,0,1+2)),IF($AU68="Married",SUMPRODUCT(($AZ68&gt;=INDEX('Methodology &amp; Sources'!$B$375:$J$382,0,7))*INDEX('Methodology &amp; Sources'!$B$375:$J$382,0,7+2)),SUMPRODUCT(($AZ68&gt;=INDEX('Methodology &amp; Sources'!$B$375:$J$382,0,4))*INDEX('Methodology &amp; Sources'!$B$375:$J$382,0,4+2)))),IF($AN68="ND",IF($AU68="Head of household",SUMPRODUCT(($AZ68&gt;=INDEX('Methodology &amp; Sources'!$B$394:$J$400,0,1))*INDEX('Methodology &amp; Sources'!$B$394:$J$400,0,1+2)),IF($AU68="Married",SUMPRODUCT(($AZ68&gt;=INDEX('Methodology &amp; Sources'!$B$387:$J$389,0,7))*INDEX('Methodology &amp; Sources'!$B$387:$J$389,0,7+2)),SUMPRODUCT(($AZ68&gt;=INDEX('Methodology &amp; Sources'!$B$387:$J$389,0,4))*INDEX('Methodology &amp; Sources'!$B$387:$J$389,0,4+2)))),IF($AN68="NY",IF($AU68="Married",IF($AZ68&gt;=2155350,IF($AZ68&gt;25000000,0.117,IF($AZ68&gt;5000000,0.111,0.1045)),SUMPRODUCT(($AZ68&gt;=INDEX('Methodology &amp; Sources'!$B$434:$J$448,0,1))*INDEX('Methodology &amp; Sources'!$B$434:$J$448,0,1+2))),IF($AZ68&gt;=1077550,IF($AZ68&gt;25000000,0.117,IF($AZ68&gt;5000000,0.111,0.1045)),SUMPRODUCT(($AZ68&gt;=INDEX('Methodology &amp; Sources'!$B$417:$J$429,0,7))*INDEX('Methodology &amp; Sources'!$B$417:$J$429,0,7+2)))),"")))))))</f>
      </c>
      <c r="CB68" s="24">
        <f>IF($B68="","",IF($AN68="CA",SUMPRODUCT(($AJ68&gt;=INDEX('Methodology &amp; Sources'!$B$289:$J$298,0,IF($AU68="Married",4,IF($AU68="Head of household",7,1))))*INDEX('Methodology &amp; Sources'!$B$289:$J$298,0,IF($AU68="Married",4,IF($AU68="Head of household",7,1))+2)),IF($AN68="HI",IF($AU68="Married",SUMPRODUCT(($AZ68&gt;=INDEX('Methodology &amp; Sources'!$B$341:$J$348,0,7))*INDEX('Methodology &amp; Sources'!$B$341:$J$348,0,7+2)),SUMPRODUCT(($AZ68&gt;=INDEX('Methodology &amp; Sources'!$B$341:$J$348,0,4))*INDEX('Methodology &amp; Sources'!$B$341:$J$348,0,4+2))),IF($AN68="MN",IF($AU68="Married",SUMPRODUCT(($AZ68&gt;=INDEX('Methodology &amp; Sources'!$B$364:$J$370,0,7))*INDEX('Methodology &amp; Sources'!$B$364:$J$370,0,7+2)),SUMPRODUCT(($AZ68&gt;=INDEX('Methodology &amp; Sources'!$B$364:$J$370,0,4))*INDEX('Methodology &amp; Sources'!$B$364:$J$370,0,4+2))),IF($AN68="MO",SUMPRODUCT(($AZ68&gt;=INDEX('Methodology &amp; Sources'!$B$375:$J$382,0,1))*INDEX('Methodology &amp; Sources'!$B$375:$J$382,0,1+2)),IF($AN68="NE",MAX(IF($AU68="Married",SUMPRODUCT(($AZ68&gt;=INDEX('Methodology &amp; Sources'!$B$394:$J$400,0,7))*INDEX('Methodology &amp; Sources'!$B$394:$J$400,0,7+2)),SUMPRODUCT(($AZ68&gt;=INDEX('Methodology &amp; Sources'!$B$394:$J$400,0,4))*INDEX('Methodology &amp; Sources'!$B$394:$J$400,0,4+2))),0.015),IF($AN68="OH",IF($B68&gt;=DATE(2026,8,1),SUMPRODUCT(($AZ68&gt;=INDEX('Methodology &amp; Sources'!$B$453:$J$456,0,1))*INDEX('Methodology &amp; Sources'!$B$453:$J$456,0,1+2)),SUMPRODUCT(($AZ68&gt;=INDEX('Methodology &amp; Sources'!$B$434:$J$448,0,7))*INDEX('Methodology &amp; Sources'!$B$434:$J$448,0,7+2))),IF($AN68="OK",IF($AU68="Married",SUMPRODUCT(($AZ68&gt;=INDEX('Methodology &amp; Sources'!$B$453:$J$456,0,7))*INDEX('Methodology &amp; Sources'!$B$453:$J$456,0,7+2)),SUMPRODUCT(($AZ68&gt;=INDEX('Methodology &amp; Sources'!$B$453:$J$456,0,4))*INDEX('Methodology &amp; Sources'!$B$453:$J$456,0,4+2))),IF($AN68="RI",SUMPRODUCT(($AZ68&gt;=INDEX('Methodology &amp; Sources'!$B$461:$J$464,0,7))*INDEX('Methodology &amp; Sources'!$B$461:$J$464,0,7+2)),IF($AN68="SC",SUMPRODUCT(($AZ68&gt;=INDEX('Methodology &amp; Sources'!$B$469:$J$473,0,1))*INDEX('Methodology &amp; Sources'!$B$469:$J$473,0,1+2)),IF($AN68="VT",IF($AU68="Married",SUMPRODUCT(($AZ68&gt;=INDEX('Methodology &amp; Sources'!$B$478:$J$482,0,1))*INDEX('Methodology &amp; Sources'!$B$478:$J$482,0,1+2)),SUMPRODUCT(($AZ68&gt;=INDEX('Methodology &amp; Sources'!$B$469:$J$473,0,7))*INDEX('Methodology &amp; Sources'!$B$469:$J$473,0,7+2))),IF($AN68="WV",IF($AU68="Married",SUMPRODUCT(($AZ68&gt;=INDEX('Methodology &amp; Sources'!$B$487:$J$491,0,7))*INDEX('Methodology &amp; Sources'!$B$487:$J$491,0,7+2)),SUMPRODUCT(($AZ68&gt;=INDEX('Methodology &amp; Sources'!$B$478:$J$482,0,7))*INDEX('Methodology &amp; Sources'!$B$478:$J$482,0,7+2))),IF($AN68="IN",(0.0295+Inputs!$C$76),"")))))))))))))</f>
      </c>
      <c r="CC68" s="24">
        <f>IF($B68="","",IF($AN68="AR",SUMPRODUCT(($AZ68&gt;=INDEX('Methodology &amp; Sources'!$B$332:$J$336,0,7))*INDEX('Methodology &amp; Sources'!$B$332:$J$336,0,7+2)),IF($AN68="DE",SUMPRODUCT(($AZ68&gt;=INDEX('Methodology &amp; Sources'!$B$341:$J$348,0,1))*INDEX('Methodology &amp; Sources'!$B$341:$J$348,0,1+2)),IF($AN68="VA",SUMPRODUCT(($AZ68&gt;=INDEX('Methodology &amp; Sources'!$B$469:$J$473,0,4))*INDEX('Methodology &amp; Sources'!$B$469:$J$473,0,4+2)),IF($AN68="WI",SUMPRODUCT(($AZ68&gt;=INDEX('Methodology &amp; Sources'!$B$478:$J$482,0,4))*INDEX('Methodology &amp; Sources'!$B$478:$J$482,0,4+2)),IF($AN68="AZ",Inputs!$C$82,IF($AN68="CO",IF($AY68&gt;IF($AU68="Married",10000,5000),0.044,0),IF($AN68="IA",IF($AY68&gt;IF($AU68="Head of household",19500,IF($AU68="Married",26000,13000)),0.038,0),IF($AN68="ID",IF($AY68&gt;IF($AU68="Married",32000,16094),0.053,0),IF($AN68="IL",IF($AY68&gt;(2925*$AS68+1000*$AT68),0.0495,0),IF($AN68="KY",IF($AI68&gt;3360,0.035,0),IF($AN68="LA",0.0309,IF($AN68="MA",IF(MAX(0,$AY68-MIN(($BD67+$Q68+$R68+$S68),2000)-IF($AS68=0,0,IF($AS68=1,4400,1000*$AS68+3400)))&gt;=1107750,0.09,0.05),IF($AN68="MS",IF($AI68-IF($AU68="Head of household",3400,IF($AU68="Married",4600,2300))-Inputs!$C$85&gt;10000,0.04,0),IF($AN68="PA",0.0307,"")))))))))))))))</f>
      </c>
      <c r="CD68" s="21">
        <f>IF(YEAR(IF(Inputs!$C$7="Weekly",Inputs!$C$9+7*(($BE67+1)-1),IF(Inputs!$C$7="Biweekly",Inputs!$C$9+14*(($BE67+1)-1),IF(Inputs!$C$7="Semimonthly",DATE(YEAR(Inputs!$C$9),MONTH(Inputs!$C$9)+INT((($BE67+1)-1)/2),MIN(DAY(Inputs!$C$9),DAY(EOMONTH(DATE(YEAR(Inputs!$C$9),MONTH(Inputs!$C$9)+INT((($BE67+1)-1)/2),1),0))))+IF(MOD(($BE67+1)-1,2)=1,15,0),EDATE(Inputs!$C$9,($BE67+1)-1)))))&lt;&gt;2026,"",IF(Inputs!$C$7="Weekly",Inputs!$C$9+7*(($BE67+1)-1),IF(Inputs!$C$7="Biweekly",Inputs!$C$9+14*(($BE67+1)-1),IF(Inputs!$C$7="Semimonthly",DATE(YEAR(Inputs!$C$9),MONTH(Inputs!$C$9)+INT((($BE67+1)-1)/2),MIN(DAY(Inputs!$C$9),DAY(EOMONTH(DATE(YEAR(Inputs!$C$9),MONTH(Inputs!$C$9)+INT((($BE67+1)-1)/2),1),0))))+IF(MOD(($BE67+1)-1,2)=1,15,0),EDATE(Inputs!$C$9,($BE67+1)-1)))))</f>
      </c>
      <c r="CE68" s="21">
        <f>IF(SUMPRODUCT(MIN(IF((Inputs!$C$58:$C$67&gt;MAX($B$6:$B67))*(Inputs!$C$58:$C$67&gt;=DATE(2026,1,1))*(Inputs!$C$58:$C$67&lt;=DATE(2026,12,31)),Inputs!$C$58:$C$67,999999)))=999999,"",SUMPRODUCT(MIN(IF((Inputs!$C$58:$C$67&gt;MAX($B$6:$B67))*(Inputs!$C$58:$C$67&gt;=DATE(2026,1,1))*(Inputs!$C$58:$C$67&lt;=DATE(2026,12,31)),Inputs!$C$58:$C$67,999999))))</f>
      </c>
    </row>
  </sheetData>
  <sheetProtection selectLockedCells="0" selectUnlockedCells="0" sheet="1" objects="0" insertRows="1" insertHyperlinks="1" autoFilter="1" scenarios="0" formatColumns="1" deleteColumns="1" insertColumns="1" pivotTables="1" deleteRows="1" formatCells="1" formatRows="1" sort="1"/>
  <mergeCells count="1">
    <mergeCell ref="B4:J4"/>
  </mergeCells>
  <conditionalFormatting sqref="T6:T68">
    <cfRule type="expression" priority="1" dxfId="1">
      <formula>AND($B6&lt;&gt;"",ISNUMBER(SEARCH("MANUAL",IFERROR(VLOOKUP($AN6,'StateTables 2026'!$A$6:$AB$56,5,FALSE),""))),NOT(Inputs!$C$26),OR(Inputs!$C$28="",Inputs!$C$28&lt;=0))</formula>
    </cfRule>
  </conditionalFormatting>
  <pageMargins left="0.75" right="0.75" top="1" bottom="1" header="0.5" footer="0.5"/>
</worksheet>
</file>

<file path=xl/worksheets/sheet7.xml><?xml version="1.0" encoding="utf-8"?>
<worksheet xmlns="http://schemas.openxmlformats.org/spreadsheetml/2006/main">
  <sheetPr>
    <tabColor rgb="001F4E79"/>
    <outlinePr summaryBelow="1" summaryRight="1"/>
    <pageSetUpPr/>
  </sheetPr>
  <dimension ref="A1:CE68"/>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2" customWidth="1" min="2" max="2"/>
    <col width="12" customWidth="1" min="3" max="3"/>
    <col width="11" customWidth="1" min="4" max="4"/>
    <col width="12" customWidth="1" min="5" max="5"/>
    <col width="11" customWidth="1" min="6" max="6"/>
    <col width="10" customWidth="1" min="7" max="7"/>
    <col width="11" customWidth="1" min="8" max="8"/>
    <col width="11" customWidth="1" min="9" max="9"/>
    <col width="12" customWidth="1" min="10" max="10"/>
    <col width="11" customWidth="1" min="11" max="11"/>
    <col width="11" customWidth="1" min="12" max="12"/>
    <col width="13" customWidth="1" min="13" max="13"/>
    <col width="12" customWidth="1" min="14" max="14"/>
    <col width="13" customWidth="1" min="15" max="15"/>
    <col width="11" customWidth="1" min="16" max="16"/>
    <col width="11" customWidth="1" min="17" max="17"/>
    <col width="10" customWidth="1" min="18" max="18"/>
    <col width="11" customWidth="1" min="19" max="19"/>
    <col width="11" customWidth="1" min="20" max="20"/>
    <col width="11" customWidth="1" min="21" max="21"/>
    <col width="10" customWidth="1" min="22" max="22"/>
    <col width="11" customWidth="1" min="23" max="23"/>
    <col width="12" customWidth="1" min="24" max="24"/>
    <col width="12" customWidth="1" min="25" max="25"/>
    <col width="12" customWidth="1" min="26" max="26"/>
    <col width="12" customWidth="1" min="27" max="27"/>
    <col width="12" customWidth="1" min="28" max="28"/>
    <col width="11" customWidth="1" min="29" max="29"/>
    <col width="62" customWidth="1" min="30" max="30"/>
    <col width="13" customWidth="1" min="31" max="31"/>
    <col width="10" customWidth="1" min="32" max="32"/>
    <col width="12" customWidth="1" min="33" max="33"/>
    <col width="13" customWidth="1" min="34" max="34"/>
    <col width="13" customWidth="1" min="35" max="35"/>
    <col width="13" customWidth="1" min="36" max="36"/>
    <col width="12" customWidth="1" min="37" max="37"/>
    <col width="11" customWidth="1" min="38" max="38"/>
    <col width="12" customWidth="1" min="39" max="39"/>
    <col width="9" customWidth="1" min="40" max="40"/>
    <col width="11" customWidth="1" min="41" max="41"/>
    <col width="11" customWidth="1" min="42" max="42"/>
    <col width="11" customWidth="1" min="43" max="43"/>
    <col width="11" customWidth="1" min="44" max="44"/>
    <col width="11" customWidth="1" min="45" max="45"/>
    <col width="11" customWidth="1" min="46" max="46"/>
    <col width="13" customWidth="1" min="47" max="47"/>
    <col width="9" customWidth="1" min="48" max="48"/>
    <col width="12" customWidth="1" min="49" max="49"/>
    <col width="12" customWidth="1" min="50" max="50"/>
    <col width="13" customWidth="1" min="51" max="51"/>
    <col width="13" customWidth="1" min="52" max="52"/>
    <col width="13" customWidth="1" min="53" max="53"/>
    <col width="13" customWidth="1" min="54" max="54"/>
    <col width="12" customWidth="1" min="55" max="55"/>
    <col width="12" customWidth="1" min="56" max="56"/>
    <col width="10" customWidth="1" min="57" max="57"/>
    <col width="10" customWidth="1" min="58" max="58"/>
    <col width="12" customWidth="1" min="59" max="59"/>
    <col width="12" customWidth="1" min="60" max="60"/>
    <col width="12" customWidth="1" min="61" max="61"/>
    <col width="13" customWidth="1" min="62" max="62"/>
    <col width="13" customWidth="1" min="63" max="63"/>
    <col width="12" customWidth="1" min="64" max="64"/>
    <col width="12" customWidth="1" min="65" max="65"/>
    <col width="12" customWidth="1" min="66" max="66"/>
    <col width="12" customWidth="1" min="67" max="67"/>
    <col width="12" customWidth="1" min="68" max="68"/>
    <col width="10" customWidth="1" min="69" max="69"/>
    <col width="10" customWidth="1" min="70" max="70"/>
    <col width="10" customWidth="1" min="71" max="71"/>
    <col width="10" customWidth="1" min="72" max="72"/>
    <col width="11" customWidth="1" min="73" max="73"/>
    <col width="11" customWidth="1" min="74" max="74"/>
    <col width="13" customWidth="1" min="75" max="75"/>
    <col width="13" customWidth="1" min="76" max="76"/>
    <col width="13" customWidth="1" min="77" max="77"/>
    <col width="11" customWidth="1" min="78" max="78"/>
    <col width="11" customWidth="1" min="79" max="79"/>
    <col width="11" customWidth="1" min="80" max="80"/>
    <col width="11" customWidth="1" min="81" max="81"/>
    <col width="12" customWidth="1" min="82" max="82"/>
    <col width="12" customWidth="1" min="83" max="83"/>
  </cols>
  <sheetData>
    <row r="1">
      <c r="B1" s="9" t="inlineStr">
        <is>
          <t>Pay Schedule — your year, paycheck by paycheck</t>
        </is>
      </c>
    </row>
    <row r="2">
      <c r="B2" s="5" t="inlineStr">
        <is>
          <t>Paydays projected:</t>
        </is>
      </c>
      <c r="C2" s="6">
        <f>SUM(BF6:BF68)</f>
      </c>
      <c r="D2" s="5" t="inlineStr">
        <is>
          <t>Total gross:</t>
        </is>
      </c>
      <c r="E2" s="7">
        <f>SUM(C6:C68)+SUM(D6:D68)</f>
      </c>
      <c r="F2" s="5" t="inlineStr">
        <is>
          <t>Projected annual take-home:</t>
        </is>
      </c>
      <c r="G2" s="7">
        <f>SUM(Y6:Y68)</f>
      </c>
    </row>
    <row r="3">
      <c r="B3" s="5" t="inlineStr">
        <is>
          <t>Total federal WH:</t>
        </is>
      </c>
      <c r="C3" s="7">
        <f>SUM(P6:P68)</f>
      </c>
      <c r="D3" s="5" t="inlineStr">
        <is>
          <t>Total FICA:</t>
        </is>
      </c>
      <c r="E3" s="7">
        <f>SUM(Q6:Q68)+SUM(R6:R68)+SUM(S6:S68)</f>
      </c>
      <c r="F3" s="5" t="inlineStr">
        <is>
          <t>Total state WH:</t>
        </is>
      </c>
      <c r="G3" s="7">
        <f>SUM(T6:T68)</f>
      </c>
    </row>
    <row r="4">
      <c r="B4" s="2" t="inlineStr">
        <is>
          <t>★ notes appear on the exact checks where a cap or threshold changes your pay. Type each real net into 'Actual net' as the year unfolds. ⚠ Manual-entry states: if the per-check amount on Inputs row 28 is blank, the State WH column is shaded red and shows $0 — that is missing data, not a real zero.</t>
        </is>
      </c>
    </row>
    <row r="5">
      <c r="A5" s="19" t="inlineStr">
        <is>
          <t>#</t>
        </is>
      </c>
      <c r="B5" s="19" t="inlineStr">
        <is>
          <t>Pay date</t>
        </is>
      </c>
      <c r="C5" s="19" t="inlineStr">
        <is>
          <t>Gross pay</t>
        </is>
      </c>
      <c r="D5" s="19" t="inlineStr">
        <is>
          <t>One-off pay</t>
        </is>
      </c>
      <c r="E5" s="19" t="inlineStr">
        <is>
          <t>401(k) pre-tax</t>
        </is>
      </c>
      <c r="F5" s="19" t="inlineStr">
        <is>
          <t>Roth 401(k)</t>
        </is>
      </c>
      <c r="G5" s="19" t="inlineStr">
        <is>
          <t>HSA</t>
        </is>
      </c>
      <c r="H5" s="19" t="inlineStr">
        <is>
          <t>Health FSA</t>
        </is>
      </c>
      <c r="I5" s="19" t="inlineStr">
        <is>
          <t>Dep-care FSA</t>
        </is>
      </c>
      <c r="J5" s="19" t="inlineStr">
        <is>
          <t>Premiums (§125)</t>
        </is>
      </c>
      <c r="K5" s="19" t="inlineStr">
        <is>
          <t>Other pre-tax</t>
        </is>
      </c>
      <c r="L5" s="19" t="inlineStr">
        <is>
          <t>Imputed income</t>
        </is>
      </c>
      <c r="M5" s="19" t="inlineStr">
        <is>
          <t>Federal taxable wages</t>
        </is>
      </c>
      <c r="N5" s="19" t="inlineStr">
        <is>
          <t>FICA wages</t>
        </is>
      </c>
      <c r="O5" s="19" t="inlineStr">
        <is>
          <t>State taxable wages</t>
        </is>
      </c>
      <c r="P5" s="19" t="inlineStr">
        <is>
          <t>Federal WH</t>
        </is>
      </c>
      <c r="Q5" s="19" t="inlineStr">
        <is>
          <t>Social Security</t>
        </is>
      </c>
      <c r="R5" s="19" t="inlineStr">
        <is>
          <t>Medicare</t>
        </is>
      </c>
      <c r="S5" s="19" t="inlineStr">
        <is>
          <t>Addl Medicare</t>
        </is>
      </c>
      <c r="T5" s="19" t="inlineStr">
        <is>
          <t>State WH</t>
        </is>
      </c>
      <c r="U5" s="19" t="inlineStr">
        <is>
          <t>State programs</t>
        </is>
      </c>
      <c r="V5" s="19" t="inlineStr">
        <is>
          <t>Local WH</t>
        </is>
      </c>
      <c r="W5" s="19" t="inlineStr">
        <is>
          <t>Other post-tax</t>
        </is>
      </c>
      <c r="X5" s="19" t="inlineStr">
        <is>
          <t>Total deducted</t>
        </is>
      </c>
      <c r="Y5" s="19" t="inlineStr">
        <is>
          <t>NET PAY</t>
        </is>
      </c>
      <c r="Z5" s="19" t="inlineStr">
        <is>
          <t>YTD gross</t>
        </is>
      </c>
      <c r="AA5" s="19" t="inlineStr">
        <is>
          <t>YTD net</t>
        </is>
      </c>
      <c r="AB5" s="19" t="inlineStr">
        <is>
          <t>SS wages YTD</t>
        </is>
      </c>
      <c r="AC5" s="19" t="inlineStr">
        <is>
          <t>401(k) YTD</t>
        </is>
      </c>
      <c r="AD5" s="19" t="inlineStr">
        <is>
          <t>★ Cap events</t>
        </is>
      </c>
      <c r="AE5" s="19" t="inlineStr">
        <is>
          <t>Actual net (you fill in)</t>
        </is>
      </c>
      <c r="AF5" s="19" t="inlineStr">
        <is>
          <t>Variance</t>
        </is>
      </c>
      <c r="AG5" s="19" t="inlineStr">
        <is>
          <t>Medicare wages YTD</t>
        </is>
      </c>
      <c r="AH5" s="19" t="inlineStr">
        <is>
          <t>Fed adj. annual wage (engine)</t>
        </is>
      </c>
      <c r="AI5" s="19" t="inlineStr">
        <is>
          <t>State annual wages (engine)</t>
        </is>
      </c>
      <c r="AJ5" s="19" t="inlineStr">
        <is>
          <t>State taxable, annual (engine)</t>
        </is>
      </c>
      <c r="AK5" s="19" t="inlineStr">
        <is>
          <t>Salary basis (resolved)</t>
        </is>
      </c>
      <c r="AL5" s="19" t="inlineStr">
        <is>
          <t>401(k) mode (resolved)</t>
        </is>
      </c>
      <c r="AM5" s="19" t="inlineStr">
        <is>
          <t>401(k) value (resolved)</t>
        </is>
      </c>
      <c r="AN5" s="19" t="inlineStr">
        <is>
          <t>State (resolved)</t>
        </is>
      </c>
      <c r="AO5" s="19" t="inlineStr">
        <is>
          <t>W-4 Step 3 (resolved)</t>
        </is>
      </c>
      <c r="AP5" s="19" t="inlineStr">
        <is>
          <t>W-4 4(a) (resolved)</t>
        </is>
      </c>
      <c r="AQ5" s="19" t="inlineStr">
        <is>
          <t>W-4 4(b) (resolved)</t>
        </is>
      </c>
      <c r="AR5" s="19" t="inlineStr">
        <is>
          <t>W-4 4(c) (resolved)</t>
        </is>
      </c>
      <c r="AS5" s="19" t="inlineStr">
        <is>
          <t>State reg allow. (resolved)</t>
        </is>
      </c>
      <c r="AT5" s="19" t="inlineStr">
        <is>
          <t>State est allow. (resolved)</t>
        </is>
      </c>
      <c r="AU5" s="19" t="inlineStr">
        <is>
          <t>State status (resolved)</t>
        </is>
      </c>
      <c r="AV5" s="19" t="inlineStr">
        <is>
          <t>Employer segment</t>
        </is>
      </c>
      <c r="AW5" s="19" t="inlineStr">
        <is>
          <t>Seg. SS marker (engine)</t>
        </is>
      </c>
      <c r="AX5" s="19" t="inlineStr">
        <is>
          <t>Seg. SS start balance (engine)</t>
        </is>
      </c>
      <c r="AY5" s="19" t="inlineStr">
        <is>
          <t>State annual wages, regular (engine)</t>
        </is>
      </c>
      <c r="AZ5" s="19" t="inlineStr">
        <is>
          <t>State taxable wages, annual (engine)</t>
        </is>
      </c>
      <c r="BA5" s="19" t="inlineStr">
        <is>
          <t>State bracket tax, annual (engine)</t>
        </is>
      </c>
      <c r="BB5" s="19" t="inlineStr">
        <is>
          <t>State direct tax / credits, annual (engine)</t>
        </is>
      </c>
      <c r="BC5" s="19" t="inlineStr">
        <is>
          <t>State one-off tax (engine)</t>
        </is>
      </c>
      <c r="BD5" s="19" t="inlineStr">
        <is>
          <t>FICA $ YTD (engine)</t>
        </is>
      </c>
      <c r="BE5" s="19" t="inlineStr">
        <is>
          <t>Payday count (engine)</t>
        </is>
      </c>
      <c r="BF5" s="19" t="inlineStr">
        <is>
          <t>Is payday row (engine)</t>
        </is>
      </c>
      <c r="BG5" s="19" t="inlineStr">
        <is>
          <t>Health FSA YTD (engine)</t>
        </is>
      </c>
      <c r="BH5" s="19" t="inlineStr">
        <is>
          <t>Dep-care FSA YTD (engine)</t>
        </is>
      </c>
      <c r="BI5" s="19" t="inlineStr">
        <is>
          <t>HSA YTD (engine)</t>
        </is>
      </c>
      <c r="BJ5" s="19" t="inlineStr">
        <is>
          <t>Health FSA election (resolved)</t>
        </is>
      </c>
      <c r="BK5" s="19" t="inlineStr">
        <is>
          <t>Dep-care FSA election (resolved)</t>
        </is>
      </c>
      <c r="BL5" s="19" t="inlineStr">
        <is>
          <t>HSA $/check (resolved)</t>
        </is>
      </c>
      <c r="BM5" s="19" t="inlineStr">
        <is>
          <t>Premiums $/check (resolved)</t>
        </is>
      </c>
      <c r="BN5" s="19" t="inlineStr">
        <is>
          <t>Commuter $/check (resolved)</t>
        </is>
      </c>
      <c r="BO5" s="19" t="inlineStr">
        <is>
          <t>Other pre-tax $/check (resolved)</t>
        </is>
      </c>
      <c r="BP5" s="19" t="inlineStr">
        <is>
          <t>Other post-tax $/check (resolved)</t>
        </is>
      </c>
      <c r="BQ5" s="19" t="inlineStr">
        <is>
          <t>Health FSA stopped (engine)</t>
        </is>
      </c>
      <c r="BR5" s="19" t="inlineStr">
        <is>
          <t>Dep-care FSA stopped (engine)</t>
        </is>
      </c>
      <c r="BS5" s="19" t="inlineStr">
        <is>
          <t>Health FSA event-started (engine)</t>
        </is>
      </c>
      <c r="BT5" s="19" t="inlineStr">
        <is>
          <t>Dep-care FSA event-started (engine)</t>
        </is>
      </c>
      <c r="BU5" s="19" t="inlineStr">
        <is>
          <t>Federal marginal rate (engine)</t>
        </is>
      </c>
      <c r="BV5" s="19" t="inlineStr">
        <is>
          <t>State marginal rate (engine)</t>
        </is>
      </c>
      <c r="BW5" s="19" t="inlineStr">
        <is>
          <t>State bracket tax, annual (engine) — part 1</t>
        </is>
      </c>
      <c r="BX5" s="19" t="inlineStr">
        <is>
          <t>State bracket tax, annual (engine) — part 2</t>
        </is>
      </c>
      <c r="BY5" s="19" t="inlineStr">
        <is>
          <t>State bracket tax, annual (engine) — part 3</t>
        </is>
      </c>
      <c r="BZ5" s="19" t="inlineStr">
        <is>
          <t>State marginal rate (engine) — part 1</t>
        </is>
      </c>
      <c r="CA5" s="19" t="inlineStr">
        <is>
          <t>State marginal rate (engine) — part 2</t>
        </is>
      </c>
      <c r="CB5" s="19" t="inlineStr">
        <is>
          <t>State marginal rate (engine) — part 3</t>
        </is>
      </c>
      <c r="CC5" s="19" t="inlineStr">
        <is>
          <t>State marginal rate (engine) — part 4</t>
        </is>
      </c>
      <c r="CD5" s="19" t="inlineStr">
        <is>
          <t>Next scheduled pay date (engine)</t>
        </is>
      </c>
      <c r="CE5" s="19" t="inlineStr">
        <is>
          <t>Next one-off date (engine)</t>
        </is>
      </c>
    </row>
    <row r="6">
      <c r="A6" t="n">
        <v>1</v>
      </c>
      <c r="B6" s="21">
        <f>IF(AND($CD6="",$CE6=""),"",IF($CE6="",$CD6,IF($CD6="",$CE6,MIN($CD6,$CE6))))</f>
      </c>
      <c r="C6" s="7">
        <f>IF($B6="","",IF($BF6=0,0,IF(Inputs!$C$4="Annual salary",ROUND($AK6/IF(AND(Inputs!$C$88="Actual paydays",MONTH(Inputs!$C$90)=1),MAX(1,MAX($BE$6:$BE$68)),Inputs!$C$8),2),$AK6)))</f>
      </c>
      <c r="D6" s="7">
        <f>IF($B6="","",SUMIF(Inputs!$C$58:$C$67,$B6,Inputs!$D$58:$D$67))</f>
      </c>
      <c r="E6" s="7">
        <f>IF($B6="","",ROUND(MAX(0,MIN(IF($AL6="Percent",$AM6*($C6+$D6),$AM6),MAX(0,Inputs!$C$34-Inputs!$C$96))),2))</f>
      </c>
      <c r="F6" s="7">
        <f>IF($B6="","",ROUND(MAX(0,MIN(IF(Inputs!$C$32="Percent",Inputs!$D$32*($C6+$D6),Inputs!$D$32),MAX(0,Inputs!$C$34-Inputs!$C$96-$E6))),2))</f>
      </c>
      <c r="G6" s="7">
        <f>IF($B6="","",IF($BF6=0,0,ROUND(MAX(0,MIN($BL6,Inputs!$C$37-Inputs!$C$99-0)),2)))</f>
      </c>
      <c r="H6" s="7">
        <f>IF($B6="","",IF(OR($BF6=0,$BQ6=1),0,ROUND(MAX(0,MIN(IF($BS6=1,ROUND(MAX(0,MIN($BJ6,'Methodology &amp; Sources'!$C$13)-Inputs!$C$97)/MAX(1,MAX($BE$6:$BE$68)-(0)),2),ROUND(MIN($BJ6,'Methodology &amp; Sources'!$C$13)/Inputs!$C$8,2)),MIN($BJ6,'Methodology &amp; Sources'!$C$13)-Inputs!$C$97)),2)))</f>
      </c>
      <c r="I6" s="7">
        <f>IF($B6="","",IF(OR($BF6=0,$BR6=1),0,ROUND(MAX(0,MIN(IF($BT6=1,ROUND(MAX(0,MIN($BK6,IF(Inputs!$C$12="MFJ",'Methodology &amp; Sources'!$C$14,'Methodology &amp; Sources'!$C$15))-Inputs!$C$98)/MAX(1,MAX($BE$6:$BE$68)-(0)),2),ROUND(MIN($BK6,IF(Inputs!$C$12="MFJ",'Methodology &amp; Sources'!$C$14,'Methodology &amp; Sources'!$C$15))/Inputs!$C$8,2)),MIN($BK6,IF(Inputs!$C$12="MFJ",'Methodology &amp; Sources'!$C$14,'Methodology &amp; Sources'!$C$15))-Inputs!$C$98)),2)))</f>
      </c>
      <c r="J6" s="7">
        <f>IF($B6="","",IF($BF6=0,0,$BM6))</f>
      </c>
      <c r="K6" s="7">
        <f>IF($B6="","",IF($BF6=0,0,$BN6+$BO6))</f>
      </c>
      <c r="L6" s="7">
        <f>IF($B6="","",IF($BF6=0,0,Inputs!$D$46))</f>
      </c>
      <c r="M6" s="7">
        <f>IF($B6="","",$C6+$D6+$L6-$E6-$G6-$H6-$I6-$J6-$K6)</f>
      </c>
      <c r="N6" s="7">
        <f>IF($B6="","",$C6+$D6+$L6-$G6-$H6-$I6-$J6-$K6)</f>
      </c>
      <c r="O6" s="7">
        <f>IF($B6="","",$C6+$D6+$L6-$E6-$H6-$I6-$J6-$K6-IF(OR($AN6="CA",$AN6="NJ"),0,$G6))</f>
      </c>
      <c r="P6" s="7">
        <f>IF($B6="","",IF(Inputs!$C$18,0,ROUND(MAX(0,IF(Inputs!$C$13,SUMPRODUCT(($AH6&gt;INDEX('Methodology &amp; Sources'!$B$29:$J$36,0,IF(Inputs!$C$12="MFJ",1,IF(Inputs!$C$12="HoH",7,4))))*($AH6-INDEX('Methodology &amp; Sources'!$B$29:$J$36,0,IF(Inputs!$C$12="MFJ",1,IF(Inputs!$C$12="HoH",7,4))))*INDEX('Methodology &amp; Sources'!$B$29:$J$36,0,IF(Inputs!$C$12="MFJ",1,IF(Inputs!$C$12="HoH",7,4))+2)),SUMPRODUCT(($AH6&gt;INDEX('Methodology &amp; Sources'!$B$19:$J$26,0,IF(Inputs!$C$12="MFJ",1,IF(Inputs!$C$12="HoH",7,4))))*($AH6-INDEX('Methodology &amp; Sources'!$B$19:$J$26,0,IF(Inputs!$C$12="MFJ",1,IF(Inputs!$C$12="HoH",7,4))))*INDEX('Methodology &amp; Sources'!$B$19:$J$26,0,IF(Inputs!$C$12="MFJ",1,IF(Inputs!$C$12="HoH",7,4))+2)))/Inputs!$C$8-$AO6/Inputs!$C$8)+$AR6+IF(Inputs!$C$89="Aggregate",MAX(0,IF(Inputs!$C$13,SUMPRODUCT((($AH6+$D6)&gt;INDEX('Methodology &amp; Sources'!$B$29:$J$36,0,IF(Inputs!$C$12="MFJ",1,IF(Inputs!$C$12="HoH",7,4))))*(($AH6+$D6)-INDEX('Methodology &amp; Sources'!$B$29:$J$36,0,IF(Inputs!$C$12="MFJ",1,IF(Inputs!$C$12="HoH",7,4))))*INDEX('Methodology &amp; Sources'!$B$29:$J$36,0,IF(Inputs!$C$12="MFJ",1,IF(Inputs!$C$12="HoH",7,4))+2)),SUMPRODUCT((($AH6+$D6)&gt;INDEX('Methodology &amp; Sources'!$B$19:$J$26,0,IF(Inputs!$C$12="MFJ",1,IF(Inputs!$C$12="HoH",7,4))))*(($AH6+$D6)-INDEX('Methodology &amp; Sources'!$B$19:$J$26,0,IF(Inputs!$C$12="MFJ",1,IF(Inputs!$C$12="HoH",7,4))))*INDEX('Methodology &amp; Sources'!$B$19:$J$26,0,IF(Inputs!$C$12="MFJ",1,IF(Inputs!$C$12="HoH",7,4))+2)))-IF(Inputs!$C$13,SUMPRODUCT(($AH6&gt;INDEX('Methodology &amp; Sources'!$B$29:$J$36,0,IF(Inputs!$C$12="MFJ",1,IF(Inputs!$C$12="HoH",7,4))))*($AH6-INDEX('Methodology &amp; Sources'!$B$29:$J$36,0,IF(Inputs!$C$12="MFJ",1,IF(Inputs!$C$12="HoH",7,4))))*INDEX('Methodology &amp; Sources'!$B$29:$J$36,0,IF(Inputs!$C$12="MFJ",1,IF(Inputs!$C$12="HoH",7,4))+2)),SUMPRODUCT(($AH6&gt;INDEX('Methodology &amp; Sources'!$B$19:$J$26,0,IF(Inputs!$C$12="MFJ",1,IF(Inputs!$C$12="HoH",7,4))))*($AH6-INDEX('Methodology &amp; Sources'!$B$19:$J$26,0,IF(Inputs!$C$12="MFJ",1,IF(Inputs!$C$12="HoH",7,4))))*INDEX('Methodology &amp; Sources'!$B$19:$J$26,0,IF(Inputs!$C$12="MFJ",1,IF(Inputs!$C$12="HoH",7,4))+2)))),'Methodology &amp; Sources'!$C$10*$D6),2)))</f>
      </c>
      <c r="Q6" s="7">
        <f>IF($B6="","",ROUND('Methodology &amp; Sources'!$C$4*MIN($N6,MAX(0,'Methodology &amp; Sources'!$C$3-($AX6+Inputs!$C$94-$AW6))),2))</f>
      </c>
      <c r="R6" s="7">
        <f>IF($B6="","",ROUND('Methodology &amp; Sources'!$C$5*$N6,2))</f>
      </c>
      <c r="S6" s="7">
        <f>IF($B6="","",ROUND('Methodology &amp; Sources'!$C$6*MAX(0,MIN($N6,Inputs!$C$95+$N6-'Methodology &amp; Sources'!$C$7)),2))</f>
      </c>
      <c r="T6" s="7">
        <f>IF($B6="","",IF(Inputs!$C$26,0,IF($AN6="CA",ROUND(IF($AI6&lt;=IF(($AS6+$AT6)&gt;=2,VLOOKUP($AN6,StateTables!$A$6:$AB$56,10,FALSE),VLOOKUP($AN6,StateTables!$A$6:$AB$56,9,FALSE)),0,MAX(0,SUMPRODUCT(($AJ6&gt;INDEX('Methodology &amp; Sources'!$B$39:$J$48,0,IF($AU6="Married",4,IF($AU6="Head of household",7,1))))*($AJ6-INDEX('Methodology &amp; Sources'!$B$39:$J$48,0,IF($AU6="Married",4,IF($AU6="Head of household",7,1))))*INDEX('Methodology &amp; Sources'!$B$39:$J$48,0,IF($AU6="Married",4,IF($AU6="Head of household",7,1))+2))-VLOOKUP($AN6,StateTables!$A$6:$AB$56,11,FALSE)*$AS6)/Inputs!$C$8)+Inputs!$C$25+VLOOKUP($AN6,StateTables!$A$6:$AB$56,13,FALSE)*$D6,2),IF(VLOOKUP($AN6,StateTables!$A$6:$AB$56,4,FALSE)="None",0,IF(ISNUMBER(SEARCH("MANUAL",VLOOKUP($AN6,StateTables!$A$6:$AB$56,5,FALSE))),Inputs!$C$28,ROUND(MAX(0,$BA6+$BB6)/Inputs!$C$8+Inputs!$C$25+$BC6,2))))))</f>
      </c>
      <c r="U6" s="7">
        <f>IF($B6="","",IF(VLOOKUP($AN6,StateTables!$A$6:$AB$56,24,FALSE)="flatq",IF(OR(MONTH($B6)=1,MONTH($B6)=4,MONTH($B6)=7,MONTH($B6)=10),VLOOKUP($AN6,StateTables!$A$6:$AB$56,25,FALSE),0),IF(VLOOKUP($AN6,StateTables!$A$6:$AB$56,24,FALSE)="dbl",MIN(ROUND(0.005*$N6,2),ROUND(0.6*52/Inputs!$C$8,2)),IF(OR(VLOOKUP($AN6,StateTables!$A$6:$AB$56,15,FALSE)="",VLOOKUP($AN6,StateTables!$A$6:$AB$56,15,FALSE)=0),0,ROUND(VLOOKUP($AN6,StateTables!$A$6:$AB$56,15,FALSE)*IF(OR(VLOOKUP($AN6,StateTables!$A$6:$AB$56,16,FALSE)="",VLOOKUP($AN6,StateTables!$A$6:$AB$56,16,FALSE)=0),$N6,MIN($N6,MAX(0,VLOOKUP($AN6,StateTables!$A$6:$AB$56,16,FALSE)-($AX6+Inputs!$C$94-$AW6)))),2))))+IF(VLOOKUP($AN6,StateTables!$A$6:$AB$56,27,FALSE)="flatq",IF(OR(MONTH($B6)=1,MONTH($B6)=4,MONTH($B6)=7,MONTH($B6)=10),VLOOKUP($AN6,StateTables!$A$6:$AB$56,28,FALSE),0),IF(VLOOKUP($AN6,StateTables!$A$6:$AB$56,27,FALSE)="dbl",MIN(ROUND(0.005*$N6,2),ROUND(0.6*52/Inputs!$C$8,2)),IF(OR(VLOOKUP($AN6,StateTables!$A$6:$AB$56,18,FALSE)="",VLOOKUP($AN6,StateTables!$A$6:$AB$56,18,FALSE)=0),0,ROUND(VLOOKUP($AN6,StateTables!$A$6:$AB$56,18,FALSE)*IF(OR(VLOOKUP($AN6,StateTables!$A$6:$AB$56,19,FALSE)="",VLOOKUP($AN6,StateTables!$A$6:$AB$56,19,FALSE)=0),$N6,MIN($N6,MAX(0,VLOOKUP($AN6,StateTables!$A$6:$AB$56,19,FALSE)-($AX6+Inputs!$C$94-$AW6)))),2)))))</f>
      </c>
      <c r="V6" s="7">
        <f>IF($B6="","",IF($AN6="NY",IF(Inputs!$C$78,ROUND(SUMPRODUCT((MAX(0,($O6-$D6)*Inputs!$C$8-(IF($AU6="Married",5500,5000)+1000*$AS6))&gt;INDEX('Methodology &amp; Sources'!$B$184:$J$198,0,4))*(MAX(0,($O6-$D6)*Inputs!$C$8-(IF($AU6="Married",5500,5000)+1000*$AS6))-INDEX('Methodology &amp; Sources'!$B$184:$J$198,0,4))*INDEX('Methodology &amp; Sources'!$B$184:$J$198,0,4+2))/Inputs!$C$8+0.0425*$D6,2),0)+IF(Inputs!$C$79="Resident",ROUND(0.1675*$T6,2),IF(Inputs!$C$79="Nonresident",ROUND(0.005*MAX(0,($O6-$D6)-(IF($AU6="Married",7950,7400)+1000*$AS6)/Inputs!$C$8),2),0)),IF($AN6="PA",IF(Inputs!$C$80="None",Inputs!$C$27+ROUND(Inputs!$C$81*($C6+$D6),2),ROUND(IF(Inputs!$C$80="Resident",IF($B6&lt;DATE(2027,7,1),0.03735,0.03735),IF($B6&lt;DATE(2027,7,1),0.03425,0.03425))*($C6+$D6),2)),IF($BF6=0,ROUND(Inputs!$C$81*($C6+$D6),2),Inputs!$C$27+ROUND(Inputs!$C$81*($C6+$D6),2)))))</f>
      </c>
      <c r="W6" s="7">
        <f>IF($B6="","",IF($BF6=0,0,$BP6))</f>
      </c>
      <c r="X6" s="7">
        <f>IF($B6="","",SUM($E6:$K6)+$P6+$Q6+$R6+$S6+$T6+$U6+$V6+$W6)</f>
      </c>
      <c r="Y6" s="22">
        <f>IF($B6="","",$C6+$D6-$X6)</f>
      </c>
      <c r="Z6" s="7">
        <f>IF($B6="","",Inputs!$C$93+$C6+$D6)</f>
      </c>
      <c r="AA6" s="7">
        <f>IF($B6="","",0+$Y6)</f>
      </c>
      <c r="AB6" s="7">
        <f>IF($B6="","",Inputs!$C$94+MIN($N6,MAX(0,'Methodology &amp; Sources'!$C$3-($AX6+Inputs!$C$94-$AW6))))</f>
      </c>
      <c r="AC6" s="7">
        <f>IF($B6="","",Inputs!$C$96+$E6+$F6)</f>
      </c>
      <c r="AD6" s="3">
        <f>IF($B6="","",IF(AND(Inputs!$C$94&lt;'Methodology &amp; Sources'!$C$3,$AB6&gt;='Methodology &amp; Sources'!$C$3),"★ Social Security maxed on this check — from the next check your net rises by about $"&amp;TEXT(ROUND('Methodology &amp; Sources'!$C$4*$N6,2),"#,##0.00")&amp;". ","")&amp;IF(AND(Inputs!$C$96&lt;Inputs!$C$34,$AC6&gt;=Inputs!$C$34),"★ 401(k) reaches the $"&amp;TEXT(Inputs!$C$34,"#,##0")&amp;" cap on this check — deferrals stop and net pay rises. ","")&amp;IF(AND(Inputs!$C$95&lt;'Methodology &amp; Sources'!$C$7,$AG6&gt;='Methodology &amp; Sources'!$C$7),"★ Wages pass $200,000 — the 0.9% Additional Medicare Tax starts here. ","")&amp;IF(AND($BJ6&gt;0,$H6&gt;0,Inputs!$C$97&lt;MIN($BJ6,'Methodology &amp; Sources'!$C$13),Inputs!$C$97+$H6&gt;=MIN($BJ6,'Methodology &amp; Sources'!$C$13)),"★ Health FSA election is now fully deferred for the year. ",""))</f>
      </c>
      <c r="AE6" s="41" t="n"/>
      <c r="AF6" s="7">
        <f>IF(OR($B6="",$AE6=""),"",$AE6-$Y6)</f>
      </c>
      <c r="AG6" s="7">
        <f>IF($B6="","",Inputs!$C$95+$N6)</f>
      </c>
      <c r="AH6" s="7">
        <f>IF($B6="","",MAX(0,($M6-$D6)*Inputs!$C$8+$AP6-$AQ6-IF(Inputs!$C$13,0,IF(Inputs!$C$12="MFJ",'Methodology &amp; Sources'!$C$8,'Methodology &amp; Sources'!$C$9))))</f>
      </c>
      <c r="AI6" s="7">
        <f>IF($B6="","",$O6*Inputs!$C$8)</f>
      </c>
      <c r="AJ6" s="7">
        <f>IF($B6="","",MAX(0,$AI6-VLOOKUP($AN6,StateTables!$A$6:$AB$56,12,FALSE)*$AT6-IF(($AS6+$AT6)&gt;=2,VLOOKUP($AN6,StateTables!$A$6:$AB$56,8,FALSE),VLOOKUP($AN6,StateTables!$A$6:$AB$56,7,FALSE))))</f>
      </c>
      <c r="AK6" s="7">
        <f>IF($B6="","",IFERROR(LOOKUP(2,1/((Events!$C$6:$C$17="Salary change")*(Events!$B$6:$B$17&lt;=$B6)*(Events!$B$6:$B$17&lt;&gt;"")),Events!$D$6:$D$17),IF(Inputs!$C$4="Annual salary",Inputs!$C$5,Inputs!$C$6)))</f>
      </c>
      <c r="AL6">
        <f>IF($B6="","",IFERROR(LOOKUP(2,1/((Events!$C$6:$C$17="401(k) change")*(Events!$B$6:$B$17&lt;=$B6)*(Events!$B$6:$B$17&lt;&gt;"")),Events!$D$6:$D$17),Inputs!$C$30))</f>
      </c>
      <c r="AM6" s="7">
        <f>IF($B6="","",IFERROR(LOOKUP(2,1/((Events!$C$6:$C$17="401(k) change")*(Events!$B$6:$B$17&lt;=$B6)*(Events!$B$6:$B$17&lt;&gt;"")),Events!$E$6:$E$17),Inputs!$D$30))</f>
      </c>
      <c r="AN6">
        <f>IF($B6="","",IFERROR(LOOKUP(2,1/((Events!$C$6:$C$17="State move")*(Events!$B$6:$B$17&lt;=$B6)*(Events!$B$6:$B$17&lt;&gt;"")),Events!$D$6:$D$17),Inputs!$C$21))</f>
      </c>
      <c r="AO6" s="7">
        <f>IF($B6="","",IFERROR(LOOKUP(2,1/((Events!$C$6:$C$17="W-4 change")*(Events!$B$6:$B$17&lt;=$B6)*(Events!$B$6:$B$17&lt;&gt;"")),Events!$D$6:$D$17),Inputs!$C$14))</f>
      </c>
      <c r="AP6" s="7">
        <f>IF($B6="","",IFERROR(LOOKUP(2,1/((Events!$C$6:$C$17="W-4 change")*(Events!$B$6:$B$17&lt;=$B6)*(Events!$B$6:$B$17&lt;&gt;"")),Events!$E$6:$E$17),Inputs!$C$15))</f>
      </c>
      <c r="AQ6" s="7">
        <f>IF($B6="","",IFERROR(LOOKUP(2,1/((Events!$C$6:$C$17="W-4 change")*(Events!$B$6:$B$17&lt;=$B6)*(Events!$B$6:$B$17&lt;&gt;"")),Events!$F$6:$F$17),Inputs!$C$16))</f>
      </c>
      <c r="AR6" s="7">
        <f>IF($B6="","",IFERROR(LOOKUP(2,1/((Events!$C$6:$C$17="W-4 change")*(Events!$B$6:$B$17&lt;=$B6)*(Events!$B$6:$B$17&lt;&gt;"")),Events!$G$6:$G$17),Inputs!$C$17))</f>
      </c>
      <c r="AS6" s="6">
        <f>IF($B6="","",IFERROR(LOOKUP(2,1/(((Events!$C$6:$C$17="State move")+(Events!$C$6:$C$17="State cert change"))*(Events!$B$6:$B$17&lt;=$B6)*(Events!$B$6:$B$17&lt;&gt;"")),Events!$F$6:$F$17),Inputs!$C$23))</f>
      </c>
      <c r="AT6" s="6">
        <f>IF($B6="","",IFERROR(LOOKUP(2,1/(((Events!$C$6:$C$17="State move")+(Events!$C$6:$C$17="State cert change"))*(Events!$B$6:$B$17&lt;=$B6)*(Events!$B$6:$B$17&lt;&gt;"")),Events!$G$6:$G$17),Inputs!$C$24))</f>
      </c>
      <c r="AU6">
        <f>IF($B6="","",IFERROR(LOOKUP(2,1/((Events!$C$6:$C$17="State move")*(Events!$B$6:$B$17&lt;=$B6)*(Events!$B$6:$B$17&lt;&gt;"")),Events!$E$6:$E$17),Inputs!$C$22))</f>
      </c>
      <c r="AV6" s="6">
        <f>IF($B6="","",1+COUNTIFS(Events!$C$6:$C$17,"Employer change",Events!$B$6:$B$17,"&lt;="&amp;$B6,Events!$B$6:$B$17,"&lt;&gt;"))</f>
      </c>
      <c r="AW6" s="7">
        <f>IF($B6="","",IF($AV6=1,Inputs!$C$94,IF(IFERROR(MATCH(IFERROR(LOOKUP(2,1/((Events!$C$6:$C$17="Employer change")*(Events!$B$6:$B$17&lt;=$B6)*(Events!$B$6:$B$17&lt;&gt;"")),Events!$B$6:$B$17),""),$B$6:$B$68,1),1)&lt;=1,Inputs!$C$94,INDEX($AB$6:$AB$68,MATCH(IFERROR(LOOKUP(2,1/((Events!$C$6:$C$17="Employer change")*(Events!$B$6:$B$17&lt;=$B6)*(Events!$B$6:$B$17&lt;&gt;"")),Events!$B$6:$B$17),""),$B$6:$B$68,1)-1))))</f>
      </c>
      <c r="AX6" s="7">
        <f>IF($B6="","",IF($AV6=1,Inputs!$C$94,IFERROR(LOOKUP(2,1/((Events!$C$6:$C$17="Employer change")*(Events!$B$6:$B$17&lt;=$B6)*(Events!$B$6:$B$17&lt;&gt;"")),Events!$D$6:$D$17),0)))</f>
      </c>
      <c r="AY6" s="7">
        <f>IF($B6="","",($O6-$D6)*Inputs!$C$8)</f>
      </c>
      <c r="AZ6" s="7">
        <f>IF($B6="","",IF($AN6="AL",MAX(0,$AY6-IF($AU6="Married",IF($AY6&lt;=25999,8500,MAX(5000,8500-175*CEILING(($AY6-25999)/500,1))),IF($AU6="Head of household",IF($AY6&lt;=25999,5200,MAX(2500,5200-135*CEILING(($AY6-25999)/500,1))),IF($AY6&lt;=25999,3000,MAX(2500,3000-25*CEILING(($AY6-25999)/500,1)))))-($P6-'Methodology &amp; Sources'!$C$10*$D6)*Inputs!$C$8-IF(OR($AU6="Married",$AU6="Head of household"),3000,1500)-$AT6*IF($AY6&lt;=50000,1000,IF($AY6&lt;=100000,500,300))),IF($AN6="AR",IF(MAX(0,$AY6-2470)&lt;97701,INT(MAX(0,$AY6-2470)/100)*100+50,MAX(0,$AY6-2470)),IF($AN6="DE",MAX(0,$AI6-3250),IF($AN6="HI",MAX(0,$AI6-1144*$AS6-4350),IF($AN6="KS",MAX(0,$AI6-(9160*IF($AU6="Married",2,1)+2320*$AT6+IF($AU6="Head of household",2320,0))),IF($AN6="MD",MAX(0,$AI6-3400-3200*$AS6),IF($AN6="MN",MAX(0,$AY6-5300*$AS6),IF($AN6="MO",MAX(0,$AI6-IF($AU6="Head of household",24150,IF($AU6="Married",IF(Inputs!$C$83,16100,32200),16100))),IF($AN6="MT",$AY6,IF($AN6="ND",($C6+$L6)*Inputs!$C$8,IF($AN6="NE",MAX(0,$AY6-2440*$AS6),IF($AN6="NJ",MAX(0,$AY6-1000*$AS6),IF($AN6="NY",MAX(0,$AY6-(IF($AU6="Married",7950,7400)+1000*$AS6)),IF($AN6="OH",MAX(0,$AY6-650*$AS6),IF($AN6="OK",MAX(0,$AY6-1000*$AS6),IF($AN6="RI",MAX(0,$AI6-1000*$AS6),IF($AN6="SC",MAX(0,$AI6-5000*$AS6-IF($AS6=0,0,MIN(0.1*$AI6,7500))),IF($AN6="VA",MAX(0,$AI6-IF($AU6="Married",17500,8750)-930*$AS6-800*$AT6),IF($AN6="VT",MAX(0,$AI6-5400*$AS6),IF($AN6="WI",MAX(0,$AI6-MAX(0,IF($AU6="Married",9461-0.2*MAX(0,$AI6-25727),6702-0.12*MAX(0,$AI6-17780)))-400*$AS6),IF($AN6="WV",MAX(0,$AI6-2000*$AS6),$AI6))))))))))))))))))))))</f>
      </c>
      <c r="BA6" s="7">
        <f>IF($B6="","",IF($BW6&lt;&gt;"",$BW6,IF($BX6&lt;&gt;"",$BX6,IF($BY6&lt;&gt;"",$BY6,0))))</f>
      </c>
      <c r="BB6" s="7">
        <f>IF($B6="","",IF($AN6="AR",-29*$AS6,IF($AN6="DE",-110*$AS6,IF($AN6="MD",$AZ6*Inputs!$C$74,IF($AN6="AZ",Inputs!$C$82*($M6-$D6)*Inputs!$C$8,IF($AN6="CO",0.044*MAX(0,$AY6-IF($AU6="Married",10000,5000)),IF($AN6="IA",MAX(0,0.038*MAX(0,$AY6-IF($AU6="Head of household",19500,IF($AU6="Married",26000,13000)))-40*$AS6),IF($AN6="ID",0.053*MAX(0,$AY6-IF($AU6="Married",32000,16094)),IF($AN6="IL",0.0495*MAX(0,$AY6-(2925*$AS6+1000*$AT6)),IF($AN6="IN",(0.0295+Inputs!$C$76)*MAX(0,$AY6-(1000*$AS6+1500*$AT6+3000*Inputs!$C$86)),IF($AN6="KY",0.035*MAX(0,$AI6-3360),IF($AN6="LA",IF(Inputs!$C$84="0",0.0309*$AI6,0.0309*MAX(0,$AI6-IF(Inputs!$C$84="2",25750,12875))),IF($AN6="MA",0.05*MIN(MAX(0,$AY6-MIN((0+$Q6+$R6+$S6),2000)-IF($AS6=0,0,IF($AS6=1,4400,1000*$AS6+3400))),1107750)+0.09*MAX(0,MAX(0,$AY6-MIN((0+$Q6+$R6+$S6),2000)-IF($AS6=0,0,IF($AS6=1,4400,1000*$AS6+3400)))-1107750)-IF($AU6="Head of household",120,0)-110*Inputs!$C$75,IF($AN6="MI",0.0425*MAX(0,$AY6-5900*$AS6),IF($AN6="MS",0.04*MAX(0,$AI6-IF($AU6="Head of household",3400,IF($AU6="Married",4600,2300))-Inputs!$C$85-10000),IF($AN6="OR",IF(OR($AU6="Married",AND($AU6="Single",$AS6&gt;=3)),SUMPRODUCT((MAX(0,$AY6-MIN(($P6-'Methodology &amp; Sources'!$C$10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Sources'!$B$211:$J$214,0,4))*(MAX(0,$AY6-MIN(($P6-'Methodology &amp; Sources'!$C$10*$D6)*Inputs!$C$8,IF(OR($AU6="Married",AND($AU6="Single",$AS6&gt;=3)),IF($AY6&lt;250000,8750,IF($AY6&lt;260000,7000,IF($AY6&lt;270000,5250,IF($AY6&lt;280000,3500,IF($AY6&lt;290000,1750,0))))),IF($AY6&lt;125000,8750,IF($AY6&lt;130000,7000,IF($AY6&lt;135000,5250,IF($AY6&lt;140000,3500,IF($AY6&lt;145000,1750,0)))))))-IF(OR($AU6="Married",AND($AU6="Single",$AS6&gt;=3)),5820,2910))-INDEX('Methodology &amp; Sources'!$B$211:$J$214,0,4))*INDEX('Methodology &amp; Sources'!$B$211:$J$214,0,4+2)),SUMPRODUCT((MAX(0,$AY6-MIN(($P6-'Methodology &amp; Sources'!$C$10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Sources'!$B$211:$J$214,0,1))*(MAX(0,$AY6-MIN(($P6-'Methodology &amp; Sources'!$C$10*$D6)*Inputs!$C$8,IF(OR($AU6="Married",AND($AU6="Single",$AS6&gt;=3)),IF($AY6&lt;250000,8750,IF($AY6&lt;260000,7000,IF($AY6&lt;270000,5250,IF($AY6&lt;280000,3500,IF($AY6&lt;290000,1750,0))))),IF($AY6&lt;125000,8750,IF($AY6&lt;130000,7000,IF($AY6&lt;135000,5250,IF($AY6&lt;140000,3500,IF($AY6&lt;145000,1750,0)))))))-IF(OR($AU6="Married",AND($AU6="Single",$AS6&gt;=3)),5820,2910))-INDEX('Methodology &amp; Sources'!$B$211:$J$214,0,1))*INDEX('Methodology &amp; Sources'!$B$211:$J$214,0,1+2)))+263-263*IF(IF($AU6="Married",$AY6&gt;200000,$AY6&gt;100000),0,$AS6),IF($AN6="PA",0.0307*(($O6+$E6+$G6)*Inputs!$C$8),IF($AN6="NY",IF($AU6="Married",IF($AZ6&gt;=2155350,0,IF($AZ6&gt;=1077550,0.48,IF($AZ6&gt;=373200,1.21,IF($AZ6&gt;=323200,0.21,IF($AZ6&gt;=211550,-0.19,IF($AZ6&gt;=157650,-2.8,IF($AZ6&gt;=107650,-0.8,IF($AZ6&gt;=96800,0.05,IF($AZ6&gt;=80650,-0.1,IF($AZ6&gt;=13900,0.4,IF($AZ6&gt;=11700,-0.3,IF($AZ6&gt;=8500,0.5,0)))))))))))),IF($AZ6&gt;=1077550,0,IF($AZ6&gt;=265400,4.29,IF($AZ6&gt;=215400,2.29,IF($AZ6&gt;=157650,2.29,IF($AZ6&gt;=107650,0.29,IF($AZ6&gt;=96800,0.05,IF($AZ6&gt;=80650,-0.1,IF($AZ6&gt;=13900,0.4,IF($AZ6&gt;=11700,-0.3,IF($AZ6&gt;=8500,0.5,0))))))))))),0))))))))))))))))))</f>
      </c>
      <c r="BC6" s="7">
        <f>IF($B6="","",IF($AN6="AL",0.05*$D6,IF($AN6="AR",0.039*$D6,IF($AN6="ID",0.053*$D6,IF($AN6="IN",(0.0295+Inputs!$C$76)*$D6,IF($AN6="KS",0.05*$D6,IF($AN6="MA",0.09*MIN($D6,MAX(0,MAX(0,$AY6-MIN((0+$Q6+$R6+$S6),2000)-IF($AS6=0,0,IF($AS6=1,4400,1000*$AS6+3400)))+$D6-1107750))+0.05*($D6-MIN($D6,MAX(0,MAX(0,$AY6-MIN((0+$Q6+$R6+$S6),2000)-IF($AS6=0,0,IF($AS6=1,4400,1000*$AS6+3400)))+$D6-1107750))),IF($AN6="MD",(0.065+Inputs!$C$74)*$D6,IF($AN6="MI",0.0425*$D6,IF($AN6="MN",0.0625*$D6,IF($AN6="MO",0.047*$D6,IF($AN6="MT",0.05*$D6,IF($AN6="ND",0.015*$D6,IF($AN6="NE",0.035*$D6,IF($AN6="NJ",IF(Inputs!$C$77="B",SUMPRODUCT(($D6*Inputs!$C$8&gt;INDEX('Methodology &amp; Sources'!$B$155:$J$162,0,4))*($D6*Inputs!$C$8-INDEX('Methodology &amp; Sources'!$B$155:$J$162,0,4))*INDEX('Methodology &amp; Sources'!$B$155:$J$162,0,4+2)),IF(Inputs!$C$77="C",SUMPRODUCT(($D6*Inputs!$C$8&gt;INDEX('Methodology &amp; Sources'!$B$155:$J$162,0,7))*($D6*Inputs!$C$8-INDEX('Methodology &amp; Sources'!$B$155:$J$162,0,7))*INDEX('Methodology &amp; Sources'!$B$155:$J$162,0,7+2)),IF(Inputs!$C$77="D",SUMPRODUCT(($D6*Inputs!$C$8&gt;INDEX('Methodology &amp; Sources'!$B$167:$J$179,0,1))*($D6*Inputs!$C$8-INDEX('Methodology &amp; Sources'!$B$167:$J$179,0,1))*INDEX('Methodology &amp; Sources'!$B$167:$J$179,0,1+2)),IF(Inputs!$C$77="E",SUMPRODUCT(($D6*Inputs!$C$8&gt;INDEX('Methodology &amp; Sources'!$B$167:$J$179,0,4))*($D6*Inputs!$C$8-INDEX('Methodology &amp; Sources'!$B$167:$J$179,0,4))*INDEX('Methodology &amp; Sources'!$B$167:$J$179,0,4+2)),SUMPRODUCT(($D6*Inputs!$C$8&gt;INDEX('Methodology &amp; Sources'!$B$155:$J$162,0,1))*($D6*Inputs!$C$8-INDEX('Methodology &amp; Sources'!$B$155:$J$162,0,1))*INDEX('Methodology &amp; Sources'!$B$155:$J$162,0,1+2))))))/Inputs!$C$8,IF($AN6="NY",0.117*$D6,IF($AN6="OH",0.0275*$D6,IF($AN6="OK",0.045*$D6,IF($AN6="OR",0.08*$D6,IF($AN6="WI",IF($AY6&lt;12760,0.0354,IF($AY6&lt;25520,0.0465,IF($AY6&lt;280950,0.053,0.0765)))*$D6,0))))))))))))))))))))</f>
      </c>
      <c r="BD6" s="7">
        <f>IF($B6="","",0+$Q6+$R6+$S6)</f>
      </c>
      <c r="BE6" s="6">
        <f>IF($B6="",0,0+$BF6)</f>
      </c>
      <c r="BF6" s="6">
        <f>IF($B6="","",IF(AND(IF(YEAR(IF(Inputs!$C$7="Weekly",Inputs!$C$90+7*((0+1)-1),IF(Inputs!$C$7="Biweekly",Inputs!$C$90+14*((0+1)-1),IF(Inputs!$C$7="Semimonthly",DATE(YEAR(Inputs!$C$9),MONTH(Inputs!$C$9)+INT(((0+1)-1+'Rest of 2026'!$C$2)/2),MIN(DAY(Inputs!$C$9),DAY(EOMONTH(DATE(YEAR(Inputs!$C$9),MONTH(Inputs!$C$9)+INT(((0+1)-1+'Rest of 2026'!$C$2)/2),1),0))))+IF(MOD((0+1)-1+'Rest of 2026'!$C$2,2)=1,15,0),EDATE(Inputs!$C$90,(0+1)-1)))))&lt;&gt;Inputs!$C$10,"",IF(Inputs!$C$7="Weekly",Inputs!$C$90+7*((0+1)-1),IF(Inputs!$C$7="Biweekly",Inputs!$C$90+14*((0+1)-1),IF(Inputs!$C$7="Semimonthly",DATE(YEAR(Inputs!$C$9),MONTH(Inputs!$C$9)+INT(((0+1)-1+'Rest of 2026'!$C$2)/2),MIN(DAY(Inputs!$C$9),DAY(EOMONTH(DATE(YEAR(Inputs!$C$9),MONTH(Inputs!$C$9)+INT(((0+1)-1+'Rest of 2026'!$C$2)/2),1),0))))+IF(MOD((0+1)-1+'Rest of 2026'!$C$2,2)=1,15,0),EDATE(Inputs!$C$90,(0+1)-1)))))&lt;&gt;"",$B6=IF(YEAR(IF(Inputs!$C$7="Weekly",Inputs!$C$90+7*((0+1)-1),IF(Inputs!$C$7="Biweekly",Inputs!$C$90+14*((0+1)-1),IF(Inputs!$C$7="Semimonthly",DATE(YEAR(Inputs!$C$9),MONTH(Inputs!$C$9)+INT(((0+1)-1+'Rest of 2026'!$C$2)/2),MIN(DAY(Inputs!$C$9),DAY(EOMONTH(DATE(YEAR(Inputs!$C$9),MONTH(Inputs!$C$9)+INT(((0+1)-1+'Rest of 2026'!$C$2)/2),1),0))))+IF(MOD((0+1)-1+'Rest of 2026'!$C$2,2)=1,15,0),EDATE(Inputs!$C$90,(0+1)-1)))))&lt;&gt;Inputs!$C$10,"",IF(Inputs!$C$7="Weekly",Inputs!$C$90+7*((0+1)-1),IF(Inputs!$C$7="Biweekly",Inputs!$C$90+14*((0+1)-1),IF(Inputs!$C$7="Semimonthly",DATE(YEAR(Inputs!$C$9),MONTH(Inputs!$C$9)+INT(((0+1)-1+'Rest of 2026'!$C$2)/2),MIN(DAY(Inputs!$C$9),DAY(EOMONTH(DATE(YEAR(Inputs!$C$9),MONTH(Inputs!$C$9)+INT(((0+1)-1+'Rest of 2026'!$C$2)/2),1),0))))+IF(MOD((0+1)-1+'Rest of 2026'!$C$2,2)=1,15,0),EDATE(Inputs!$C$90,(0+1)-1)))))),1,0))</f>
      </c>
      <c r="BG6" s="7">
        <f>IF($B6="","",Inputs!$C$97+$H6)</f>
      </c>
      <c r="BH6" s="7">
        <f>IF($B6="","",Inputs!$C$98+$I6)</f>
      </c>
      <c r="BI6" s="7">
        <f>IF($B6="","",0+$G6)</f>
      </c>
      <c r="BJ6" s="7">
        <f>IF($B6="","",IFERROR(LOOKUP(2,1/((((Events!$C$6:$C$17="Deduction start"))*(Events!$D$6:$D$17="Health FSA"))*(Events!$B$6:$B$17&lt;=$B6)*(Events!$B$6:$B$17&lt;&gt;"")),Events!$E$6:$E$17),Inputs!$D$38))</f>
      </c>
      <c r="BK6" s="7">
        <f>IF($B6="","",IFERROR(LOOKUP(2,1/((((Events!$C$6:$C$17="Deduction start"))*(Events!$D$6:$D$17="Dependent-care FSA"))*(Events!$B$6:$B$17&lt;=$B6)*(Events!$B$6:$B$17&lt;&gt;"")),Events!$E$6:$E$17),Inputs!$D$39))</f>
      </c>
      <c r="BL6" s="7">
        <f>IF($B6="","",IFERROR(LOOKUP(2,1/((((Events!$C$6:$C$17="Deduction start")+(Events!$C$6:$C$17="Deduction stop"))*(Events!$D$6:$D$17="HSA"))*(Events!$B$6:$B$17&lt;=$B6)*(Events!$B$6:$B$17&lt;&gt;"")),Events!$I$6:$I$17),Inputs!$D$35))</f>
      </c>
      <c r="BM6" s="7">
        <f>IF($B6="","",IFERROR(LOOKUP(2,1/((((Events!$C$6:$C$17="Deduction start")+(Events!$C$6:$C$17="Deduction stop"))*(Events!$D$6:$D$17="Premiums"))*(Events!$B$6:$B$17&lt;=$B6)*(Events!$B$6:$B$17&lt;&gt;"")),Events!$I$6:$I$17),Inputs!$D$40+Inputs!$D$41+Inputs!$D$42))</f>
      </c>
      <c r="BN6" s="7">
        <f>IF($B6="","",IFERROR(LOOKUP(2,1/((((Events!$C$6:$C$17="Deduction start")+(Events!$C$6:$C$17="Deduction stop"))*(Events!$D$6:$D$17="Commuter"))*(Events!$B$6:$B$17&lt;=$B6)*(Events!$B$6:$B$17&lt;&gt;"")),Events!$I$6:$I$17),Inputs!$D$43))</f>
      </c>
      <c r="BO6" s="7">
        <f>IF($B6="","",IFERROR(LOOKUP(2,1/((((Events!$C$6:$C$17="Deduction start")+(Events!$C$6:$C$17="Deduction stop"))*(Events!$D$6:$D$17="Other pre-tax"))*(Events!$B$6:$B$17&lt;=$B6)*(Events!$B$6:$B$17&lt;&gt;"")),Events!$I$6:$I$17),Inputs!$D$44))</f>
      </c>
      <c r="BP6" s="7">
        <f>IF($B6="","",IFERROR(LOOKUP(2,1/((((Events!$C$6:$C$17="Deduction start")+(Events!$C$6:$C$17="Deduction stop"))*(Events!$D$6:$D$17="Other post-tax"))*(Events!$B$6:$B$17&lt;=$B6)*(Events!$B$6:$B$17&lt;&gt;"")),Events!$I$6:$I$17),Inputs!$D$45))</f>
      </c>
      <c r="BQ6" s="6">
        <f>IF($B6="","",IFERROR(LOOKUP(2,1/((((Events!$C$6:$C$17="Deduction start")+(Events!$C$6:$C$17="Deduction stop"))*(Events!$D$6:$D$17="Health FSA"))*(Events!$B$6:$B$17&lt;=$B6)*(Events!$B$6:$B$17&lt;&gt;"")),Events!$J$6:$J$17),0))</f>
      </c>
      <c r="BR6" s="6">
        <f>IF($B6="","",IFERROR(LOOKUP(2,1/((((Events!$C$6:$C$17="Deduction start")+(Events!$C$6:$C$17="Deduction stop"))*(Events!$D$6:$D$17="Dependent-care FSA"))*(Events!$B$6:$B$17&lt;=$B6)*(Events!$B$6:$B$17&lt;&gt;"")),Events!$J$6:$J$17),0))</f>
      </c>
      <c r="BS6" s="6">
        <f>IF($B6="","",IF(SUMPRODUCT((Events!$C$6:$C$17="Deduction start")*(Events!$B$6:$B$17&lt;=$B6)*(Events!$B$6:$B$17&lt;&gt;"")*(Events!$D$6:$D$17="Health FSA"))&gt;0,1,0))</f>
      </c>
      <c r="BT6" s="6">
        <f>IF($B6="","",IF(SUMPRODUCT((Events!$C$6:$C$17="Deduction start")*(Events!$B$6:$B$17&lt;=$B6)*(Events!$B$6:$B$17&lt;&gt;"")*(Events!$D$6:$D$17="Dependent-care FSA"))&gt;0,1,0))</f>
      </c>
      <c r="BU6" s="24">
        <f>IF($B6="","",IF(Inputs!$C$13,SUMPRODUCT(($AH6&gt;=INDEX('Methodology &amp; Sources'!$B$29:$J$36,0,IF(Inputs!$C$12="MFJ",1,IF(Inputs!$C$12="HoH",7,4))))*INDEX('Methodology &amp; Sources'!$B$29:$J$36,0,IF(Inputs!$C$12="MFJ",1,IF(Inputs!$C$12="HoH",7,4))+2)),SUMPRODUCT(($AH6&gt;=INDEX('Methodology &amp; Sources'!$B$19:$J$26,0,IF(Inputs!$C$12="MFJ",1,IF(Inputs!$C$12="HoH",7,4))))*INDEX('Methodology &amp; Sources'!$B$19:$J$26,0,IF(Inputs!$C$12="MFJ",1,IF(Inputs!$C$12="HoH",7,4))+2))))</f>
      </c>
      <c r="BV6" s="24">
        <f>IF($B6="","",IF($BZ6&lt;&gt;"",$BZ6,IF($CA6&lt;&gt;"",$CA6,IF($CB6&lt;&gt;"",$CB6,IF($CC6&lt;&gt;"",$CC6,0)))))</f>
      </c>
      <c r="BW6" s="7">
        <f>IF($B6="","",IF($AN6="MD",IF(OR($AU6="Married",$AU6="Head of household"),SUMPRODUCT(($AZ6&gt;INDEX('Methodology &amp; Sources'!$B$114:$J$120,0,1))*($AZ6-INDEX('Methodology &amp; Sources'!$B$114:$J$120,0,1))*INDEX('Methodology &amp; Sources'!$B$114:$J$120,0,1+2)),SUMPRODUCT(($AZ6&gt;INDEX('Methodology &amp; Sources'!$B$103:$J$109,0,7))*($AZ6-INDEX('Methodology &amp; Sources'!$B$103:$J$109,0,7))*INDEX('Methodology &amp; Sources'!$B$103:$J$109,0,7+2))),IF($AN6="MO",SUMPRODUCT(($AZ6&gt;INDEX('Methodology &amp; Sources'!$B$125:$J$132,0,1))*($AZ6-INDEX('Methodology &amp; Sources'!$B$125:$J$132,0,1))*INDEX('Methodology &amp; Sources'!$B$125:$J$132,0,1+2)),IF($AN6="MT",IF($AU6="Head of household",SUMPRODUCT(($AZ6&gt;INDEX('Methodology &amp; Sources'!$B$137:$J$139,0,1))*($AZ6-INDEX('Methodology &amp; Sources'!$B$137:$J$139,0,1))*INDEX('Methodology &amp; Sources'!$B$137:$J$139,0,1+2)),IF($AU6="Married",SUMPRODUCT(($AZ6&gt;INDEX('Methodology &amp; Sources'!$B$125:$J$132,0,7))*($AZ6-INDEX('Methodology &amp; Sources'!$B$125:$J$132,0,7))*INDEX('Methodology &amp; Sources'!$B$125:$J$132,0,7+2)),SUMPRODUCT(($AZ6&gt;INDEX('Methodology &amp; Sources'!$B$125:$J$132,0,4))*($AZ6-INDEX('Methodology &amp; Sources'!$B$125:$J$132,0,4))*INDEX('Methodology &amp; Sources'!$B$125:$J$132,0,4+2)))),IF($AN6="ND",IF($AU6="Head of household",SUMPRODUCT(($AZ6&gt;INDEX('Methodology &amp; Sources'!$B$144:$J$150,0,1))*($AZ6-INDEX('Methodology &amp; Sources'!$B$144:$J$150,0,1))*INDEX('Methodology &amp; Sources'!$B$144:$J$150,0,1+2)),IF($AU6="Married",SUMPRODUCT(($AZ6&gt;INDEX('Methodology &amp; Sources'!$B$137:$J$139,0,7))*($AZ6-INDEX('Methodology &amp; Sources'!$B$137:$J$139,0,7))*INDEX('Methodology &amp; Sources'!$B$137:$J$139,0,7+2)),SUMPRODUCT(($AZ6&gt;INDEX('Methodology &amp; Sources'!$B$137:$J$139,0,4))*($AZ6-INDEX('Methodology &amp; Sources'!$B$137:$J$139,0,4))*INDEX('Methodology &amp; Sources'!$B$137:$J$139,0,4+2)))),IF($AN6="NJ",IF(Inputs!$C$77="B",SUMPRODUCT(($AZ6&gt;INDEX('Methodology &amp; Sources'!$B$155:$J$162,0,4))*($AZ6-INDEX('Methodology &amp; Sources'!$B$155:$J$162,0,4))*INDEX('Methodology &amp; Sources'!$B$155:$J$162,0,4+2)),IF(Inputs!$C$77="C",SUMPRODUCT(($AZ6&gt;INDEX('Methodology &amp; Sources'!$B$155:$J$162,0,7))*($AZ6-INDEX('Methodology &amp; Sources'!$B$155:$J$162,0,7))*INDEX('Methodology &amp; Sources'!$B$155:$J$162,0,7+2)),IF(Inputs!$C$77="D",SUMPRODUCT(($AZ6&gt;INDEX('Methodology &amp; Sources'!$B$167:$J$179,0,1))*($AZ6-INDEX('Methodology &amp; Sources'!$B$167:$J$179,0,1))*INDEX('Methodology &amp; Sources'!$B$167:$J$179,0,1+2)),IF(Inputs!$C$77="E",SUMPRODUCT(($AZ6&gt;INDEX('Methodology &amp; Sources'!$B$167:$J$179,0,4))*($AZ6-INDEX('Methodology &amp; Sources'!$B$167:$J$179,0,4))*INDEX('Methodology &amp; Sources'!$B$167:$J$179,0,4+2)),SUMPRODUCT(($AZ6&gt;INDEX('Methodology &amp; Sources'!$B$155:$J$162,0,1))*($AZ6-INDEX('Methodology &amp; Sources'!$B$155:$J$162,0,1))*INDEX('Methodology &amp; Sources'!$B$155:$J$162,0,1+2)))))),IF($AN6="NY",IF($AU6="Married",IF($AZ6&gt;=2155350,$AZ6*IF($AZ6&gt;25000000,0.117,IF($AZ6&gt;5000000,0.111,0.1045)),SUMPRODUCT(($AZ6&gt;INDEX('Methodology &amp; Sources'!$B$184:$J$198,0,1))*($AZ6-INDEX('Methodology &amp; Sources'!$B$184:$J$198,0,1))*INDEX('Methodology &amp; Sources'!$B$184:$J$198,0,1+2))),IF($AZ6&gt;=1077550,$AZ6*IF($AZ6&gt;25000000,0.117,IF($AZ6&gt;5000000,0.111,0.1045)),SUMPRODUCT(($AZ6&gt;INDEX('Methodology &amp; Sources'!$B$167:$J$179,0,7))*($AZ6-INDEX('Methodology &amp; Sources'!$B$167:$J$179,0,7))*INDEX('Methodology &amp; Sources'!$B$167:$J$179,0,7+2)))),"")))))))</f>
      </c>
      <c r="BX6" s="7">
        <f>IF($B6="","",IF($AN6="AL",IF(OR($AU6="Married",$AU6="Head of household"),SUMPRODUCT(($AZ6&gt;INDEX('Methodology &amp; Sources'!$B$82:$J$86,0,4))*($AZ6-INDEX('Methodology &amp; Sources'!$B$82:$J$86,0,4))*INDEX('Methodology &amp; Sources'!$B$82:$J$86,0,4+2)),SUMPRODUCT(($AZ6&gt;INDEX('Methodology &amp; Sources'!$B$82:$J$86,0,1))*($AZ6-INDEX('Methodology &amp; Sources'!$B$82:$J$86,0,1))*INDEX('Methodology &amp; Sources'!$B$82:$J$86,0,1+2))),IF($AN6="KS",IF($AU6="Married",SUMPRODUCT(($AZ6&gt;INDEX('Methodology &amp; Sources'!$B$103:$J$109,0,4))*($AZ6-INDEX('Methodology &amp; Sources'!$B$103:$J$109,0,4))*INDEX('Methodology &amp; Sources'!$B$103:$J$109,0,4+2)),SUMPRODUCT(($AZ6&gt;INDEX('Methodology &amp; Sources'!$B$103:$J$109,0,1))*($AZ6-INDEX('Methodology &amp; Sources'!$B$103:$J$109,0,1))*INDEX('Methodology &amp; Sources'!$B$103:$J$109,0,1+2))),IF($AN6="MN",IF($AU6="Married",SUMPRODUCT(($AZ6&gt;INDEX('Methodology &amp; Sources'!$B$114:$J$120,0,7))*($AZ6-INDEX('Methodology &amp; Sources'!$B$114:$J$120,0,7))*INDEX('Methodology &amp; Sources'!$B$114:$J$120,0,7+2)),SUMPRODUCT(($AZ6&gt;INDEX('Methodology &amp; Sources'!$B$114:$J$120,0,4))*($AZ6-INDEX('Methodology &amp; Sources'!$B$114:$J$120,0,4))*INDEX('Methodology &amp; Sources'!$B$114:$J$120,0,4+2))),IF($AN6="NE",MAX(IF($AU6="Married",SUMPRODUCT(($AZ6&gt;INDEX('Methodology &amp; Sources'!$B$144:$J$150,0,7))*($AZ6-INDEX('Methodology &amp; Sources'!$B$144:$J$150,0,7))*INDEX('Methodology &amp; Sources'!$B$144:$J$150,0,7+2)),SUMPRODUCT(($AZ6&gt;INDEX('Methodology &amp; Sources'!$B$144:$J$150,0,4))*($AZ6-INDEX('Methodology &amp; Sources'!$B$144:$J$150,0,4))*INDEX('Methodology &amp; Sources'!$B$144:$J$150,0,4+2))),0.015*$AZ6),IF($AN6="OH",IF($B6&gt;=DATE(2027,8,1),SUMPRODUCT(($AZ6&gt;INDEX('Methodology &amp; Sources'!$B$203:$J$206,0,1))*($AZ6-INDEX('Methodology &amp; Sources'!$B$203:$J$206,0,1))*INDEX('Methodology &amp; Sources'!$B$203:$J$206,0,1+2)),SUMPRODUCT(($AZ6&gt;INDEX('Methodology &amp; Sources'!$B$184:$J$198,0,7))*($AZ6-INDEX('Methodology &amp; Sources'!$B$184:$J$198,0,7))*INDEX('Methodology &amp; Sources'!$B$184:$J$198,0,7+2))),IF($AN6="OK",IF($AU6="Married",SUMPRODUCT(($AZ6&gt;INDEX('Methodology &amp; Sources'!$B$203:$J$206,0,7))*($AZ6-INDEX('Methodology &amp; Sources'!$B$203:$J$206,0,7))*INDEX('Methodology &amp; Sources'!$B$203:$J$206,0,7+2)),SUMPRODUCT(($AZ6&gt;INDEX('Methodology &amp; Sources'!$B$203:$J$206,0,4))*($AZ6-INDEX('Methodology &amp; Sources'!$B$203:$J$206,0,4))*INDEX('Methodology &amp; Sources'!$B$203:$J$206,0,4+2))),IF($AN6="RI",SUMPRODUCT(($AZ6&gt;INDEX('Methodology &amp; Sources'!$B$211:$J$214,0,7))*($AZ6-INDEX('Methodology &amp; Sources'!$B$211:$J$214,0,7))*INDEX('Methodology &amp; Sources'!$B$211:$J$214,0,7+2)),IF($AN6="VT",IF($AU6="Married",SUMPRODUCT(($AZ6&gt;INDEX('Methodology &amp; Sources'!$B$228:$J$232,0,1))*($AZ6-INDEX('Methodology &amp; Sources'!$B$228:$J$232,0,1))*INDEX('Methodology &amp; Sources'!$B$228:$J$232,0,1+2)),SUMPRODUCT(($AZ6&gt;INDEX('Methodology &amp; Sources'!$B$219:$J$223,0,7))*($AZ6-INDEX('Methodology &amp; Sources'!$B$219:$J$223,0,7))*INDEX('Methodology &amp; Sources'!$B$219:$J$223,0,7+2))),IF($AN6="WV",IF($AU6="Married",SUMPRODUCT(($AZ6&gt;INDEX('Methodology &amp; Sources'!$B$237:$J$241,0,7))*($AZ6-INDEX('Methodology &amp; Sources'!$B$237:$J$241,0,7))*INDEX('Methodology &amp; Sources'!$B$237:$J$241,0,7+2)),SUMPRODUCT(($AZ6&gt;INDEX('Methodology &amp; Sources'!$B$228:$J$232,0,7))*($AZ6-INDEX('Methodology &amp; Sources'!$B$228:$J$232,0,7))*INDEX('Methodology &amp; Sources'!$B$228:$J$232,0,7+2))),""))))))))))</f>
      </c>
      <c r="BY6" s="7">
        <f>IF($B6="","",IF($AN6="AR",SUMPRODUCT(($AZ6&gt;INDEX('Methodology &amp; Sources'!$B$82:$J$86,0,7))*($AZ6-INDEX('Methodology &amp; Sources'!$B$82:$J$86,0,7))*INDEX('Methodology &amp; Sources'!$B$82:$J$86,0,7+2)),IF($AN6="DE",SUMPRODUCT(($AZ6&gt;INDEX('Methodology &amp; Sources'!$B$91:$J$98,0,1))*($AZ6-INDEX('Methodology &amp; Sources'!$B$91:$J$98,0,1))*INDEX('Methodology &amp; Sources'!$B$91:$J$98,0,1+2)),IF($AN6="HI",IF($AU6="Married",SUMPRODUCT(($AZ6&gt;INDEX('Methodology &amp; Sources'!$B$91:$J$98,0,7))*($AZ6-INDEX('Methodology &amp; Sources'!$B$91:$J$98,0,7))*INDEX('Methodology &amp; Sources'!$B$91:$J$98,0,7+2)),SUMPRODUCT(($AZ6&gt;INDEX('Methodology &amp; Sources'!$B$91:$J$98,0,4))*($AZ6-INDEX('Methodology &amp; Sources'!$B$91:$J$98,0,4))*INDEX('Methodology &amp; Sources'!$B$91:$J$98,0,4+2))),IF($AN6="SC",SUMPRODUCT(($AZ6&gt;INDEX('Methodology &amp; Sources'!$B$219:$J$223,0,1))*($AZ6-INDEX('Methodology &amp; Sources'!$B$219:$J$223,0,1))*INDEX('Methodology &amp; Sources'!$B$219:$J$223,0,1+2)),IF($AN6="VA",SUMPRODUCT(($AZ6&gt;INDEX('Methodology &amp; Sources'!$B$219:$J$223,0,4))*($AZ6-INDEX('Methodology &amp; Sources'!$B$219:$J$223,0,4))*INDEX('Methodology &amp; Sources'!$B$219:$J$223,0,4+2)),IF($AN6="WI",SUMPRODUCT(($AZ6&gt;INDEX('Methodology &amp; Sources'!$B$228:$J$232,0,4))*($AZ6-INDEX('Methodology &amp; Sources'!$B$228:$J$232,0,4))*INDEX('Methodology &amp; Sources'!$B$228:$J$232,0,4+2)),"")))))))</f>
      </c>
      <c r="BZ6" s="24">
        <f>IF($B6="","",IF($AN6="NJ",IF(Inputs!$C$77="B",SUMPRODUCT(($AZ6&gt;=INDEX('Methodology &amp; Sources'!$B$155:$J$162,0,4))*INDEX('Methodology &amp; Sources'!$B$155:$J$162,0,4+2)),IF(Inputs!$C$77="C",SUMPRODUCT(($AZ6&gt;=INDEX('Methodology &amp; Sources'!$B$155:$J$162,0,7))*INDEX('Methodology &amp; Sources'!$B$155:$J$162,0,7+2)),IF(Inputs!$C$77="D",SUMPRODUCT(($AZ6&gt;=INDEX('Methodology &amp; Sources'!$B$167:$J$179,0,1))*INDEX('Methodology &amp; Sources'!$B$167:$J$179,0,1+2)),IF(Inputs!$C$77="E",SUMPRODUCT(($AZ6&gt;=INDEX('Methodology &amp; Sources'!$B$167:$J$179,0,4))*INDEX('Methodology &amp; Sources'!$B$167:$J$179,0,4+2)),SUMPRODUCT(($AZ6&gt;=INDEX('Methodology &amp; Sources'!$B$155:$J$162,0,1))*INDEX('Methodology &amp; Sources'!$B$155:$J$162,0,1+2)))))),IF($AN6="OR",IF(OR($AU6="Married",AND($AU6="Single",$AS6&gt;=3)),SUMPRODUCT((MAX(0,$AY6-MIN(($P6-'Methodology &amp; Sources'!$C$10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Sources'!$B$211:$J$214,0,4))*INDEX('Methodology &amp; Sources'!$B$211:$J$214,0,4+2)),SUMPRODUCT((MAX(0,$AY6-MIN(($P6-'Methodology &amp; Sources'!$C$10*$D6)*Inputs!$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Sources'!$B$211:$J$214,0,1))*INDEX('Methodology &amp; Sources'!$B$211:$J$214,0,1+2)))*IF(($P6-'Methodology &amp; Sources'!$C$10*$D6)*Inputs!$C$8&gt;=IF(OR($AU6="Married",AND($AU6="Single",$AS6&gt;=3)),IF($AY6&lt;250000,8750,IF($AY6&lt;260000,7000,IF($AY6&lt;270000,5250,IF($AY6&lt;280000,3500,IF($AY6&lt;290000,1750,0))))),IF($AY6&lt;125000,8750,IF($AY6&lt;130000,7000,IF($AY6&lt;135000,5250,IF($AY6&lt;140000,3500,IF($AY6&lt;145000,1750,0)))))),1,1-IF(Inputs!$C$13,SUMPRODUCT(($AH6&gt;=INDEX('Methodology &amp; Sources'!$B$29:$J$36,0,IF(Inputs!$C$12="MFJ",1,IF(Inputs!$C$12="HoH",7,4))))*INDEX('Methodology &amp; Sources'!$B$29:$J$36,0,IF(Inputs!$C$12="MFJ",1,IF(Inputs!$C$12="HoH",7,4))+2)),SUMPRODUCT(($AH6&gt;=INDEX('Methodology &amp; Sources'!$B$19:$J$26,0,IF(Inputs!$C$12="MFJ",1,IF(Inputs!$C$12="HoH",7,4))))*INDEX('Methodology &amp; Sources'!$B$19:$J$26,0,IF(Inputs!$C$12="MFJ",1,IF(Inputs!$C$12="HoH",7,4))+2)))),IF($AN6="MI",IF($AY6&gt;5900*$AS6,0.0425,0),""))))</f>
      </c>
      <c r="CA6" s="24">
        <f>IF($B6="","",IF($AN6="AL",IF(OR($AU6="Married",$AU6="Head of household"),SUMPRODUCT(($AZ6&gt;=INDEX('Methodology &amp; Sources'!$B$82:$J$86,0,4))*INDEX('Methodology &amp; Sources'!$B$82:$J$86,0,4+2)),SUMPRODUCT(($AZ6&gt;=INDEX('Methodology &amp; Sources'!$B$82:$J$86,0,1))*INDEX('Methodology &amp; Sources'!$B$82:$J$86,0,1+2)))*(1-IF(Inputs!$C$13,SUMPRODUCT(($AH6&gt;=INDEX('Methodology &amp; Sources'!$B$29:$J$36,0,IF(Inputs!$C$12="MFJ",1,IF(Inputs!$C$12="HoH",7,4))))*INDEX('Methodology &amp; Sources'!$B$29:$J$36,0,IF(Inputs!$C$12="MFJ",1,IF(Inputs!$C$12="HoH",7,4))+2)),SUMPRODUCT(($AH6&gt;=INDEX('Methodology &amp; Sources'!$B$19:$J$26,0,IF(Inputs!$C$12="MFJ",1,IF(Inputs!$C$12="HoH",7,4))))*INDEX('Methodology &amp; Sources'!$B$19:$J$26,0,IF(Inputs!$C$12="MFJ",1,IF(Inputs!$C$12="HoH",7,4))+2)))),IF($AN6="KS",IF($AU6="Married",SUMPRODUCT(($AZ6&gt;=INDEX('Methodology &amp; Sources'!$B$103:$J$109,0,4))*INDEX('Methodology &amp; Sources'!$B$103:$J$109,0,4+2)),SUMPRODUCT(($AZ6&gt;=INDEX('Methodology &amp; Sources'!$B$103:$J$109,0,1))*INDEX('Methodology &amp; Sources'!$B$103:$J$109,0,1+2))),IF($AN6="MD",IF(OR($AU6="Married",$AU6="Head of household"),SUMPRODUCT(($AZ6&gt;=INDEX('Methodology &amp; Sources'!$B$114:$J$120,0,1))*INDEX('Methodology &amp; Sources'!$B$114:$J$120,0,1+2)),SUMPRODUCT(($AZ6&gt;=INDEX('Methodology &amp; Sources'!$B$103:$J$109,0,7))*INDEX('Methodology &amp; Sources'!$B$103:$J$109,0,7+2)))+Inputs!$C$74,IF($AN6="MT",IF($AU6="Head of household",SUMPRODUCT(($AZ6&gt;=INDEX('Methodology &amp; Sources'!$B$137:$J$139,0,1))*INDEX('Methodology &amp; Sources'!$B$137:$J$139,0,1+2)),IF($AU6="Married",SUMPRODUCT(($AZ6&gt;=INDEX('Methodology &amp; Sources'!$B$125:$J$132,0,7))*INDEX('Methodology &amp; Sources'!$B$125:$J$132,0,7+2)),SUMPRODUCT(($AZ6&gt;=INDEX('Methodology &amp; Sources'!$B$125:$J$132,0,4))*INDEX('Methodology &amp; Sources'!$B$125:$J$132,0,4+2)))),IF($AN6="ND",IF($AU6="Head of household",SUMPRODUCT(($AZ6&gt;=INDEX('Methodology &amp; Sources'!$B$144:$J$150,0,1))*INDEX('Methodology &amp; Sources'!$B$144:$J$150,0,1+2)),IF($AU6="Married",SUMPRODUCT(($AZ6&gt;=INDEX('Methodology &amp; Sources'!$B$137:$J$139,0,7))*INDEX('Methodology &amp; Sources'!$B$137:$J$139,0,7+2)),SUMPRODUCT(($AZ6&gt;=INDEX('Methodology &amp; Sources'!$B$137:$J$139,0,4))*INDEX('Methodology &amp; Sources'!$B$137:$J$139,0,4+2)))),IF($AN6="NY",IF($AU6="Married",IF($AZ6&gt;=2155350,IF($AZ6&gt;25000000,0.117,IF($AZ6&gt;5000000,0.111,0.1045)),SUMPRODUCT(($AZ6&gt;=INDEX('Methodology &amp; Sources'!$B$184:$J$198,0,1))*INDEX('Methodology &amp; Sources'!$B$184:$J$198,0,1+2))),IF($AZ6&gt;=1077550,IF($AZ6&gt;25000000,0.117,IF($AZ6&gt;5000000,0.111,0.1045)),SUMPRODUCT(($AZ6&gt;=INDEX('Methodology &amp; Sources'!$B$167:$J$179,0,7))*INDEX('Methodology &amp; Sources'!$B$167:$J$179,0,7+2)))),"")))))))</f>
      </c>
      <c r="CB6" s="24">
        <f>IF($B6="","",IF($AN6="CA",SUMPRODUCT(($AJ6&gt;=INDEX('Methodology &amp; Sources'!$B$39:$J$48,0,IF($AU6="Married",4,IF($AU6="Head of household",7,1))))*INDEX('Methodology &amp; Sources'!$B$39:$J$48,0,IF($AU6="Married",4,IF($AU6="Head of household",7,1))+2)),IF($AN6="HI",IF($AU6="Married",SUMPRODUCT(($AZ6&gt;=INDEX('Methodology &amp; Sources'!$B$91:$J$98,0,7))*INDEX('Methodology &amp; Sources'!$B$91:$J$98,0,7+2)),SUMPRODUCT(($AZ6&gt;=INDEX('Methodology &amp; Sources'!$B$91:$J$98,0,4))*INDEX('Methodology &amp; Sources'!$B$91:$J$98,0,4+2))),IF($AN6="MN",IF($AU6="Married",SUMPRODUCT(($AZ6&gt;=INDEX('Methodology &amp; Sources'!$B$114:$J$120,0,7))*INDEX('Methodology &amp; Sources'!$B$114:$J$120,0,7+2)),SUMPRODUCT(($AZ6&gt;=INDEX('Methodology &amp; Sources'!$B$114:$J$120,0,4))*INDEX('Methodology &amp; Sources'!$B$114:$J$120,0,4+2))),IF($AN6="MO",SUMPRODUCT(($AZ6&gt;=INDEX('Methodology &amp; Sources'!$B$125:$J$132,0,1))*INDEX('Methodology &amp; Sources'!$B$125:$J$132,0,1+2)),IF($AN6="NE",MAX(IF($AU6="Married",SUMPRODUCT(($AZ6&gt;=INDEX('Methodology &amp; Sources'!$B$144:$J$150,0,7))*INDEX('Methodology &amp; Sources'!$B$144:$J$150,0,7+2)),SUMPRODUCT(($AZ6&gt;=INDEX('Methodology &amp; Sources'!$B$144:$J$150,0,4))*INDEX('Methodology &amp; Sources'!$B$144:$J$150,0,4+2))),0.015),IF($AN6="OH",IF($B6&gt;=DATE(2027,8,1),SUMPRODUCT(($AZ6&gt;=INDEX('Methodology &amp; Sources'!$B$203:$J$206,0,1))*INDEX('Methodology &amp; Sources'!$B$203:$J$206,0,1+2)),SUMPRODUCT(($AZ6&gt;=INDEX('Methodology &amp; Sources'!$B$184:$J$198,0,7))*INDEX('Methodology &amp; Sources'!$B$184:$J$198,0,7+2))),IF($AN6="OK",IF($AU6="Married",SUMPRODUCT(($AZ6&gt;=INDEX('Methodology &amp; Sources'!$B$203:$J$206,0,7))*INDEX('Methodology &amp; Sources'!$B$203:$J$206,0,7+2)),SUMPRODUCT(($AZ6&gt;=INDEX('Methodology &amp; Sources'!$B$203:$J$206,0,4))*INDEX('Methodology &amp; Sources'!$B$203:$J$206,0,4+2))),IF($AN6="RI",SUMPRODUCT(($AZ6&gt;=INDEX('Methodology &amp; Sources'!$B$211:$J$214,0,7))*INDEX('Methodology &amp; Sources'!$B$211:$J$214,0,7+2)),IF($AN6="SC",SUMPRODUCT(($AZ6&gt;=INDEX('Methodology &amp; Sources'!$B$219:$J$223,0,1))*INDEX('Methodology &amp; Sources'!$B$219:$J$223,0,1+2)),IF($AN6="VT",IF($AU6="Married",SUMPRODUCT(($AZ6&gt;=INDEX('Methodology &amp; Sources'!$B$228:$J$232,0,1))*INDEX('Methodology &amp; Sources'!$B$228:$J$232,0,1+2)),SUMPRODUCT(($AZ6&gt;=INDEX('Methodology &amp; Sources'!$B$219:$J$223,0,7))*INDEX('Methodology &amp; Sources'!$B$219:$J$223,0,7+2))),IF($AN6="WV",IF($AU6="Married",SUMPRODUCT(($AZ6&gt;=INDEX('Methodology &amp; Sources'!$B$237:$J$241,0,7))*INDEX('Methodology &amp; Sources'!$B$237:$J$241,0,7+2)),SUMPRODUCT(($AZ6&gt;=INDEX('Methodology &amp; Sources'!$B$228:$J$232,0,7))*INDEX('Methodology &amp; Sources'!$B$228:$J$232,0,7+2))),IF($AN6="IN",(0.0295+Inputs!$C$76),"")))))))))))))</f>
      </c>
      <c r="CC6" s="24">
        <f>IF($B6="","",IF($AN6="AR",SUMPRODUCT(($AZ6&gt;=INDEX('Methodology &amp; Sources'!$B$82:$J$86,0,7))*INDEX('Methodology &amp; Sources'!$B$82:$J$86,0,7+2)),IF($AN6="DE",SUMPRODUCT(($AZ6&gt;=INDEX('Methodology &amp; Sources'!$B$91:$J$98,0,1))*INDEX('Methodology &amp; Sources'!$B$91:$J$98,0,1+2)),IF($AN6="VA",SUMPRODUCT(($AZ6&gt;=INDEX('Methodology &amp; Sources'!$B$219:$J$223,0,4))*INDEX('Methodology &amp; Sources'!$B$219:$J$223,0,4+2)),IF($AN6="WI",SUMPRODUCT(($AZ6&gt;=INDEX('Methodology &amp; Sources'!$B$228:$J$232,0,4))*INDEX('Methodology &amp; Sources'!$B$228:$J$232,0,4+2)),IF($AN6="AZ",Inputs!$C$82,IF($AN6="CO",IF($AY6&gt;IF($AU6="Married",10000,5000),0.044,0),IF($AN6="IA",IF($AY6&gt;IF($AU6="Head of household",19500,IF($AU6="Married",26000,13000)),0.038,0),IF($AN6="ID",IF($AY6&gt;IF($AU6="Married",32000,16094),0.053,0),IF($AN6="IL",IF($AY6&gt;(2925*$AS6+1000*$AT6),0.0495,0),IF($AN6="KY",IF($AI6&gt;3360,0.035,0),IF($AN6="LA",0.0309,IF($AN6="MA",IF(MAX(0,$AY6-MIN((0+$Q6+$R6+$S6),2000)-IF($AS6=0,0,IF($AS6=1,4400,1000*$AS6+3400)))&gt;=1107750,0.09,0.05),IF($AN6="MS",IF($AI6-IF($AU6="Head of household",3400,IF($AU6="Married",4600,2300))-Inputs!$C$85&gt;10000,0.04,0),IF($AN6="PA",0.0307,"")))))))))))))))</f>
      </c>
      <c r="CD6" s="21">
        <f>IF(YEAR(IF(Inputs!$C$7="Weekly",Inputs!$C$90+7*((0+1)-1),IF(Inputs!$C$7="Biweekly",Inputs!$C$90+14*((0+1)-1),IF(Inputs!$C$7="Semimonthly",DATE(YEAR(Inputs!$C$9),MONTH(Inputs!$C$9)+INT(((0+1)-1+'Rest of 2026'!$C$2)/2),MIN(DAY(Inputs!$C$9),DAY(EOMONTH(DATE(YEAR(Inputs!$C$9),MONTH(Inputs!$C$9)+INT(((0+1)-1+'Rest of 2026'!$C$2)/2),1),0))))+IF(MOD((0+1)-1+'Rest of 2026'!$C$2,2)=1,15,0),EDATE(Inputs!$C$90,(0+1)-1)))))&lt;&gt;Inputs!$C$10,"",IF(Inputs!$C$7="Weekly",Inputs!$C$90+7*((0+1)-1),IF(Inputs!$C$7="Biweekly",Inputs!$C$90+14*((0+1)-1),IF(Inputs!$C$7="Semimonthly",DATE(YEAR(Inputs!$C$9),MONTH(Inputs!$C$9)+INT(((0+1)-1+'Rest of 2026'!$C$2)/2),MIN(DAY(Inputs!$C$9),DAY(EOMONTH(DATE(YEAR(Inputs!$C$9),MONTH(Inputs!$C$9)+INT(((0+1)-1+'Rest of 2026'!$C$2)/2),1),0))))+IF(MOD((0+1)-1+'Rest of 2026'!$C$2,2)=1,15,0),EDATE(Inputs!$C$90,(0+1)-1)))))</f>
      </c>
      <c r="CE6" s="21">
        <f>IF(SUMPRODUCT(MIN(IF((Inputs!$C$58:$C$67&gt;0)*(Inputs!$C$58:$C$67&gt;=DATE(Inputs!$C$10,1,1))*(Inputs!$C$58:$C$67&lt;=DATE(Inputs!$C$10,12,31)),Inputs!$C$58:$C$67,999999)))=999999,"",SUMPRODUCT(MIN(IF((Inputs!$C$58:$C$67&gt;0)*(Inputs!$C$58:$C$67&gt;=DATE(Inputs!$C$10,1,1))*(Inputs!$C$58:$C$67&lt;=DATE(Inputs!$C$10,12,31)),Inputs!$C$58:$C$67,999999))))</f>
      </c>
    </row>
    <row r="7">
      <c r="A7" t="n">
        <v>2</v>
      </c>
      <c r="B7" s="21">
        <f>IF(AND($CD7="",$CE7=""),"",IF($CE7="",$CD7,IF($CD7="",$CE7,MIN($CD7,$CE7))))</f>
      </c>
      <c r="C7" s="7">
        <f>IF($B7="","",IF($BF7=0,0,IF(Inputs!$C$4="Annual salary",ROUND($AK7/IF(AND(Inputs!$C$88="Actual paydays",MONTH(Inputs!$C$90)=1),MAX(1,MAX($BE$6:$BE$68)),Inputs!$C$8),2),$AK7)))</f>
      </c>
      <c r="D7" s="7">
        <f>IF($B7="","",SUMIF(Inputs!$C$58:$C$67,$B7,Inputs!$D$58:$D$67))</f>
      </c>
      <c r="E7" s="7">
        <f>IF($B7="","",ROUND(MAX(0,MIN(IF($AL7="Percent",$AM7*($C7+$D7),$AM7),MAX(0,Inputs!$C$34-$AC6))),2))</f>
      </c>
      <c r="F7" s="7">
        <f>IF($B7="","",ROUND(MAX(0,MIN(IF(Inputs!$C$32="Percent",Inputs!$D$32*($C7+$D7),Inputs!$D$32),MAX(0,Inputs!$C$34-$AC6-$E7))),2))</f>
      </c>
      <c r="G7" s="7">
        <f>IF($B7="","",IF($BF7=0,0,ROUND(MAX(0,MIN($BL7,Inputs!$C$37-Inputs!$C$99-$BI6)),2)))</f>
      </c>
      <c r="H7" s="7">
        <f>IF($B7="","",IF(OR($BF7=0,$BQ7=1),0,ROUND(MAX(0,MIN(IF($BS7=1,ROUND(MAX(0,MIN($BJ7,'Methodology &amp; Sources'!$C$13)-$BG6)/MAX(1,MAX($BE$6:$BE$68)-($BE6)),2),ROUND(MIN($BJ7,'Methodology &amp; Sources'!$C$13)/Inputs!$C$8,2)),MIN($BJ7,'Methodology &amp; Sources'!$C$13)-$BG6)),2)))</f>
      </c>
      <c r="I7" s="7">
        <f>IF($B7="","",IF(OR($BF7=0,$BR7=1),0,ROUND(MAX(0,MIN(IF($BT7=1,ROUND(MAX(0,MIN($BK7,IF(Inputs!$C$12="MFJ",'Methodology &amp; Sources'!$C$14,'Methodology &amp; Sources'!$C$15))-$BH6)/MAX(1,MAX($BE$6:$BE$68)-($BE6)),2),ROUND(MIN($BK7,IF(Inputs!$C$12="MFJ",'Methodology &amp; Sources'!$C$14,'Methodology &amp; Sources'!$C$15))/Inputs!$C$8,2)),MIN($BK7,IF(Inputs!$C$12="MFJ",'Methodology &amp; Sources'!$C$14,'Methodology &amp; Sources'!$C$15))-$BH6)),2)))</f>
      </c>
      <c r="J7" s="7">
        <f>IF($B7="","",IF($BF7=0,0,$BM7))</f>
      </c>
      <c r="K7" s="7">
        <f>IF($B7="","",IF($BF7=0,0,$BN7+$BO7))</f>
      </c>
      <c r="L7" s="7">
        <f>IF($B7="","",IF($BF7=0,0,Inputs!$D$46))</f>
      </c>
      <c r="M7" s="7">
        <f>IF($B7="","",$C7+$D7+$L7-$E7-$G7-$H7-$I7-$J7-$K7)</f>
      </c>
      <c r="N7" s="7">
        <f>IF($B7="","",$C7+$D7+$L7-$G7-$H7-$I7-$J7-$K7)</f>
      </c>
      <c r="O7" s="7">
        <f>IF($B7="","",$C7+$D7+$L7-$E7-$H7-$I7-$J7-$K7-IF(OR($AN7="CA",$AN7="NJ"),0,$G7))</f>
      </c>
      <c r="P7" s="7">
        <f>IF($B7="","",IF(Inputs!$C$18,0,ROUND(MAX(0,IF(Inputs!$C$13,SUMPRODUCT(($AH7&gt;INDEX('Methodology &amp; Sources'!$B$29:$J$36,0,IF(Inputs!$C$12="MFJ",1,IF(Inputs!$C$12="HoH",7,4))))*($AH7-INDEX('Methodology &amp; Sources'!$B$29:$J$36,0,IF(Inputs!$C$12="MFJ",1,IF(Inputs!$C$12="HoH",7,4))))*INDEX('Methodology &amp; Sources'!$B$29:$J$36,0,IF(Inputs!$C$12="MFJ",1,IF(Inputs!$C$12="HoH",7,4))+2)),SUMPRODUCT(($AH7&gt;INDEX('Methodology &amp; Sources'!$B$19:$J$26,0,IF(Inputs!$C$12="MFJ",1,IF(Inputs!$C$12="HoH",7,4))))*($AH7-INDEX('Methodology &amp; Sources'!$B$19:$J$26,0,IF(Inputs!$C$12="MFJ",1,IF(Inputs!$C$12="HoH",7,4))))*INDEX('Methodology &amp; Sources'!$B$19:$J$26,0,IF(Inputs!$C$12="MFJ",1,IF(Inputs!$C$12="HoH",7,4))+2)))/Inputs!$C$8-$AO7/Inputs!$C$8)+$AR7+IF(Inputs!$C$89="Aggregate",MAX(0,IF(Inputs!$C$13,SUMPRODUCT((($AH7+$D7)&gt;INDEX('Methodology &amp; Sources'!$B$29:$J$36,0,IF(Inputs!$C$12="MFJ",1,IF(Inputs!$C$12="HoH",7,4))))*(($AH7+$D7)-INDEX('Methodology &amp; Sources'!$B$29:$J$36,0,IF(Inputs!$C$12="MFJ",1,IF(Inputs!$C$12="HoH",7,4))))*INDEX('Methodology &amp; Sources'!$B$29:$J$36,0,IF(Inputs!$C$12="MFJ",1,IF(Inputs!$C$12="HoH",7,4))+2)),SUMPRODUCT((($AH7+$D7)&gt;INDEX('Methodology &amp; Sources'!$B$19:$J$26,0,IF(Inputs!$C$12="MFJ",1,IF(Inputs!$C$12="HoH",7,4))))*(($AH7+$D7)-INDEX('Methodology &amp; Sources'!$B$19:$J$26,0,IF(Inputs!$C$12="MFJ",1,IF(Inputs!$C$12="HoH",7,4))))*INDEX('Methodology &amp; Sources'!$B$19:$J$26,0,IF(Inputs!$C$12="MFJ",1,IF(Inputs!$C$12="HoH",7,4))+2)))-IF(Inputs!$C$13,SUMPRODUCT(($AH7&gt;INDEX('Methodology &amp; Sources'!$B$29:$J$36,0,IF(Inputs!$C$12="MFJ",1,IF(Inputs!$C$12="HoH",7,4))))*($AH7-INDEX('Methodology &amp; Sources'!$B$29:$J$36,0,IF(Inputs!$C$12="MFJ",1,IF(Inputs!$C$12="HoH",7,4))))*INDEX('Methodology &amp; Sources'!$B$29:$J$36,0,IF(Inputs!$C$12="MFJ",1,IF(Inputs!$C$12="HoH",7,4))+2)),SUMPRODUCT(($AH7&gt;INDEX('Methodology &amp; Sources'!$B$19:$J$26,0,IF(Inputs!$C$12="MFJ",1,IF(Inputs!$C$12="HoH",7,4))))*($AH7-INDEX('Methodology &amp; Sources'!$B$19:$J$26,0,IF(Inputs!$C$12="MFJ",1,IF(Inputs!$C$12="HoH",7,4))))*INDEX('Methodology &amp; Sources'!$B$19:$J$26,0,IF(Inputs!$C$12="MFJ",1,IF(Inputs!$C$12="HoH",7,4))+2)))),'Methodology &amp; Sources'!$C$10*$D7),2)))</f>
      </c>
      <c r="Q7" s="7">
        <f>IF($B7="","",ROUND('Methodology &amp; Sources'!$C$4*MIN($N7,MAX(0,'Methodology &amp; Sources'!$C$3-($AX7+$AB6-$AW7))),2))</f>
      </c>
      <c r="R7" s="7">
        <f>IF($B7="","",ROUND('Methodology &amp; Sources'!$C$5*$N7,2))</f>
      </c>
      <c r="S7" s="7">
        <f>IF($B7="","",ROUND('Methodology &amp; Sources'!$C$6*MAX(0,MIN($N7,$AG6+$N7-'Methodology &amp; Sources'!$C$7)),2))</f>
      </c>
      <c r="T7" s="7">
        <f>IF($B7="","",IF(Inputs!$C$26,0,IF($AN7="CA",ROUND(IF($AI7&lt;=IF(($AS7+$AT7)&gt;=2,VLOOKUP($AN7,StateTables!$A$6:$AB$56,10,FALSE),VLOOKUP($AN7,StateTables!$A$6:$AB$56,9,FALSE)),0,MAX(0,SUMPRODUCT(($AJ7&gt;INDEX('Methodology &amp; Sources'!$B$39:$J$48,0,IF($AU7="Married",4,IF($AU7="Head of household",7,1))))*($AJ7-INDEX('Methodology &amp; Sources'!$B$39:$J$48,0,IF($AU7="Married",4,IF($AU7="Head of household",7,1))))*INDEX('Methodology &amp; Sources'!$B$39:$J$48,0,IF($AU7="Married",4,IF($AU7="Head of household",7,1))+2))-VLOOKUP($AN7,StateTables!$A$6:$AB$56,11,FALSE)*$AS7)/Inputs!$C$8)+Inputs!$C$25+VLOOKUP($AN7,StateTables!$A$6:$AB$56,13,FALSE)*$D7,2),IF(VLOOKUP($AN7,StateTables!$A$6:$AB$56,4,FALSE)="None",0,IF(ISNUMBER(SEARCH("MANUAL",VLOOKUP($AN7,StateTables!$A$6:$AB$56,5,FALSE))),Inputs!$C$28,ROUND(MAX(0,$BA7+$BB7)/Inputs!$C$8+Inputs!$C$25+$BC7,2))))))</f>
      </c>
      <c r="U7" s="7">
        <f>IF($B7="","",IF(VLOOKUP($AN7,StateTables!$A$6:$AB$56,24,FALSE)="flatq",IF(OR(MONTH($B7)=1,MONTH($B7)=4,MONTH($B7)=7,MONTH($B7)=10),VLOOKUP($AN7,StateTables!$A$6:$AB$56,25,FALSE),0),IF(VLOOKUP($AN7,StateTables!$A$6:$AB$56,24,FALSE)="dbl",MIN(ROUND(0.005*$N7,2),ROUND(0.6*52/Inputs!$C$8,2)),IF(OR(VLOOKUP($AN7,StateTables!$A$6:$AB$56,15,FALSE)="",VLOOKUP($AN7,StateTables!$A$6:$AB$56,15,FALSE)=0),0,ROUND(VLOOKUP($AN7,StateTables!$A$6:$AB$56,15,FALSE)*IF(OR(VLOOKUP($AN7,StateTables!$A$6:$AB$56,16,FALSE)="",VLOOKUP($AN7,StateTables!$A$6:$AB$56,16,FALSE)=0),$N7,MIN($N7,MAX(0,VLOOKUP($AN7,StateTables!$A$6:$AB$56,16,FALSE)-($AX7+$AB6-$AW7)))),2))))+IF(VLOOKUP($AN7,StateTables!$A$6:$AB$56,27,FALSE)="flatq",IF(OR(MONTH($B7)=1,MONTH($B7)=4,MONTH($B7)=7,MONTH($B7)=10),VLOOKUP($AN7,StateTables!$A$6:$AB$56,28,FALSE),0),IF(VLOOKUP($AN7,StateTables!$A$6:$AB$56,27,FALSE)="dbl",MIN(ROUND(0.005*$N7,2),ROUND(0.6*52/Inputs!$C$8,2)),IF(OR(VLOOKUP($AN7,StateTables!$A$6:$AB$56,18,FALSE)="",VLOOKUP($AN7,StateTables!$A$6:$AB$56,18,FALSE)=0),0,ROUND(VLOOKUP($AN7,StateTables!$A$6:$AB$56,18,FALSE)*IF(OR(VLOOKUP($AN7,StateTables!$A$6:$AB$56,19,FALSE)="",VLOOKUP($AN7,StateTables!$A$6:$AB$56,19,FALSE)=0),$N7,MIN($N7,MAX(0,VLOOKUP($AN7,StateTables!$A$6:$AB$56,19,FALSE)-($AX7+$AB6-$AW7)))),2)))))</f>
      </c>
      <c r="V7" s="7">
        <f>IF($B7="","",IF($AN7="NY",IF(Inputs!$C$78,ROUND(SUMPRODUCT((MAX(0,($O7-$D7)*Inputs!$C$8-(IF($AU7="Married",5500,5000)+1000*$AS7))&gt;INDEX('Methodology &amp; Sources'!$B$184:$J$198,0,4))*(MAX(0,($O7-$D7)*Inputs!$C$8-(IF($AU7="Married",5500,5000)+1000*$AS7))-INDEX('Methodology &amp; Sources'!$B$184:$J$198,0,4))*INDEX('Methodology &amp; Sources'!$B$184:$J$198,0,4+2))/Inputs!$C$8+0.0425*$D7,2),0)+IF(Inputs!$C$79="Resident",ROUND(0.1675*$T7,2),IF(Inputs!$C$79="Nonresident",ROUND(0.005*MAX(0,($O7-$D7)-(IF($AU7="Married",7950,7400)+1000*$AS7)/Inputs!$C$8),2),0)),IF($AN7="PA",IF(Inputs!$C$80="None",Inputs!$C$27+ROUND(Inputs!$C$81*($C7+$D7),2),ROUND(IF(Inputs!$C$80="Resident",IF($B7&lt;DATE(2027,7,1),0.03735,0.03735),IF($B7&lt;DATE(2027,7,1),0.03425,0.03425))*($C7+$D7),2)),IF($BF7=0,ROUND(Inputs!$C$81*($C7+$D7),2),Inputs!$C$27+ROUND(Inputs!$C$81*($C7+$D7),2)))))</f>
      </c>
      <c r="W7" s="7">
        <f>IF($B7="","",IF($BF7=0,0,$BP7))</f>
      </c>
      <c r="X7" s="7">
        <f>IF($B7="","",SUM($E7:$K7)+$P7+$Q7+$R7+$S7+$T7+$U7+$V7+$W7)</f>
      </c>
      <c r="Y7" s="22">
        <f>IF($B7="","",$C7+$D7-$X7)</f>
      </c>
      <c r="Z7" s="7">
        <f>IF($B7="","",$Z6+$C7+$D7)</f>
      </c>
      <c r="AA7" s="7">
        <f>IF($B7="","",$AA6+$Y7)</f>
      </c>
      <c r="AB7" s="7">
        <f>IF($B7="","",$AB6+MIN($N7,MAX(0,'Methodology &amp; Sources'!$C$3-($AX7+$AB6-$AW7))))</f>
      </c>
      <c r="AC7" s="7">
        <f>IF($B7="","",$AC6+$E7+$F7)</f>
      </c>
      <c r="AD7" s="3">
        <f>IF($B7="","",IF(AND($AB6&lt;'Methodology &amp; Sources'!$C$3,$AB7&gt;='Methodology &amp; Sources'!$C$3),"★ Social Security maxed on this check — from the next check your net rises by about $"&amp;TEXT(ROUND('Methodology &amp; Sources'!$C$4*$N7,2),"#,##0.00")&amp;". ","")&amp;IF(AND($AC6&lt;Inputs!$C$34,$AC7&gt;=Inputs!$C$34),"★ 401(k) reaches the $"&amp;TEXT(Inputs!$C$34,"#,##0")&amp;" cap on this check — deferrals stop and net pay rises. ","")&amp;IF(AND($AG6&lt;'Methodology &amp; Sources'!$C$7,$AG7&gt;='Methodology &amp; Sources'!$C$7),"★ Wages pass $200,000 — the 0.9% Additional Medicare Tax starts here. ","")&amp;IF(AND($BJ7&gt;0,$H7&gt;0,$BG6&lt;MIN($BJ7,'Methodology &amp; Sources'!$C$13),$BG6+$H7&gt;=MIN($BJ7,'Methodology &amp; Sources'!$C$13)),"★ Health FSA election is now fully deferred for the year. ",""))</f>
      </c>
      <c r="AE7" s="41" t="n"/>
      <c r="AF7" s="7">
        <f>IF(OR($B7="",$AE7=""),"",$AE7-$Y7)</f>
      </c>
      <c r="AG7" s="7">
        <f>IF($B7="","",$AG6+$N7)</f>
      </c>
      <c r="AH7" s="7">
        <f>IF($B7="","",MAX(0,($M7-$D7)*Inputs!$C$8+$AP7-$AQ7-IF(Inputs!$C$13,0,IF(Inputs!$C$12="MFJ",'Methodology &amp; Sources'!$C$8,'Methodology &amp; Sources'!$C$9))))</f>
      </c>
      <c r="AI7" s="7">
        <f>IF($B7="","",$O7*Inputs!$C$8)</f>
      </c>
      <c r="AJ7" s="7">
        <f>IF($B7="","",MAX(0,$AI7-VLOOKUP($AN7,StateTables!$A$6:$AB$56,12,FALSE)*$AT7-IF(($AS7+$AT7)&gt;=2,VLOOKUP($AN7,StateTables!$A$6:$AB$56,8,FALSE),VLOOKUP($AN7,StateTables!$A$6:$AB$56,7,FALSE))))</f>
      </c>
      <c r="AK7" s="7">
        <f>IF($B7="","",IFERROR(LOOKUP(2,1/((Events!$C$6:$C$17="Salary change")*(Events!$B$6:$B$17&lt;=$B7)*(Events!$B$6:$B$17&lt;&gt;"")),Events!$D$6:$D$17),IF(Inputs!$C$4="Annual salary",Inputs!$C$5,Inputs!$C$6)))</f>
      </c>
      <c r="AL7">
        <f>IF($B7="","",IFERROR(LOOKUP(2,1/((Events!$C$6:$C$17="401(k) change")*(Events!$B$6:$B$17&lt;=$B7)*(Events!$B$6:$B$17&lt;&gt;"")),Events!$D$6:$D$17),Inputs!$C$30))</f>
      </c>
      <c r="AM7" s="7">
        <f>IF($B7="","",IFERROR(LOOKUP(2,1/((Events!$C$6:$C$17="401(k) change")*(Events!$B$6:$B$17&lt;=$B7)*(Events!$B$6:$B$17&lt;&gt;"")),Events!$E$6:$E$17),Inputs!$D$30))</f>
      </c>
      <c r="AN7">
        <f>IF($B7="","",IFERROR(LOOKUP(2,1/((Events!$C$6:$C$17="State move")*(Events!$B$6:$B$17&lt;=$B7)*(Events!$B$6:$B$17&lt;&gt;"")),Events!$D$6:$D$17),Inputs!$C$21))</f>
      </c>
      <c r="AO7" s="7">
        <f>IF($B7="","",IFERROR(LOOKUP(2,1/((Events!$C$6:$C$17="W-4 change")*(Events!$B$6:$B$17&lt;=$B7)*(Events!$B$6:$B$17&lt;&gt;"")),Events!$D$6:$D$17),Inputs!$C$14))</f>
      </c>
      <c r="AP7" s="7">
        <f>IF($B7="","",IFERROR(LOOKUP(2,1/((Events!$C$6:$C$17="W-4 change")*(Events!$B$6:$B$17&lt;=$B7)*(Events!$B$6:$B$17&lt;&gt;"")),Events!$E$6:$E$17),Inputs!$C$15))</f>
      </c>
      <c r="AQ7" s="7">
        <f>IF($B7="","",IFERROR(LOOKUP(2,1/((Events!$C$6:$C$17="W-4 change")*(Events!$B$6:$B$17&lt;=$B7)*(Events!$B$6:$B$17&lt;&gt;"")),Events!$F$6:$F$17),Inputs!$C$16))</f>
      </c>
      <c r="AR7" s="7">
        <f>IF($B7="","",IFERROR(LOOKUP(2,1/((Events!$C$6:$C$17="W-4 change")*(Events!$B$6:$B$17&lt;=$B7)*(Events!$B$6:$B$17&lt;&gt;"")),Events!$G$6:$G$17),Inputs!$C$17))</f>
      </c>
      <c r="AS7" s="6">
        <f>IF($B7="","",IFERROR(LOOKUP(2,1/(((Events!$C$6:$C$17="State move")+(Events!$C$6:$C$17="State cert change"))*(Events!$B$6:$B$17&lt;=$B7)*(Events!$B$6:$B$17&lt;&gt;"")),Events!$F$6:$F$17),Inputs!$C$23))</f>
      </c>
      <c r="AT7" s="6">
        <f>IF($B7="","",IFERROR(LOOKUP(2,1/(((Events!$C$6:$C$17="State move")+(Events!$C$6:$C$17="State cert change"))*(Events!$B$6:$B$17&lt;=$B7)*(Events!$B$6:$B$17&lt;&gt;"")),Events!$G$6:$G$17),Inputs!$C$24))</f>
      </c>
      <c r="AU7">
        <f>IF($B7="","",IFERROR(LOOKUP(2,1/((Events!$C$6:$C$17="State move")*(Events!$B$6:$B$17&lt;=$B7)*(Events!$B$6:$B$17&lt;&gt;"")),Events!$E$6:$E$17),Inputs!$C$22))</f>
      </c>
      <c r="AV7" s="6">
        <f>IF($B7="","",1+COUNTIFS(Events!$C$6:$C$17,"Employer change",Events!$B$6:$B$17,"&lt;="&amp;$B7,Events!$B$6:$B$17,"&lt;&gt;"))</f>
      </c>
      <c r="AW7" s="7">
        <f>IF($B7="","",IF($AV7=1,Inputs!$C$94,IF(IFERROR(MATCH(IFERROR(LOOKUP(2,1/((Events!$C$6:$C$17="Employer change")*(Events!$B$6:$B$17&lt;=$B7)*(Events!$B$6:$B$17&lt;&gt;"")),Events!$B$6:$B$17),""),$B$6:$B$68,1),1)&lt;=1,Inputs!$C$94,INDEX($AB$6:$AB$68,MATCH(IFERROR(LOOKUP(2,1/((Events!$C$6:$C$17="Employer change")*(Events!$B$6:$B$17&lt;=$B7)*(Events!$B$6:$B$17&lt;&gt;"")),Events!$B$6:$B$17),""),$B$6:$B$68,1)-1))))</f>
      </c>
      <c r="AX7" s="7">
        <f>IF($B7="","",IF($AV7=1,Inputs!$C$94,IFERROR(LOOKUP(2,1/((Events!$C$6:$C$17="Employer change")*(Events!$B$6:$B$17&lt;=$B7)*(Events!$B$6:$B$17&lt;&gt;"")),Events!$D$6:$D$17),0)))</f>
      </c>
      <c r="AY7" s="7">
        <f>IF($B7="","",($O7-$D7)*Inputs!$C$8)</f>
      </c>
      <c r="AZ7" s="7">
        <f>IF($B7="","",IF($AN7="AL",MAX(0,$AY7-IF($AU7="Married",IF($AY7&lt;=25999,8500,MAX(5000,8500-175*CEILING(($AY7-25999)/500,1))),IF($AU7="Head of household",IF($AY7&lt;=25999,5200,MAX(2500,5200-135*CEILING(($AY7-25999)/500,1))),IF($AY7&lt;=25999,3000,MAX(2500,3000-25*CEILING(($AY7-25999)/500,1)))))-($P7-'Methodology &amp; Sources'!$C$10*$D7)*Inputs!$C$8-IF(OR($AU7="Married",$AU7="Head of household"),3000,1500)-$AT7*IF($AY7&lt;=50000,1000,IF($AY7&lt;=100000,500,300))),IF($AN7="AR",IF(MAX(0,$AY7-2470)&lt;97701,INT(MAX(0,$AY7-2470)/100)*100+50,MAX(0,$AY7-2470)),IF($AN7="DE",MAX(0,$AI7-3250),IF($AN7="HI",MAX(0,$AI7-1144*$AS7-4350),IF($AN7="KS",MAX(0,$AI7-(9160*IF($AU7="Married",2,1)+2320*$AT7+IF($AU7="Head of household",2320,0))),IF($AN7="MD",MAX(0,$AI7-3400-3200*$AS7),IF($AN7="MN",MAX(0,$AY7-5300*$AS7),IF($AN7="MO",MAX(0,$AI7-IF($AU7="Head of household",24150,IF($AU7="Married",IF(Inputs!$C$83,16100,32200),16100))),IF($AN7="MT",$AY7,IF($AN7="ND",($C7+$L7)*Inputs!$C$8,IF($AN7="NE",MAX(0,$AY7-2440*$AS7),IF($AN7="NJ",MAX(0,$AY7-1000*$AS7),IF($AN7="NY",MAX(0,$AY7-(IF($AU7="Married",7950,7400)+1000*$AS7)),IF($AN7="OH",MAX(0,$AY7-650*$AS7),IF($AN7="OK",MAX(0,$AY7-1000*$AS7),IF($AN7="RI",MAX(0,$AI7-1000*$AS7),IF($AN7="SC",MAX(0,$AI7-5000*$AS7-IF($AS7=0,0,MIN(0.1*$AI7,7500))),IF($AN7="VA",MAX(0,$AI7-IF($AU7="Married",17500,8750)-930*$AS7-800*$AT7),IF($AN7="VT",MAX(0,$AI7-5400*$AS7),IF($AN7="WI",MAX(0,$AI7-MAX(0,IF($AU7="Married",9461-0.2*MAX(0,$AI7-25727),6702-0.12*MAX(0,$AI7-17780)))-400*$AS7),IF($AN7="WV",MAX(0,$AI7-2000*$AS7),$AI7))))))))))))))))))))))</f>
      </c>
      <c r="BA7" s="7">
        <f>IF($B7="","",IF($BW7&lt;&gt;"",$BW7,IF($BX7&lt;&gt;"",$BX7,IF($BY7&lt;&gt;"",$BY7,0))))</f>
      </c>
      <c r="BB7" s="7">
        <f>IF($B7="","",IF($AN7="AR",-29*$AS7,IF($AN7="DE",-110*$AS7,IF($AN7="MD",$AZ7*Inputs!$C$74,IF($AN7="AZ",Inputs!$C$82*($M7-$D7)*Inputs!$C$8,IF($AN7="CO",0.044*MAX(0,$AY7-IF($AU7="Married",10000,5000)),IF($AN7="IA",MAX(0,0.038*MAX(0,$AY7-IF($AU7="Head of household",19500,IF($AU7="Married",26000,13000)))-40*$AS7),IF($AN7="ID",0.053*MAX(0,$AY7-IF($AU7="Married",32000,16094)),IF($AN7="IL",0.0495*MAX(0,$AY7-(2925*$AS7+1000*$AT7)),IF($AN7="IN",(0.0295+Inputs!$C$76)*MAX(0,$AY7-(1000*$AS7+1500*$AT7+3000*Inputs!$C$86)),IF($AN7="KY",0.035*MAX(0,$AI7-3360),IF($AN7="LA",IF(Inputs!$C$84="0",0.0309*$AI7,0.0309*MAX(0,$AI7-IF(Inputs!$C$84="2",25750,12875))),IF($AN7="MA",0.05*MIN(MAX(0,$AY7-MIN(($BD6+$Q7+$R7+$S7),2000)-IF($AS7=0,0,IF($AS7=1,4400,1000*$AS7+3400))),1107750)+0.09*MAX(0,MAX(0,$AY7-MIN(($BD6+$Q7+$R7+$S7),2000)-IF($AS7=0,0,IF($AS7=1,4400,1000*$AS7+3400)))-1107750)-IF($AU7="Head of household",120,0)-110*Inputs!$C$75,IF($AN7="MI",0.0425*MAX(0,$AY7-5900*$AS7),IF($AN7="MS",0.04*MAX(0,$AI7-IF($AU7="Head of household",3400,IF($AU7="Married",4600,2300))-Inputs!$C$85-10000),IF($AN7="OR",IF(OR($AU7="Married",AND($AU7="Single",$AS7&gt;=3)),SUMPRODUCT((MAX(0,$AY7-MIN(($P7-'Methodology &amp; Sources'!$C$10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Sources'!$B$211:$J$214,0,4))*(MAX(0,$AY7-MIN(($P7-'Methodology &amp; Sources'!$C$10*$D7)*Inputs!$C$8,IF(OR($AU7="Married",AND($AU7="Single",$AS7&gt;=3)),IF($AY7&lt;250000,8750,IF($AY7&lt;260000,7000,IF($AY7&lt;270000,5250,IF($AY7&lt;280000,3500,IF($AY7&lt;290000,1750,0))))),IF($AY7&lt;125000,8750,IF($AY7&lt;130000,7000,IF($AY7&lt;135000,5250,IF($AY7&lt;140000,3500,IF($AY7&lt;145000,1750,0)))))))-IF(OR($AU7="Married",AND($AU7="Single",$AS7&gt;=3)),5820,2910))-INDEX('Methodology &amp; Sources'!$B$211:$J$214,0,4))*INDEX('Methodology &amp; Sources'!$B$211:$J$214,0,4+2)),SUMPRODUCT((MAX(0,$AY7-MIN(($P7-'Methodology &amp; Sources'!$C$10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Sources'!$B$211:$J$214,0,1))*(MAX(0,$AY7-MIN(($P7-'Methodology &amp; Sources'!$C$10*$D7)*Inputs!$C$8,IF(OR($AU7="Married",AND($AU7="Single",$AS7&gt;=3)),IF($AY7&lt;250000,8750,IF($AY7&lt;260000,7000,IF($AY7&lt;270000,5250,IF($AY7&lt;280000,3500,IF($AY7&lt;290000,1750,0))))),IF($AY7&lt;125000,8750,IF($AY7&lt;130000,7000,IF($AY7&lt;135000,5250,IF($AY7&lt;140000,3500,IF($AY7&lt;145000,1750,0)))))))-IF(OR($AU7="Married",AND($AU7="Single",$AS7&gt;=3)),5820,2910))-INDEX('Methodology &amp; Sources'!$B$211:$J$214,0,1))*INDEX('Methodology &amp; Sources'!$B$211:$J$214,0,1+2)))+263-263*IF(IF($AU7="Married",$AY7&gt;200000,$AY7&gt;100000),0,$AS7),IF($AN7="PA",0.0307*(($O7+$E7+$G7)*Inputs!$C$8),IF($AN7="NY",IF($AU7="Married",IF($AZ7&gt;=2155350,0,IF($AZ7&gt;=1077550,0.48,IF($AZ7&gt;=373200,1.21,IF($AZ7&gt;=323200,0.21,IF($AZ7&gt;=211550,-0.19,IF($AZ7&gt;=157650,-2.8,IF($AZ7&gt;=107650,-0.8,IF($AZ7&gt;=96800,0.05,IF($AZ7&gt;=80650,-0.1,IF($AZ7&gt;=13900,0.4,IF($AZ7&gt;=11700,-0.3,IF($AZ7&gt;=8500,0.5,0)))))))))))),IF($AZ7&gt;=1077550,0,IF($AZ7&gt;=265400,4.29,IF($AZ7&gt;=215400,2.29,IF($AZ7&gt;=157650,2.29,IF($AZ7&gt;=107650,0.29,IF($AZ7&gt;=96800,0.05,IF($AZ7&gt;=80650,-0.1,IF($AZ7&gt;=13900,0.4,IF($AZ7&gt;=11700,-0.3,IF($AZ7&gt;=8500,0.5,0))))))))))),0))))))))))))))))))</f>
      </c>
      <c r="BC7" s="7">
        <f>IF($B7="","",IF($AN7="AL",0.05*$D7,IF($AN7="AR",0.039*$D7,IF($AN7="ID",0.053*$D7,IF($AN7="IN",(0.0295+Inputs!$C$76)*$D7,IF($AN7="KS",0.05*$D7,IF($AN7="MA",0.09*MIN($D7,MAX(0,MAX(0,$AY7-MIN(($BD6+$Q7+$R7+$S7),2000)-IF($AS7=0,0,IF($AS7=1,4400,1000*$AS7+3400)))+$D7-1107750))+0.05*($D7-MIN($D7,MAX(0,MAX(0,$AY7-MIN(($BD6+$Q7+$R7+$S7),2000)-IF($AS7=0,0,IF($AS7=1,4400,1000*$AS7+3400)))+$D7-1107750))),IF($AN7="MD",(0.065+Inputs!$C$74)*$D7,IF($AN7="MI",0.0425*$D7,IF($AN7="MN",0.0625*$D7,IF($AN7="MO",0.047*$D7,IF($AN7="MT",0.05*$D7,IF($AN7="ND",0.015*$D7,IF($AN7="NE",0.035*$D7,IF($AN7="NJ",IF(Inputs!$C$77="B",SUMPRODUCT(($D7*Inputs!$C$8&gt;INDEX('Methodology &amp; Sources'!$B$155:$J$162,0,4))*($D7*Inputs!$C$8-INDEX('Methodology &amp; Sources'!$B$155:$J$162,0,4))*INDEX('Methodology &amp; Sources'!$B$155:$J$162,0,4+2)),IF(Inputs!$C$77="C",SUMPRODUCT(($D7*Inputs!$C$8&gt;INDEX('Methodology &amp; Sources'!$B$155:$J$162,0,7))*($D7*Inputs!$C$8-INDEX('Methodology &amp; Sources'!$B$155:$J$162,0,7))*INDEX('Methodology &amp; Sources'!$B$155:$J$162,0,7+2)),IF(Inputs!$C$77="D",SUMPRODUCT(($D7*Inputs!$C$8&gt;INDEX('Methodology &amp; Sources'!$B$167:$J$179,0,1))*($D7*Inputs!$C$8-INDEX('Methodology &amp; Sources'!$B$167:$J$179,0,1))*INDEX('Methodology &amp; Sources'!$B$167:$J$179,0,1+2)),IF(Inputs!$C$77="E",SUMPRODUCT(($D7*Inputs!$C$8&gt;INDEX('Methodology &amp; Sources'!$B$167:$J$179,0,4))*($D7*Inputs!$C$8-INDEX('Methodology &amp; Sources'!$B$167:$J$179,0,4))*INDEX('Methodology &amp; Sources'!$B$167:$J$179,0,4+2)),SUMPRODUCT(($D7*Inputs!$C$8&gt;INDEX('Methodology &amp; Sources'!$B$155:$J$162,0,1))*($D7*Inputs!$C$8-INDEX('Methodology &amp; Sources'!$B$155:$J$162,0,1))*INDEX('Methodology &amp; Sources'!$B$155:$J$162,0,1+2))))))/Inputs!$C$8,IF($AN7="NY",0.117*$D7,IF($AN7="OH",0.0275*$D7,IF($AN7="OK",0.045*$D7,IF($AN7="OR",0.08*$D7,IF($AN7="WI",IF($AY7&lt;12760,0.0354,IF($AY7&lt;25520,0.0465,IF($AY7&lt;280950,0.053,0.0765)))*$D7,0))))))))))))))))))))</f>
      </c>
      <c r="BD7" s="7">
        <f>IF($B7="","",$BD6+$Q7+$R7+$S7)</f>
      </c>
      <c r="BE7" s="6">
        <f>IF($B7="",$BE6,$BE6+$BF7)</f>
      </c>
      <c r="BF7" s="6">
        <f>IF($B7="","",IF(AND(IF(YEAR(IF(Inputs!$C$7="Weekly",Inputs!$C$90+7*(($BE6+1)-1),IF(Inputs!$C$7="Biweekly",Inputs!$C$90+14*(($BE6+1)-1),IF(Inputs!$C$7="Semimonthly",DATE(YEAR(Inputs!$C$9),MONTH(Inputs!$C$9)+INT((($BE6+1)-1+'Rest of 2026'!$C$2)/2),MIN(DAY(Inputs!$C$9),DAY(EOMONTH(DATE(YEAR(Inputs!$C$9),MONTH(Inputs!$C$9)+INT((($BE6+1)-1+'Rest of 2026'!$C$2)/2),1),0))))+IF(MOD(($BE6+1)-1+'Rest of 2026'!$C$2,2)=1,15,0),EDATE(Inputs!$C$90,($BE6+1)-1)))))&lt;&gt;Inputs!$C$10,"",IF(Inputs!$C$7="Weekly",Inputs!$C$90+7*(($BE6+1)-1),IF(Inputs!$C$7="Biweekly",Inputs!$C$90+14*(($BE6+1)-1),IF(Inputs!$C$7="Semimonthly",DATE(YEAR(Inputs!$C$9),MONTH(Inputs!$C$9)+INT((($BE6+1)-1+'Rest of 2026'!$C$2)/2),MIN(DAY(Inputs!$C$9),DAY(EOMONTH(DATE(YEAR(Inputs!$C$9),MONTH(Inputs!$C$9)+INT((($BE6+1)-1+'Rest of 2026'!$C$2)/2),1),0))))+IF(MOD(($BE6+1)-1+'Rest of 2026'!$C$2,2)=1,15,0),EDATE(Inputs!$C$90,($BE6+1)-1)))))&lt;&gt;"",$B7=IF(YEAR(IF(Inputs!$C$7="Weekly",Inputs!$C$90+7*(($BE6+1)-1),IF(Inputs!$C$7="Biweekly",Inputs!$C$90+14*(($BE6+1)-1),IF(Inputs!$C$7="Semimonthly",DATE(YEAR(Inputs!$C$9),MONTH(Inputs!$C$9)+INT((($BE6+1)-1+'Rest of 2026'!$C$2)/2),MIN(DAY(Inputs!$C$9),DAY(EOMONTH(DATE(YEAR(Inputs!$C$9),MONTH(Inputs!$C$9)+INT((($BE6+1)-1+'Rest of 2026'!$C$2)/2),1),0))))+IF(MOD(($BE6+1)-1+'Rest of 2026'!$C$2,2)=1,15,0),EDATE(Inputs!$C$90,($BE6+1)-1)))))&lt;&gt;Inputs!$C$10,"",IF(Inputs!$C$7="Weekly",Inputs!$C$90+7*(($BE6+1)-1),IF(Inputs!$C$7="Biweekly",Inputs!$C$90+14*(($BE6+1)-1),IF(Inputs!$C$7="Semimonthly",DATE(YEAR(Inputs!$C$9),MONTH(Inputs!$C$9)+INT((($BE6+1)-1+'Rest of 2026'!$C$2)/2),MIN(DAY(Inputs!$C$9),DAY(EOMONTH(DATE(YEAR(Inputs!$C$9),MONTH(Inputs!$C$9)+INT((($BE6+1)-1+'Rest of 2026'!$C$2)/2),1),0))))+IF(MOD(($BE6+1)-1+'Rest of 2026'!$C$2,2)=1,15,0),EDATE(Inputs!$C$90,($BE6+1)-1)))))),1,0))</f>
      </c>
      <c r="BG7" s="7">
        <f>IF($B7="","",$BG6+$H7)</f>
      </c>
      <c r="BH7" s="7">
        <f>IF($B7="","",$BH6+$I7)</f>
      </c>
      <c r="BI7" s="7">
        <f>IF($B7="","",$BI6+$G7)</f>
      </c>
      <c r="BJ7" s="7">
        <f>IF($B7="","",IFERROR(LOOKUP(2,1/((((Events!$C$6:$C$17="Deduction start"))*(Events!$D$6:$D$17="Health FSA"))*(Events!$B$6:$B$17&lt;=$B7)*(Events!$B$6:$B$17&lt;&gt;"")),Events!$E$6:$E$17),Inputs!$D$38))</f>
      </c>
      <c r="BK7" s="7">
        <f>IF($B7="","",IFERROR(LOOKUP(2,1/((((Events!$C$6:$C$17="Deduction start"))*(Events!$D$6:$D$17="Dependent-care FSA"))*(Events!$B$6:$B$17&lt;=$B7)*(Events!$B$6:$B$17&lt;&gt;"")),Events!$E$6:$E$17),Inputs!$D$39))</f>
      </c>
      <c r="BL7" s="7">
        <f>IF($B7="","",IFERROR(LOOKUP(2,1/((((Events!$C$6:$C$17="Deduction start")+(Events!$C$6:$C$17="Deduction stop"))*(Events!$D$6:$D$17="HSA"))*(Events!$B$6:$B$17&lt;=$B7)*(Events!$B$6:$B$17&lt;&gt;"")),Events!$I$6:$I$17),Inputs!$D$35))</f>
      </c>
      <c r="BM7" s="7">
        <f>IF($B7="","",IFERROR(LOOKUP(2,1/((((Events!$C$6:$C$17="Deduction start")+(Events!$C$6:$C$17="Deduction stop"))*(Events!$D$6:$D$17="Premiums"))*(Events!$B$6:$B$17&lt;=$B7)*(Events!$B$6:$B$17&lt;&gt;"")),Events!$I$6:$I$17),Inputs!$D$40+Inputs!$D$41+Inputs!$D$42))</f>
      </c>
      <c r="BN7" s="7">
        <f>IF($B7="","",IFERROR(LOOKUP(2,1/((((Events!$C$6:$C$17="Deduction start")+(Events!$C$6:$C$17="Deduction stop"))*(Events!$D$6:$D$17="Commuter"))*(Events!$B$6:$B$17&lt;=$B7)*(Events!$B$6:$B$17&lt;&gt;"")),Events!$I$6:$I$17),Inputs!$D$43))</f>
      </c>
      <c r="BO7" s="7">
        <f>IF($B7="","",IFERROR(LOOKUP(2,1/((((Events!$C$6:$C$17="Deduction start")+(Events!$C$6:$C$17="Deduction stop"))*(Events!$D$6:$D$17="Other pre-tax"))*(Events!$B$6:$B$17&lt;=$B7)*(Events!$B$6:$B$17&lt;&gt;"")),Events!$I$6:$I$17),Inputs!$D$44))</f>
      </c>
      <c r="BP7" s="7">
        <f>IF($B7="","",IFERROR(LOOKUP(2,1/((((Events!$C$6:$C$17="Deduction start")+(Events!$C$6:$C$17="Deduction stop"))*(Events!$D$6:$D$17="Other post-tax"))*(Events!$B$6:$B$17&lt;=$B7)*(Events!$B$6:$B$17&lt;&gt;"")),Events!$I$6:$I$17),Inputs!$D$45))</f>
      </c>
      <c r="BQ7" s="6">
        <f>IF($B7="","",IFERROR(LOOKUP(2,1/((((Events!$C$6:$C$17="Deduction start")+(Events!$C$6:$C$17="Deduction stop"))*(Events!$D$6:$D$17="Health FSA"))*(Events!$B$6:$B$17&lt;=$B7)*(Events!$B$6:$B$17&lt;&gt;"")),Events!$J$6:$J$17),0))</f>
      </c>
      <c r="BR7" s="6">
        <f>IF($B7="","",IFERROR(LOOKUP(2,1/((((Events!$C$6:$C$17="Deduction start")+(Events!$C$6:$C$17="Deduction stop"))*(Events!$D$6:$D$17="Dependent-care FSA"))*(Events!$B$6:$B$17&lt;=$B7)*(Events!$B$6:$B$17&lt;&gt;"")),Events!$J$6:$J$17),0))</f>
      </c>
      <c r="BS7" s="6">
        <f>IF($B7="","",IF(SUMPRODUCT((Events!$C$6:$C$17="Deduction start")*(Events!$B$6:$B$17&lt;=$B7)*(Events!$B$6:$B$17&lt;&gt;"")*(Events!$D$6:$D$17="Health FSA"))&gt;0,1,0))</f>
      </c>
      <c r="BT7" s="6">
        <f>IF($B7="","",IF(SUMPRODUCT((Events!$C$6:$C$17="Deduction start")*(Events!$B$6:$B$17&lt;=$B7)*(Events!$B$6:$B$17&lt;&gt;"")*(Events!$D$6:$D$17="Dependent-care FSA"))&gt;0,1,0))</f>
      </c>
      <c r="BU7" s="24">
        <f>IF($B7="","",IF(Inputs!$C$13,SUMPRODUCT(($AH7&gt;=INDEX('Methodology &amp; Sources'!$B$29:$J$36,0,IF(Inputs!$C$12="MFJ",1,IF(Inputs!$C$12="HoH",7,4))))*INDEX('Methodology &amp; Sources'!$B$29:$J$36,0,IF(Inputs!$C$12="MFJ",1,IF(Inputs!$C$12="HoH",7,4))+2)),SUMPRODUCT(($AH7&gt;=INDEX('Methodology &amp; Sources'!$B$19:$J$26,0,IF(Inputs!$C$12="MFJ",1,IF(Inputs!$C$12="HoH",7,4))))*INDEX('Methodology &amp; Sources'!$B$19:$J$26,0,IF(Inputs!$C$12="MFJ",1,IF(Inputs!$C$12="HoH",7,4))+2))))</f>
      </c>
      <c r="BV7" s="24">
        <f>IF($B7="","",IF($BZ7&lt;&gt;"",$BZ7,IF($CA7&lt;&gt;"",$CA7,IF($CB7&lt;&gt;"",$CB7,IF($CC7&lt;&gt;"",$CC7,0)))))</f>
      </c>
      <c r="BW7" s="7">
        <f>IF($B7="","",IF($AN7="MD",IF(OR($AU7="Married",$AU7="Head of household"),SUMPRODUCT(($AZ7&gt;INDEX('Methodology &amp; Sources'!$B$114:$J$120,0,1))*($AZ7-INDEX('Methodology &amp; Sources'!$B$114:$J$120,0,1))*INDEX('Methodology &amp; Sources'!$B$114:$J$120,0,1+2)),SUMPRODUCT(($AZ7&gt;INDEX('Methodology &amp; Sources'!$B$103:$J$109,0,7))*($AZ7-INDEX('Methodology &amp; Sources'!$B$103:$J$109,0,7))*INDEX('Methodology &amp; Sources'!$B$103:$J$109,0,7+2))),IF($AN7="MO",SUMPRODUCT(($AZ7&gt;INDEX('Methodology &amp; Sources'!$B$125:$J$132,0,1))*($AZ7-INDEX('Methodology &amp; Sources'!$B$125:$J$132,0,1))*INDEX('Methodology &amp; Sources'!$B$125:$J$132,0,1+2)),IF($AN7="MT",IF($AU7="Head of household",SUMPRODUCT(($AZ7&gt;INDEX('Methodology &amp; Sources'!$B$137:$J$139,0,1))*($AZ7-INDEX('Methodology &amp; Sources'!$B$137:$J$139,0,1))*INDEX('Methodology &amp; Sources'!$B$137:$J$139,0,1+2)),IF($AU7="Married",SUMPRODUCT(($AZ7&gt;INDEX('Methodology &amp; Sources'!$B$125:$J$132,0,7))*($AZ7-INDEX('Methodology &amp; Sources'!$B$125:$J$132,0,7))*INDEX('Methodology &amp; Sources'!$B$125:$J$132,0,7+2)),SUMPRODUCT(($AZ7&gt;INDEX('Methodology &amp; Sources'!$B$125:$J$132,0,4))*($AZ7-INDEX('Methodology &amp; Sources'!$B$125:$J$132,0,4))*INDEX('Methodology &amp; Sources'!$B$125:$J$132,0,4+2)))),IF($AN7="ND",IF($AU7="Head of household",SUMPRODUCT(($AZ7&gt;INDEX('Methodology &amp; Sources'!$B$144:$J$150,0,1))*($AZ7-INDEX('Methodology &amp; Sources'!$B$144:$J$150,0,1))*INDEX('Methodology &amp; Sources'!$B$144:$J$150,0,1+2)),IF($AU7="Married",SUMPRODUCT(($AZ7&gt;INDEX('Methodology &amp; Sources'!$B$137:$J$139,0,7))*($AZ7-INDEX('Methodology &amp; Sources'!$B$137:$J$139,0,7))*INDEX('Methodology &amp; Sources'!$B$137:$J$139,0,7+2)),SUMPRODUCT(($AZ7&gt;INDEX('Methodology &amp; Sources'!$B$137:$J$139,0,4))*($AZ7-INDEX('Methodology &amp; Sources'!$B$137:$J$139,0,4))*INDEX('Methodology &amp; Sources'!$B$137:$J$139,0,4+2)))),IF($AN7="NJ",IF(Inputs!$C$77="B",SUMPRODUCT(($AZ7&gt;INDEX('Methodology &amp; Sources'!$B$155:$J$162,0,4))*($AZ7-INDEX('Methodology &amp; Sources'!$B$155:$J$162,0,4))*INDEX('Methodology &amp; Sources'!$B$155:$J$162,0,4+2)),IF(Inputs!$C$77="C",SUMPRODUCT(($AZ7&gt;INDEX('Methodology &amp; Sources'!$B$155:$J$162,0,7))*($AZ7-INDEX('Methodology &amp; Sources'!$B$155:$J$162,0,7))*INDEX('Methodology &amp; Sources'!$B$155:$J$162,0,7+2)),IF(Inputs!$C$77="D",SUMPRODUCT(($AZ7&gt;INDEX('Methodology &amp; Sources'!$B$167:$J$179,0,1))*($AZ7-INDEX('Methodology &amp; Sources'!$B$167:$J$179,0,1))*INDEX('Methodology &amp; Sources'!$B$167:$J$179,0,1+2)),IF(Inputs!$C$77="E",SUMPRODUCT(($AZ7&gt;INDEX('Methodology &amp; Sources'!$B$167:$J$179,0,4))*($AZ7-INDEX('Methodology &amp; Sources'!$B$167:$J$179,0,4))*INDEX('Methodology &amp; Sources'!$B$167:$J$179,0,4+2)),SUMPRODUCT(($AZ7&gt;INDEX('Methodology &amp; Sources'!$B$155:$J$162,0,1))*($AZ7-INDEX('Methodology &amp; Sources'!$B$155:$J$162,0,1))*INDEX('Methodology &amp; Sources'!$B$155:$J$162,0,1+2)))))),IF($AN7="NY",IF($AU7="Married",IF($AZ7&gt;=2155350,$AZ7*IF($AZ7&gt;25000000,0.117,IF($AZ7&gt;5000000,0.111,0.1045)),SUMPRODUCT(($AZ7&gt;INDEX('Methodology &amp; Sources'!$B$184:$J$198,0,1))*($AZ7-INDEX('Methodology &amp; Sources'!$B$184:$J$198,0,1))*INDEX('Methodology &amp; Sources'!$B$184:$J$198,0,1+2))),IF($AZ7&gt;=1077550,$AZ7*IF($AZ7&gt;25000000,0.117,IF($AZ7&gt;5000000,0.111,0.1045)),SUMPRODUCT(($AZ7&gt;INDEX('Methodology &amp; Sources'!$B$167:$J$179,0,7))*($AZ7-INDEX('Methodology &amp; Sources'!$B$167:$J$179,0,7))*INDEX('Methodology &amp; Sources'!$B$167:$J$179,0,7+2)))),"")))))))</f>
      </c>
      <c r="BX7" s="7">
        <f>IF($B7="","",IF($AN7="AL",IF(OR($AU7="Married",$AU7="Head of household"),SUMPRODUCT(($AZ7&gt;INDEX('Methodology &amp; Sources'!$B$82:$J$86,0,4))*($AZ7-INDEX('Methodology &amp; Sources'!$B$82:$J$86,0,4))*INDEX('Methodology &amp; Sources'!$B$82:$J$86,0,4+2)),SUMPRODUCT(($AZ7&gt;INDEX('Methodology &amp; Sources'!$B$82:$J$86,0,1))*($AZ7-INDEX('Methodology &amp; Sources'!$B$82:$J$86,0,1))*INDEX('Methodology &amp; Sources'!$B$82:$J$86,0,1+2))),IF($AN7="KS",IF($AU7="Married",SUMPRODUCT(($AZ7&gt;INDEX('Methodology &amp; Sources'!$B$103:$J$109,0,4))*($AZ7-INDEX('Methodology &amp; Sources'!$B$103:$J$109,0,4))*INDEX('Methodology &amp; Sources'!$B$103:$J$109,0,4+2)),SUMPRODUCT(($AZ7&gt;INDEX('Methodology &amp; Sources'!$B$103:$J$109,0,1))*($AZ7-INDEX('Methodology &amp; Sources'!$B$103:$J$109,0,1))*INDEX('Methodology &amp; Sources'!$B$103:$J$109,0,1+2))),IF($AN7="MN",IF($AU7="Married",SUMPRODUCT(($AZ7&gt;INDEX('Methodology &amp; Sources'!$B$114:$J$120,0,7))*($AZ7-INDEX('Methodology &amp; Sources'!$B$114:$J$120,0,7))*INDEX('Methodology &amp; Sources'!$B$114:$J$120,0,7+2)),SUMPRODUCT(($AZ7&gt;INDEX('Methodology &amp; Sources'!$B$114:$J$120,0,4))*($AZ7-INDEX('Methodology &amp; Sources'!$B$114:$J$120,0,4))*INDEX('Methodology &amp; Sources'!$B$114:$J$120,0,4+2))),IF($AN7="NE",MAX(IF($AU7="Married",SUMPRODUCT(($AZ7&gt;INDEX('Methodology &amp; Sources'!$B$144:$J$150,0,7))*($AZ7-INDEX('Methodology &amp; Sources'!$B$144:$J$150,0,7))*INDEX('Methodology &amp; Sources'!$B$144:$J$150,0,7+2)),SUMPRODUCT(($AZ7&gt;INDEX('Methodology &amp; Sources'!$B$144:$J$150,0,4))*($AZ7-INDEX('Methodology &amp; Sources'!$B$144:$J$150,0,4))*INDEX('Methodology &amp; Sources'!$B$144:$J$150,0,4+2))),0.015*$AZ7),IF($AN7="OH",IF($B7&gt;=DATE(2027,8,1),SUMPRODUCT(($AZ7&gt;INDEX('Methodology &amp; Sources'!$B$203:$J$206,0,1))*($AZ7-INDEX('Methodology &amp; Sources'!$B$203:$J$206,0,1))*INDEX('Methodology &amp; Sources'!$B$203:$J$206,0,1+2)),SUMPRODUCT(($AZ7&gt;INDEX('Methodology &amp; Sources'!$B$184:$J$198,0,7))*($AZ7-INDEX('Methodology &amp; Sources'!$B$184:$J$198,0,7))*INDEX('Methodology &amp; Sources'!$B$184:$J$198,0,7+2))),IF($AN7="OK",IF($AU7="Married",SUMPRODUCT(($AZ7&gt;INDEX('Methodology &amp; Sources'!$B$203:$J$206,0,7))*($AZ7-INDEX('Methodology &amp; Sources'!$B$203:$J$206,0,7))*INDEX('Methodology &amp; Sources'!$B$203:$J$206,0,7+2)),SUMPRODUCT(($AZ7&gt;INDEX('Methodology &amp; Sources'!$B$203:$J$206,0,4))*($AZ7-INDEX('Methodology &amp; Sources'!$B$203:$J$206,0,4))*INDEX('Methodology &amp; Sources'!$B$203:$J$206,0,4+2))),IF($AN7="RI",SUMPRODUCT(($AZ7&gt;INDEX('Methodology &amp; Sources'!$B$211:$J$214,0,7))*($AZ7-INDEX('Methodology &amp; Sources'!$B$211:$J$214,0,7))*INDEX('Methodology &amp; Sources'!$B$211:$J$214,0,7+2)),IF($AN7="VT",IF($AU7="Married",SUMPRODUCT(($AZ7&gt;INDEX('Methodology &amp; Sources'!$B$228:$J$232,0,1))*($AZ7-INDEX('Methodology &amp; Sources'!$B$228:$J$232,0,1))*INDEX('Methodology &amp; Sources'!$B$228:$J$232,0,1+2)),SUMPRODUCT(($AZ7&gt;INDEX('Methodology &amp; Sources'!$B$219:$J$223,0,7))*($AZ7-INDEX('Methodology &amp; Sources'!$B$219:$J$223,0,7))*INDEX('Methodology &amp; Sources'!$B$219:$J$223,0,7+2))),IF($AN7="WV",IF($AU7="Married",SUMPRODUCT(($AZ7&gt;INDEX('Methodology &amp; Sources'!$B$237:$J$241,0,7))*($AZ7-INDEX('Methodology &amp; Sources'!$B$237:$J$241,0,7))*INDEX('Methodology &amp; Sources'!$B$237:$J$241,0,7+2)),SUMPRODUCT(($AZ7&gt;INDEX('Methodology &amp; Sources'!$B$228:$J$232,0,7))*($AZ7-INDEX('Methodology &amp; Sources'!$B$228:$J$232,0,7))*INDEX('Methodology &amp; Sources'!$B$228:$J$232,0,7+2))),""))))))))))</f>
      </c>
      <c r="BY7" s="7">
        <f>IF($B7="","",IF($AN7="AR",SUMPRODUCT(($AZ7&gt;INDEX('Methodology &amp; Sources'!$B$82:$J$86,0,7))*($AZ7-INDEX('Methodology &amp; Sources'!$B$82:$J$86,0,7))*INDEX('Methodology &amp; Sources'!$B$82:$J$86,0,7+2)),IF($AN7="DE",SUMPRODUCT(($AZ7&gt;INDEX('Methodology &amp; Sources'!$B$91:$J$98,0,1))*($AZ7-INDEX('Methodology &amp; Sources'!$B$91:$J$98,0,1))*INDEX('Methodology &amp; Sources'!$B$91:$J$98,0,1+2)),IF($AN7="HI",IF($AU7="Married",SUMPRODUCT(($AZ7&gt;INDEX('Methodology &amp; Sources'!$B$91:$J$98,0,7))*($AZ7-INDEX('Methodology &amp; Sources'!$B$91:$J$98,0,7))*INDEX('Methodology &amp; Sources'!$B$91:$J$98,0,7+2)),SUMPRODUCT(($AZ7&gt;INDEX('Methodology &amp; Sources'!$B$91:$J$98,0,4))*($AZ7-INDEX('Methodology &amp; Sources'!$B$91:$J$98,0,4))*INDEX('Methodology &amp; Sources'!$B$91:$J$98,0,4+2))),IF($AN7="SC",SUMPRODUCT(($AZ7&gt;INDEX('Methodology &amp; Sources'!$B$219:$J$223,0,1))*($AZ7-INDEX('Methodology &amp; Sources'!$B$219:$J$223,0,1))*INDEX('Methodology &amp; Sources'!$B$219:$J$223,0,1+2)),IF($AN7="VA",SUMPRODUCT(($AZ7&gt;INDEX('Methodology &amp; Sources'!$B$219:$J$223,0,4))*($AZ7-INDEX('Methodology &amp; Sources'!$B$219:$J$223,0,4))*INDEX('Methodology &amp; Sources'!$B$219:$J$223,0,4+2)),IF($AN7="WI",SUMPRODUCT(($AZ7&gt;INDEX('Methodology &amp; Sources'!$B$228:$J$232,0,4))*($AZ7-INDEX('Methodology &amp; Sources'!$B$228:$J$232,0,4))*INDEX('Methodology &amp; Sources'!$B$228:$J$232,0,4+2)),"")))))))</f>
      </c>
      <c r="BZ7" s="24">
        <f>IF($B7="","",IF($AN7="NJ",IF(Inputs!$C$77="B",SUMPRODUCT(($AZ7&gt;=INDEX('Methodology &amp; Sources'!$B$155:$J$162,0,4))*INDEX('Methodology &amp; Sources'!$B$155:$J$162,0,4+2)),IF(Inputs!$C$77="C",SUMPRODUCT(($AZ7&gt;=INDEX('Methodology &amp; Sources'!$B$155:$J$162,0,7))*INDEX('Methodology &amp; Sources'!$B$155:$J$162,0,7+2)),IF(Inputs!$C$77="D",SUMPRODUCT(($AZ7&gt;=INDEX('Methodology &amp; Sources'!$B$167:$J$179,0,1))*INDEX('Methodology &amp; Sources'!$B$167:$J$179,0,1+2)),IF(Inputs!$C$77="E",SUMPRODUCT(($AZ7&gt;=INDEX('Methodology &amp; Sources'!$B$167:$J$179,0,4))*INDEX('Methodology &amp; Sources'!$B$167:$J$179,0,4+2)),SUMPRODUCT(($AZ7&gt;=INDEX('Methodology &amp; Sources'!$B$155:$J$162,0,1))*INDEX('Methodology &amp; Sources'!$B$155:$J$162,0,1+2)))))),IF($AN7="OR",IF(OR($AU7="Married",AND($AU7="Single",$AS7&gt;=3)),SUMPRODUCT((MAX(0,$AY7-MIN(($P7-'Methodology &amp; Sources'!$C$10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Sources'!$B$211:$J$214,0,4))*INDEX('Methodology &amp; Sources'!$B$211:$J$214,0,4+2)),SUMPRODUCT((MAX(0,$AY7-MIN(($P7-'Methodology &amp; Sources'!$C$10*$D7)*Inputs!$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Sources'!$B$211:$J$214,0,1))*INDEX('Methodology &amp; Sources'!$B$211:$J$214,0,1+2)))*IF(($P7-'Methodology &amp; Sources'!$C$10*$D7)*Inputs!$C$8&gt;=IF(OR($AU7="Married",AND($AU7="Single",$AS7&gt;=3)),IF($AY7&lt;250000,8750,IF($AY7&lt;260000,7000,IF($AY7&lt;270000,5250,IF($AY7&lt;280000,3500,IF($AY7&lt;290000,1750,0))))),IF($AY7&lt;125000,8750,IF($AY7&lt;130000,7000,IF($AY7&lt;135000,5250,IF($AY7&lt;140000,3500,IF($AY7&lt;145000,1750,0)))))),1,1-IF(Inputs!$C$13,SUMPRODUCT(($AH7&gt;=INDEX('Methodology &amp; Sources'!$B$29:$J$36,0,IF(Inputs!$C$12="MFJ",1,IF(Inputs!$C$12="HoH",7,4))))*INDEX('Methodology &amp; Sources'!$B$29:$J$36,0,IF(Inputs!$C$12="MFJ",1,IF(Inputs!$C$12="HoH",7,4))+2)),SUMPRODUCT(($AH7&gt;=INDEX('Methodology &amp; Sources'!$B$19:$J$26,0,IF(Inputs!$C$12="MFJ",1,IF(Inputs!$C$12="HoH",7,4))))*INDEX('Methodology &amp; Sources'!$B$19:$J$26,0,IF(Inputs!$C$12="MFJ",1,IF(Inputs!$C$12="HoH",7,4))+2)))),IF($AN7="MI",IF($AY7&gt;5900*$AS7,0.0425,0),""))))</f>
      </c>
      <c r="CA7" s="24">
        <f>IF($B7="","",IF($AN7="AL",IF(OR($AU7="Married",$AU7="Head of household"),SUMPRODUCT(($AZ7&gt;=INDEX('Methodology &amp; Sources'!$B$82:$J$86,0,4))*INDEX('Methodology &amp; Sources'!$B$82:$J$86,0,4+2)),SUMPRODUCT(($AZ7&gt;=INDEX('Methodology &amp; Sources'!$B$82:$J$86,0,1))*INDEX('Methodology &amp; Sources'!$B$82:$J$86,0,1+2)))*(1-IF(Inputs!$C$13,SUMPRODUCT(($AH7&gt;=INDEX('Methodology &amp; Sources'!$B$29:$J$36,0,IF(Inputs!$C$12="MFJ",1,IF(Inputs!$C$12="HoH",7,4))))*INDEX('Methodology &amp; Sources'!$B$29:$J$36,0,IF(Inputs!$C$12="MFJ",1,IF(Inputs!$C$12="HoH",7,4))+2)),SUMPRODUCT(($AH7&gt;=INDEX('Methodology &amp; Sources'!$B$19:$J$26,0,IF(Inputs!$C$12="MFJ",1,IF(Inputs!$C$12="HoH",7,4))))*INDEX('Methodology &amp; Sources'!$B$19:$J$26,0,IF(Inputs!$C$12="MFJ",1,IF(Inputs!$C$12="HoH",7,4))+2)))),IF($AN7="KS",IF($AU7="Married",SUMPRODUCT(($AZ7&gt;=INDEX('Methodology &amp; Sources'!$B$103:$J$109,0,4))*INDEX('Methodology &amp; Sources'!$B$103:$J$109,0,4+2)),SUMPRODUCT(($AZ7&gt;=INDEX('Methodology &amp; Sources'!$B$103:$J$109,0,1))*INDEX('Methodology &amp; Sources'!$B$103:$J$109,0,1+2))),IF($AN7="MD",IF(OR($AU7="Married",$AU7="Head of household"),SUMPRODUCT(($AZ7&gt;=INDEX('Methodology &amp; Sources'!$B$114:$J$120,0,1))*INDEX('Methodology &amp; Sources'!$B$114:$J$120,0,1+2)),SUMPRODUCT(($AZ7&gt;=INDEX('Methodology &amp; Sources'!$B$103:$J$109,0,7))*INDEX('Methodology &amp; Sources'!$B$103:$J$109,0,7+2)))+Inputs!$C$74,IF($AN7="MT",IF($AU7="Head of household",SUMPRODUCT(($AZ7&gt;=INDEX('Methodology &amp; Sources'!$B$137:$J$139,0,1))*INDEX('Methodology &amp; Sources'!$B$137:$J$139,0,1+2)),IF($AU7="Married",SUMPRODUCT(($AZ7&gt;=INDEX('Methodology &amp; Sources'!$B$125:$J$132,0,7))*INDEX('Methodology &amp; Sources'!$B$125:$J$132,0,7+2)),SUMPRODUCT(($AZ7&gt;=INDEX('Methodology &amp; Sources'!$B$125:$J$132,0,4))*INDEX('Methodology &amp; Sources'!$B$125:$J$132,0,4+2)))),IF($AN7="ND",IF($AU7="Head of household",SUMPRODUCT(($AZ7&gt;=INDEX('Methodology &amp; Sources'!$B$144:$J$150,0,1))*INDEX('Methodology &amp; Sources'!$B$144:$J$150,0,1+2)),IF($AU7="Married",SUMPRODUCT(($AZ7&gt;=INDEX('Methodology &amp; Sources'!$B$137:$J$139,0,7))*INDEX('Methodology &amp; Sources'!$B$137:$J$139,0,7+2)),SUMPRODUCT(($AZ7&gt;=INDEX('Methodology &amp; Sources'!$B$137:$J$139,0,4))*INDEX('Methodology &amp; Sources'!$B$137:$J$139,0,4+2)))),IF($AN7="NY",IF($AU7="Married",IF($AZ7&gt;=2155350,IF($AZ7&gt;25000000,0.117,IF($AZ7&gt;5000000,0.111,0.1045)),SUMPRODUCT(($AZ7&gt;=INDEX('Methodology &amp; Sources'!$B$184:$J$198,0,1))*INDEX('Methodology &amp; Sources'!$B$184:$J$198,0,1+2))),IF($AZ7&gt;=1077550,IF($AZ7&gt;25000000,0.117,IF($AZ7&gt;5000000,0.111,0.1045)),SUMPRODUCT(($AZ7&gt;=INDEX('Methodology &amp; Sources'!$B$167:$J$179,0,7))*INDEX('Methodology &amp; Sources'!$B$167:$J$179,0,7+2)))),"")))))))</f>
      </c>
      <c r="CB7" s="24">
        <f>IF($B7="","",IF($AN7="CA",SUMPRODUCT(($AJ7&gt;=INDEX('Methodology &amp; Sources'!$B$39:$J$48,0,IF($AU7="Married",4,IF($AU7="Head of household",7,1))))*INDEX('Methodology &amp; Sources'!$B$39:$J$48,0,IF($AU7="Married",4,IF($AU7="Head of household",7,1))+2)),IF($AN7="HI",IF($AU7="Married",SUMPRODUCT(($AZ7&gt;=INDEX('Methodology &amp; Sources'!$B$91:$J$98,0,7))*INDEX('Methodology &amp; Sources'!$B$91:$J$98,0,7+2)),SUMPRODUCT(($AZ7&gt;=INDEX('Methodology &amp; Sources'!$B$91:$J$98,0,4))*INDEX('Methodology &amp; Sources'!$B$91:$J$98,0,4+2))),IF($AN7="MN",IF($AU7="Married",SUMPRODUCT(($AZ7&gt;=INDEX('Methodology &amp; Sources'!$B$114:$J$120,0,7))*INDEX('Methodology &amp; Sources'!$B$114:$J$120,0,7+2)),SUMPRODUCT(($AZ7&gt;=INDEX('Methodology &amp; Sources'!$B$114:$J$120,0,4))*INDEX('Methodology &amp; Sources'!$B$114:$J$120,0,4+2))),IF($AN7="MO",SUMPRODUCT(($AZ7&gt;=INDEX('Methodology &amp; Sources'!$B$125:$J$132,0,1))*INDEX('Methodology &amp; Sources'!$B$125:$J$132,0,1+2)),IF($AN7="NE",MAX(IF($AU7="Married",SUMPRODUCT(($AZ7&gt;=INDEX('Methodology &amp; Sources'!$B$144:$J$150,0,7))*INDEX('Methodology &amp; Sources'!$B$144:$J$150,0,7+2)),SUMPRODUCT(($AZ7&gt;=INDEX('Methodology &amp; Sources'!$B$144:$J$150,0,4))*INDEX('Methodology &amp; Sources'!$B$144:$J$150,0,4+2))),0.015),IF($AN7="OH",IF($B7&gt;=DATE(2027,8,1),SUMPRODUCT(($AZ7&gt;=INDEX('Methodology &amp; Sources'!$B$203:$J$206,0,1))*INDEX('Methodology &amp; Sources'!$B$203:$J$206,0,1+2)),SUMPRODUCT(($AZ7&gt;=INDEX('Methodology &amp; Sources'!$B$184:$J$198,0,7))*INDEX('Methodology &amp; Sources'!$B$184:$J$198,0,7+2))),IF($AN7="OK",IF($AU7="Married",SUMPRODUCT(($AZ7&gt;=INDEX('Methodology &amp; Sources'!$B$203:$J$206,0,7))*INDEX('Methodology &amp; Sources'!$B$203:$J$206,0,7+2)),SUMPRODUCT(($AZ7&gt;=INDEX('Methodology &amp; Sources'!$B$203:$J$206,0,4))*INDEX('Methodology &amp; Sources'!$B$203:$J$206,0,4+2))),IF($AN7="RI",SUMPRODUCT(($AZ7&gt;=INDEX('Methodology &amp; Sources'!$B$211:$J$214,0,7))*INDEX('Methodology &amp; Sources'!$B$211:$J$214,0,7+2)),IF($AN7="SC",SUMPRODUCT(($AZ7&gt;=INDEX('Methodology &amp; Sources'!$B$219:$J$223,0,1))*INDEX('Methodology &amp; Sources'!$B$219:$J$223,0,1+2)),IF($AN7="VT",IF($AU7="Married",SUMPRODUCT(($AZ7&gt;=INDEX('Methodology &amp; Sources'!$B$228:$J$232,0,1))*INDEX('Methodology &amp; Sources'!$B$228:$J$232,0,1+2)),SUMPRODUCT(($AZ7&gt;=INDEX('Methodology &amp; Sources'!$B$219:$J$223,0,7))*INDEX('Methodology &amp; Sources'!$B$219:$J$223,0,7+2))),IF($AN7="WV",IF($AU7="Married",SUMPRODUCT(($AZ7&gt;=INDEX('Methodology &amp; Sources'!$B$237:$J$241,0,7))*INDEX('Methodology &amp; Sources'!$B$237:$J$241,0,7+2)),SUMPRODUCT(($AZ7&gt;=INDEX('Methodology &amp; Sources'!$B$228:$J$232,0,7))*INDEX('Methodology &amp; Sources'!$B$228:$J$232,0,7+2))),IF($AN7="IN",(0.0295+Inputs!$C$76),"")))))))))))))</f>
      </c>
      <c r="CC7" s="24">
        <f>IF($B7="","",IF($AN7="AR",SUMPRODUCT(($AZ7&gt;=INDEX('Methodology &amp; Sources'!$B$82:$J$86,0,7))*INDEX('Methodology &amp; Sources'!$B$82:$J$86,0,7+2)),IF($AN7="DE",SUMPRODUCT(($AZ7&gt;=INDEX('Methodology &amp; Sources'!$B$91:$J$98,0,1))*INDEX('Methodology &amp; Sources'!$B$91:$J$98,0,1+2)),IF($AN7="VA",SUMPRODUCT(($AZ7&gt;=INDEX('Methodology &amp; Sources'!$B$219:$J$223,0,4))*INDEX('Methodology &amp; Sources'!$B$219:$J$223,0,4+2)),IF($AN7="WI",SUMPRODUCT(($AZ7&gt;=INDEX('Methodology &amp; Sources'!$B$228:$J$232,0,4))*INDEX('Methodology &amp; Sources'!$B$228:$J$232,0,4+2)),IF($AN7="AZ",Inputs!$C$82,IF($AN7="CO",IF($AY7&gt;IF($AU7="Married",10000,5000),0.044,0),IF($AN7="IA",IF($AY7&gt;IF($AU7="Head of household",19500,IF($AU7="Married",26000,13000)),0.038,0),IF($AN7="ID",IF($AY7&gt;IF($AU7="Married",32000,16094),0.053,0),IF($AN7="IL",IF($AY7&gt;(2925*$AS7+1000*$AT7),0.0495,0),IF($AN7="KY",IF($AI7&gt;3360,0.035,0),IF($AN7="LA",0.0309,IF($AN7="MA",IF(MAX(0,$AY7-MIN(($BD6+$Q7+$R7+$S7),2000)-IF($AS7=0,0,IF($AS7=1,4400,1000*$AS7+3400)))&gt;=1107750,0.09,0.05),IF($AN7="MS",IF($AI7-IF($AU7="Head of household",3400,IF($AU7="Married",4600,2300))-Inputs!$C$85&gt;10000,0.04,0),IF($AN7="PA",0.0307,"")))))))))))))))</f>
      </c>
      <c r="CD7" s="21">
        <f>IF(YEAR(IF(Inputs!$C$7="Weekly",Inputs!$C$90+7*(($BE6+1)-1),IF(Inputs!$C$7="Biweekly",Inputs!$C$90+14*(($BE6+1)-1),IF(Inputs!$C$7="Semimonthly",DATE(YEAR(Inputs!$C$9),MONTH(Inputs!$C$9)+INT((($BE6+1)-1+'Rest of 2026'!$C$2)/2),MIN(DAY(Inputs!$C$9),DAY(EOMONTH(DATE(YEAR(Inputs!$C$9),MONTH(Inputs!$C$9)+INT((($BE6+1)-1+'Rest of 2026'!$C$2)/2),1),0))))+IF(MOD(($BE6+1)-1+'Rest of 2026'!$C$2,2)=1,15,0),EDATE(Inputs!$C$90,($BE6+1)-1)))))&lt;&gt;Inputs!$C$10,"",IF(Inputs!$C$7="Weekly",Inputs!$C$90+7*(($BE6+1)-1),IF(Inputs!$C$7="Biweekly",Inputs!$C$90+14*(($BE6+1)-1),IF(Inputs!$C$7="Semimonthly",DATE(YEAR(Inputs!$C$9),MONTH(Inputs!$C$9)+INT((($BE6+1)-1+'Rest of 2026'!$C$2)/2),MIN(DAY(Inputs!$C$9),DAY(EOMONTH(DATE(YEAR(Inputs!$C$9),MONTH(Inputs!$C$9)+INT((($BE6+1)-1+'Rest of 2026'!$C$2)/2),1),0))))+IF(MOD(($BE6+1)-1+'Rest of 2026'!$C$2,2)=1,15,0),EDATE(Inputs!$C$90,($BE6+1)-1)))))</f>
      </c>
      <c r="CE7" s="21">
        <f>IF(SUMPRODUCT(MIN(IF((Inputs!$C$58:$C$67&gt;MAX($B$6:$B6))*(Inputs!$C$58:$C$67&gt;=DATE(Inputs!$C$10,1,1))*(Inputs!$C$58:$C$67&lt;=DATE(Inputs!$C$10,12,31)),Inputs!$C$58:$C$67,999999)))=999999,"",SUMPRODUCT(MIN(IF((Inputs!$C$58:$C$67&gt;MAX($B$6:$B6))*(Inputs!$C$58:$C$67&gt;=DATE(Inputs!$C$10,1,1))*(Inputs!$C$58:$C$67&lt;=DATE(Inputs!$C$10,12,31)),Inputs!$C$58:$C$67,999999))))</f>
      </c>
    </row>
    <row r="8">
      <c r="A8" t="n">
        <v>3</v>
      </c>
      <c r="B8" s="21">
        <f>IF(AND($CD8="",$CE8=""),"",IF($CE8="",$CD8,IF($CD8="",$CE8,MIN($CD8,$CE8))))</f>
      </c>
      <c r="C8" s="7">
        <f>IF($B8="","",IF($BF8=0,0,IF(Inputs!$C$4="Annual salary",ROUND($AK8/IF(AND(Inputs!$C$88="Actual paydays",MONTH(Inputs!$C$90)=1),MAX(1,MAX($BE$6:$BE$68)),Inputs!$C$8),2),$AK8)))</f>
      </c>
      <c r="D8" s="7">
        <f>IF($B8="","",SUMIF(Inputs!$C$58:$C$67,$B8,Inputs!$D$58:$D$67))</f>
      </c>
      <c r="E8" s="7">
        <f>IF($B8="","",ROUND(MAX(0,MIN(IF($AL8="Percent",$AM8*($C8+$D8),$AM8),MAX(0,Inputs!$C$34-$AC7))),2))</f>
      </c>
      <c r="F8" s="7">
        <f>IF($B8="","",ROUND(MAX(0,MIN(IF(Inputs!$C$32="Percent",Inputs!$D$32*($C8+$D8),Inputs!$D$32),MAX(0,Inputs!$C$34-$AC7-$E8))),2))</f>
      </c>
      <c r="G8" s="7">
        <f>IF($B8="","",IF($BF8=0,0,ROUND(MAX(0,MIN($BL8,Inputs!$C$37-Inputs!$C$99-$BI7)),2)))</f>
      </c>
      <c r="H8" s="7">
        <f>IF($B8="","",IF(OR($BF8=0,$BQ8=1),0,ROUND(MAX(0,MIN(IF($BS8=1,ROUND(MAX(0,MIN($BJ8,'Methodology &amp; Sources'!$C$13)-$BG7)/MAX(1,MAX($BE$6:$BE$68)-($BE7)),2),ROUND(MIN($BJ8,'Methodology &amp; Sources'!$C$13)/Inputs!$C$8,2)),MIN($BJ8,'Methodology &amp; Sources'!$C$13)-$BG7)),2)))</f>
      </c>
      <c r="I8" s="7">
        <f>IF($B8="","",IF(OR($BF8=0,$BR8=1),0,ROUND(MAX(0,MIN(IF($BT8=1,ROUND(MAX(0,MIN($BK8,IF(Inputs!$C$12="MFJ",'Methodology &amp; Sources'!$C$14,'Methodology &amp; Sources'!$C$15))-$BH7)/MAX(1,MAX($BE$6:$BE$68)-($BE7)),2),ROUND(MIN($BK8,IF(Inputs!$C$12="MFJ",'Methodology &amp; Sources'!$C$14,'Methodology &amp; Sources'!$C$15))/Inputs!$C$8,2)),MIN($BK8,IF(Inputs!$C$12="MFJ",'Methodology &amp; Sources'!$C$14,'Methodology &amp; Sources'!$C$15))-$BH7)),2)))</f>
      </c>
      <c r="J8" s="7">
        <f>IF($B8="","",IF($BF8=0,0,$BM8))</f>
      </c>
      <c r="K8" s="7">
        <f>IF($B8="","",IF($BF8=0,0,$BN8+$BO8))</f>
      </c>
      <c r="L8" s="7">
        <f>IF($B8="","",IF($BF8=0,0,Inputs!$D$46))</f>
      </c>
      <c r="M8" s="7">
        <f>IF($B8="","",$C8+$D8+$L8-$E8-$G8-$H8-$I8-$J8-$K8)</f>
      </c>
      <c r="N8" s="7">
        <f>IF($B8="","",$C8+$D8+$L8-$G8-$H8-$I8-$J8-$K8)</f>
      </c>
      <c r="O8" s="7">
        <f>IF($B8="","",$C8+$D8+$L8-$E8-$H8-$I8-$J8-$K8-IF(OR($AN8="CA",$AN8="NJ"),0,$G8))</f>
      </c>
      <c r="P8" s="7">
        <f>IF($B8="","",IF(Inputs!$C$18,0,ROUND(MAX(0,IF(Inputs!$C$13,SUMPRODUCT(($AH8&gt;INDEX('Methodology &amp; Sources'!$B$29:$J$36,0,IF(Inputs!$C$12="MFJ",1,IF(Inputs!$C$12="HoH",7,4))))*($AH8-INDEX('Methodology &amp; Sources'!$B$29:$J$36,0,IF(Inputs!$C$12="MFJ",1,IF(Inputs!$C$12="HoH",7,4))))*INDEX('Methodology &amp; Sources'!$B$29:$J$36,0,IF(Inputs!$C$12="MFJ",1,IF(Inputs!$C$12="HoH",7,4))+2)),SUMPRODUCT(($AH8&gt;INDEX('Methodology &amp; Sources'!$B$19:$J$26,0,IF(Inputs!$C$12="MFJ",1,IF(Inputs!$C$12="HoH",7,4))))*($AH8-INDEX('Methodology &amp; Sources'!$B$19:$J$26,0,IF(Inputs!$C$12="MFJ",1,IF(Inputs!$C$12="HoH",7,4))))*INDEX('Methodology &amp; Sources'!$B$19:$J$26,0,IF(Inputs!$C$12="MFJ",1,IF(Inputs!$C$12="HoH",7,4))+2)))/Inputs!$C$8-$AO8/Inputs!$C$8)+$AR8+IF(Inputs!$C$89="Aggregate",MAX(0,IF(Inputs!$C$13,SUMPRODUCT((($AH8+$D8)&gt;INDEX('Methodology &amp; Sources'!$B$29:$J$36,0,IF(Inputs!$C$12="MFJ",1,IF(Inputs!$C$12="HoH",7,4))))*(($AH8+$D8)-INDEX('Methodology &amp; Sources'!$B$29:$J$36,0,IF(Inputs!$C$12="MFJ",1,IF(Inputs!$C$12="HoH",7,4))))*INDEX('Methodology &amp; Sources'!$B$29:$J$36,0,IF(Inputs!$C$12="MFJ",1,IF(Inputs!$C$12="HoH",7,4))+2)),SUMPRODUCT((($AH8+$D8)&gt;INDEX('Methodology &amp; Sources'!$B$19:$J$26,0,IF(Inputs!$C$12="MFJ",1,IF(Inputs!$C$12="HoH",7,4))))*(($AH8+$D8)-INDEX('Methodology &amp; Sources'!$B$19:$J$26,0,IF(Inputs!$C$12="MFJ",1,IF(Inputs!$C$12="HoH",7,4))))*INDEX('Methodology &amp; Sources'!$B$19:$J$26,0,IF(Inputs!$C$12="MFJ",1,IF(Inputs!$C$12="HoH",7,4))+2)))-IF(Inputs!$C$13,SUMPRODUCT(($AH8&gt;INDEX('Methodology &amp; Sources'!$B$29:$J$36,0,IF(Inputs!$C$12="MFJ",1,IF(Inputs!$C$12="HoH",7,4))))*($AH8-INDEX('Methodology &amp; Sources'!$B$29:$J$36,0,IF(Inputs!$C$12="MFJ",1,IF(Inputs!$C$12="HoH",7,4))))*INDEX('Methodology &amp; Sources'!$B$29:$J$36,0,IF(Inputs!$C$12="MFJ",1,IF(Inputs!$C$12="HoH",7,4))+2)),SUMPRODUCT(($AH8&gt;INDEX('Methodology &amp; Sources'!$B$19:$J$26,0,IF(Inputs!$C$12="MFJ",1,IF(Inputs!$C$12="HoH",7,4))))*($AH8-INDEX('Methodology &amp; Sources'!$B$19:$J$26,0,IF(Inputs!$C$12="MFJ",1,IF(Inputs!$C$12="HoH",7,4))))*INDEX('Methodology &amp; Sources'!$B$19:$J$26,0,IF(Inputs!$C$12="MFJ",1,IF(Inputs!$C$12="HoH",7,4))+2)))),'Methodology &amp; Sources'!$C$10*$D8),2)))</f>
      </c>
      <c r="Q8" s="7">
        <f>IF($B8="","",ROUND('Methodology &amp; Sources'!$C$4*MIN($N8,MAX(0,'Methodology &amp; Sources'!$C$3-($AX8+$AB7-$AW8))),2))</f>
      </c>
      <c r="R8" s="7">
        <f>IF($B8="","",ROUND('Methodology &amp; Sources'!$C$5*$N8,2))</f>
      </c>
      <c r="S8" s="7">
        <f>IF($B8="","",ROUND('Methodology &amp; Sources'!$C$6*MAX(0,MIN($N8,$AG7+$N8-'Methodology &amp; Sources'!$C$7)),2))</f>
      </c>
      <c r="T8" s="7">
        <f>IF($B8="","",IF(Inputs!$C$26,0,IF($AN8="CA",ROUND(IF($AI8&lt;=IF(($AS8+$AT8)&gt;=2,VLOOKUP($AN8,StateTables!$A$6:$AB$56,10,FALSE),VLOOKUP($AN8,StateTables!$A$6:$AB$56,9,FALSE)),0,MAX(0,SUMPRODUCT(($AJ8&gt;INDEX('Methodology &amp; Sources'!$B$39:$J$48,0,IF($AU8="Married",4,IF($AU8="Head of household",7,1))))*($AJ8-INDEX('Methodology &amp; Sources'!$B$39:$J$48,0,IF($AU8="Married",4,IF($AU8="Head of household",7,1))))*INDEX('Methodology &amp; Sources'!$B$39:$J$48,0,IF($AU8="Married",4,IF($AU8="Head of household",7,1))+2))-VLOOKUP($AN8,StateTables!$A$6:$AB$56,11,FALSE)*$AS8)/Inputs!$C$8)+Inputs!$C$25+VLOOKUP($AN8,StateTables!$A$6:$AB$56,13,FALSE)*$D8,2),IF(VLOOKUP($AN8,StateTables!$A$6:$AB$56,4,FALSE)="None",0,IF(ISNUMBER(SEARCH("MANUAL",VLOOKUP($AN8,StateTables!$A$6:$AB$56,5,FALSE))),Inputs!$C$28,ROUND(MAX(0,$BA8+$BB8)/Inputs!$C$8+Inputs!$C$25+$BC8,2))))))</f>
      </c>
      <c r="U8" s="7">
        <f>IF($B8="","",IF(VLOOKUP($AN8,StateTables!$A$6:$AB$56,24,FALSE)="flatq",IF(OR(MONTH($B8)=1,MONTH($B8)=4,MONTH($B8)=7,MONTH($B8)=10),VLOOKUP($AN8,StateTables!$A$6:$AB$56,25,FALSE),0),IF(VLOOKUP($AN8,StateTables!$A$6:$AB$56,24,FALSE)="dbl",MIN(ROUND(0.005*$N8,2),ROUND(0.6*52/Inputs!$C$8,2)),IF(OR(VLOOKUP($AN8,StateTables!$A$6:$AB$56,15,FALSE)="",VLOOKUP($AN8,StateTables!$A$6:$AB$56,15,FALSE)=0),0,ROUND(VLOOKUP($AN8,StateTables!$A$6:$AB$56,15,FALSE)*IF(OR(VLOOKUP($AN8,StateTables!$A$6:$AB$56,16,FALSE)="",VLOOKUP($AN8,StateTables!$A$6:$AB$56,16,FALSE)=0),$N8,MIN($N8,MAX(0,VLOOKUP($AN8,StateTables!$A$6:$AB$56,16,FALSE)-($AX8+$AB7-$AW8)))),2))))+IF(VLOOKUP($AN8,StateTables!$A$6:$AB$56,27,FALSE)="flatq",IF(OR(MONTH($B8)=1,MONTH($B8)=4,MONTH($B8)=7,MONTH($B8)=10),VLOOKUP($AN8,StateTables!$A$6:$AB$56,28,FALSE),0),IF(VLOOKUP($AN8,StateTables!$A$6:$AB$56,27,FALSE)="dbl",MIN(ROUND(0.005*$N8,2),ROUND(0.6*52/Inputs!$C$8,2)),IF(OR(VLOOKUP($AN8,StateTables!$A$6:$AB$56,18,FALSE)="",VLOOKUP($AN8,StateTables!$A$6:$AB$56,18,FALSE)=0),0,ROUND(VLOOKUP($AN8,StateTables!$A$6:$AB$56,18,FALSE)*IF(OR(VLOOKUP($AN8,StateTables!$A$6:$AB$56,19,FALSE)="",VLOOKUP($AN8,StateTables!$A$6:$AB$56,19,FALSE)=0),$N8,MIN($N8,MAX(0,VLOOKUP($AN8,StateTables!$A$6:$AB$56,19,FALSE)-($AX8+$AB7-$AW8)))),2)))))</f>
      </c>
      <c r="V8" s="7">
        <f>IF($B8="","",IF($AN8="NY",IF(Inputs!$C$78,ROUND(SUMPRODUCT((MAX(0,($O8-$D8)*Inputs!$C$8-(IF($AU8="Married",5500,5000)+1000*$AS8))&gt;INDEX('Methodology &amp; Sources'!$B$184:$J$198,0,4))*(MAX(0,($O8-$D8)*Inputs!$C$8-(IF($AU8="Married",5500,5000)+1000*$AS8))-INDEX('Methodology &amp; Sources'!$B$184:$J$198,0,4))*INDEX('Methodology &amp; Sources'!$B$184:$J$198,0,4+2))/Inputs!$C$8+0.0425*$D8,2),0)+IF(Inputs!$C$79="Resident",ROUND(0.1675*$T8,2),IF(Inputs!$C$79="Nonresident",ROUND(0.005*MAX(0,($O8-$D8)-(IF($AU8="Married",7950,7400)+1000*$AS8)/Inputs!$C$8),2),0)),IF($AN8="PA",IF(Inputs!$C$80="None",Inputs!$C$27+ROUND(Inputs!$C$81*($C8+$D8),2),ROUND(IF(Inputs!$C$80="Resident",IF($B8&lt;DATE(2027,7,1),0.03735,0.03735),IF($B8&lt;DATE(2027,7,1),0.03425,0.03425))*($C8+$D8),2)),IF($BF8=0,ROUND(Inputs!$C$81*($C8+$D8),2),Inputs!$C$27+ROUND(Inputs!$C$81*($C8+$D8),2)))))</f>
      </c>
      <c r="W8" s="7">
        <f>IF($B8="","",IF($BF8=0,0,$BP8))</f>
      </c>
      <c r="X8" s="7">
        <f>IF($B8="","",SUM($E8:$K8)+$P8+$Q8+$R8+$S8+$T8+$U8+$V8+$W8)</f>
      </c>
      <c r="Y8" s="22">
        <f>IF($B8="","",$C8+$D8-$X8)</f>
      </c>
      <c r="Z8" s="7">
        <f>IF($B8="","",$Z7+$C8+$D8)</f>
      </c>
      <c r="AA8" s="7">
        <f>IF($B8="","",$AA7+$Y8)</f>
      </c>
      <c r="AB8" s="7">
        <f>IF($B8="","",$AB7+MIN($N8,MAX(0,'Methodology &amp; Sources'!$C$3-($AX8+$AB7-$AW8))))</f>
      </c>
      <c r="AC8" s="7">
        <f>IF($B8="","",$AC7+$E8+$F8)</f>
      </c>
      <c r="AD8" s="3">
        <f>IF($B8="","",IF(AND($AB7&lt;'Methodology &amp; Sources'!$C$3,$AB8&gt;='Methodology &amp; Sources'!$C$3),"★ Social Security maxed on this check — from the next check your net rises by about $"&amp;TEXT(ROUND('Methodology &amp; Sources'!$C$4*$N8,2),"#,##0.00")&amp;". ","")&amp;IF(AND($AC7&lt;Inputs!$C$34,$AC8&gt;=Inputs!$C$34),"★ 401(k) reaches the $"&amp;TEXT(Inputs!$C$34,"#,##0")&amp;" cap on this check — deferrals stop and net pay rises. ","")&amp;IF(AND($AG7&lt;'Methodology &amp; Sources'!$C$7,$AG8&gt;='Methodology &amp; Sources'!$C$7),"★ Wages pass $200,000 — the 0.9% Additional Medicare Tax starts here. ","")&amp;IF(AND($BJ8&gt;0,$H8&gt;0,$BG7&lt;MIN($BJ8,'Methodology &amp; Sources'!$C$13),$BG7+$H8&gt;=MIN($BJ8,'Methodology &amp; Sources'!$C$13)),"★ Health FSA election is now fully deferred for the year. ",""))</f>
      </c>
      <c r="AE8" s="41" t="n"/>
      <c r="AF8" s="7">
        <f>IF(OR($B8="",$AE8=""),"",$AE8-$Y8)</f>
      </c>
      <c r="AG8" s="7">
        <f>IF($B8="","",$AG7+$N8)</f>
      </c>
      <c r="AH8" s="7">
        <f>IF($B8="","",MAX(0,($M8-$D8)*Inputs!$C$8+$AP8-$AQ8-IF(Inputs!$C$13,0,IF(Inputs!$C$12="MFJ",'Methodology &amp; Sources'!$C$8,'Methodology &amp; Sources'!$C$9))))</f>
      </c>
      <c r="AI8" s="7">
        <f>IF($B8="","",$O8*Inputs!$C$8)</f>
      </c>
      <c r="AJ8" s="7">
        <f>IF($B8="","",MAX(0,$AI8-VLOOKUP($AN8,StateTables!$A$6:$AB$56,12,FALSE)*$AT8-IF(($AS8+$AT8)&gt;=2,VLOOKUP($AN8,StateTables!$A$6:$AB$56,8,FALSE),VLOOKUP($AN8,StateTables!$A$6:$AB$56,7,FALSE))))</f>
      </c>
      <c r="AK8" s="7">
        <f>IF($B8="","",IFERROR(LOOKUP(2,1/((Events!$C$6:$C$17="Salary change")*(Events!$B$6:$B$17&lt;=$B8)*(Events!$B$6:$B$17&lt;&gt;"")),Events!$D$6:$D$17),IF(Inputs!$C$4="Annual salary",Inputs!$C$5,Inputs!$C$6)))</f>
      </c>
      <c r="AL8">
        <f>IF($B8="","",IFERROR(LOOKUP(2,1/((Events!$C$6:$C$17="401(k) change")*(Events!$B$6:$B$17&lt;=$B8)*(Events!$B$6:$B$17&lt;&gt;"")),Events!$D$6:$D$17),Inputs!$C$30))</f>
      </c>
      <c r="AM8" s="7">
        <f>IF($B8="","",IFERROR(LOOKUP(2,1/((Events!$C$6:$C$17="401(k) change")*(Events!$B$6:$B$17&lt;=$B8)*(Events!$B$6:$B$17&lt;&gt;"")),Events!$E$6:$E$17),Inputs!$D$30))</f>
      </c>
      <c r="AN8">
        <f>IF($B8="","",IFERROR(LOOKUP(2,1/((Events!$C$6:$C$17="State move")*(Events!$B$6:$B$17&lt;=$B8)*(Events!$B$6:$B$17&lt;&gt;"")),Events!$D$6:$D$17),Inputs!$C$21))</f>
      </c>
      <c r="AO8" s="7">
        <f>IF($B8="","",IFERROR(LOOKUP(2,1/((Events!$C$6:$C$17="W-4 change")*(Events!$B$6:$B$17&lt;=$B8)*(Events!$B$6:$B$17&lt;&gt;"")),Events!$D$6:$D$17),Inputs!$C$14))</f>
      </c>
      <c r="AP8" s="7">
        <f>IF($B8="","",IFERROR(LOOKUP(2,1/((Events!$C$6:$C$17="W-4 change")*(Events!$B$6:$B$17&lt;=$B8)*(Events!$B$6:$B$17&lt;&gt;"")),Events!$E$6:$E$17),Inputs!$C$15))</f>
      </c>
      <c r="AQ8" s="7">
        <f>IF($B8="","",IFERROR(LOOKUP(2,1/((Events!$C$6:$C$17="W-4 change")*(Events!$B$6:$B$17&lt;=$B8)*(Events!$B$6:$B$17&lt;&gt;"")),Events!$F$6:$F$17),Inputs!$C$16))</f>
      </c>
      <c r="AR8" s="7">
        <f>IF($B8="","",IFERROR(LOOKUP(2,1/((Events!$C$6:$C$17="W-4 change")*(Events!$B$6:$B$17&lt;=$B8)*(Events!$B$6:$B$17&lt;&gt;"")),Events!$G$6:$G$17),Inputs!$C$17))</f>
      </c>
      <c r="AS8" s="6">
        <f>IF($B8="","",IFERROR(LOOKUP(2,1/(((Events!$C$6:$C$17="State move")+(Events!$C$6:$C$17="State cert change"))*(Events!$B$6:$B$17&lt;=$B8)*(Events!$B$6:$B$17&lt;&gt;"")),Events!$F$6:$F$17),Inputs!$C$23))</f>
      </c>
      <c r="AT8" s="6">
        <f>IF($B8="","",IFERROR(LOOKUP(2,1/(((Events!$C$6:$C$17="State move")+(Events!$C$6:$C$17="State cert change"))*(Events!$B$6:$B$17&lt;=$B8)*(Events!$B$6:$B$17&lt;&gt;"")),Events!$G$6:$G$17),Inputs!$C$24))</f>
      </c>
      <c r="AU8">
        <f>IF($B8="","",IFERROR(LOOKUP(2,1/((Events!$C$6:$C$17="State move")*(Events!$B$6:$B$17&lt;=$B8)*(Events!$B$6:$B$17&lt;&gt;"")),Events!$E$6:$E$17),Inputs!$C$22))</f>
      </c>
      <c r="AV8" s="6">
        <f>IF($B8="","",1+COUNTIFS(Events!$C$6:$C$17,"Employer change",Events!$B$6:$B$17,"&lt;="&amp;$B8,Events!$B$6:$B$17,"&lt;&gt;"))</f>
      </c>
      <c r="AW8" s="7">
        <f>IF($B8="","",IF($AV8=1,Inputs!$C$94,IF(IFERROR(MATCH(IFERROR(LOOKUP(2,1/((Events!$C$6:$C$17="Employer change")*(Events!$B$6:$B$17&lt;=$B8)*(Events!$B$6:$B$17&lt;&gt;"")),Events!$B$6:$B$17),""),$B$6:$B$68,1),1)&lt;=1,Inputs!$C$94,INDEX($AB$6:$AB$68,MATCH(IFERROR(LOOKUP(2,1/((Events!$C$6:$C$17="Employer change")*(Events!$B$6:$B$17&lt;=$B8)*(Events!$B$6:$B$17&lt;&gt;"")),Events!$B$6:$B$17),""),$B$6:$B$68,1)-1))))</f>
      </c>
      <c r="AX8" s="7">
        <f>IF($B8="","",IF($AV8=1,Inputs!$C$94,IFERROR(LOOKUP(2,1/((Events!$C$6:$C$17="Employer change")*(Events!$B$6:$B$17&lt;=$B8)*(Events!$B$6:$B$17&lt;&gt;"")),Events!$D$6:$D$17),0)))</f>
      </c>
      <c r="AY8" s="7">
        <f>IF($B8="","",($O8-$D8)*Inputs!$C$8)</f>
      </c>
      <c r="AZ8" s="7">
        <f>IF($B8="","",IF($AN8="AL",MAX(0,$AY8-IF($AU8="Married",IF($AY8&lt;=25999,8500,MAX(5000,8500-175*CEILING(($AY8-25999)/500,1))),IF($AU8="Head of household",IF($AY8&lt;=25999,5200,MAX(2500,5200-135*CEILING(($AY8-25999)/500,1))),IF($AY8&lt;=25999,3000,MAX(2500,3000-25*CEILING(($AY8-25999)/500,1)))))-($P8-'Methodology &amp; Sources'!$C$10*$D8)*Inputs!$C$8-IF(OR($AU8="Married",$AU8="Head of household"),3000,1500)-$AT8*IF($AY8&lt;=50000,1000,IF($AY8&lt;=100000,500,300))),IF($AN8="AR",IF(MAX(0,$AY8-2470)&lt;97701,INT(MAX(0,$AY8-2470)/100)*100+50,MAX(0,$AY8-2470)),IF($AN8="DE",MAX(0,$AI8-3250),IF($AN8="HI",MAX(0,$AI8-1144*$AS8-4350),IF($AN8="KS",MAX(0,$AI8-(9160*IF($AU8="Married",2,1)+2320*$AT8+IF($AU8="Head of household",2320,0))),IF($AN8="MD",MAX(0,$AI8-3400-3200*$AS8),IF($AN8="MN",MAX(0,$AY8-5300*$AS8),IF($AN8="MO",MAX(0,$AI8-IF($AU8="Head of household",24150,IF($AU8="Married",IF(Inputs!$C$83,16100,32200),16100))),IF($AN8="MT",$AY8,IF($AN8="ND",($C8+$L8)*Inputs!$C$8,IF($AN8="NE",MAX(0,$AY8-2440*$AS8),IF($AN8="NJ",MAX(0,$AY8-1000*$AS8),IF($AN8="NY",MAX(0,$AY8-(IF($AU8="Married",7950,7400)+1000*$AS8)),IF($AN8="OH",MAX(0,$AY8-650*$AS8),IF($AN8="OK",MAX(0,$AY8-1000*$AS8),IF($AN8="RI",MAX(0,$AI8-1000*$AS8),IF($AN8="SC",MAX(0,$AI8-5000*$AS8-IF($AS8=0,0,MIN(0.1*$AI8,7500))),IF($AN8="VA",MAX(0,$AI8-IF($AU8="Married",17500,8750)-930*$AS8-800*$AT8),IF($AN8="VT",MAX(0,$AI8-5400*$AS8),IF($AN8="WI",MAX(0,$AI8-MAX(0,IF($AU8="Married",9461-0.2*MAX(0,$AI8-25727),6702-0.12*MAX(0,$AI8-17780)))-400*$AS8),IF($AN8="WV",MAX(0,$AI8-2000*$AS8),$AI8))))))))))))))))))))))</f>
      </c>
      <c r="BA8" s="7">
        <f>IF($B8="","",IF($BW8&lt;&gt;"",$BW8,IF($BX8&lt;&gt;"",$BX8,IF($BY8&lt;&gt;"",$BY8,0))))</f>
      </c>
      <c r="BB8" s="7">
        <f>IF($B8="","",IF($AN8="AR",-29*$AS8,IF($AN8="DE",-110*$AS8,IF($AN8="MD",$AZ8*Inputs!$C$74,IF($AN8="AZ",Inputs!$C$82*($M8-$D8)*Inputs!$C$8,IF($AN8="CO",0.044*MAX(0,$AY8-IF($AU8="Married",10000,5000)),IF($AN8="IA",MAX(0,0.038*MAX(0,$AY8-IF($AU8="Head of household",19500,IF($AU8="Married",26000,13000)))-40*$AS8),IF($AN8="ID",0.053*MAX(0,$AY8-IF($AU8="Married",32000,16094)),IF($AN8="IL",0.0495*MAX(0,$AY8-(2925*$AS8+1000*$AT8)),IF($AN8="IN",(0.0295+Inputs!$C$76)*MAX(0,$AY8-(1000*$AS8+1500*$AT8+3000*Inputs!$C$86)),IF($AN8="KY",0.035*MAX(0,$AI8-3360),IF($AN8="LA",IF(Inputs!$C$84="0",0.0309*$AI8,0.0309*MAX(0,$AI8-IF(Inputs!$C$84="2",25750,12875))),IF($AN8="MA",0.05*MIN(MAX(0,$AY8-MIN(($BD7+$Q8+$R8+$S8),2000)-IF($AS8=0,0,IF($AS8=1,4400,1000*$AS8+3400))),1107750)+0.09*MAX(0,MAX(0,$AY8-MIN(($BD7+$Q8+$R8+$S8),2000)-IF($AS8=0,0,IF($AS8=1,4400,1000*$AS8+3400)))-1107750)-IF($AU8="Head of household",120,0)-110*Inputs!$C$75,IF($AN8="MI",0.0425*MAX(0,$AY8-5900*$AS8),IF($AN8="MS",0.04*MAX(0,$AI8-IF($AU8="Head of household",3400,IF($AU8="Married",4600,2300))-Inputs!$C$85-10000),IF($AN8="OR",IF(OR($AU8="Married",AND($AU8="Single",$AS8&gt;=3)),SUMPRODUCT((MAX(0,$AY8-MIN(($P8-'Methodology &amp; Sources'!$C$10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Sources'!$B$211:$J$214,0,4))*(MAX(0,$AY8-MIN(($P8-'Methodology &amp; Sources'!$C$10*$D8)*Inputs!$C$8,IF(OR($AU8="Married",AND($AU8="Single",$AS8&gt;=3)),IF($AY8&lt;250000,8750,IF($AY8&lt;260000,7000,IF($AY8&lt;270000,5250,IF($AY8&lt;280000,3500,IF($AY8&lt;290000,1750,0))))),IF($AY8&lt;125000,8750,IF($AY8&lt;130000,7000,IF($AY8&lt;135000,5250,IF($AY8&lt;140000,3500,IF($AY8&lt;145000,1750,0)))))))-IF(OR($AU8="Married",AND($AU8="Single",$AS8&gt;=3)),5820,2910))-INDEX('Methodology &amp; Sources'!$B$211:$J$214,0,4))*INDEX('Methodology &amp; Sources'!$B$211:$J$214,0,4+2)),SUMPRODUCT((MAX(0,$AY8-MIN(($P8-'Methodology &amp; Sources'!$C$10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Sources'!$B$211:$J$214,0,1))*(MAX(0,$AY8-MIN(($P8-'Methodology &amp; Sources'!$C$10*$D8)*Inputs!$C$8,IF(OR($AU8="Married",AND($AU8="Single",$AS8&gt;=3)),IF($AY8&lt;250000,8750,IF($AY8&lt;260000,7000,IF($AY8&lt;270000,5250,IF($AY8&lt;280000,3500,IF($AY8&lt;290000,1750,0))))),IF($AY8&lt;125000,8750,IF($AY8&lt;130000,7000,IF($AY8&lt;135000,5250,IF($AY8&lt;140000,3500,IF($AY8&lt;145000,1750,0)))))))-IF(OR($AU8="Married",AND($AU8="Single",$AS8&gt;=3)),5820,2910))-INDEX('Methodology &amp; Sources'!$B$211:$J$214,0,1))*INDEX('Methodology &amp; Sources'!$B$211:$J$214,0,1+2)))+263-263*IF(IF($AU8="Married",$AY8&gt;200000,$AY8&gt;100000),0,$AS8),IF($AN8="PA",0.0307*(($O8+$E8+$G8)*Inputs!$C$8),IF($AN8="NY",IF($AU8="Married",IF($AZ8&gt;=2155350,0,IF($AZ8&gt;=1077550,0.48,IF($AZ8&gt;=373200,1.21,IF($AZ8&gt;=323200,0.21,IF($AZ8&gt;=211550,-0.19,IF($AZ8&gt;=157650,-2.8,IF($AZ8&gt;=107650,-0.8,IF($AZ8&gt;=96800,0.05,IF($AZ8&gt;=80650,-0.1,IF($AZ8&gt;=13900,0.4,IF($AZ8&gt;=11700,-0.3,IF($AZ8&gt;=8500,0.5,0)))))))))))),IF($AZ8&gt;=1077550,0,IF($AZ8&gt;=265400,4.29,IF($AZ8&gt;=215400,2.29,IF($AZ8&gt;=157650,2.29,IF($AZ8&gt;=107650,0.29,IF($AZ8&gt;=96800,0.05,IF($AZ8&gt;=80650,-0.1,IF($AZ8&gt;=13900,0.4,IF($AZ8&gt;=11700,-0.3,IF($AZ8&gt;=8500,0.5,0))))))))))),0))))))))))))))))))</f>
      </c>
      <c r="BC8" s="7">
        <f>IF($B8="","",IF($AN8="AL",0.05*$D8,IF($AN8="AR",0.039*$D8,IF($AN8="ID",0.053*$D8,IF($AN8="IN",(0.0295+Inputs!$C$76)*$D8,IF($AN8="KS",0.05*$D8,IF($AN8="MA",0.09*MIN($D8,MAX(0,MAX(0,$AY8-MIN(($BD7+$Q8+$R8+$S8),2000)-IF($AS8=0,0,IF($AS8=1,4400,1000*$AS8+3400)))+$D8-1107750))+0.05*($D8-MIN($D8,MAX(0,MAX(0,$AY8-MIN(($BD7+$Q8+$R8+$S8),2000)-IF($AS8=0,0,IF($AS8=1,4400,1000*$AS8+3400)))+$D8-1107750))),IF($AN8="MD",(0.065+Inputs!$C$74)*$D8,IF($AN8="MI",0.0425*$D8,IF($AN8="MN",0.0625*$D8,IF($AN8="MO",0.047*$D8,IF($AN8="MT",0.05*$D8,IF($AN8="ND",0.015*$D8,IF($AN8="NE",0.035*$D8,IF($AN8="NJ",IF(Inputs!$C$77="B",SUMPRODUCT(($D8*Inputs!$C$8&gt;INDEX('Methodology &amp; Sources'!$B$155:$J$162,0,4))*($D8*Inputs!$C$8-INDEX('Methodology &amp; Sources'!$B$155:$J$162,0,4))*INDEX('Methodology &amp; Sources'!$B$155:$J$162,0,4+2)),IF(Inputs!$C$77="C",SUMPRODUCT(($D8*Inputs!$C$8&gt;INDEX('Methodology &amp; Sources'!$B$155:$J$162,0,7))*($D8*Inputs!$C$8-INDEX('Methodology &amp; Sources'!$B$155:$J$162,0,7))*INDEX('Methodology &amp; Sources'!$B$155:$J$162,0,7+2)),IF(Inputs!$C$77="D",SUMPRODUCT(($D8*Inputs!$C$8&gt;INDEX('Methodology &amp; Sources'!$B$167:$J$179,0,1))*($D8*Inputs!$C$8-INDEX('Methodology &amp; Sources'!$B$167:$J$179,0,1))*INDEX('Methodology &amp; Sources'!$B$167:$J$179,0,1+2)),IF(Inputs!$C$77="E",SUMPRODUCT(($D8*Inputs!$C$8&gt;INDEX('Methodology &amp; Sources'!$B$167:$J$179,0,4))*($D8*Inputs!$C$8-INDEX('Methodology &amp; Sources'!$B$167:$J$179,0,4))*INDEX('Methodology &amp; Sources'!$B$167:$J$179,0,4+2)),SUMPRODUCT(($D8*Inputs!$C$8&gt;INDEX('Methodology &amp; Sources'!$B$155:$J$162,0,1))*($D8*Inputs!$C$8-INDEX('Methodology &amp; Sources'!$B$155:$J$162,0,1))*INDEX('Methodology &amp; Sources'!$B$155:$J$162,0,1+2))))))/Inputs!$C$8,IF($AN8="NY",0.117*$D8,IF($AN8="OH",0.0275*$D8,IF($AN8="OK",0.045*$D8,IF($AN8="OR",0.08*$D8,IF($AN8="WI",IF($AY8&lt;12760,0.0354,IF($AY8&lt;25520,0.0465,IF($AY8&lt;280950,0.053,0.0765)))*$D8,0))))))))))))))))))))</f>
      </c>
      <c r="BD8" s="7">
        <f>IF($B8="","",$BD7+$Q8+$R8+$S8)</f>
      </c>
      <c r="BE8" s="6">
        <f>IF($B8="",$BE7,$BE7+$BF8)</f>
      </c>
      <c r="BF8" s="6">
        <f>IF($B8="","",IF(AND(IF(YEAR(IF(Inputs!$C$7="Weekly",Inputs!$C$90+7*(($BE7+1)-1),IF(Inputs!$C$7="Biweekly",Inputs!$C$90+14*(($BE7+1)-1),IF(Inputs!$C$7="Semimonthly",DATE(YEAR(Inputs!$C$9),MONTH(Inputs!$C$9)+INT((($BE7+1)-1+'Rest of 2026'!$C$2)/2),MIN(DAY(Inputs!$C$9),DAY(EOMONTH(DATE(YEAR(Inputs!$C$9),MONTH(Inputs!$C$9)+INT((($BE7+1)-1+'Rest of 2026'!$C$2)/2),1),0))))+IF(MOD(($BE7+1)-1+'Rest of 2026'!$C$2,2)=1,15,0),EDATE(Inputs!$C$90,($BE7+1)-1)))))&lt;&gt;Inputs!$C$10,"",IF(Inputs!$C$7="Weekly",Inputs!$C$90+7*(($BE7+1)-1),IF(Inputs!$C$7="Biweekly",Inputs!$C$90+14*(($BE7+1)-1),IF(Inputs!$C$7="Semimonthly",DATE(YEAR(Inputs!$C$9),MONTH(Inputs!$C$9)+INT((($BE7+1)-1+'Rest of 2026'!$C$2)/2),MIN(DAY(Inputs!$C$9),DAY(EOMONTH(DATE(YEAR(Inputs!$C$9),MONTH(Inputs!$C$9)+INT((($BE7+1)-1+'Rest of 2026'!$C$2)/2),1),0))))+IF(MOD(($BE7+1)-1+'Rest of 2026'!$C$2,2)=1,15,0),EDATE(Inputs!$C$90,($BE7+1)-1)))))&lt;&gt;"",$B8=IF(YEAR(IF(Inputs!$C$7="Weekly",Inputs!$C$90+7*(($BE7+1)-1),IF(Inputs!$C$7="Biweekly",Inputs!$C$90+14*(($BE7+1)-1),IF(Inputs!$C$7="Semimonthly",DATE(YEAR(Inputs!$C$9),MONTH(Inputs!$C$9)+INT((($BE7+1)-1+'Rest of 2026'!$C$2)/2),MIN(DAY(Inputs!$C$9),DAY(EOMONTH(DATE(YEAR(Inputs!$C$9),MONTH(Inputs!$C$9)+INT((($BE7+1)-1+'Rest of 2026'!$C$2)/2),1),0))))+IF(MOD(($BE7+1)-1+'Rest of 2026'!$C$2,2)=1,15,0),EDATE(Inputs!$C$90,($BE7+1)-1)))))&lt;&gt;Inputs!$C$10,"",IF(Inputs!$C$7="Weekly",Inputs!$C$90+7*(($BE7+1)-1),IF(Inputs!$C$7="Biweekly",Inputs!$C$90+14*(($BE7+1)-1),IF(Inputs!$C$7="Semimonthly",DATE(YEAR(Inputs!$C$9),MONTH(Inputs!$C$9)+INT((($BE7+1)-1+'Rest of 2026'!$C$2)/2),MIN(DAY(Inputs!$C$9),DAY(EOMONTH(DATE(YEAR(Inputs!$C$9),MONTH(Inputs!$C$9)+INT((($BE7+1)-1+'Rest of 2026'!$C$2)/2),1),0))))+IF(MOD(($BE7+1)-1+'Rest of 2026'!$C$2,2)=1,15,0),EDATE(Inputs!$C$90,($BE7+1)-1)))))),1,0))</f>
      </c>
      <c r="BG8" s="7">
        <f>IF($B8="","",$BG7+$H8)</f>
      </c>
      <c r="BH8" s="7">
        <f>IF($B8="","",$BH7+$I8)</f>
      </c>
      <c r="BI8" s="7">
        <f>IF($B8="","",$BI7+$G8)</f>
      </c>
      <c r="BJ8" s="7">
        <f>IF($B8="","",IFERROR(LOOKUP(2,1/((((Events!$C$6:$C$17="Deduction start"))*(Events!$D$6:$D$17="Health FSA"))*(Events!$B$6:$B$17&lt;=$B8)*(Events!$B$6:$B$17&lt;&gt;"")),Events!$E$6:$E$17),Inputs!$D$38))</f>
      </c>
      <c r="BK8" s="7">
        <f>IF($B8="","",IFERROR(LOOKUP(2,1/((((Events!$C$6:$C$17="Deduction start"))*(Events!$D$6:$D$17="Dependent-care FSA"))*(Events!$B$6:$B$17&lt;=$B8)*(Events!$B$6:$B$17&lt;&gt;"")),Events!$E$6:$E$17),Inputs!$D$39))</f>
      </c>
      <c r="BL8" s="7">
        <f>IF($B8="","",IFERROR(LOOKUP(2,1/((((Events!$C$6:$C$17="Deduction start")+(Events!$C$6:$C$17="Deduction stop"))*(Events!$D$6:$D$17="HSA"))*(Events!$B$6:$B$17&lt;=$B8)*(Events!$B$6:$B$17&lt;&gt;"")),Events!$I$6:$I$17),Inputs!$D$35))</f>
      </c>
      <c r="BM8" s="7">
        <f>IF($B8="","",IFERROR(LOOKUP(2,1/((((Events!$C$6:$C$17="Deduction start")+(Events!$C$6:$C$17="Deduction stop"))*(Events!$D$6:$D$17="Premiums"))*(Events!$B$6:$B$17&lt;=$B8)*(Events!$B$6:$B$17&lt;&gt;"")),Events!$I$6:$I$17),Inputs!$D$40+Inputs!$D$41+Inputs!$D$42))</f>
      </c>
      <c r="BN8" s="7">
        <f>IF($B8="","",IFERROR(LOOKUP(2,1/((((Events!$C$6:$C$17="Deduction start")+(Events!$C$6:$C$17="Deduction stop"))*(Events!$D$6:$D$17="Commuter"))*(Events!$B$6:$B$17&lt;=$B8)*(Events!$B$6:$B$17&lt;&gt;"")),Events!$I$6:$I$17),Inputs!$D$43))</f>
      </c>
      <c r="BO8" s="7">
        <f>IF($B8="","",IFERROR(LOOKUP(2,1/((((Events!$C$6:$C$17="Deduction start")+(Events!$C$6:$C$17="Deduction stop"))*(Events!$D$6:$D$17="Other pre-tax"))*(Events!$B$6:$B$17&lt;=$B8)*(Events!$B$6:$B$17&lt;&gt;"")),Events!$I$6:$I$17),Inputs!$D$44))</f>
      </c>
      <c r="BP8" s="7">
        <f>IF($B8="","",IFERROR(LOOKUP(2,1/((((Events!$C$6:$C$17="Deduction start")+(Events!$C$6:$C$17="Deduction stop"))*(Events!$D$6:$D$17="Other post-tax"))*(Events!$B$6:$B$17&lt;=$B8)*(Events!$B$6:$B$17&lt;&gt;"")),Events!$I$6:$I$17),Inputs!$D$45))</f>
      </c>
      <c r="BQ8" s="6">
        <f>IF($B8="","",IFERROR(LOOKUP(2,1/((((Events!$C$6:$C$17="Deduction start")+(Events!$C$6:$C$17="Deduction stop"))*(Events!$D$6:$D$17="Health FSA"))*(Events!$B$6:$B$17&lt;=$B8)*(Events!$B$6:$B$17&lt;&gt;"")),Events!$J$6:$J$17),0))</f>
      </c>
      <c r="BR8" s="6">
        <f>IF($B8="","",IFERROR(LOOKUP(2,1/((((Events!$C$6:$C$17="Deduction start")+(Events!$C$6:$C$17="Deduction stop"))*(Events!$D$6:$D$17="Dependent-care FSA"))*(Events!$B$6:$B$17&lt;=$B8)*(Events!$B$6:$B$17&lt;&gt;"")),Events!$J$6:$J$17),0))</f>
      </c>
      <c r="BS8" s="6">
        <f>IF($B8="","",IF(SUMPRODUCT((Events!$C$6:$C$17="Deduction start")*(Events!$B$6:$B$17&lt;=$B8)*(Events!$B$6:$B$17&lt;&gt;"")*(Events!$D$6:$D$17="Health FSA"))&gt;0,1,0))</f>
      </c>
      <c r="BT8" s="6">
        <f>IF($B8="","",IF(SUMPRODUCT((Events!$C$6:$C$17="Deduction start")*(Events!$B$6:$B$17&lt;=$B8)*(Events!$B$6:$B$17&lt;&gt;"")*(Events!$D$6:$D$17="Dependent-care FSA"))&gt;0,1,0))</f>
      </c>
      <c r="BU8" s="24">
        <f>IF($B8="","",IF(Inputs!$C$13,SUMPRODUCT(($AH8&gt;=INDEX('Methodology &amp; Sources'!$B$29:$J$36,0,IF(Inputs!$C$12="MFJ",1,IF(Inputs!$C$12="HoH",7,4))))*INDEX('Methodology &amp; Sources'!$B$29:$J$36,0,IF(Inputs!$C$12="MFJ",1,IF(Inputs!$C$12="HoH",7,4))+2)),SUMPRODUCT(($AH8&gt;=INDEX('Methodology &amp; Sources'!$B$19:$J$26,0,IF(Inputs!$C$12="MFJ",1,IF(Inputs!$C$12="HoH",7,4))))*INDEX('Methodology &amp; Sources'!$B$19:$J$26,0,IF(Inputs!$C$12="MFJ",1,IF(Inputs!$C$12="HoH",7,4))+2))))</f>
      </c>
      <c r="BV8" s="24">
        <f>IF($B8="","",IF($BZ8&lt;&gt;"",$BZ8,IF($CA8&lt;&gt;"",$CA8,IF($CB8&lt;&gt;"",$CB8,IF($CC8&lt;&gt;"",$CC8,0)))))</f>
      </c>
      <c r="BW8" s="7">
        <f>IF($B8="","",IF($AN8="MD",IF(OR($AU8="Married",$AU8="Head of household"),SUMPRODUCT(($AZ8&gt;INDEX('Methodology &amp; Sources'!$B$114:$J$120,0,1))*($AZ8-INDEX('Methodology &amp; Sources'!$B$114:$J$120,0,1))*INDEX('Methodology &amp; Sources'!$B$114:$J$120,0,1+2)),SUMPRODUCT(($AZ8&gt;INDEX('Methodology &amp; Sources'!$B$103:$J$109,0,7))*($AZ8-INDEX('Methodology &amp; Sources'!$B$103:$J$109,0,7))*INDEX('Methodology &amp; Sources'!$B$103:$J$109,0,7+2))),IF($AN8="MO",SUMPRODUCT(($AZ8&gt;INDEX('Methodology &amp; Sources'!$B$125:$J$132,0,1))*($AZ8-INDEX('Methodology &amp; Sources'!$B$125:$J$132,0,1))*INDEX('Methodology &amp; Sources'!$B$125:$J$132,0,1+2)),IF($AN8="MT",IF($AU8="Head of household",SUMPRODUCT(($AZ8&gt;INDEX('Methodology &amp; Sources'!$B$137:$J$139,0,1))*($AZ8-INDEX('Methodology &amp; Sources'!$B$137:$J$139,0,1))*INDEX('Methodology &amp; Sources'!$B$137:$J$139,0,1+2)),IF($AU8="Married",SUMPRODUCT(($AZ8&gt;INDEX('Methodology &amp; Sources'!$B$125:$J$132,0,7))*($AZ8-INDEX('Methodology &amp; Sources'!$B$125:$J$132,0,7))*INDEX('Methodology &amp; Sources'!$B$125:$J$132,0,7+2)),SUMPRODUCT(($AZ8&gt;INDEX('Methodology &amp; Sources'!$B$125:$J$132,0,4))*($AZ8-INDEX('Methodology &amp; Sources'!$B$125:$J$132,0,4))*INDEX('Methodology &amp; Sources'!$B$125:$J$132,0,4+2)))),IF($AN8="ND",IF($AU8="Head of household",SUMPRODUCT(($AZ8&gt;INDEX('Methodology &amp; Sources'!$B$144:$J$150,0,1))*($AZ8-INDEX('Methodology &amp; Sources'!$B$144:$J$150,0,1))*INDEX('Methodology &amp; Sources'!$B$144:$J$150,0,1+2)),IF($AU8="Married",SUMPRODUCT(($AZ8&gt;INDEX('Methodology &amp; Sources'!$B$137:$J$139,0,7))*($AZ8-INDEX('Methodology &amp; Sources'!$B$137:$J$139,0,7))*INDEX('Methodology &amp; Sources'!$B$137:$J$139,0,7+2)),SUMPRODUCT(($AZ8&gt;INDEX('Methodology &amp; Sources'!$B$137:$J$139,0,4))*($AZ8-INDEX('Methodology &amp; Sources'!$B$137:$J$139,0,4))*INDEX('Methodology &amp; Sources'!$B$137:$J$139,0,4+2)))),IF($AN8="NJ",IF(Inputs!$C$77="B",SUMPRODUCT(($AZ8&gt;INDEX('Methodology &amp; Sources'!$B$155:$J$162,0,4))*($AZ8-INDEX('Methodology &amp; Sources'!$B$155:$J$162,0,4))*INDEX('Methodology &amp; Sources'!$B$155:$J$162,0,4+2)),IF(Inputs!$C$77="C",SUMPRODUCT(($AZ8&gt;INDEX('Methodology &amp; Sources'!$B$155:$J$162,0,7))*($AZ8-INDEX('Methodology &amp; Sources'!$B$155:$J$162,0,7))*INDEX('Methodology &amp; Sources'!$B$155:$J$162,0,7+2)),IF(Inputs!$C$77="D",SUMPRODUCT(($AZ8&gt;INDEX('Methodology &amp; Sources'!$B$167:$J$179,0,1))*($AZ8-INDEX('Methodology &amp; Sources'!$B$167:$J$179,0,1))*INDEX('Methodology &amp; Sources'!$B$167:$J$179,0,1+2)),IF(Inputs!$C$77="E",SUMPRODUCT(($AZ8&gt;INDEX('Methodology &amp; Sources'!$B$167:$J$179,0,4))*($AZ8-INDEX('Methodology &amp; Sources'!$B$167:$J$179,0,4))*INDEX('Methodology &amp; Sources'!$B$167:$J$179,0,4+2)),SUMPRODUCT(($AZ8&gt;INDEX('Methodology &amp; Sources'!$B$155:$J$162,0,1))*($AZ8-INDEX('Methodology &amp; Sources'!$B$155:$J$162,0,1))*INDEX('Methodology &amp; Sources'!$B$155:$J$162,0,1+2)))))),IF($AN8="NY",IF($AU8="Married",IF($AZ8&gt;=2155350,$AZ8*IF($AZ8&gt;25000000,0.117,IF($AZ8&gt;5000000,0.111,0.1045)),SUMPRODUCT(($AZ8&gt;INDEX('Methodology &amp; Sources'!$B$184:$J$198,0,1))*($AZ8-INDEX('Methodology &amp; Sources'!$B$184:$J$198,0,1))*INDEX('Methodology &amp; Sources'!$B$184:$J$198,0,1+2))),IF($AZ8&gt;=1077550,$AZ8*IF($AZ8&gt;25000000,0.117,IF($AZ8&gt;5000000,0.111,0.1045)),SUMPRODUCT(($AZ8&gt;INDEX('Methodology &amp; Sources'!$B$167:$J$179,0,7))*($AZ8-INDEX('Methodology &amp; Sources'!$B$167:$J$179,0,7))*INDEX('Methodology &amp; Sources'!$B$167:$J$179,0,7+2)))),"")))))))</f>
      </c>
      <c r="BX8" s="7">
        <f>IF($B8="","",IF($AN8="AL",IF(OR($AU8="Married",$AU8="Head of household"),SUMPRODUCT(($AZ8&gt;INDEX('Methodology &amp; Sources'!$B$82:$J$86,0,4))*($AZ8-INDEX('Methodology &amp; Sources'!$B$82:$J$86,0,4))*INDEX('Methodology &amp; Sources'!$B$82:$J$86,0,4+2)),SUMPRODUCT(($AZ8&gt;INDEX('Methodology &amp; Sources'!$B$82:$J$86,0,1))*($AZ8-INDEX('Methodology &amp; Sources'!$B$82:$J$86,0,1))*INDEX('Methodology &amp; Sources'!$B$82:$J$86,0,1+2))),IF($AN8="KS",IF($AU8="Married",SUMPRODUCT(($AZ8&gt;INDEX('Methodology &amp; Sources'!$B$103:$J$109,0,4))*($AZ8-INDEX('Methodology &amp; Sources'!$B$103:$J$109,0,4))*INDEX('Methodology &amp; Sources'!$B$103:$J$109,0,4+2)),SUMPRODUCT(($AZ8&gt;INDEX('Methodology &amp; Sources'!$B$103:$J$109,0,1))*($AZ8-INDEX('Methodology &amp; Sources'!$B$103:$J$109,0,1))*INDEX('Methodology &amp; Sources'!$B$103:$J$109,0,1+2))),IF($AN8="MN",IF($AU8="Married",SUMPRODUCT(($AZ8&gt;INDEX('Methodology &amp; Sources'!$B$114:$J$120,0,7))*($AZ8-INDEX('Methodology &amp; Sources'!$B$114:$J$120,0,7))*INDEX('Methodology &amp; Sources'!$B$114:$J$120,0,7+2)),SUMPRODUCT(($AZ8&gt;INDEX('Methodology &amp; Sources'!$B$114:$J$120,0,4))*($AZ8-INDEX('Methodology &amp; Sources'!$B$114:$J$120,0,4))*INDEX('Methodology &amp; Sources'!$B$114:$J$120,0,4+2))),IF($AN8="NE",MAX(IF($AU8="Married",SUMPRODUCT(($AZ8&gt;INDEX('Methodology &amp; Sources'!$B$144:$J$150,0,7))*($AZ8-INDEX('Methodology &amp; Sources'!$B$144:$J$150,0,7))*INDEX('Methodology &amp; Sources'!$B$144:$J$150,0,7+2)),SUMPRODUCT(($AZ8&gt;INDEX('Methodology &amp; Sources'!$B$144:$J$150,0,4))*($AZ8-INDEX('Methodology &amp; Sources'!$B$144:$J$150,0,4))*INDEX('Methodology &amp; Sources'!$B$144:$J$150,0,4+2))),0.015*$AZ8),IF($AN8="OH",IF($B8&gt;=DATE(2027,8,1),SUMPRODUCT(($AZ8&gt;INDEX('Methodology &amp; Sources'!$B$203:$J$206,0,1))*($AZ8-INDEX('Methodology &amp; Sources'!$B$203:$J$206,0,1))*INDEX('Methodology &amp; Sources'!$B$203:$J$206,0,1+2)),SUMPRODUCT(($AZ8&gt;INDEX('Methodology &amp; Sources'!$B$184:$J$198,0,7))*($AZ8-INDEX('Methodology &amp; Sources'!$B$184:$J$198,0,7))*INDEX('Methodology &amp; Sources'!$B$184:$J$198,0,7+2))),IF($AN8="OK",IF($AU8="Married",SUMPRODUCT(($AZ8&gt;INDEX('Methodology &amp; Sources'!$B$203:$J$206,0,7))*($AZ8-INDEX('Methodology &amp; Sources'!$B$203:$J$206,0,7))*INDEX('Methodology &amp; Sources'!$B$203:$J$206,0,7+2)),SUMPRODUCT(($AZ8&gt;INDEX('Methodology &amp; Sources'!$B$203:$J$206,0,4))*($AZ8-INDEX('Methodology &amp; Sources'!$B$203:$J$206,0,4))*INDEX('Methodology &amp; Sources'!$B$203:$J$206,0,4+2))),IF($AN8="RI",SUMPRODUCT(($AZ8&gt;INDEX('Methodology &amp; Sources'!$B$211:$J$214,0,7))*($AZ8-INDEX('Methodology &amp; Sources'!$B$211:$J$214,0,7))*INDEX('Methodology &amp; Sources'!$B$211:$J$214,0,7+2)),IF($AN8="VT",IF($AU8="Married",SUMPRODUCT(($AZ8&gt;INDEX('Methodology &amp; Sources'!$B$228:$J$232,0,1))*($AZ8-INDEX('Methodology &amp; Sources'!$B$228:$J$232,0,1))*INDEX('Methodology &amp; Sources'!$B$228:$J$232,0,1+2)),SUMPRODUCT(($AZ8&gt;INDEX('Methodology &amp; Sources'!$B$219:$J$223,0,7))*($AZ8-INDEX('Methodology &amp; Sources'!$B$219:$J$223,0,7))*INDEX('Methodology &amp; Sources'!$B$219:$J$223,0,7+2))),IF($AN8="WV",IF($AU8="Married",SUMPRODUCT(($AZ8&gt;INDEX('Methodology &amp; Sources'!$B$237:$J$241,0,7))*($AZ8-INDEX('Methodology &amp; Sources'!$B$237:$J$241,0,7))*INDEX('Methodology &amp; Sources'!$B$237:$J$241,0,7+2)),SUMPRODUCT(($AZ8&gt;INDEX('Methodology &amp; Sources'!$B$228:$J$232,0,7))*($AZ8-INDEX('Methodology &amp; Sources'!$B$228:$J$232,0,7))*INDEX('Methodology &amp; Sources'!$B$228:$J$232,0,7+2))),""))))))))))</f>
      </c>
      <c r="BY8" s="7">
        <f>IF($B8="","",IF($AN8="AR",SUMPRODUCT(($AZ8&gt;INDEX('Methodology &amp; Sources'!$B$82:$J$86,0,7))*($AZ8-INDEX('Methodology &amp; Sources'!$B$82:$J$86,0,7))*INDEX('Methodology &amp; Sources'!$B$82:$J$86,0,7+2)),IF($AN8="DE",SUMPRODUCT(($AZ8&gt;INDEX('Methodology &amp; Sources'!$B$91:$J$98,0,1))*($AZ8-INDEX('Methodology &amp; Sources'!$B$91:$J$98,0,1))*INDEX('Methodology &amp; Sources'!$B$91:$J$98,0,1+2)),IF($AN8="HI",IF($AU8="Married",SUMPRODUCT(($AZ8&gt;INDEX('Methodology &amp; Sources'!$B$91:$J$98,0,7))*($AZ8-INDEX('Methodology &amp; Sources'!$B$91:$J$98,0,7))*INDEX('Methodology &amp; Sources'!$B$91:$J$98,0,7+2)),SUMPRODUCT(($AZ8&gt;INDEX('Methodology &amp; Sources'!$B$91:$J$98,0,4))*($AZ8-INDEX('Methodology &amp; Sources'!$B$91:$J$98,0,4))*INDEX('Methodology &amp; Sources'!$B$91:$J$98,0,4+2))),IF($AN8="SC",SUMPRODUCT(($AZ8&gt;INDEX('Methodology &amp; Sources'!$B$219:$J$223,0,1))*($AZ8-INDEX('Methodology &amp; Sources'!$B$219:$J$223,0,1))*INDEX('Methodology &amp; Sources'!$B$219:$J$223,0,1+2)),IF($AN8="VA",SUMPRODUCT(($AZ8&gt;INDEX('Methodology &amp; Sources'!$B$219:$J$223,0,4))*($AZ8-INDEX('Methodology &amp; Sources'!$B$219:$J$223,0,4))*INDEX('Methodology &amp; Sources'!$B$219:$J$223,0,4+2)),IF($AN8="WI",SUMPRODUCT(($AZ8&gt;INDEX('Methodology &amp; Sources'!$B$228:$J$232,0,4))*($AZ8-INDEX('Methodology &amp; Sources'!$B$228:$J$232,0,4))*INDEX('Methodology &amp; Sources'!$B$228:$J$232,0,4+2)),"")))))))</f>
      </c>
      <c r="BZ8" s="24">
        <f>IF($B8="","",IF($AN8="NJ",IF(Inputs!$C$77="B",SUMPRODUCT(($AZ8&gt;=INDEX('Methodology &amp; Sources'!$B$155:$J$162,0,4))*INDEX('Methodology &amp; Sources'!$B$155:$J$162,0,4+2)),IF(Inputs!$C$77="C",SUMPRODUCT(($AZ8&gt;=INDEX('Methodology &amp; Sources'!$B$155:$J$162,0,7))*INDEX('Methodology &amp; Sources'!$B$155:$J$162,0,7+2)),IF(Inputs!$C$77="D",SUMPRODUCT(($AZ8&gt;=INDEX('Methodology &amp; Sources'!$B$167:$J$179,0,1))*INDEX('Methodology &amp; Sources'!$B$167:$J$179,0,1+2)),IF(Inputs!$C$77="E",SUMPRODUCT(($AZ8&gt;=INDEX('Methodology &amp; Sources'!$B$167:$J$179,0,4))*INDEX('Methodology &amp; Sources'!$B$167:$J$179,0,4+2)),SUMPRODUCT(($AZ8&gt;=INDEX('Methodology &amp; Sources'!$B$155:$J$162,0,1))*INDEX('Methodology &amp; Sources'!$B$155:$J$162,0,1+2)))))),IF($AN8="OR",IF(OR($AU8="Married",AND($AU8="Single",$AS8&gt;=3)),SUMPRODUCT((MAX(0,$AY8-MIN(($P8-'Methodology &amp; Sources'!$C$10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Sources'!$B$211:$J$214,0,4))*INDEX('Methodology &amp; Sources'!$B$211:$J$214,0,4+2)),SUMPRODUCT((MAX(0,$AY8-MIN(($P8-'Methodology &amp; Sources'!$C$10*$D8)*Inputs!$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Sources'!$B$211:$J$214,0,1))*INDEX('Methodology &amp; Sources'!$B$211:$J$214,0,1+2)))*IF(($P8-'Methodology &amp; Sources'!$C$10*$D8)*Inputs!$C$8&gt;=IF(OR($AU8="Married",AND($AU8="Single",$AS8&gt;=3)),IF($AY8&lt;250000,8750,IF($AY8&lt;260000,7000,IF($AY8&lt;270000,5250,IF($AY8&lt;280000,3500,IF($AY8&lt;290000,1750,0))))),IF($AY8&lt;125000,8750,IF($AY8&lt;130000,7000,IF($AY8&lt;135000,5250,IF($AY8&lt;140000,3500,IF($AY8&lt;145000,1750,0)))))),1,1-IF(Inputs!$C$13,SUMPRODUCT(($AH8&gt;=INDEX('Methodology &amp; Sources'!$B$29:$J$36,0,IF(Inputs!$C$12="MFJ",1,IF(Inputs!$C$12="HoH",7,4))))*INDEX('Methodology &amp; Sources'!$B$29:$J$36,0,IF(Inputs!$C$12="MFJ",1,IF(Inputs!$C$12="HoH",7,4))+2)),SUMPRODUCT(($AH8&gt;=INDEX('Methodology &amp; Sources'!$B$19:$J$26,0,IF(Inputs!$C$12="MFJ",1,IF(Inputs!$C$12="HoH",7,4))))*INDEX('Methodology &amp; Sources'!$B$19:$J$26,0,IF(Inputs!$C$12="MFJ",1,IF(Inputs!$C$12="HoH",7,4))+2)))),IF($AN8="MI",IF($AY8&gt;5900*$AS8,0.0425,0),""))))</f>
      </c>
      <c r="CA8" s="24">
        <f>IF($B8="","",IF($AN8="AL",IF(OR($AU8="Married",$AU8="Head of household"),SUMPRODUCT(($AZ8&gt;=INDEX('Methodology &amp; Sources'!$B$82:$J$86,0,4))*INDEX('Methodology &amp; Sources'!$B$82:$J$86,0,4+2)),SUMPRODUCT(($AZ8&gt;=INDEX('Methodology &amp; Sources'!$B$82:$J$86,0,1))*INDEX('Methodology &amp; Sources'!$B$82:$J$86,0,1+2)))*(1-IF(Inputs!$C$13,SUMPRODUCT(($AH8&gt;=INDEX('Methodology &amp; Sources'!$B$29:$J$36,0,IF(Inputs!$C$12="MFJ",1,IF(Inputs!$C$12="HoH",7,4))))*INDEX('Methodology &amp; Sources'!$B$29:$J$36,0,IF(Inputs!$C$12="MFJ",1,IF(Inputs!$C$12="HoH",7,4))+2)),SUMPRODUCT(($AH8&gt;=INDEX('Methodology &amp; Sources'!$B$19:$J$26,0,IF(Inputs!$C$12="MFJ",1,IF(Inputs!$C$12="HoH",7,4))))*INDEX('Methodology &amp; Sources'!$B$19:$J$26,0,IF(Inputs!$C$12="MFJ",1,IF(Inputs!$C$12="HoH",7,4))+2)))),IF($AN8="KS",IF($AU8="Married",SUMPRODUCT(($AZ8&gt;=INDEX('Methodology &amp; Sources'!$B$103:$J$109,0,4))*INDEX('Methodology &amp; Sources'!$B$103:$J$109,0,4+2)),SUMPRODUCT(($AZ8&gt;=INDEX('Methodology &amp; Sources'!$B$103:$J$109,0,1))*INDEX('Methodology &amp; Sources'!$B$103:$J$109,0,1+2))),IF($AN8="MD",IF(OR($AU8="Married",$AU8="Head of household"),SUMPRODUCT(($AZ8&gt;=INDEX('Methodology &amp; Sources'!$B$114:$J$120,0,1))*INDEX('Methodology &amp; Sources'!$B$114:$J$120,0,1+2)),SUMPRODUCT(($AZ8&gt;=INDEX('Methodology &amp; Sources'!$B$103:$J$109,0,7))*INDEX('Methodology &amp; Sources'!$B$103:$J$109,0,7+2)))+Inputs!$C$74,IF($AN8="MT",IF($AU8="Head of household",SUMPRODUCT(($AZ8&gt;=INDEX('Methodology &amp; Sources'!$B$137:$J$139,0,1))*INDEX('Methodology &amp; Sources'!$B$137:$J$139,0,1+2)),IF($AU8="Married",SUMPRODUCT(($AZ8&gt;=INDEX('Methodology &amp; Sources'!$B$125:$J$132,0,7))*INDEX('Methodology &amp; Sources'!$B$125:$J$132,0,7+2)),SUMPRODUCT(($AZ8&gt;=INDEX('Methodology &amp; Sources'!$B$125:$J$132,0,4))*INDEX('Methodology &amp; Sources'!$B$125:$J$132,0,4+2)))),IF($AN8="ND",IF($AU8="Head of household",SUMPRODUCT(($AZ8&gt;=INDEX('Methodology &amp; Sources'!$B$144:$J$150,0,1))*INDEX('Methodology &amp; Sources'!$B$144:$J$150,0,1+2)),IF($AU8="Married",SUMPRODUCT(($AZ8&gt;=INDEX('Methodology &amp; Sources'!$B$137:$J$139,0,7))*INDEX('Methodology &amp; Sources'!$B$137:$J$139,0,7+2)),SUMPRODUCT(($AZ8&gt;=INDEX('Methodology &amp; Sources'!$B$137:$J$139,0,4))*INDEX('Methodology &amp; Sources'!$B$137:$J$139,0,4+2)))),IF($AN8="NY",IF($AU8="Married",IF($AZ8&gt;=2155350,IF($AZ8&gt;25000000,0.117,IF($AZ8&gt;5000000,0.111,0.1045)),SUMPRODUCT(($AZ8&gt;=INDEX('Methodology &amp; Sources'!$B$184:$J$198,0,1))*INDEX('Methodology &amp; Sources'!$B$184:$J$198,0,1+2))),IF($AZ8&gt;=1077550,IF($AZ8&gt;25000000,0.117,IF($AZ8&gt;5000000,0.111,0.1045)),SUMPRODUCT(($AZ8&gt;=INDEX('Methodology &amp; Sources'!$B$167:$J$179,0,7))*INDEX('Methodology &amp; Sources'!$B$167:$J$179,0,7+2)))),"")))))))</f>
      </c>
      <c r="CB8" s="24">
        <f>IF($B8="","",IF($AN8="CA",SUMPRODUCT(($AJ8&gt;=INDEX('Methodology &amp; Sources'!$B$39:$J$48,0,IF($AU8="Married",4,IF($AU8="Head of household",7,1))))*INDEX('Methodology &amp; Sources'!$B$39:$J$48,0,IF($AU8="Married",4,IF($AU8="Head of household",7,1))+2)),IF($AN8="HI",IF($AU8="Married",SUMPRODUCT(($AZ8&gt;=INDEX('Methodology &amp; Sources'!$B$91:$J$98,0,7))*INDEX('Methodology &amp; Sources'!$B$91:$J$98,0,7+2)),SUMPRODUCT(($AZ8&gt;=INDEX('Methodology &amp; Sources'!$B$91:$J$98,0,4))*INDEX('Methodology &amp; Sources'!$B$91:$J$98,0,4+2))),IF($AN8="MN",IF($AU8="Married",SUMPRODUCT(($AZ8&gt;=INDEX('Methodology &amp; Sources'!$B$114:$J$120,0,7))*INDEX('Methodology &amp; Sources'!$B$114:$J$120,0,7+2)),SUMPRODUCT(($AZ8&gt;=INDEX('Methodology &amp; Sources'!$B$114:$J$120,0,4))*INDEX('Methodology &amp; Sources'!$B$114:$J$120,0,4+2))),IF($AN8="MO",SUMPRODUCT(($AZ8&gt;=INDEX('Methodology &amp; Sources'!$B$125:$J$132,0,1))*INDEX('Methodology &amp; Sources'!$B$125:$J$132,0,1+2)),IF($AN8="NE",MAX(IF($AU8="Married",SUMPRODUCT(($AZ8&gt;=INDEX('Methodology &amp; Sources'!$B$144:$J$150,0,7))*INDEX('Methodology &amp; Sources'!$B$144:$J$150,0,7+2)),SUMPRODUCT(($AZ8&gt;=INDEX('Methodology &amp; Sources'!$B$144:$J$150,0,4))*INDEX('Methodology &amp; Sources'!$B$144:$J$150,0,4+2))),0.015),IF($AN8="OH",IF($B8&gt;=DATE(2027,8,1),SUMPRODUCT(($AZ8&gt;=INDEX('Methodology &amp; Sources'!$B$203:$J$206,0,1))*INDEX('Methodology &amp; Sources'!$B$203:$J$206,0,1+2)),SUMPRODUCT(($AZ8&gt;=INDEX('Methodology &amp; Sources'!$B$184:$J$198,0,7))*INDEX('Methodology &amp; Sources'!$B$184:$J$198,0,7+2))),IF($AN8="OK",IF($AU8="Married",SUMPRODUCT(($AZ8&gt;=INDEX('Methodology &amp; Sources'!$B$203:$J$206,0,7))*INDEX('Methodology &amp; Sources'!$B$203:$J$206,0,7+2)),SUMPRODUCT(($AZ8&gt;=INDEX('Methodology &amp; Sources'!$B$203:$J$206,0,4))*INDEX('Methodology &amp; Sources'!$B$203:$J$206,0,4+2))),IF($AN8="RI",SUMPRODUCT(($AZ8&gt;=INDEX('Methodology &amp; Sources'!$B$211:$J$214,0,7))*INDEX('Methodology &amp; Sources'!$B$211:$J$214,0,7+2)),IF($AN8="SC",SUMPRODUCT(($AZ8&gt;=INDEX('Methodology &amp; Sources'!$B$219:$J$223,0,1))*INDEX('Methodology &amp; Sources'!$B$219:$J$223,0,1+2)),IF($AN8="VT",IF($AU8="Married",SUMPRODUCT(($AZ8&gt;=INDEX('Methodology &amp; Sources'!$B$228:$J$232,0,1))*INDEX('Methodology &amp; Sources'!$B$228:$J$232,0,1+2)),SUMPRODUCT(($AZ8&gt;=INDEX('Methodology &amp; Sources'!$B$219:$J$223,0,7))*INDEX('Methodology &amp; Sources'!$B$219:$J$223,0,7+2))),IF($AN8="WV",IF($AU8="Married",SUMPRODUCT(($AZ8&gt;=INDEX('Methodology &amp; Sources'!$B$237:$J$241,0,7))*INDEX('Methodology &amp; Sources'!$B$237:$J$241,0,7+2)),SUMPRODUCT(($AZ8&gt;=INDEX('Methodology &amp; Sources'!$B$228:$J$232,0,7))*INDEX('Methodology &amp; Sources'!$B$228:$J$232,0,7+2))),IF($AN8="IN",(0.0295+Inputs!$C$76),"")))))))))))))</f>
      </c>
      <c r="CC8" s="24">
        <f>IF($B8="","",IF($AN8="AR",SUMPRODUCT(($AZ8&gt;=INDEX('Methodology &amp; Sources'!$B$82:$J$86,0,7))*INDEX('Methodology &amp; Sources'!$B$82:$J$86,0,7+2)),IF($AN8="DE",SUMPRODUCT(($AZ8&gt;=INDEX('Methodology &amp; Sources'!$B$91:$J$98,0,1))*INDEX('Methodology &amp; Sources'!$B$91:$J$98,0,1+2)),IF($AN8="VA",SUMPRODUCT(($AZ8&gt;=INDEX('Methodology &amp; Sources'!$B$219:$J$223,0,4))*INDEX('Methodology &amp; Sources'!$B$219:$J$223,0,4+2)),IF($AN8="WI",SUMPRODUCT(($AZ8&gt;=INDEX('Methodology &amp; Sources'!$B$228:$J$232,0,4))*INDEX('Methodology &amp; Sources'!$B$228:$J$232,0,4+2)),IF($AN8="AZ",Inputs!$C$82,IF($AN8="CO",IF($AY8&gt;IF($AU8="Married",10000,5000),0.044,0),IF($AN8="IA",IF($AY8&gt;IF($AU8="Head of household",19500,IF($AU8="Married",26000,13000)),0.038,0),IF($AN8="ID",IF($AY8&gt;IF($AU8="Married",32000,16094),0.053,0),IF($AN8="IL",IF($AY8&gt;(2925*$AS8+1000*$AT8),0.0495,0),IF($AN8="KY",IF($AI8&gt;3360,0.035,0),IF($AN8="LA",0.0309,IF($AN8="MA",IF(MAX(0,$AY8-MIN(($BD7+$Q8+$R8+$S8),2000)-IF($AS8=0,0,IF($AS8=1,4400,1000*$AS8+3400)))&gt;=1107750,0.09,0.05),IF($AN8="MS",IF($AI8-IF($AU8="Head of household",3400,IF($AU8="Married",4600,2300))-Inputs!$C$85&gt;10000,0.04,0),IF($AN8="PA",0.0307,"")))))))))))))))</f>
      </c>
      <c r="CD8" s="21">
        <f>IF(YEAR(IF(Inputs!$C$7="Weekly",Inputs!$C$90+7*(($BE7+1)-1),IF(Inputs!$C$7="Biweekly",Inputs!$C$90+14*(($BE7+1)-1),IF(Inputs!$C$7="Semimonthly",DATE(YEAR(Inputs!$C$9),MONTH(Inputs!$C$9)+INT((($BE7+1)-1+'Rest of 2026'!$C$2)/2),MIN(DAY(Inputs!$C$9),DAY(EOMONTH(DATE(YEAR(Inputs!$C$9),MONTH(Inputs!$C$9)+INT((($BE7+1)-1+'Rest of 2026'!$C$2)/2),1),0))))+IF(MOD(($BE7+1)-1+'Rest of 2026'!$C$2,2)=1,15,0),EDATE(Inputs!$C$90,($BE7+1)-1)))))&lt;&gt;Inputs!$C$10,"",IF(Inputs!$C$7="Weekly",Inputs!$C$90+7*(($BE7+1)-1),IF(Inputs!$C$7="Biweekly",Inputs!$C$90+14*(($BE7+1)-1),IF(Inputs!$C$7="Semimonthly",DATE(YEAR(Inputs!$C$9),MONTH(Inputs!$C$9)+INT((($BE7+1)-1+'Rest of 2026'!$C$2)/2),MIN(DAY(Inputs!$C$9),DAY(EOMONTH(DATE(YEAR(Inputs!$C$9),MONTH(Inputs!$C$9)+INT((($BE7+1)-1+'Rest of 2026'!$C$2)/2),1),0))))+IF(MOD(($BE7+1)-1+'Rest of 2026'!$C$2,2)=1,15,0),EDATE(Inputs!$C$90,($BE7+1)-1)))))</f>
      </c>
      <c r="CE8" s="21">
        <f>IF(SUMPRODUCT(MIN(IF((Inputs!$C$58:$C$67&gt;MAX($B$6:$B7))*(Inputs!$C$58:$C$67&gt;=DATE(Inputs!$C$10,1,1))*(Inputs!$C$58:$C$67&lt;=DATE(Inputs!$C$10,12,31)),Inputs!$C$58:$C$67,999999)))=999999,"",SUMPRODUCT(MIN(IF((Inputs!$C$58:$C$67&gt;MAX($B$6:$B7))*(Inputs!$C$58:$C$67&gt;=DATE(Inputs!$C$10,1,1))*(Inputs!$C$58:$C$67&lt;=DATE(Inputs!$C$10,12,31)),Inputs!$C$58:$C$67,999999))))</f>
      </c>
    </row>
    <row r="9">
      <c r="A9" t="n">
        <v>4</v>
      </c>
      <c r="B9" s="21">
        <f>IF(AND($CD9="",$CE9=""),"",IF($CE9="",$CD9,IF($CD9="",$CE9,MIN($CD9,$CE9))))</f>
      </c>
      <c r="C9" s="7">
        <f>IF($B9="","",IF($BF9=0,0,IF(Inputs!$C$4="Annual salary",ROUND($AK9/IF(AND(Inputs!$C$88="Actual paydays",MONTH(Inputs!$C$90)=1),MAX(1,MAX($BE$6:$BE$68)),Inputs!$C$8),2),$AK9)))</f>
      </c>
      <c r="D9" s="7">
        <f>IF($B9="","",SUMIF(Inputs!$C$58:$C$67,$B9,Inputs!$D$58:$D$67))</f>
      </c>
      <c r="E9" s="7">
        <f>IF($B9="","",ROUND(MAX(0,MIN(IF($AL9="Percent",$AM9*($C9+$D9),$AM9),MAX(0,Inputs!$C$34-$AC8))),2))</f>
      </c>
      <c r="F9" s="7">
        <f>IF($B9="","",ROUND(MAX(0,MIN(IF(Inputs!$C$32="Percent",Inputs!$D$32*($C9+$D9),Inputs!$D$32),MAX(0,Inputs!$C$34-$AC8-$E9))),2))</f>
      </c>
      <c r="G9" s="7">
        <f>IF($B9="","",IF($BF9=0,0,ROUND(MAX(0,MIN($BL9,Inputs!$C$37-Inputs!$C$99-$BI8)),2)))</f>
      </c>
      <c r="H9" s="7">
        <f>IF($B9="","",IF(OR($BF9=0,$BQ9=1),0,ROUND(MAX(0,MIN(IF($BS9=1,ROUND(MAX(0,MIN($BJ9,'Methodology &amp; Sources'!$C$13)-$BG8)/MAX(1,MAX($BE$6:$BE$68)-($BE8)),2),ROUND(MIN($BJ9,'Methodology &amp; Sources'!$C$13)/Inputs!$C$8,2)),MIN($BJ9,'Methodology &amp; Sources'!$C$13)-$BG8)),2)))</f>
      </c>
      <c r="I9" s="7">
        <f>IF($B9="","",IF(OR($BF9=0,$BR9=1),0,ROUND(MAX(0,MIN(IF($BT9=1,ROUND(MAX(0,MIN($BK9,IF(Inputs!$C$12="MFJ",'Methodology &amp; Sources'!$C$14,'Methodology &amp; Sources'!$C$15))-$BH8)/MAX(1,MAX($BE$6:$BE$68)-($BE8)),2),ROUND(MIN($BK9,IF(Inputs!$C$12="MFJ",'Methodology &amp; Sources'!$C$14,'Methodology &amp; Sources'!$C$15))/Inputs!$C$8,2)),MIN($BK9,IF(Inputs!$C$12="MFJ",'Methodology &amp; Sources'!$C$14,'Methodology &amp; Sources'!$C$15))-$BH8)),2)))</f>
      </c>
      <c r="J9" s="7">
        <f>IF($B9="","",IF($BF9=0,0,$BM9))</f>
      </c>
      <c r="K9" s="7">
        <f>IF($B9="","",IF($BF9=0,0,$BN9+$BO9))</f>
      </c>
      <c r="L9" s="7">
        <f>IF($B9="","",IF($BF9=0,0,Inputs!$D$46))</f>
      </c>
      <c r="M9" s="7">
        <f>IF($B9="","",$C9+$D9+$L9-$E9-$G9-$H9-$I9-$J9-$K9)</f>
      </c>
      <c r="N9" s="7">
        <f>IF($B9="","",$C9+$D9+$L9-$G9-$H9-$I9-$J9-$K9)</f>
      </c>
      <c r="O9" s="7">
        <f>IF($B9="","",$C9+$D9+$L9-$E9-$H9-$I9-$J9-$K9-IF(OR($AN9="CA",$AN9="NJ"),0,$G9))</f>
      </c>
      <c r="P9" s="7">
        <f>IF($B9="","",IF(Inputs!$C$18,0,ROUND(MAX(0,IF(Inputs!$C$13,SUMPRODUCT(($AH9&gt;INDEX('Methodology &amp; Sources'!$B$29:$J$36,0,IF(Inputs!$C$12="MFJ",1,IF(Inputs!$C$12="HoH",7,4))))*($AH9-INDEX('Methodology &amp; Sources'!$B$29:$J$36,0,IF(Inputs!$C$12="MFJ",1,IF(Inputs!$C$12="HoH",7,4))))*INDEX('Methodology &amp; Sources'!$B$29:$J$36,0,IF(Inputs!$C$12="MFJ",1,IF(Inputs!$C$12="HoH",7,4))+2)),SUMPRODUCT(($AH9&gt;INDEX('Methodology &amp; Sources'!$B$19:$J$26,0,IF(Inputs!$C$12="MFJ",1,IF(Inputs!$C$12="HoH",7,4))))*($AH9-INDEX('Methodology &amp; Sources'!$B$19:$J$26,0,IF(Inputs!$C$12="MFJ",1,IF(Inputs!$C$12="HoH",7,4))))*INDEX('Methodology &amp; Sources'!$B$19:$J$26,0,IF(Inputs!$C$12="MFJ",1,IF(Inputs!$C$12="HoH",7,4))+2)))/Inputs!$C$8-$AO9/Inputs!$C$8)+$AR9+IF(Inputs!$C$89="Aggregate",MAX(0,IF(Inputs!$C$13,SUMPRODUCT((($AH9+$D9)&gt;INDEX('Methodology &amp; Sources'!$B$29:$J$36,0,IF(Inputs!$C$12="MFJ",1,IF(Inputs!$C$12="HoH",7,4))))*(($AH9+$D9)-INDEX('Methodology &amp; Sources'!$B$29:$J$36,0,IF(Inputs!$C$12="MFJ",1,IF(Inputs!$C$12="HoH",7,4))))*INDEX('Methodology &amp; Sources'!$B$29:$J$36,0,IF(Inputs!$C$12="MFJ",1,IF(Inputs!$C$12="HoH",7,4))+2)),SUMPRODUCT((($AH9+$D9)&gt;INDEX('Methodology &amp; Sources'!$B$19:$J$26,0,IF(Inputs!$C$12="MFJ",1,IF(Inputs!$C$12="HoH",7,4))))*(($AH9+$D9)-INDEX('Methodology &amp; Sources'!$B$19:$J$26,0,IF(Inputs!$C$12="MFJ",1,IF(Inputs!$C$12="HoH",7,4))))*INDEX('Methodology &amp; Sources'!$B$19:$J$26,0,IF(Inputs!$C$12="MFJ",1,IF(Inputs!$C$12="HoH",7,4))+2)))-IF(Inputs!$C$13,SUMPRODUCT(($AH9&gt;INDEX('Methodology &amp; Sources'!$B$29:$J$36,0,IF(Inputs!$C$12="MFJ",1,IF(Inputs!$C$12="HoH",7,4))))*($AH9-INDEX('Methodology &amp; Sources'!$B$29:$J$36,0,IF(Inputs!$C$12="MFJ",1,IF(Inputs!$C$12="HoH",7,4))))*INDEX('Methodology &amp; Sources'!$B$29:$J$36,0,IF(Inputs!$C$12="MFJ",1,IF(Inputs!$C$12="HoH",7,4))+2)),SUMPRODUCT(($AH9&gt;INDEX('Methodology &amp; Sources'!$B$19:$J$26,0,IF(Inputs!$C$12="MFJ",1,IF(Inputs!$C$12="HoH",7,4))))*($AH9-INDEX('Methodology &amp; Sources'!$B$19:$J$26,0,IF(Inputs!$C$12="MFJ",1,IF(Inputs!$C$12="HoH",7,4))))*INDEX('Methodology &amp; Sources'!$B$19:$J$26,0,IF(Inputs!$C$12="MFJ",1,IF(Inputs!$C$12="HoH",7,4))+2)))),'Methodology &amp; Sources'!$C$10*$D9),2)))</f>
      </c>
      <c r="Q9" s="7">
        <f>IF($B9="","",ROUND('Methodology &amp; Sources'!$C$4*MIN($N9,MAX(0,'Methodology &amp; Sources'!$C$3-($AX9+$AB8-$AW9))),2))</f>
      </c>
      <c r="R9" s="7">
        <f>IF($B9="","",ROUND('Methodology &amp; Sources'!$C$5*$N9,2))</f>
      </c>
      <c r="S9" s="7">
        <f>IF($B9="","",ROUND('Methodology &amp; Sources'!$C$6*MAX(0,MIN($N9,$AG8+$N9-'Methodology &amp; Sources'!$C$7)),2))</f>
      </c>
      <c r="T9" s="7">
        <f>IF($B9="","",IF(Inputs!$C$26,0,IF($AN9="CA",ROUND(IF($AI9&lt;=IF(($AS9+$AT9)&gt;=2,VLOOKUP($AN9,StateTables!$A$6:$AB$56,10,FALSE),VLOOKUP($AN9,StateTables!$A$6:$AB$56,9,FALSE)),0,MAX(0,SUMPRODUCT(($AJ9&gt;INDEX('Methodology &amp; Sources'!$B$39:$J$48,0,IF($AU9="Married",4,IF($AU9="Head of household",7,1))))*($AJ9-INDEX('Methodology &amp; Sources'!$B$39:$J$48,0,IF($AU9="Married",4,IF($AU9="Head of household",7,1))))*INDEX('Methodology &amp; Sources'!$B$39:$J$48,0,IF($AU9="Married",4,IF($AU9="Head of household",7,1))+2))-VLOOKUP($AN9,StateTables!$A$6:$AB$56,11,FALSE)*$AS9)/Inputs!$C$8)+Inputs!$C$25+VLOOKUP($AN9,StateTables!$A$6:$AB$56,13,FALSE)*$D9,2),IF(VLOOKUP($AN9,StateTables!$A$6:$AB$56,4,FALSE)="None",0,IF(ISNUMBER(SEARCH("MANUAL",VLOOKUP($AN9,StateTables!$A$6:$AB$56,5,FALSE))),Inputs!$C$28,ROUND(MAX(0,$BA9+$BB9)/Inputs!$C$8+Inputs!$C$25+$BC9,2))))))</f>
      </c>
      <c r="U9" s="7">
        <f>IF($B9="","",IF(VLOOKUP($AN9,StateTables!$A$6:$AB$56,24,FALSE)="flatq",IF(OR(MONTH($B9)=1,MONTH($B9)=4,MONTH($B9)=7,MONTH($B9)=10),VLOOKUP($AN9,StateTables!$A$6:$AB$56,25,FALSE),0),IF(VLOOKUP($AN9,StateTables!$A$6:$AB$56,24,FALSE)="dbl",MIN(ROUND(0.005*$N9,2),ROUND(0.6*52/Inputs!$C$8,2)),IF(OR(VLOOKUP($AN9,StateTables!$A$6:$AB$56,15,FALSE)="",VLOOKUP($AN9,StateTables!$A$6:$AB$56,15,FALSE)=0),0,ROUND(VLOOKUP($AN9,StateTables!$A$6:$AB$56,15,FALSE)*IF(OR(VLOOKUP($AN9,StateTables!$A$6:$AB$56,16,FALSE)="",VLOOKUP($AN9,StateTables!$A$6:$AB$56,16,FALSE)=0),$N9,MIN($N9,MAX(0,VLOOKUP($AN9,StateTables!$A$6:$AB$56,16,FALSE)-($AX9+$AB8-$AW9)))),2))))+IF(VLOOKUP($AN9,StateTables!$A$6:$AB$56,27,FALSE)="flatq",IF(OR(MONTH($B9)=1,MONTH($B9)=4,MONTH($B9)=7,MONTH($B9)=10),VLOOKUP($AN9,StateTables!$A$6:$AB$56,28,FALSE),0),IF(VLOOKUP($AN9,StateTables!$A$6:$AB$56,27,FALSE)="dbl",MIN(ROUND(0.005*$N9,2),ROUND(0.6*52/Inputs!$C$8,2)),IF(OR(VLOOKUP($AN9,StateTables!$A$6:$AB$56,18,FALSE)="",VLOOKUP($AN9,StateTables!$A$6:$AB$56,18,FALSE)=0),0,ROUND(VLOOKUP($AN9,StateTables!$A$6:$AB$56,18,FALSE)*IF(OR(VLOOKUP($AN9,StateTables!$A$6:$AB$56,19,FALSE)="",VLOOKUP($AN9,StateTables!$A$6:$AB$56,19,FALSE)=0),$N9,MIN($N9,MAX(0,VLOOKUP($AN9,StateTables!$A$6:$AB$56,19,FALSE)-($AX9+$AB8-$AW9)))),2)))))</f>
      </c>
      <c r="V9" s="7">
        <f>IF($B9="","",IF($AN9="NY",IF(Inputs!$C$78,ROUND(SUMPRODUCT((MAX(0,($O9-$D9)*Inputs!$C$8-(IF($AU9="Married",5500,5000)+1000*$AS9))&gt;INDEX('Methodology &amp; Sources'!$B$184:$J$198,0,4))*(MAX(0,($O9-$D9)*Inputs!$C$8-(IF($AU9="Married",5500,5000)+1000*$AS9))-INDEX('Methodology &amp; Sources'!$B$184:$J$198,0,4))*INDEX('Methodology &amp; Sources'!$B$184:$J$198,0,4+2))/Inputs!$C$8+0.0425*$D9,2),0)+IF(Inputs!$C$79="Resident",ROUND(0.1675*$T9,2),IF(Inputs!$C$79="Nonresident",ROUND(0.005*MAX(0,($O9-$D9)-(IF($AU9="Married",7950,7400)+1000*$AS9)/Inputs!$C$8),2),0)),IF($AN9="PA",IF(Inputs!$C$80="None",Inputs!$C$27+ROUND(Inputs!$C$81*($C9+$D9),2),ROUND(IF(Inputs!$C$80="Resident",IF($B9&lt;DATE(2027,7,1),0.03735,0.03735),IF($B9&lt;DATE(2027,7,1),0.03425,0.03425))*($C9+$D9),2)),IF($BF9=0,ROUND(Inputs!$C$81*($C9+$D9),2),Inputs!$C$27+ROUND(Inputs!$C$81*($C9+$D9),2)))))</f>
      </c>
      <c r="W9" s="7">
        <f>IF($B9="","",IF($BF9=0,0,$BP9))</f>
      </c>
      <c r="X9" s="7">
        <f>IF($B9="","",SUM($E9:$K9)+$P9+$Q9+$R9+$S9+$T9+$U9+$V9+$W9)</f>
      </c>
      <c r="Y9" s="22">
        <f>IF($B9="","",$C9+$D9-$X9)</f>
      </c>
      <c r="Z9" s="7">
        <f>IF($B9="","",$Z8+$C9+$D9)</f>
      </c>
      <c r="AA9" s="7">
        <f>IF($B9="","",$AA8+$Y9)</f>
      </c>
      <c r="AB9" s="7">
        <f>IF($B9="","",$AB8+MIN($N9,MAX(0,'Methodology &amp; Sources'!$C$3-($AX9+$AB8-$AW9))))</f>
      </c>
      <c r="AC9" s="7">
        <f>IF($B9="","",$AC8+$E9+$F9)</f>
      </c>
      <c r="AD9" s="3">
        <f>IF($B9="","",IF(AND($AB8&lt;'Methodology &amp; Sources'!$C$3,$AB9&gt;='Methodology &amp; Sources'!$C$3),"★ Social Security maxed on this check — from the next check your net rises by about $"&amp;TEXT(ROUND('Methodology &amp; Sources'!$C$4*$N9,2),"#,##0.00")&amp;". ","")&amp;IF(AND($AC8&lt;Inputs!$C$34,$AC9&gt;=Inputs!$C$34),"★ 401(k) reaches the $"&amp;TEXT(Inputs!$C$34,"#,##0")&amp;" cap on this check — deferrals stop and net pay rises. ","")&amp;IF(AND($AG8&lt;'Methodology &amp; Sources'!$C$7,$AG9&gt;='Methodology &amp; Sources'!$C$7),"★ Wages pass $200,000 — the 0.9% Additional Medicare Tax starts here. ","")&amp;IF(AND($BJ9&gt;0,$H9&gt;0,$BG8&lt;MIN($BJ9,'Methodology &amp; Sources'!$C$13),$BG8+$H9&gt;=MIN($BJ9,'Methodology &amp; Sources'!$C$13)),"★ Health FSA election is now fully deferred for the year. ",""))</f>
      </c>
      <c r="AE9" s="41" t="n"/>
      <c r="AF9" s="7">
        <f>IF(OR($B9="",$AE9=""),"",$AE9-$Y9)</f>
      </c>
      <c r="AG9" s="7">
        <f>IF($B9="","",$AG8+$N9)</f>
      </c>
      <c r="AH9" s="7">
        <f>IF($B9="","",MAX(0,($M9-$D9)*Inputs!$C$8+$AP9-$AQ9-IF(Inputs!$C$13,0,IF(Inputs!$C$12="MFJ",'Methodology &amp; Sources'!$C$8,'Methodology &amp; Sources'!$C$9))))</f>
      </c>
      <c r="AI9" s="7">
        <f>IF($B9="","",$O9*Inputs!$C$8)</f>
      </c>
      <c r="AJ9" s="7">
        <f>IF($B9="","",MAX(0,$AI9-VLOOKUP($AN9,StateTables!$A$6:$AB$56,12,FALSE)*$AT9-IF(($AS9+$AT9)&gt;=2,VLOOKUP($AN9,StateTables!$A$6:$AB$56,8,FALSE),VLOOKUP($AN9,StateTables!$A$6:$AB$56,7,FALSE))))</f>
      </c>
      <c r="AK9" s="7">
        <f>IF($B9="","",IFERROR(LOOKUP(2,1/((Events!$C$6:$C$17="Salary change")*(Events!$B$6:$B$17&lt;=$B9)*(Events!$B$6:$B$17&lt;&gt;"")),Events!$D$6:$D$17),IF(Inputs!$C$4="Annual salary",Inputs!$C$5,Inputs!$C$6)))</f>
      </c>
      <c r="AL9">
        <f>IF($B9="","",IFERROR(LOOKUP(2,1/((Events!$C$6:$C$17="401(k) change")*(Events!$B$6:$B$17&lt;=$B9)*(Events!$B$6:$B$17&lt;&gt;"")),Events!$D$6:$D$17),Inputs!$C$30))</f>
      </c>
      <c r="AM9" s="7">
        <f>IF($B9="","",IFERROR(LOOKUP(2,1/((Events!$C$6:$C$17="401(k) change")*(Events!$B$6:$B$17&lt;=$B9)*(Events!$B$6:$B$17&lt;&gt;"")),Events!$E$6:$E$17),Inputs!$D$30))</f>
      </c>
      <c r="AN9">
        <f>IF($B9="","",IFERROR(LOOKUP(2,1/((Events!$C$6:$C$17="State move")*(Events!$B$6:$B$17&lt;=$B9)*(Events!$B$6:$B$17&lt;&gt;"")),Events!$D$6:$D$17),Inputs!$C$21))</f>
      </c>
      <c r="AO9" s="7">
        <f>IF($B9="","",IFERROR(LOOKUP(2,1/((Events!$C$6:$C$17="W-4 change")*(Events!$B$6:$B$17&lt;=$B9)*(Events!$B$6:$B$17&lt;&gt;"")),Events!$D$6:$D$17),Inputs!$C$14))</f>
      </c>
      <c r="AP9" s="7">
        <f>IF($B9="","",IFERROR(LOOKUP(2,1/((Events!$C$6:$C$17="W-4 change")*(Events!$B$6:$B$17&lt;=$B9)*(Events!$B$6:$B$17&lt;&gt;"")),Events!$E$6:$E$17),Inputs!$C$15))</f>
      </c>
      <c r="AQ9" s="7">
        <f>IF($B9="","",IFERROR(LOOKUP(2,1/((Events!$C$6:$C$17="W-4 change")*(Events!$B$6:$B$17&lt;=$B9)*(Events!$B$6:$B$17&lt;&gt;"")),Events!$F$6:$F$17),Inputs!$C$16))</f>
      </c>
      <c r="AR9" s="7">
        <f>IF($B9="","",IFERROR(LOOKUP(2,1/((Events!$C$6:$C$17="W-4 change")*(Events!$B$6:$B$17&lt;=$B9)*(Events!$B$6:$B$17&lt;&gt;"")),Events!$G$6:$G$17),Inputs!$C$17))</f>
      </c>
      <c r="AS9" s="6">
        <f>IF($B9="","",IFERROR(LOOKUP(2,1/(((Events!$C$6:$C$17="State move")+(Events!$C$6:$C$17="State cert change"))*(Events!$B$6:$B$17&lt;=$B9)*(Events!$B$6:$B$17&lt;&gt;"")),Events!$F$6:$F$17),Inputs!$C$23))</f>
      </c>
      <c r="AT9" s="6">
        <f>IF($B9="","",IFERROR(LOOKUP(2,1/(((Events!$C$6:$C$17="State move")+(Events!$C$6:$C$17="State cert change"))*(Events!$B$6:$B$17&lt;=$B9)*(Events!$B$6:$B$17&lt;&gt;"")),Events!$G$6:$G$17),Inputs!$C$24))</f>
      </c>
      <c r="AU9">
        <f>IF($B9="","",IFERROR(LOOKUP(2,1/((Events!$C$6:$C$17="State move")*(Events!$B$6:$B$17&lt;=$B9)*(Events!$B$6:$B$17&lt;&gt;"")),Events!$E$6:$E$17),Inputs!$C$22))</f>
      </c>
      <c r="AV9" s="6">
        <f>IF($B9="","",1+COUNTIFS(Events!$C$6:$C$17,"Employer change",Events!$B$6:$B$17,"&lt;="&amp;$B9,Events!$B$6:$B$17,"&lt;&gt;"))</f>
      </c>
      <c r="AW9" s="7">
        <f>IF($B9="","",IF($AV9=1,Inputs!$C$94,IF(IFERROR(MATCH(IFERROR(LOOKUP(2,1/((Events!$C$6:$C$17="Employer change")*(Events!$B$6:$B$17&lt;=$B9)*(Events!$B$6:$B$17&lt;&gt;"")),Events!$B$6:$B$17),""),$B$6:$B$68,1),1)&lt;=1,Inputs!$C$94,INDEX($AB$6:$AB$68,MATCH(IFERROR(LOOKUP(2,1/((Events!$C$6:$C$17="Employer change")*(Events!$B$6:$B$17&lt;=$B9)*(Events!$B$6:$B$17&lt;&gt;"")),Events!$B$6:$B$17),""),$B$6:$B$68,1)-1))))</f>
      </c>
      <c r="AX9" s="7">
        <f>IF($B9="","",IF($AV9=1,Inputs!$C$94,IFERROR(LOOKUP(2,1/((Events!$C$6:$C$17="Employer change")*(Events!$B$6:$B$17&lt;=$B9)*(Events!$B$6:$B$17&lt;&gt;"")),Events!$D$6:$D$17),0)))</f>
      </c>
      <c r="AY9" s="7">
        <f>IF($B9="","",($O9-$D9)*Inputs!$C$8)</f>
      </c>
      <c r="AZ9" s="7">
        <f>IF($B9="","",IF($AN9="AL",MAX(0,$AY9-IF($AU9="Married",IF($AY9&lt;=25999,8500,MAX(5000,8500-175*CEILING(($AY9-25999)/500,1))),IF($AU9="Head of household",IF($AY9&lt;=25999,5200,MAX(2500,5200-135*CEILING(($AY9-25999)/500,1))),IF($AY9&lt;=25999,3000,MAX(2500,3000-25*CEILING(($AY9-25999)/500,1)))))-($P9-'Methodology &amp; Sources'!$C$10*$D9)*Inputs!$C$8-IF(OR($AU9="Married",$AU9="Head of household"),3000,1500)-$AT9*IF($AY9&lt;=50000,1000,IF($AY9&lt;=100000,500,300))),IF($AN9="AR",IF(MAX(0,$AY9-2470)&lt;97701,INT(MAX(0,$AY9-2470)/100)*100+50,MAX(0,$AY9-2470)),IF($AN9="DE",MAX(0,$AI9-3250),IF($AN9="HI",MAX(0,$AI9-1144*$AS9-4350),IF($AN9="KS",MAX(0,$AI9-(9160*IF($AU9="Married",2,1)+2320*$AT9+IF($AU9="Head of household",2320,0))),IF($AN9="MD",MAX(0,$AI9-3400-3200*$AS9),IF($AN9="MN",MAX(0,$AY9-5300*$AS9),IF($AN9="MO",MAX(0,$AI9-IF($AU9="Head of household",24150,IF($AU9="Married",IF(Inputs!$C$83,16100,32200),16100))),IF($AN9="MT",$AY9,IF($AN9="ND",($C9+$L9)*Inputs!$C$8,IF($AN9="NE",MAX(0,$AY9-2440*$AS9),IF($AN9="NJ",MAX(0,$AY9-1000*$AS9),IF($AN9="NY",MAX(0,$AY9-(IF($AU9="Married",7950,7400)+1000*$AS9)),IF($AN9="OH",MAX(0,$AY9-650*$AS9),IF($AN9="OK",MAX(0,$AY9-1000*$AS9),IF($AN9="RI",MAX(0,$AI9-1000*$AS9),IF($AN9="SC",MAX(0,$AI9-5000*$AS9-IF($AS9=0,0,MIN(0.1*$AI9,7500))),IF($AN9="VA",MAX(0,$AI9-IF($AU9="Married",17500,8750)-930*$AS9-800*$AT9),IF($AN9="VT",MAX(0,$AI9-5400*$AS9),IF($AN9="WI",MAX(0,$AI9-MAX(0,IF($AU9="Married",9461-0.2*MAX(0,$AI9-25727),6702-0.12*MAX(0,$AI9-17780)))-400*$AS9),IF($AN9="WV",MAX(0,$AI9-2000*$AS9),$AI9))))))))))))))))))))))</f>
      </c>
      <c r="BA9" s="7">
        <f>IF($B9="","",IF($BW9&lt;&gt;"",$BW9,IF($BX9&lt;&gt;"",$BX9,IF($BY9&lt;&gt;"",$BY9,0))))</f>
      </c>
      <c r="BB9" s="7">
        <f>IF($B9="","",IF($AN9="AR",-29*$AS9,IF($AN9="DE",-110*$AS9,IF($AN9="MD",$AZ9*Inputs!$C$74,IF($AN9="AZ",Inputs!$C$82*($M9-$D9)*Inputs!$C$8,IF($AN9="CO",0.044*MAX(0,$AY9-IF($AU9="Married",10000,5000)),IF($AN9="IA",MAX(0,0.038*MAX(0,$AY9-IF($AU9="Head of household",19500,IF($AU9="Married",26000,13000)))-40*$AS9),IF($AN9="ID",0.053*MAX(0,$AY9-IF($AU9="Married",32000,16094)),IF($AN9="IL",0.0495*MAX(0,$AY9-(2925*$AS9+1000*$AT9)),IF($AN9="IN",(0.0295+Inputs!$C$76)*MAX(0,$AY9-(1000*$AS9+1500*$AT9+3000*Inputs!$C$86)),IF($AN9="KY",0.035*MAX(0,$AI9-3360),IF($AN9="LA",IF(Inputs!$C$84="0",0.0309*$AI9,0.0309*MAX(0,$AI9-IF(Inputs!$C$84="2",25750,12875))),IF($AN9="MA",0.05*MIN(MAX(0,$AY9-MIN(($BD8+$Q9+$R9+$S9),2000)-IF($AS9=0,0,IF($AS9=1,4400,1000*$AS9+3400))),1107750)+0.09*MAX(0,MAX(0,$AY9-MIN(($BD8+$Q9+$R9+$S9),2000)-IF($AS9=0,0,IF($AS9=1,4400,1000*$AS9+3400)))-1107750)-IF($AU9="Head of household",120,0)-110*Inputs!$C$75,IF($AN9="MI",0.0425*MAX(0,$AY9-5900*$AS9),IF($AN9="MS",0.04*MAX(0,$AI9-IF($AU9="Head of household",3400,IF($AU9="Married",4600,2300))-Inputs!$C$85-10000),IF($AN9="OR",IF(OR($AU9="Married",AND($AU9="Single",$AS9&gt;=3)),SUMPRODUCT((MAX(0,$AY9-MIN(($P9-'Methodology &amp; Sources'!$C$10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Sources'!$B$211:$J$214,0,4))*(MAX(0,$AY9-MIN(($P9-'Methodology &amp; Sources'!$C$10*$D9)*Inputs!$C$8,IF(OR($AU9="Married",AND($AU9="Single",$AS9&gt;=3)),IF($AY9&lt;250000,8750,IF($AY9&lt;260000,7000,IF($AY9&lt;270000,5250,IF($AY9&lt;280000,3500,IF($AY9&lt;290000,1750,0))))),IF($AY9&lt;125000,8750,IF($AY9&lt;130000,7000,IF($AY9&lt;135000,5250,IF($AY9&lt;140000,3500,IF($AY9&lt;145000,1750,0)))))))-IF(OR($AU9="Married",AND($AU9="Single",$AS9&gt;=3)),5820,2910))-INDEX('Methodology &amp; Sources'!$B$211:$J$214,0,4))*INDEX('Methodology &amp; Sources'!$B$211:$J$214,0,4+2)),SUMPRODUCT((MAX(0,$AY9-MIN(($P9-'Methodology &amp; Sources'!$C$10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Sources'!$B$211:$J$214,0,1))*(MAX(0,$AY9-MIN(($P9-'Methodology &amp; Sources'!$C$10*$D9)*Inputs!$C$8,IF(OR($AU9="Married",AND($AU9="Single",$AS9&gt;=3)),IF($AY9&lt;250000,8750,IF($AY9&lt;260000,7000,IF($AY9&lt;270000,5250,IF($AY9&lt;280000,3500,IF($AY9&lt;290000,1750,0))))),IF($AY9&lt;125000,8750,IF($AY9&lt;130000,7000,IF($AY9&lt;135000,5250,IF($AY9&lt;140000,3500,IF($AY9&lt;145000,1750,0)))))))-IF(OR($AU9="Married",AND($AU9="Single",$AS9&gt;=3)),5820,2910))-INDEX('Methodology &amp; Sources'!$B$211:$J$214,0,1))*INDEX('Methodology &amp; Sources'!$B$211:$J$214,0,1+2)))+263-263*IF(IF($AU9="Married",$AY9&gt;200000,$AY9&gt;100000),0,$AS9),IF($AN9="PA",0.0307*(($O9+$E9+$G9)*Inputs!$C$8),IF($AN9="NY",IF($AU9="Married",IF($AZ9&gt;=2155350,0,IF($AZ9&gt;=1077550,0.48,IF($AZ9&gt;=373200,1.21,IF($AZ9&gt;=323200,0.21,IF($AZ9&gt;=211550,-0.19,IF($AZ9&gt;=157650,-2.8,IF($AZ9&gt;=107650,-0.8,IF($AZ9&gt;=96800,0.05,IF($AZ9&gt;=80650,-0.1,IF($AZ9&gt;=13900,0.4,IF($AZ9&gt;=11700,-0.3,IF($AZ9&gt;=8500,0.5,0)))))))))))),IF($AZ9&gt;=1077550,0,IF($AZ9&gt;=265400,4.29,IF($AZ9&gt;=215400,2.29,IF($AZ9&gt;=157650,2.29,IF($AZ9&gt;=107650,0.29,IF($AZ9&gt;=96800,0.05,IF($AZ9&gt;=80650,-0.1,IF($AZ9&gt;=13900,0.4,IF($AZ9&gt;=11700,-0.3,IF($AZ9&gt;=8500,0.5,0))))))))))),0))))))))))))))))))</f>
      </c>
      <c r="BC9" s="7">
        <f>IF($B9="","",IF($AN9="AL",0.05*$D9,IF($AN9="AR",0.039*$D9,IF($AN9="ID",0.053*$D9,IF($AN9="IN",(0.0295+Inputs!$C$76)*$D9,IF($AN9="KS",0.05*$D9,IF($AN9="MA",0.09*MIN($D9,MAX(0,MAX(0,$AY9-MIN(($BD8+$Q9+$R9+$S9),2000)-IF($AS9=0,0,IF($AS9=1,4400,1000*$AS9+3400)))+$D9-1107750))+0.05*($D9-MIN($D9,MAX(0,MAX(0,$AY9-MIN(($BD8+$Q9+$R9+$S9),2000)-IF($AS9=0,0,IF($AS9=1,4400,1000*$AS9+3400)))+$D9-1107750))),IF($AN9="MD",(0.065+Inputs!$C$74)*$D9,IF($AN9="MI",0.0425*$D9,IF($AN9="MN",0.0625*$D9,IF($AN9="MO",0.047*$D9,IF($AN9="MT",0.05*$D9,IF($AN9="ND",0.015*$D9,IF($AN9="NE",0.035*$D9,IF($AN9="NJ",IF(Inputs!$C$77="B",SUMPRODUCT(($D9*Inputs!$C$8&gt;INDEX('Methodology &amp; Sources'!$B$155:$J$162,0,4))*($D9*Inputs!$C$8-INDEX('Methodology &amp; Sources'!$B$155:$J$162,0,4))*INDEX('Methodology &amp; Sources'!$B$155:$J$162,0,4+2)),IF(Inputs!$C$77="C",SUMPRODUCT(($D9*Inputs!$C$8&gt;INDEX('Methodology &amp; Sources'!$B$155:$J$162,0,7))*($D9*Inputs!$C$8-INDEX('Methodology &amp; Sources'!$B$155:$J$162,0,7))*INDEX('Methodology &amp; Sources'!$B$155:$J$162,0,7+2)),IF(Inputs!$C$77="D",SUMPRODUCT(($D9*Inputs!$C$8&gt;INDEX('Methodology &amp; Sources'!$B$167:$J$179,0,1))*($D9*Inputs!$C$8-INDEX('Methodology &amp; Sources'!$B$167:$J$179,0,1))*INDEX('Methodology &amp; Sources'!$B$167:$J$179,0,1+2)),IF(Inputs!$C$77="E",SUMPRODUCT(($D9*Inputs!$C$8&gt;INDEX('Methodology &amp; Sources'!$B$167:$J$179,0,4))*($D9*Inputs!$C$8-INDEX('Methodology &amp; Sources'!$B$167:$J$179,0,4))*INDEX('Methodology &amp; Sources'!$B$167:$J$179,0,4+2)),SUMPRODUCT(($D9*Inputs!$C$8&gt;INDEX('Methodology &amp; Sources'!$B$155:$J$162,0,1))*($D9*Inputs!$C$8-INDEX('Methodology &amp; Sources'!$B$155:$J$162,0,1))*INDEX('Methodology &amp; Sources'!$B$155:$J$162,0,1+2))))))/Inputs!$C$8,IF($AN9="NY",0.117*$D9,IF($AN9="OH",0.0275*$D9,IF($AN9="OK",0.045*$D9,IF($AN9="OR",0.08*$D9,IF($AN9="WI",IF($AY9&lt;12760,0.0354,IF($AY9&lt;25520,0.0465,IF($AY9&lt;280950,0.053,0.0765)))*$D9,0))))))))))))))))))))</f>
      </c>
      <c r="BD9" s="7">
        <f>IF($B9="","",$BD8+$Q9+$R9+$S9)</f>
      </c>
      <c r="BE9" s="6">
        <f>IF($B9="",$BE8,$BE8+$BF9)</f>
      </c>
      <c r="BF9" s="6">
        <f>IF($B9="","",IF(AND(IF(YEAR(IF(Inputs!$C$7="Weekly",Inputs!$C$90+7*(($BE8+1)-1),IF(Inputs!$C$7="Biweekly",Inputs!$C$90+14*(($BE8+1)-1),IF(Inputs!$C$7="Semimonthly",DATE(YEAR(Inputs!$C$9),MONTH(Inputs!$C$9)+INT((($BE8+1)-1+'Rest of 2026'!$C$2)/2),MIN(DAY(Inputs!$C$9),DAY(EOMONTH(DATE(YEAR(Inputs!$C$9),MONTH(Inputs!$C$9)+INT((($BE8+1)-1+'Rest of 2026'!$C$2)/2),1),0))))+IF(MOD(($BE8+1)-1+'Rest of 2026'!$C$2,2)=1,15,0),EDATE(Inputs!$C$90,($BE8+1)-1)))))&lt;&gt;Inputs!$C$10,"",IF(Inputs!$C$7="Weekly",Inputs!$C$90+7*(($BE8+1)-1),IF(Inputs!$C$7="Biweekly",Inputs!$C$90+14*(($BE8+1)-1),IF(Inputs!$C$7="Semimonthly",DATE(YEAR(Inputs!$C$9),MONTH(Inputs!$C$9)+INT((($BE8+1)-1+'Rest of 2026'!$C$2)/2),MIN(DAY(Inputs!$C$9),DAY(EOMONTH(DATE(YEAR(Inputs!$C$9),MONTH(Inputs!$C$9)+INT((($BE8+1)-1+'Rest of 2026'!$C$2)/2),1),0))))+IF(MOD(($BE8+1)-1+'Rest of 2026'!$C$2,2)=1,15,0),EDATE(Inputs!$C$90,($BE8+1)-1)))))&lt;&gt;"",$B9=IF(YEAR(IF(Inputs!$C$7="Weekly",Inputs!$C$90+7*(($BE8+1)-1),IF(Inputs!$C$7="Biweekly",Inputs!$C$90+14*(($BE8+1)-1),IF(Inputs!$C$7="Semimonthly",DATE(YEAR(Inputs!$C$9),MONTH(Inputs!$C$9)+INT((($BE8+1)-1+'Rest of 2026'!$C$2)/2),MIN(DAY(Inputs!$C$9),DAY(EOMONTH(DATE(YEAR(Inputs!$C$9),MONTH(Inputs!$C$9)+INT((($BE8+1)-1+'Rest of 2026'!$C$2)/2),1),0))))+IF(MOD(($BE8+1)-1+'Rest of 2026'!$C$2,2)=1,15,0),EDATE(Inputs!$C$90,($BE8+1)-1)))))&lt;&gt;Inputs!$C$10,"",IF(Inputs!$C$7="Weekly",Inputs!$C$90+7*(($BE8+1)-1),IF(Inputs!$C$7="Biweekly",Inputs!$C$90+14*(($BE8+1)-1),IF(Inputs!$C$7="Semimonthly",DATE(YEAR(Inputs!$C$9),MONTH(Inputs!$C$9)+INT((($BE8+1)-1+'Rest of 2026'!$C$2)/2),MIN(DAY(Inputs!$C$9),DAY(EOMONTH(DATE(YEAR(Inputs!$C$9),MONTH(Inputs!$C$9)+INT((($BE8+1)-1+'Rest of 2026'!$C$2)/2),1),0))))+IF(MOD(($BE8+1)-1+'Rest of 2026'!$C$2,2)=1,15,0),EDATE(Inputs!$C$90,($BE8+1)-1)))))),1,0))</f>
      </c>
      <c r="BG9" s="7">
        <f>IF($B9="","",$BG8+$H9)</f>
      </c>
      <c r="BH9" s="7">
        <f>IF($B9="","",$BH8+$I9)</f>
      </c>
      <c r="BI9" s="7">
        <f>IF($B9="","",$BI8+$G9)</f>
      </c>
      <c r="BJ9" s="7">
        <f>IF($B9="","",IFERROR(LOOKUP(2,1/((((Events!$C$6:$C$17="Deduction start"))*(Events!$D$6:$D$17="Health FSA"))*(Events!$B$6:$B$17&lt;=$B9)*(Events!$B$6:$B$17&lt;&gt;"")),Events!$E$6:$E$17),Inputs!$D$38))</f>
      </c>
      <c r="BK9" s="7">
        <f>IF($B9="","",IFERROR(LOOKUP(2,1/((((Events!$C$6:$C$17="Deduction start"))*(Events!$D$6:$D$17="Dependent-care FSA"))*(Events!$B$6:$B$17&lt;=$B9)*(Events!$B$6:$B$17&lt;&gt;"")),Events!$E$6:$E$17),Inputs!$D$39))</f>
      </c>
      <c r="BL9" s="7">
        <f>IF($B9="","",IFERROR(LOOKUP(2,1/((((Events!$C$6:$C$17="Deduction start")+(Events!$C$6:$C$17="Deduction stop"))*(Events!$D$6:$D$17="HSA"))*(Events!$B$6:$B$17&lt;=$B9)*(Events!$B$6:$B$17&lt;&gt;"")),Events!$I$6:$I$17),Inputs!$D$35))</f>
      </c>
      <c r="BM9" s="7">
        <f>IF($B9="","",IFERROR(LOOKUP(2,1/((((Events!$C$6:$C$17="Deduction start")+(Events!$C$6:$C$17="Deduction stop"))*(Events!$D$6:$D$17="Premiums"))*(Events!$B$6:$B$17&lt;=$B9)*(Events!$B$6:$B$17&lt;&gt;"")),Events!$I$6:$I$17),Inputs!$D$40+Inputs!$D$41+Inputs!$D$42))</f>
      </c>
      <c r="BN9" s="7">
        <f>IF($B9="","",IFERROR(LOOKUP(2,1/((((Events!$C$6:$C$17="Deduction start")+(Events!$C$6:$C$17="Deduction stop"))*(Events!$D$6:$D$17="Commuter"))*(Events!$B$6:$B$17&lt;=$B9)*(Events!$B$6:$B$17&lt;&gt;"")),Events!$I$6:$I$17),Inputs!$D$43))</f>
      </c>
      <c r="BO9" s="7">
        <f>IF($B9="","",IFERROR(LOOKUP(2,1/((((Events!$C$6:$C$17="Deduction start")+(Events!$C$6:$C$17="Deduction stop"))*(Events!$D$6:$D$17="Other pre-tax"))*(Events!$B$6:$B$17&lt;=$B9)*(Events!$B$6:$B$17&lt;&gt;"")),Events!$I$6:$I$17),Inputs!$D$44))</f>
      </c>
      <c r="BP9" s="7">
        <f>IF($B9="","",IFERROR(LOOKUP(2,1/((((Events!$C$6:$C$17="Deduction start")+(Events!$C$6:$C$17="Deduction stop"))*(Events!$D$6:$D$17="Other post-tax"))*(Events!$B$6:$B$17&lt;=$B9)*(Events!$B$6:$B$17&lt;&gt;"")),Events!$I$6:$I$17),Inputs!$D$45))</f>
      </c>
      <c r="BQ9" s="6">
        <f>IF($B9="","",IFERROR(LOOKUP(2,1/((((Events!$C$6:$C$17="Deduction start")+(Events!$C$6:$C$17="Deduction stop"))*(Events!$D$6:$D$17="Health FSA"))*(Events!$B$6:$B$17&lt;=$B9)*(Events!$B$6:$B$17&lt;&gt;"")),Events!$J$6:$J$17),0))</f>
      </c>
      <c r="BR9" s="6">
        <f>IF($B9="","",IFERROR(LOOKUP(2,1/((((Events!$C$6:$C$17="Deduction start")+(Events!$C$6:$C$17="Deduction stop"))*(Events!$D$6:$D$17="Dependent-care FSA"))*(Events!$B$6:$B$17&lt;=$B9)*(Events!$B$6:$B$17&lt;&gt;"")),Events!$J$6:$J$17),0))</f>
      </c>
      <c r="BS9" s="6">
        <f>IF($B9="","",IF(SUMPRODUCT((Events!$C$6:$C$17="Deduction start")*(Events!$B$6:$B$17&lt;=$B9)*(Events!$B$6:$B$17&lt;&gt;"")*(Events!$D$6:$D$17="Health FSA"))&gt;0,1,0))</f>
      </c>
      <c r="BT9" s="6">
        <f>IF($B9="","",IF(SUMPRODUCT((Events!$C$6:$C$17="Deduction start")*(Events!$B$6:$B$17&lt;=$B9)*(Events!$B$6:$B$17&lt;&gt;"")*(Events!$D$6:$D$17="Dependent-care FSA"))&gt;0,1,0))</f>
      </c>
      <c r="BU9" s="24">
        <f>IF($B9="","",IF(Inputs!$C$13,SUMPRODUCT(($AH9&gt;=INDEX('Methodology &amp; Sources'!$B$29:$J$36,0,IF(Inputs!$C$12="MFJ",1,IF(Inputs!$C$12="HoH",7,4))))*INDEX('Methodology &amp; Sources'!$B$29:$J$36,0,IF(Inputs!$C$12="MFJ",1,IF(Inputs!$C$12="HoH",7,4))+2)),SUMPRODUCT(($AH9&gt;=INDEX('Methodology &amp; Sources'!$B$19:$J$26,0,IF(Inputs!$C$12="MFJ",1,IF(Inputs!$C$12="HoH",7,4))))*INDEX('Methodology &amp; Sources'!$B$19:$J$26,0,IF(Inputs!$C$12="MFJ",1,IF(Inputs!$C$12="HoH",7,4))+2))))</f>
      </c>
      <c r="BV9" s="24">
        <f>IF($B9="","",IF($BZ9&lt;&gt;"",$BZ9,IF($CA9&lt;&gt;"",$CA9,IF($CB9&lt;&gt;"",$CB9,IF($CC9&lt;&gt;"",$CC9,0)))))</f>
      </c>
      <c r="BW9" s="7">
        <f>IF($B9="","",IF($AN9="MD",IF(OR($AU9="Married",$AU9="Head of household"),SUMPRODUCT(($AZ9&gt;INDEX('Methodology &amp; Sources'!$B$114:$J$120,0,1))*($AZ9-INDEX('Methodology &amp; Sources'!$B$114:$J$120,0,1))*INDEX('Methodology &amp; Sources'!$B$114:$J$120,0,1+2)),SUMPRODUCT(($AZ9&gt;INDEX('Methodology &amp; Sources'!$B$103:$J$109,0,7))*($AZ9-INDEX('Methodology &amp; Sources'!$B$103:$J$109,0,7))*INDEX('Methodology &amp; Sources'!$B$103:$J$109,0,7+2))),IF($AN9="MO",SUMPRODUCT(($AZ9&gt;INDEX('Methodology &amp; Sources'!$B$125:$J$132,0,1))*($AZ9-INDEX('Methodology &amp; Sources'!$B$125:$J$132,0,1))*INDEX('Methodology &amp; Sources'!$B$125:$J$132,0,1+2)),IF($AN9="MT",IF($AU9="Head of household",SUMPRODUCT(($AZ9&gt;INDEX('Methodology &amp; Sources'!$B$137:$J$139,0,1))*($AZ9-INDEX('Methodology &amp; Sources'!$B$137:$J$139,0,1))*INDEX('Methodology &amp; Sources'!$B$137:$J$139,0,1+2)),IF($AU9="Married",SUMPRODUCT(($AZ9&gt;INDEX('Methodology &amp; Sources'!$B$125:$J$132,0,7))*($AZ9-INDEX('Methodology &amp; Sources'!$B$125:$J$132,0,7))*INDEX('Methodology &amp; Sources'!$B$125:$J$132,0,7+2)),SUMPRODUCT(($AZ9&gt;INDEX('Methodology &amp; Sources'!$B$125:$J$132,0,4))*($AZ9-INDEX('Methodology &amp; Sources'!$B$125:$J$132,0,4))*INDEX('Methodology &amp; Sources'!$B$125:$J$132,0,4+2)))),IF($AN9="ND",IF($AU9="Head of household",SUMPRODUCT(($AZ9&gt;INDEX('Methodology &amp; Sources'!$B$144:$J$150,0,1))*($AZ9-INDEX('Methodology &amp; Sources'!$B$144:$J$150,0,1))*INDEX('Methodology &amp; Sources'!$B$144:$J$150,0,1+2)),IF($AU9="Married",SUMPRODUCT(($AZ9&gt;INDEX('Methodology &amp; Sources'!$B$137:$J$139,0,7))*($AZ9-INDEX('Methodology &amp; Sources'!$B$137:$J$139,0,7))*INDEX('Methodology &amp; Sources'!$B$137:$J$139,0,7+2)),SUMPRODUCT(($AZ9&gt;INDEX('Methodology &amp; Sources'!$B$137:$J$139,0,4))*($AZ9-INDEX('Methodology &amp; Sources'!$B$137:$J$139,0,4))*INDEX('Methodology &amp; Sources'!$B$137:$J$139,0,4+2)))),IF($AN9="NJ",IF(Inputs!$C$77="B",SUMPRODUCT(($AZ9&gt;INDEX('Methodology &amp; Sources'!$B$155:$J$162,0,4))*($AZ9-INDEX('Methodology &amp; Sources'!$B$155:$J$162,0,4))*INDEX('Methodology &amp; Sources'!$B$155:$J$162,0,4+2)),IF(Inputs!$C$77="C",SUMPRODUCT(($AZ9&gt;INDEX('Methodology &amp; Sources'!$B$155:$J$162,0,7))*($AZ9-INDEX('Methodology &amp; Sources'!$B$155:$J$162,0,7))*INDEX('Methodology &amp; Sources'!$B$155:$J$162,0,7+2)),IF(Inputs!$C$77="D",SUMPRODUCT(($AZ9&gt;INDEX('Methodology &amp; Sources'!$B$167:$J$179,0,1))*($AZ9-INDEX('Methodology &amp; Sources'!$B$167:$J$179,0,1))*INDEX('Methodology &amp; Sources'!$B$167:$J$179,0,1+2)),IF(Inputs!$C$77="E",SUMPRODUCT(($AZ9&gt;INDEX('Methodology &amp; Sources'!$B$167:$J$179,0,4))*($AZ9-INDEX('Methodology &amp; Sources'!$B$167:$J$179,0,4))*INDEX('Methodology &amp; Sources'!$B$167:$J$179,0,4+2)),SUMPRODUCT(($AZ9&gt;INDEX('Methodology &amp; Sources'!$B$155:$J$162,0,1))*($AZ9-INDEX('Methodology &amp; Sources'!$B$155:$J$162,0,1))*INDEX('Methodology &amp; Sources'!$B$155:$J$162,0,1+2)))))),IF($AN9="NY",IF($AU9="Married",IF($AZ9&gt;=2155350,$AZ9*IF($AZ9&gt;25000000,0.117,IF($AZ9&gt;5000000,0.111,0.1045)),SUMPRODUCT(($AZ9&gt;INDEX('Methodology &amp; Sources'!$B$184:$J$198,0,1))*($AZ9-INDEX('Methodology &amp; Sources'!$B$184:$J$198,0,1))*INDEX('Methodology &amp; Sources'!$B$184:$J$198,0,1+2))),IF($AZ9&gt;=1077550,$AZ9*IF($AZ9&gt;25000000,0.117,IF($AZ9&gt;5000000,0.111,0.1045)),SUMPRODUCT(($AZ9&gt;INDEX('Methodology &amp; Sources'!$B$167:$J$179,0,7))*($AZ9-INDEX('Methodology &amp; Sources'!$B$167:$J$179,0,7))*INDEX('Methodology &amp; Sources'!$B$167:$J$179,0,7+2)))),"")))))))</f>
      </c>
      <c r="BX9" s="7">
        <f>IF($B9="","",IF($AN9="AL",IF(OR($AU9="Married",$AU9="Head of household"),SUMPRODUCT(($AZ9&gt;INDEX('Methodology &amp; Sources'!$B$82:$J$86,0,4))*($AZ9-INDEX('Methodology &amp; Sources'!$B$82:$J$86,0,4))*INDEX('Methodology &amp; Sources'!$B$82:$J$86,0,4+2)),SUMPRODUCT(($AZ9&gt;INDEX('Methodology &amp; Sources'!$B$82:$J$86,0,1))*($AZ9-INDEX('Methodology &amp; Sources'!$B$82:$J$86,0,1))*INDEX('Methodology &amp; Sources'!$B$82:$J$86,0,1+2))),IF($AN9="KS",IF($AU9="Married",SUMPRODUCT(($AZ9&gt;INDEX('Methodology &amp; Sources'!$B$103:$J$109,0,4))*($AZ9-INDEX('Methodology &amp; Sources'!$B$103:$J$109,0,4))*INDEX('Methodology &amp; Sources'!$B$103:$J$109,0,4+2)),SUMPRODUCT(($AZ9&gt;INDEX('Methodology &amp; Sources'!$B$103:$J$109,0,1))*($AZ9-INDEX('Methodology &amp; Sources'!$B$103:$J$109,0,1))*INDEX('Methodology &amp; Sources'!$B$103:$J$109,0,1+2))),IF($AN9="MN",IF($AU9="Married",SUMPRODUCT(($AZ9&gt;INDEX('Methodology &amp; Sources'!$B$114:$J$120,0,7))*($AZ9-INDEX('Methodology &amp; Sources'!$B$114:$J$120,0,7))*INDEX('Methodology &amp; Sources'!$B$114:$J$120,0,7+2)),SUMPRODUCT(($AZ9&gt;INDEX('Methodology &amp; Sources'!$B$114:$J$120,0,4))*($AZ9-INDEX('Methodology &amp; Sources'!$B$114:$J$120,0,4))*INDEX('Methodology &amp; Sources'!$B$114:$J$120,0,4+2))),IF($AN9="NE",MAX(IF($AU9="Married",SUMPRODUCT(($AZ9&gt;INDEX('Methodology &amp; Sources'!$B$144:$J$150,0,7))*($AZ9-INDEX('Methodology &amp; Sources'!$B$144:$J$150,0,7))*INDEX('Methodology &amp; Sources'!$B$144:$J$150,0,7+2)),SUMPRODUCT(($AZ9&gt;INDEX('Methodology &amp; Sources'!$B$144:$J$150,0,4))*($AZ9-INDEX('Methodology &amp; Sources'!$B$144:$J$150,0,4))*INDEX('Methodology &amp; Sources'!$B$144:$J$150,0,4+2))),0.015*$AZ9),IF($AN9="OH",IF($B9&gt;=DATE(2027,8,1),SUMPRODUCT(($AZ9&gt;INDEX('Methodology &amp; Sources'!$B$203:$J$206,0,1))*($AZ9-INDEX('Methodology &amp; Sources'!$B$203:$J$206,0,1))*INDEX('Methodology &amp; Sources'!$B$203:$J$206,0,1+2)),SUMPRODUCT(($AZ9&gt;INDEX('Methodology &amp; Sources'!$B$184:$J$198,0,7))*($AZ9-INDEX('Methodology &amp; Sources'!$B$184:$J$198,0,7))*INDEX('Methodology &amp; Sources'!$B$184:$J$198,0,7+2))),IF($AN9="OK",IF($AU9="Married",SUMPRODUCT(($AZ9&gt;INDEX('Methodology &amp; Sources'!$B$203:$J$206,0,7))*($AZ9-INDEX('Methodology &amp; Sources'!$B$203:$J$206,0,7))*INDEX('Methodology &amp; Sources'!$B$203:$J$206,0,7+2)),SUMPRODUCT(($AZ9&gt;INDEX('Methodology &amp; Sources'!$B$203:$J$206,0,4))*($AZ9-INDEX('Methodology &amp; Sources'!$B$203:$J$206,0,4))*INDEX('Methodology &amp; Sources'!$B$203:$J$206,0,4+2))),IF($AN9="RI",SUMPRODUCT(($AZ9&gt;INDEX('Methodology &amp; Sources'!$B$211:$J$214,0,7))*($AZ9-INDEX('Methodology &amp; Sources'!$B$211:$J$214,0,7))*INDEX('Methodology &amp; Sources'!$B$211:$J$214,0,7+2)),IF($AN9="VT",IF($AU9="Married",SUMPRODUCT(($AZ9&gt;INDEX('Methodology &amp; Sources'!$B$228:$J$232,0,1))*($AZ9-INDEX('Methodology &amp; Sources'!$B$228:$J$232,0,1))*INDEX('Methodology &amp; Sources'!$B$228:$J$232,0,1+2)),SUMPRODUCT(($AZ9&gt;INDEX('Methodology &amp; Sources'!$B$219:$J$223,0,7))*($AZ9-INDEX('Methodology &amp; Sources'!$B$219:$J$223,0,7))*INDEX('Methodology &amp; Sources'!$B$219:$J$223,0,7+2))),IF($AN9="WV",IF($AU9="Married",SUMPRODUCT(($AZ9&gt;INDEX('Methodology &amp; Sources'!$B$237:$J$241,0,7))*($AZ9-INDEX('Methodology &amp; Sources'!$B$237:$J$241,0,7))*INDEX('Methodology &amp; Sources'!$B$237:$J$241,0,7+2)),SUMPRODUCT(($AZ9&gt;INDEX('Methodology &amp; Sources'!$B$228:$J$232,0,7))*($AZ9-INDEX('Methodology &amp; Sources'!$B$228:$J$232,0,7))*INDEX('Methodology &amp; Sources'!$B$228:$J$232,0,7+2))),""))))))))))</f>
      </c>
      <c r="BY9" s="7">
        <f>IF($B9="","",IF($AN9="AR",SUMPRODUCT(($AZ9&gt;INDEX('Methodology &amp; Sources'!$B$82:$J$86,0,7))*($AZ9-INDEX('Methodology &amp; Sources'!$B$82:$J$86,0,7))*INDEX('Methodology &amp; Sources'!$B$82:$J$86,0,7+2)),IF($AN9="DE",SUMPRODUCT(($AZ9&gt;INDEX('Methodology &amp; Sources'!$B$91:$J$98,0,1))*($AZ9-INDEX('Methodology &amp; Sources'!$B$91:$J$98,0,1))*INDEX('Methodology &amp; Sources'!$B$91:$J$98,0,1+2)),IF($AN9="HI",IF($AU9="Married",SUMPRODUCT(($AZ9&gt;INDEX('Methodology &amp; Sources'!$B$91:$J$98,0,7))*($AZ9-INDEX('Methodology &amp; Sources'!$B$91:$J$98,0,7))*INDEX('Methodology &amp; Sources'!$B$91:$J$98,0,7+2)),SUMPRODUCT(($AZ9&gt;INDEX('Methodology &amp; Sources'!$B$91:$J$98,0,4))*($AZ9-INDEX('Methodology &amp; Sources'!$B$91:$J$98,0,4))*INDEX('Methodology &amp; Sources'!$B$91:$J$98,0,4+2))),IF($AN9="SC",SUMPRODUCT(($AZ9&gt;INDEX('Methodology &amp; Sources'!$B$219:$J$223,0,1))*($AZ9-INDEX('Methodology &amp; Sources'!$B$219:$J$223,0,1))*INDEX('Methodology &amp; Sources'!$B$219:$J$223,0,1+2)),IF($AN9="VA",SUMPRODUCT(($AZ9&gt;INDEX('Methodology &amp; Sources'!$B$219:$J$223,0,4))*($AZ9-INDEX('Methodology &amp; Sources'!$B$219:$J$223,0,4))*INDEX('Methodology &amp; Sources'!$B$219:$J$223,0,4+2)),IF($AN9="WI",SUMPRODUCT(($AZ9&gt;INDEX('Methodology &amp; Sources'!$B$228:$J$232,0,4))*($AZ9-INDEX('Methodology &amp; Sources'!$B$228:$J$232,0,4))*INDEX('Methodology &amp; Sources'!$B$228:$J$232,0,4+2)),"")))))))</f>
      </c>
      <c r="BZ9" s="24">
        <f>IF($B9="","",IF($AN9="NJ",IF(Inputs!$C$77="B",SUMPRODUCT(($AZ9&gt;=INDEX('Methodology &amp; Sources'!$B$155:$J$162,0,4))*INDEX('Methodology &amp; Sources'!$B$155:$J$162,0,4+2)),IF(Inputs!$C$77="C",SUMPRODUCT(($AZ9&gt;=INDEX('Methodology &amp; Sources'!$B$155:$J$162,0,7))*INDEX('Methodology &amp; Sources'!$B$155:$J$162,0,7+2)),IF(Inputs!$C$77="D",SUMPRODUCT(($AZ9&gt;=INDEX('Methodology &amp; Sources'!$B$167:$J$179,0,1))*INDEX('Methodology &amp; Sources'!$B$167:$J$179,0,1+2)),IF(Inputs!$C$77="E",SUMPRODUCT(($AZ9&gt;=INDEX('Methodology &amp; Sources'!$B$167:$J$179,0,4))*INDEX('Methodology &amp; Sources'!$B$167:$J$179,0,4+2)),SUMPRODUCT(($AZ9&gt;=INDEX('Methodology &amp; Sources'!$B$155:$J$162,0,1))*INDEX('Methodology &amp; Sources'!$B$155:$J$162,0,1+2)))))),IF($AN9="OR",IF(OR($AU9="Married",AND($AU9="Single",$AS9&gt;=3)),SUMPRODUCT((MAX(0,$AY9-MIN(($P9-'Methodology &amp; Sources'!$C$10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Sources'!$B$211:$J$214,0,4))*INDEX('Methodology &amp; Sources'!$B$211:$J$214,0,4+2)),SUMPRODUCT((MAX(0,$AY9-MIN(($P9-'Methodology &amp; Sources'!$C$10*$D9)*Inputs!$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Sources'!$B$211:$J$214,0,1))*INDEX('Methodology &amp; Sources'!$B$211:$J$214,0,1+2)))*IF(($P9-'Methodology &amp; Sources'!$C$10*$D9)*Inputs!$C$8&gt;=IF(OR($AU9="Married",AND($AU9="Single",$AS9&gt;=3)),IF($AY9&lt;250000,8750,IF($AY9&lt;260000,7000,IF($AY9&lt;270000,5250,IF($AY9&lt;280000,3500,IF($AY9&lt;290000,1750,0))))),IF($AY9&lt;125000,8750,IF($AY9&lt;130000,7000,IF($AY9&lt;135000,5250,IF($AY9&lt;140000,3500,IF($AY9&lt;145000,1750,0)))))),1,1-IF(Inputs!$C$13,SUMPRODUCT(($AH9&gt;=INDEX('Methodology &amp; Sources'!$B$29:$J$36,0,IF(Inputs!$C$12="MFJ",1,IF(Inputs!$C$12="HoH",7,4))))*INDEX('Methodology &amp; Sources'!$B$29:$J$36,0,IF(Inputs!$C$12="MFJ",1,IF(Inputs!$C$12="HoH",7,4))+2)),SUMPRODUCT(($AH9&gt;=INDEX('Methodology &amp; Sources'!$B$19:$J$26,0,IF(Inputs!$C$12="MFJ",1,IF(Inputs!$C$12="HoH",7,4))))*INDEX('Methodology &amp; Sources'!$B$19:$J$26,0,IF(Inputs!$C$12="MFJ",1,IF(Inputs!$C$12="HoH",7,4))+2)))),IF($AN9="MI",IF($AY9&gt;5900*$AS9,0.0425,0),""))))</f>
      </c>
      <c r="CA9" s="24">
        <f>IF($B9="","",IF($AN9="AL",IF(OR($AU9="Married",$AU9="Head of household"),SUMPRODUCT(($AZ9&gt;=INDEX('Methodology &amp; Sources'!$B$82:$J$86,0,4))*INDEX('Methodology &amp; Sources'!$B$82:$J$86,0,4+2)),SUMPRODUCT(($AZ9&gt;=INDEX('Methodology &amp; Sources'!$B$82:$J$86,0,1))*INDEX('Methodology &amp; Sources'!$B$82:$J$86,0,1+2)))*(1-IF(Inputs!$C$13,SUMPRODUCT(($AH9&gt;=INDEX('Methodology &amp; Sources'!$B$29:$J$36,0,IF(Inputs!$C$12="MFJ",1,IF(Inputs!$C$12="HoH",7,4))))*INDEX('Methodology &amp; Sources'!$B$29:$J$36,0,IF(Inputs!$C$12="MFJ",1,IF(Inputs!$C$12="HoH",7,4))+2)),SUMPRODUCT(($AH9&gt;=INDEX('Methodology &amp; Sources'!$B$19:$J$26,0,IF(Inputs!$C$12="MFJ",1,IF(Inputs!$C$12="HoH",7,4))))*INDEX('Methodology &amp; Sources'!$B$19:$J$26,0,IF(Inputs!$C$12="MFJ",1,IF(Inputs!$C$12="HoH",7,4))+2)))),IF($AN9="KS",IF($AU9="Married",SUMPRODUCT(($AZ9&gt;=INDEX('Methodology &amp; Sources'!$B$103:$J$109,0,4))*INDEX('Methodology &amp; Sources'!$B$103:$J$109,0,4+2)),SUMPRODUCT(($AZ9&gt;=INDEX('Methodology &amp; Sources'!$B$103:$J$109,0,1))*INDEX('Methodology &amp; Sources'!$B$103:$J$109,0,1+2))),IF($AN9="MD",IF(OR($AU9="Married",$AU9="Head of household"),SUMPRODUCT(($AZ9&gt;=INDEX('Methodology &amp; Sources'!$B$114:$J$120,0,1))*INDEX('Methodology &amp; Sources'!$B$114:$J$120,0,1+2)),SUMPRODUCT(($AZ9&gt;=INDEX('Methodology &amp; Sources'!$B$103:$J$109,0,7))*INDEX('Methodology &amp; Sources'!$B$103:$J$109,0,7+2)))+Inputs!$C$74,IF($AN9="MT",IF($AU9="Head of household",SUMPRODUCT(($AZ9&gt;=INDEX('Methodology &amp; Sources'!$B$137:$J$139,0,1))*INDEX('Methodology &amp; Sources'!$B$137:$J$139,0,1+2)),IF($AU9="Married",SUMPRODUCT(($AZ9&gt;=INDEX('Methodology &amp; Sources'!$B$125:$J$132,0,7))*INDEX('Methodology &amp; Sources'!$B$125:$J$132,0,7+2)),SUMPRODUCT(($AZ9&gt;=INDEX('Methodology &amp; Sources'!$B$125:$J$132,0,4))*INDEX('Methodology &amp; Sources'!$B$125:$J$132,0,4+2)))),IF($AN9="ND",IF($AU9="Head of household",SUMPRODUCT(($AZ9&gt;=INDEX('Methodology &amp; Sources'!$B$144:$J$150,0,1))*INDEX('Methodology &amp; Sources'!$B$144:$J$150,0,1+2)),IF($AU9="Married",SUMPRODUCT(($AZ9&gt;=INDEX('Methodology &amp; Sources'!$B$137:$J$139,0,7))*INDEX('Methodology &amp; Sources'!$B$137:$J$139,0,7+2)),SUMPRODUCT(($AZ9&gt;=INDEX('Methodology &amp; Sources'!$B$137:$J$139,0,4))*INDEX('Methodology &amp; Sources'!$B$137:$J$139,0,4+2)))),IF($AN9="NY",IF($AU9="Married",IF($AZ9&gt;=2155350,IF($AZ9&gt;25000000,0.117,IF($AZ9&gt;5000000,0.111,0.1045)),SUMPRODUCT(($AZ9&gt;=INDEX('Methodology &amp; Sources'!$B$184:$J$198,0,1))*INDEX('Methodology &amp; Sources'!$B$184:$J$198,0,1+2))),IF($AZ9&gt;=1077550,IF($AZ9&gt;25000000,0.117,IF($AZ9&gt;5000000,0.111,0.1045)),SUMPRODUCT(($AZ9&gt;=INDEX('Methodology &amp; Sources'!$B$167:$J$179,0,7))*INDEX('Methodology &amp; Sources'!$B$167:$J$179,0,7+2)))),"")))))))</f>
      </c>
      <c r="CB9" s="24">
        <f>IF($B9="","",IF($AN9="CA",SUMPRODUCT(($AJ9&gt;=INDEX('Methodology &amp; Sources'!$B$39:$J$48,0,IF($AU9="Married",4,IF($AU9="Head of household",7,1))))*INDEX('Methodology &amp; Sources'!$B$39:$J$48,0,IF($AU9="Married",4,IF($AU9="Head of household",7,1))+2)),IF($AN9="HI",IF($AU9="Married",SUMPRODUCT(($AZ9&gt;=INDEX('Methodology &amp; Sources'!$B$91:$J$98,0,7))*INDEX('Methodology &amp; Sources'!$B$91:$J$98,0,7+2)),SUMPRODUCT(($AZ9&gt;=INDEX('Methodology &amp; Sources'!$B$91:$J$98,0,4))*INDEX('Methodology &amp; Sources'!$B$91:$J$98,0,4+2))),IF($AN9="MN",IF($AU9="Married",SUMPRODUCT(($AZ9&gt;=INDEX('Methodology &amp; Sources'!$B$114:$J$120,0,7))*INDEX('Methodology &amp; Sources'!$B$114:$J$120,0,7+2)),SUMPRODUCT(($AZ9&gt;=INDEX('Methodology &amp; Sources'!$B$114:$J$120,0,4))*INDEX('Methodology &amp; Sources'!$B$114:$J$120,0,4+2))),IF($AN9="MO",SUMPRODUCT(($AZ9&gt;=INDEX('Methodology &amp; Sources'!$B$125:$J$132,0,1))*INDEX('Methodology &amp; Sources'!$B$125:$J$132,0,1+2)),IF($AN9="NE",MAX(IF($AU9="Married",SUMPRODUCT(($AZ9&gt;=INDEX('Methodology &amp; Sources'!$B$144:$J$150,0,7))*INDEX('Methodology &amp; Sources'!$B$144:$J$150,0,7+2)),SUMPRODUCT(($AZ9&gt;=INDEX('Methodology &amp; Sources'!$B$144:$J$150,0,4))*INDEX('Methodology &amp; Sources'!$B$144:$J$150,0,4+2))),0.015),IF($AN9="OH",IF($B9&gt;=DATE(2027,8,1),SUMPRODUCT(($AZ9&gt;=INDEX('Methodology &amp; Sources'!$B$203:$J$206,0,1))*INDEX('Methodology &amp; Sources'!$B$203:$J$206,0,1+2)),SUMPRODUCT(($AZ9&gt;=INDEX('Methodology &amp; Sources'!$B$184:$J$198,0,7))*INDEX('Methodology &amp; Sources'!$B$184:$J$198,0,7+2))),IF($AN9="OK",IF($AU9="Married",SUMPRODUCT(($AZ9&gt;=INDEX('Methodology &amp; Sources'!$B$203:$J$206,0,7))*INDEX('Methodology &amp; Sources'!$B$203:$J$206,0,7+2)),SUMPRODUCT(($AZ9&gt;=INDEX('Methodology &amp; Sources'!$B$203:$J$206,0,4))*INDEX('Methodology &amp; Sources'!$B$203:$J$206,0,4+2))),IF($AN9="RI",SUMPRODUCT(($AZ9&gt;=INDEX('Methodology &amp; Sources'!$B$211:$J$214,0,7))*INDEX('Methodology &amp; Sources'!$B$211:$J$214,0,7+2)),IF($AN9="SC",SUMPRODUCT(($AZ9&gt;=INDEX('Methodology &amp; Sources'!$B$219:$J$223,0,1))*INDEX('Methodology &amp; Sources'!$B$219:$J$223,0,1+2)),IF($AN9="VT",IF($AU9="Married",SUMPRODUCT(($AZ9&gt;=INDEX('Methodology &amp; Sources'!$B$228:$J$232,0,1))*INDEX('Methodology &amp; Sources'!$B$228:$J$232,0,1+2)),SUMPRODUCT(($AZ9&gt;=INDEX('Methodology &amp; Sources'!$B$219:$J$223,0,7))*INDEX('Methodology &amp; Sources'!$B$219:$J$223,0,7+2))),IF($AN9="WV",IF($AU9="Married",SUMPRODUCT(($AZ9&gt;=INDEX('Methodology &amp; Sources'!$B$237:$J$241,0,7))*INDEX('Methodology &amp; Sources'!$B$237:$J$241,0,7+2)),SUMPRODUCT(($AZ9&gt;=INDEX('Methodology &amp; Sources'!$B$228:$J$232,0,7))*INDEX('Methodology &amp; Sources'!$B$228:$J$232,0,7+2))),IF($AN9="IN",(0.0295+Inputs!$C$76),"")))))))))))))</f>
      </c>
      <c r="CC9" s="24">
        <f>IF($B9="","",IF($AN9="AR",SUMPRODUCT(($AZ9&gt;=INDEX('Methodology &amp; Sources'!$B$82:$J$86,0,7))*INDEX('Methodology &amp; Sources'!$B$82:$J$86,0,7+2)),IF($AN9="DE",SUMPRODUCT(($AZ9&gt;=INDEX('Methodology &amp; Sources'!$B$91:$J$98,0,1))*INDEX('Methodology &amp; Sources'!$B$91:$J$98,0,1+2)),IF($AN9="VA",SUMPRODUCT(($AZ9&gt;=INDEX('Methodology &amp; Sources'!$B$219:$J$223,0,4))*INDEX('Methodology &amp; Sources'!$B$219:$J$223,0,4+2)),IF($AN9="WI",SUMPRODUCT(($AZ9&gt;=INDEX('Methodology &amp; Sources'!$B$228:$J$232,0,4))*INDEX('Methodology &amp; Sources'!$B$228:$J$232,0,4+2)),IF($AN9="AZ",Inputs!$C$82,IF($AN9="CO",IF($AY9&gt;IF($AU9="Married",10000,5000),0.044,0),IF($AN9="IA",IF($AY9&gt;IF($AU9="Head of household",19500,IF($AU9="Married",26000,13000)),0.038,0),IF($AN9="ID",IF($AY9&gt;IF($AU9="Married",32000,16094),0.053,0),IF($AN9="IL",IF($AY9&gt;(2925*$AS9+1000*$AT9),0.0495,0),IF($AN9="KY",IF($AI9&gt;3360,0.035,0),IF($AN9="LA",0.0309,IF($AN9="MA",IF(MAX(0,$AY9-MIN(($BD8+$Q9+$R9+$S9),2000)-IF($AS9=0,0,IF($AS9=1,4400,1000*$AS9+3400)))&gt;=1107750,0.09,0.05),IF($AN9="MS",IF($AI9-IF($AU9="Head of household",3400,IF($AU9="Married",4600,2300))-Inputs!$C$85&gt;10000,0.04,0),IF($AN9="PA",0.0307,"")))))))))))))))</f>
      </c>
      <c r="CD9" s="21">
        <f>IF(YEAR(IF(Inputs!$C$7="Weekly",Inputs!$C$90+7*(($BE8+1)-1),IF(Inputs!$C$7="Biweekly",Inputs!$C$90+14*(($BE8+1)-1),IF(Inputs!$C$7="Semimonthly",DATE(YEAR(Inputs!$C$9),MONTH(Inputs!$C$9)+INT((($BE8+1)-1+'Rest of 2026'!$C$2)/2),MIN(DAY(Inputs!$C$9),DAY(EOMONTH(DATE(YEAR(Inputs!$C$9),MONTH(Inputs!$C$9)+INT((($BE8+1)-1+'Rest of 2026'!$C$2)/2),1),0))))+IF(MOD(($BE8+1)-1+'Rest of 2026'!$C$2,2)=1,15,0),EDATE(Inputs!$C$90,($BE8+1)-1)))))&lt;&gt;Inputs!$C$10,"",IF(Inputs!$C$7="Weekly",Inputs!$C$90+7*(($BE8+1)-1),IF(Inputs!$C$7="Biweekly",Inputs!$C$90+14*(($BE8+1)-1),IF(Inputs!$C$7="Semimonthly",DATE(YEAR(Inputs!$C$9),MONTH(Inputs!$C$9)+INT((($BE8+1)-1+'Rest of 2026'!$C$2)/2),MIN(DAY(Inputs!$C$9),DAY(EOMONTH(DATE(YEAR(Inputs!$C$9),MONTH(Inputs!$C$9)+INT((($BE8+1)-1+'Rest of 2026'!$C$2)/2),1),0))))+IF(MOD(($BE8+1)-1+'Rest of 2026'!$C$2,2)=1,15,0),EDATE(Inputs!$C$90,($BE8+1)-1)))))</f>
      </c>
      <c r="CE9" s="21">
        <f>IF(SUMPRODUCT(MIN(IF((Inputs!$C$58:$C$67&gt;MAX($B$6:$B8))*(Inputs!$C$58:$C$67&gt;=DATE(Inputs!$C$10,1,1))*(Inputs!$C$58:$C$67&lt;=DATE(Inputs!$C$10,12,31)),Inputs!$C$58:$C$67,999999)))=999999,"",SUMPRODUCT(MIN(IF((Inputs!$C$58:$C$67&gt;MAX($B$6:$B8))*(Inputs!$C$58:$C$67&gt;=DATE(Inputs!$C$10,1,1))*(Inputs!$C$58:$C$67&lt;=DATE(Inputs!$C$10,12,31)),Inputs!$C$58:$C$67,999999))))</f>
      </c>
    </row>
    <row r="10">
      <c r="A10" t="n">
        <v>5</v>
      </c>
      <c r="B10" s="21">
        <f>IF(AND($CD10="",$CE10=""),"",IF($CE10="",$CD10,IF($CD10="",$CE10,MIN($CD10,$CE10))))</f>
      </c>
      <c r="C10" s="7">
        <f>IF($B10="","",IF($BF10=0,0,IF(Inputs!$C$4="Annual salary",ROUND($AK10/IF(AND(Inputs!$C$88="Actual paydays",MONTH(Inputs!$C$90)=1),MAX(1,MAX($BE$6:$BE$68)),Inputs!$C$8),2),$AK10)))</f>
      </c>
      <c r="D10" s="7">
        <f>IF($B10="","",SUMIF(Inputs!$C$58:$C$67,$B10,Inputs!$D$58:$D$67))</f>
      </c>
      <c r="E10" s="7">
        <f>IF($B10="","",ROUND(MAX(0,MIN(IF($AL10="Percent",$AM10*($C10+$D10),$AM10),MAX(0,Inputs!$C$34-$AC9))),2))</f>
      </c>
      <c r="F10" s="7">
        <f>IF($B10="","",ROUND(MAX(0,MIN(IF(Inputs!$C$32="Percent",Inputs!$D$32*($C10+$D10),Inputs!$D$32),MAX(0,Inputs!$C$34-$AC9-$E10))),2))</f>
      </c>
      <c r="G10" s="7">
        <f>IF($B10="","",IF($BF10=0,0,ROUND(MAX(0,MIN($BL10,Inputs!$C$37-Inputs!$C$99-$BI9)),2)))</f>
      </c>
      <c r="H10" s="7">
        <f>IF($B10="","",IF(OR($BF10=0,$BQ10=1),0,ROUND(MAX(0,MIN(IF($BS10=1,ROUND(MAX(0,MIN($BJ10,'Methodology &amp; Sources'!$C$13)-$BG9)/MAX(1,MAX($BE$6:$BE$68)-($BE9)),2),ROUND(MIN($BJ10,'Methodology &amp; Sources'!$C$13)/Inputs!$C$8,2)),MIN($BJ10,'Methodology &amp; Sources'!$C$13)-$BG9)),2)))</f>
      </c>
      <c r="I10" s="7">
        <f>IF($B10="","",IF(OR($BF10=0,$BR10=1),0,ROUND(MAX(0,MIN(IF($BT10=1,ROUND(MAX(0,MIN($BK10,IF(Inputs!$C$12="MFJ",'Methodology &amp; Sources'!$C$14,'Methodology &amp; Sources'!$C$15))-$BH9)/MAX(1,MAX($BE$6:$BE$68)-($BE9)),2),ROUND(MIN($BK10,IF(Inputs!$C$12="MFJ",'Methodology &amp; Sources'!$C$14,'Methodology &amp; Sources'!$C$15))/Inputs!$C$8,2)),MIN($BK10,IF(Inputs!$C$12="MFJ",'Methodology &amp; Sources'!$C$14,'Methodology &amp; Sources'!$C$15))-$BH9)),2)))</f>
      </c>
      <c r="J10" s="7">
        <f>IF($B10="","",IF($BF10=0,0,$BM10))</f>
      </c>
      <c r="K10" s="7">
        <f>IF($B10="","",IF($BF10=0,0,$BN10+$BO10))</f>
      </c>
      <c r="L10" s="7">
        <f>IF($B10="","",IF($BF10=0,0,Inputs!$D$46))</f>
      </c>
      <c r="M10" s="7">
        <f>IF($B10="","",$C10+$D10+$L10-$E10-$G10-$H10-$I10-$J10-$K10)</f>
      </c>
      <c r="N10" s="7">
        <f>IF($B10="","",$C10+$D10+$L10-$G10-$H10-$I10-$J10-$K10)</f>
      </c>
      <c r="O10" s="7">
        <f>IF($B10="","",$C10+$D10+$L10-$E10-$H10-$I10-$J10-$K10-IF(OR($AN10="CA",$AN10="NJ"),0,$G10))</f>
      </c>
      <c r="P10" s="7">
        <f>IF($B10="","",IF(Inputs!$C$18,0,ROUND(MAX(0,IF(Inputs!$C$13,SUMPRODUCT(($AH10&gt;INDEX('Methodology &amp; Sources'!$B$29:$J$36,0,IF(Inputs!$C$12="MFJ",1,IF(Inputs!$C$12="HoH",7,4))))*($AH10-INDEX('Methodology &amp; Sources'!$B$29:$J$36,0,IF(Inputs!$C$12="MFJ",1,IF(Inputs!$C$12="HoH",7,4))))*INDEX('Methodology &amp; Sources'!$B$29:$J$36,0,IF(Inputs!$C$12="MFJ",1,IF(Inputs!$C$12="HoH",7,4))+2)),SUMPRODUCT(($AH10&gt;INDEX('Methodology &amp; Sources'!$B$19:$J$26,0,IF(Inputs!$C$12="MFJ",1,IF(Inputs!$C$12="HoH",7,4))))*($AH10-INDEX('Methodology &amp; Sources'!$B$19:$J$26,0,IF(Inputs!$C$12="MFJ",1,IF(Inputs!$C$12="HoH",7,4))))*INDEX('Methodology &amp; Sources'!$B$19:$J$26,0,IF(Inputs!$C$12="MFJ",1,IF(Inputs!$C$12="HoH",7,4))+2)))/Inputs!$C$8-$AO10/Inputs!$C$8)+$AR10+IF(Inputs!$C$89="Aggregate",MAX(0,IF(Inputs!$C$13,SUMPRODUCT((($AH10+$D10)&gt;INDEX('Methodology &amp; Sources'!$B$29:$J$36,0,IF(Inputs!$C$12="MFJ",1,IF(Inputs!$C$12="HoH",7,4))))*(($AH10+$D10)-INDEX('Methodology &amp; Sources'!$B$29:$J$36,0,IF(Inputs!$C$12="MFJ",1,IF(Inputs!$C$12="HoH",7,4))))*INDEX('Methodology &amp; Sources'!$B$29:$J$36,0,IF(Inputs!$C$12="MFJ",1,IF(Inputs!$C$12="HoH",7,4))+2)),SUMPRODUCT((($AH10+$D10)&gt;INDEX('Methodology &amp; Sources'!$B$19:$J$26,0,IF(Inputs!$C$12="MFJ",1,IF(Inputs!$C$12="HoH",7,4))))*(($AH10+$D10)-INDEX('Methodology &amp; Sources'!$B$19:$J$26,0,IF(Inputs!$C$12="MFJ",1,IF(Inputs!$C$12="HoH",7,4))))*INDEX('Methodology &amp; Sources'!$B$19:$J$26,0,IF(Inputs!$C$12="MFJ",1,IF(Inputs!$C$12="HoH",7,4))+2)))-IF(Inputs!$C$13,SUMPRODUCT(($AH10&gt;INDEX('Methodology &amp; Sources'!$B$29:$J$36,0,IF(Inputs!$C$12="MFJ",1,IF(Inputs!$C$12="HoH",7,4))))*($AH10-INDEX('Methodology &amp; Sources'!$B$29:$J$36,0,IF(Inputs!$C$12="MFJ",1,IF(Inputs!$C$12="HoH",7,4))))*INDEX('Methodology &amp; Sources'!$B$29:$J$36,0,IF(Inputs!$C$12="MFJ",1,IF(Inputs!$C$12="HoH",7,4))+2)),SUMPRODUCT(($AH10&gt;INDEX('Methodology &amp; Sources'!$B$19:$J$26,0,IF(Inputs!$C$12="MFJ",1,IF(Inputs!$C$12="HoH",7,4))))*($AH10-INDEX('Methodology &amp; Sources'!$B$19:$J$26,0,IF(Inputs!$C$12="MFJ",1,IF(Inputs!$C$12="HoH",7,4))))*INDEX('Methodology &amp; Sources'!$B$19:$J$26,0,IF(Inputs!$C$12="MFJ",1,IF(Inputs!$C$12="HoH",7,4))+2)))),'Methodology &amp; Sources'!$C$10*$D10),2)))</f>
      </c>
      <c r="Q10" s="7">
        <f>IF($B10="","",ROUND('Methodology &amp; Sources'!$C$4*MIN($N10,MAX(0,'Methodology &amp; Sources'!$C$3-($AX10+$AB9-$AW10))),2))</f>
      </c>
      <c r="R10" s="7">
        <f>IF($B10="","",ROUND('Methodology &amp; Sources'!$C$5*$N10,2))</f>
      </c>
      <c r="S10" s="7">
        <f>IF($B10="","",ROUND('Methodology &amp; Sources'!$C$6*MAX(0,MIN($N10,$AG9+$N10-'Methodology &amp; Sources'!$C$7)),2))</f>
      </c>
      <c r="T10" s="7">
        <f>IF($B10="","",IF(Inputs!$C$26,0,IF($AN10="CA",ROUND(IF($AI10&lt;=IF(($AS10+$AT10)&gt;=2,VLOOKUP($AN10,StateTables!$A$6:$AB$56,10,FALSE),VLOOKUP($AN10,StateTables!$A$6:$AB$56,9,FALSE)),0,MAX(0,SUMPRODUCT(($AJ10&gt;INDEX('Methodology &amp; Sources'!$B$39:$J$48,0,IF($AU10="Married",4,IF($AU10="Head of household",7,1))))*($AJ10-INDEX('Methodology &amp; Sources'!$B$39:$J$48,0,IF($AU10="Married",4,IF($AU10="Head of household",7,1))))*INDEX('Methodology &amp; Sources'!$B$39:$J$48,0,IF($AU10="Married",4,IF($AU10="Head of household",7,1))+2))-VLOOKUP($AN10,StateTables!$A$6:$AB$56,11,FALSE)*$AS10)/Inputs!$C$8)+Inputs!$C$25+VLOOKUP($AN10,StateTables!$A$6:$AB$56,13,FALSE)*$D10,2),IF(VLOOKUP($AN10,StateTables!$A$6:$AB$56,4,FALSE)="None",0,IF(ISNUMBER(SEARCH("MANUAL",VLOOKUP($AN10,StateTables!$A$6:$AB$56,5,FALSE))),Inputs!$C$28,ROUND(MAX(0,$BA10+$BB10)/Inputs!$C$8+Inputs!$C$25+$BC10,2))))))</f>
      </c>
      <c r="U10" s="7">
        <f>IF($B10="","",IF(VLOOKUP($AN10,StateTables!$A$6:$AB$56,24,FALSE)="flatq",IF(OR(MONTH($B10)=1,MONTH($B10)=4,MONTH($B10)=7,MONTH($B10)=10),VLOOKUP($AN10,StateTables!$A$6:$AB$56,25,FALSE),0),IF(VLOOKUP($AN10,StateTables!$A$6:$AB$56,24,FALSE)="dbl",MIN(ROUND(0.005*$N10,2),ROUND(0.6*52/Inputs!$C$8,2)),IF(OR(VLOOKUP($AN10,StateTables!$A$6:$AB$56,15,FALSE)="",VLOOKUP($AN10,StateTables!$A$6:$AB$56,15,FALSE)=0),0,ROUND(VLOOKUP($AN10,StateTables!$A$6:$AB$56,15,FALSE)*IF(OR(VLOOKUP($AN10,StateTables!$A$6:$AB$56,16,FALSE)="",VLOOKUP($AN10,StateTables!$A$6:$AB$56,16,FALSE)=0),$N10,MIN($N10,MAX(0,VLOOKUP($AN10,StateTables!$A$6:$AB$56,16,FALSE)-($AX10+$AB9-$AW10)))),2))))+IF(VLOOKUP($AN10,StateTables!$A$6:$AB$56,27,FALSE)="flatq",IF(OR(MONTH($B10)=1,MONTH($B10)=4,MONTH($B10)=7,MONTH($B10)=10),VLOOKUP($AN10,StateTables!$A$6:$AB$56,28,FALSE),0),IF(VLOOKUP($AN10,StateTables!$A$6:$AB$56,27,FALSE)="dbl",MIN(ROUND(0.005*$N10,2),ROUND(0.6*52/Inputs!$C$8,2)),IF(OR(VLOOKUP($AN10,StateTables!$A$6:$AB$56,18,FALSE)="",VLOOKUP($AN10,StateTables!$A$6:$AB$56,18,FALSE)=0),0,ROUND(VLOOKUP($AN10,StateTables!$A$6:$AB$56,18,FALSE)*IF(OR(VLOOKUP($AN10,StateTables!$A$6:$AB$56,19,FALSE)="",VLOOKUP($AN10,StateTables!$A$6:$AB$56,19,FALSE)=0),$N10,MIN($N10,MAX(0,VLOOKUP($AN10,StateTables!$A$6:$AB$56,19,FALSE)-($AX10+$AB9-$AW10)))),2)))))</f>
      </c>
      <c r="V10" s="7">
        <f>IF($B10="","",IF($AN10="NY",IF(Inputs!$C$78,ROUND(SUMPRODUCT((MAX(0,($O10-$D10)*Inputs!$C$8-(IF($AU10="Married",5500,5000)+1000*$AS10))&gt;INDEX('Methodology &amp; Sources'!$B$184:$J$198,0,4))*(MAX(0,($O10-$D10)*Inputs!$C$8-(IF($AU10="Married",5500,5000)+1000*$AS10))-INDEX('Methodology &amp; Sources'!$B$184:$J$198,0,4))*INDEX('Methodology &amp; Sources'!$B$184:$J$198,0,4+2))/Inputs!$C$8+0.0425*$D10,2),0)+IF(Inputs!$C$79="Resident",ROUND(0.1675*$T10,2),IF(Inputs!$C$79="Nonresident",ROUND(0.005*MAX(0,($O10-$D10)-(IF($AU10="Married",7950,7400)+1000*$AS10)/Inputs!$C$8),2),0)),IF($AN10="PA",IF(Inputs!$C$80="None",Inputs!$C$27+ROUND(Inputs!$C$81*($C10+$D10),2),ROUND(IF(Inputs!$C$80="Resident",IF($B10&lt;DATE(2027,7,1),0.03735,0.03735),IF($B10&lt;DATE(2027,7,1),0.03425,0.03425))*($C10+$D10),2)),IF($BF10=0,ROUND(Inputs!$C$81*($C10+$D10),2),Inputs!$C$27+ROUND(Inputs!$C$81*($C10+$D10),2)))))</f>
      </c>
      <c r="W10" s="7">
        <f>IF($B10="","",IF($BF10=0,0,$BP10))</f>
      </c>
      <c r="X10" s="7">
        <f>IF($B10="","",SUM($E10:$K10)+$P10+$Q10+$R10+$S10+$T10+$U10+$V10+$W10)</f>
      </c>
      <c r="Y10" s="22">
        <f>IF($B10="","",$C10+$D10-$X10)</f>
      </c>
      <c r="Z10" s="7">
        <f>IF($B10="","",$Z9+$C10+$D10)</f>
      </c>
      <c r="AA10" s="7">
        <f>IF($B10="","",$AA9+$Y10)</f>
      </c>
      <c r="AB10" s="7">
        <f>IF($B10="","",$AB9+MIN($N10,MAX(0,'Methodology &amp; Sources'!$C$3-($AX10+$AB9-$AW10))))</f>
      </c>
      <c r="AC10" s="7">
        <f>IF($B10="","",$AC9+$E10+$F10)</f>
      </c>
      <c r="AD10" s="3">
        <f>IF($B10="","",IF(AND($AB9&lt;'Methodology &amp; Sources'!$C$3,$AB10&gt;='Methodology &amp; Sources'!$C$3),"★ Social Security maxed on this check — from the next check your net rises by about $"&amp;TEXT(ROUND('Methodology &amp; Sources'!$C$4*$N10,2),"#,##0.00")&amp;". ","")&amp;IF(AND($AC9&lt;Inputs!$C$34,$AC10&gt;=Inputs!$C$34),"★ 401(k) reaches the $"&amp;TEXT(Inputs!$C$34,"#,##0")&amp;" cap on this check — deferrals stop and net pay rises. ","")&amp;IF(AND($AG9&lt;'Methodology &amp; Sources'!$C$7,$AG10&gt;='Methodology &amp; Sources'!$C$7),"★ Wages pass $200,000 — the 0.9% Additional Medicare Tax starts here. ","")&amp;IF(AND($BJ10&gt;0,$H10&gt;0,$BG9&lt;MIN($BJ10,'Methodology &amp; Sources'!$C$13),$BG9+$H10&gt;=MIN($BJ10,'Methodology &amp; Sources'!$C$13)),"★ Health FSA election is now fully deferred for the year. ",""))</f>
      </c>
      <c r="AE10" s="41" t="n"/>
      <c r="AF10" s="7">
        <f>IF(OR($B10="",$AE10=""),"",$AE10-$Y10)</f>
      </c>
      <c r="AG10" s="7">
        <f>IF($B10="","",$AG9+$N10)</f>
      </c>
      <c r="AH10" s="7">
        <f>IF($B10="","",MAX(0,($M10-$D10)*Inputs!$C$8+$AP10-$AQ10-IF(Inputs!$C$13,0,IF(Inputs!$C$12="MFJ",'Methodology &amp; Sources'!$C$8,'Methodology &amp; Sources'!$C$9))))</f>
      </c>
      <c r="AI10" s="7">
        <f>IF($B10="","",$O10*Inputs!$C$8)</f>
      </c>
      <c r="AJ10" s="7">
        <f>IF($B10="","",MAX(0,$AI10-VLOOKUP($AN10,StateTables!$A$6:$AB$56,12,FALSE)*$AT10-IF(($AS10+$AT10)&gt;=2,VLOOKUP($AN10,StateTables!$A$6:$AB$56,8,FALSE),VLOOKUP($AN10,StateTables!$A$6:$AB$56,7,FALSE))))</f>
      </c>
      <c r="AK10" s="7">
        <f>IF($B10="","",IFERROR(LOOKUP(2,1/((Events!$C$6:$C$17="Salary change")*(Events!$B$6:$B$17&lt;=$B10)*(Events!$B$6:$B$17&lt;&gt;"")),Events!$D$6:$D$17),IF(Inputs!$C$4="Annual salary",Inputs!$C$5,Inputs!$C$6)))</f>
      </c>
      <c r="AL10">
        <f>IF($B10="","",IFERROR(LOOKUP(2,1/((Events!$C$6:$C$17="401(k) change")*(Events!$B$6:$B$17&lt;=$B10)*(Events!$B$6:$B$17&lt;&gt;"")),Events!$D$6:$D$17),Inputs!$C$30))</f>
      </c>
      <c r="AM10" s="7">
        <f>IF($B10="","",IFERROR(LOOKUP(2,1/((Events!$C$6:$C$17="401(k) change")*(Events!$B$6:$B$17&lt;=$B10)*(Events!$B$6:$B$17&lt;&gt;"")),Events!$E$6:$E$17),Inputs!$D$30))</f>
      </c>
      <c r="AN10">
        <f>IF($B10="","",IFERROR(LOOKUP(2,1/((Events!$C$6:$C$17="State move")*(Events!$B$6:$B$17&lt;=$B10)*(Events!$B$6:$B$17&lt;&gt;"")),Events!$D$6:$D$17),Inputs!$C$21))</f>
      </c>
      <c r="AO10" s="7">
        <f>IF($B10="","",IFERROR(LOOKUP(2,1/((Events!$C$6:$C$17="W-4 change")*(Events!$B$6:$B$17&lt;=$B10)*(Events!$B$6:$B$17&lt;&gt;"")),Events!$D$6:$D$17),Inputs!$C$14))</f>
      </c>
      <c r="AP10" s="7">
        <f>IF($B10="","",IFERROR(LOOKUP(2,1/((Events!$C$6:$C$17="W-4 change")*(Events!$B$6:$B$17&lt;=$B10)*(Events!$B$6:$B$17&lt;&gt;"")),Events!$E$6:$E$17),Inputs!$C$15))</f>
      </c>
      <c r="AQ10" s="7">
        <f>IF($B10="","",IFERROR(LOOKUP(2,1/((Events!$C$6:$C$17="W-4 change")*(Events!$B$6:$B$17&lt;=$B10)*(Events!$B$6:$B$17&lt;&gt;"")),Events!$F$6:$F$17),Inputs!$C$16))</f>
      </c>
      <c r="AR10" s="7">
        <f>IF($B10="","",IFERROR(LOOKUP(2,1/((Events!$C$6:$C$17="W-4 change")*(Events!$B$6:$B$17&lt;=$B10)*(Events!$B$6:$B$17&lt;&gt;"")),Events!$G$6:$G$17),Inputs!$C$17))</f>
      </c>
      <c r="AS10" s="6">
        <f>IF($B10="","",IFERROR(LOOKUP(2,1/(((Events!$C$6:$C$17="State move")+(Events!$C$6:$C$17="State cert change"))*(Events!$B$6:$B$17&lt;=$B10)*(Events!$B$6:$B$17&lt;&gt;"")),Events!$F$6:$F$17),Inputs!$C$23))</f>
      </c>
      <c r="AT10" s="6">
        <f>IF($B10="","",IFERROR(LOOKUP(2,1/(((Events!$C$6:$C$17="State move")+(Events!$C$6:$C$17="State cert change"))*(Events!$B$6:$B$17&lt;=$B10)*(Events!$B$6:$B$17&lt;&gt;"")),Events!$G$6:$G$17),Inputs!$C$24))</f>
      </c>
      <c r="AU10">
        <f>IF($B10="","",IFERROR(LOOKUP(2,1/((Events!$C$6:$C$17="State move")*(Events!$B$6:$B$17&lt;=$B10)*(Events!$B$6:$B$17&lt;&gt;"")),Events!$E$6:$E$17),Inputs!$C$22))</f>
      </c>
      <c r="AV10" s="6">
        <f>IF($B10="","",1+COUNTIFS(Events!$C$6:$C$17,"Employer change",Events!$B$6:$B$17,"&lt;="&amp;$B10,Events!$B$6:$B$17,"&lt;&gt;"))</f>
      </c>
      <c r="AW10" s="7">
        <f>IF($B10="","",IF($AV10=1,Inputs!$C$94,IF(IFERROR(MATCH(IFERROR(LOOKUP(2,1/((Events!$C$6:$C$17="Employer change")*(Events!$B$6:$B$17&lt;=$B10)*(Events!$B$6:$B$17&lt;&gt;"")),Events!$B$6:$B$17),""),$B$6:$B$68,1),1)&lt;=1,Inputs!$C$94,INDEX($AB$6:$AB$68,MATCH(IFERROR(LOOKUP(2,1/((Events!$C$6:$C$17="Employer change")*(Events!$B$6:$B$17&lt;=$B10)*(Events!$B$6:$B$17&lt;&gt;"")),Events!$B$6:$B$17),""),$B$6:$B$68,1)-1))))</f>
      </c>
      <c r="AX10" s="7">
        <f>IF($B10="","",IF($AV10=1,Inputs!$C$94,IFERROR(LOOKUP(2,1/((Events!$C$6:$C$17="Employer change")*(Events!$B$6:$B$17&lt;=$B10)*(Events!$B$6:$B$17&lt;&gt;"")),Events!$D$6:$D$17),0)))</f>
      </c>
      <c r="AY10" s="7">
        <f>IF($B10="","",($O10-$D10)*Inputs!$C$8)</f>
      </c>
      <c r="AZ10" s="7">
        <f>IF($B10="","",IF($AN10="AL",MAX(0,$AY10-IF($AU10="Married",IF($AY10&lt;=25999,8500,MAX(5000,8500-175*CEILING(($AY10-25999)/500,1))),IF($AU10="Head of household",IF($AY10&lt;=25999,5200,MAX(2500,5200-135*CEILING(($AY10-25999)/500,1))),IF($AY10&lt;=25999,3000,MAX(2500,3000-25*CEILING(($AY10-25999)/500,1)))))-($P10-'Methodology &amp; Sources'!$C$10*$D10)*Inputs!$C$8-IF(OR($AU10="Married",$AU10="Head of household"),3000,1500)-$AT10*IF($AY10&lt;=50000,1000,IF($AY10&lt;=100000,500,300))),IF($AN10="AR",IF(MAX(0,$AY10-2470)&lt;97701,INT(MAX(0,$AY10-2470)/100)*100+50,MAX(0,$AY10-2470)),IF($AN10="DE",MAX(0,$AI10-3250),IF($AN10="HI",MAX(0,$AI10-1144*$AS10-4350),IF($AN10="KS",MAX(0,$AI10-(9160*IF($AU10="Married",2,1)+2320*$AT10+IF($AU10="Head of household",2320,0))),IF($AN10="MD",MAX(0,$AI10-3400-3200*$AS10),IF($AN10="MN",MAX(0,$AY10-5300*$AS10),IF($AN10="MO",MAX(0,$AI10-IF($AU10="Head of household",24150,IF($AU10="Married",IF(Inputs!$C$83,16100,32200),16100))),IF($AN10="MT",$AY10,IF($AN10="ND",($C10+$L10)*Inputs!$C$8,IF($AN10="NE",MAX(0,$AY10-2440*$AS10),IF($AN10="NJ",MAX(0,$AY10-1000*$AS10),IF($AN10="NY",MAX(0,$AY10-(IF($AU10="Married",7950,7400)+1000*$AS10)),IF($AN10="OH",MAX(0,$AY10-650*$AS10),IF($AN10="OK",MAX(0,$AY10-1000*$AS10),IF($AN10="RI",MAX(0,$AI10-1000*$AS10),IF($AN10="SC",MAX(0,$AI10-5000*$AS10-IF($AS10=0,0,MIN(0.1*$AI10,7500))),IF($AN10="VA",MAX(0,$AI10-IF($AU10="Married",17500,8750)-930*$AS10-800*$AT10),IF($AN10="VT",MAX(0,$AI10-5400*$AS10),IF($AN10="WI",MAX(0,$AI10-MAX(0,IF($AU10="Married",9461-0.2*MAX(0,$AI10-25727),6702-0.12*MAX(0,$AI10-17780)))-400*$AS10),IF($AN10="WV",MAX(0,$AI10-2000*$AS10),$AI10))))))))))))))))))))))</f>
      </c>
      <c r="BA10" s="7">
        <f>IF($B10="","",IF($BW10&lt;&gt;"",$BW10,IF($BX10&lt;&gt;"",$BX10,IF($BY10&lt;&gt;"",$BY10,0))))</f>
      </c>
      <c r="BB10" s="7">
        <f>IF($B10="","",IF($AN10="AR",-29*$AS10,IF($AN10="DE",-110*$AS10,IF($AN10="MD",$AZ10*Inputs!$C$74,IF($AN10="AZ",Inputs!$C$82*($M10-$D10)*Inputs!$C$8,IF($AN10="CO",0.044*MAX(0,$AY10-IF($AU10="Married",10000,5000)),IF($AN10="IA",MAX(0,0.038*MAX(0,$AY10-IF($AU10="Head of household",19500,IF($AU10="Married",26000,13000)))-40*$AS10),IF($AN10="ID",0.053*MAX(0,$AY10-IF($AU10="Married",32000,16094)),IF($AN10="IL",0.0495*MAX(0,$AY10-(2925*$AS10+1000*$AT10)),IF($AN10="IN",(0.0295+Inputs!$C$76)*MAX(0,$AY10-(1000*$AS10+1500*$AT10+3000*Inputs!$C$86)),IF($AN10="KY",0.035*MAX(0,$AI10-3360),IF($AN10="LA",IF(Inputs!$C$84="0",0.0309*$AI10,0.0309*MAX(0,$AI10-IF(Inputs!$C$84="2",25750,12875))),IF($AN10="MA",0.05*MIN(MAX(0,$AY10-MIN(($BD9+$Q10+$R10+$S10),2000)-IF($AS10=0,0,IF($AS10=1,4400,1000*$AS10+3400))),1107750)+0.09*MAX(0,MAX(0,$AY10-MIN(($BD9+$Q10+$R10+$S10),2000)-IF($AS10=0,0,IF($AS10=1,4400,1000*$AS10+3400)))-1107750)-IF($AU10="Head of household",120,0)-110*Inputs!$C$75,IF($AN10="MI",0.0425*MAX(0,$AY10-5900*$AS10),IF($AN10="MS",0.04*MAX(0,$AI10-IF($AU10="Head of household",3400,IF($AU10="Married",4600,2300))-Inputs!$C$85-10000),IF($AN10="OR",IF(OR($AU10="Married",AND($AU10="Single",$AS10&gt;=3)),SUMPRODUCT((MAX(0,$AY10-MIN(($P10-'Methodology &amp; Sources'!$C$10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Sources'!$B$211:$J$214,0,4))*(MAX(0,$AY10-MIN(($P10-'Methodology &amp; Sources'!$C$10*$D10)*Inputs!$C$8,IF(OR($AU10="Married",AND($AU10="Single",$AS10&gt;=3)),IF($AY10&lt;250000,8750,IF($AY10&lt;260000,7000,IF($AY10&lt;270000,5250,IF($AY10&lt;280000,3500,IF($AY10&lt;290000,1750,0))))),IF($AY10&lt;125000,8750,IF($AY10&lt;130000,7000,IF($AY10&lt;135000,5250,IF($AY10&lt;140000,3500,IF($AY10&lt;145000,1750,0)))))))-IF(OR($AU10="Married",AND($AU10="Single",$AS10&gt;=3)),5820,2910))-INDEX('Methodology &amp; Sources'!$B$211:$J$214,0,4))*INDEX('Methodology &amp; Sources'!$B$211:$J$214,0,4+2)),SUMPRODUCT((MAX(0,$AY10-MIN(($P10-'Methodology &amp; Sources'!$C$10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Sources'!$B$211:$J$214,0,1))*(MAX(0,$AY10-MIN(($P10-'Methodology &amp; Sources'!$C$10*$D10)*Inputs!$C$8,IF(OR($AU10="Married",AND($AU10="Single",$AS10&gt;=3)),IF($AY10&lt;250000,8750,IF($AY10&lt;260000,7000,IF($AY10&lt;270000,5250,IF($AY10&lt;280000,3500,IF($AY10&lt;290000,1750,0))))),IF($AY10&lt;125000,8750,IF($AY10&lt;130000,7000,IF($AY10&lt;135000,5250,IF($AY10&lt;140000,3500,IF($AY10&lt;145000,1750,0)))))))-IF(OR($AU10="Married",AND($AU10="Single",$AS10&gt;=3)),5820,2910))-INDEX('Methodology &amp; Sources'!$B$211:$J$214,0,1))*INDEX('Methodology &amp; Sources'!$B$211:$J$214,0,1+2)))+263-263*IF(IF($AU10="Married",$AY10&gt;200000,$AY10&gt;100000),0,$AS10),IF($AN10="PA",0.0307*(($O10+$E10+$G10)*Inputs!$C$8),IF($AN10="NY",IF($AU10="Married",IF($AZ10&gt;=2155350,0,IF($AZ10&gt;=1077550,0.48,IF($AZ10&gt;=373200,1.21,IF($AZ10&gt;=323200,0.21,IF($AZ10&gt;=211550,-0.19,IF($AZ10&gt;=157650,-2.8,IF($AZ10&gt;=107650,-0.8,IF($AZ10&gt;=96800,0.05,IF($AZ10&gt;=80650,-0.1,IF($AZ10&gt;=13900,0.4,IF($AZ10&gt;=11700,-0.3,IF($AZ10&gt;=8500,0.5,0)))))))))))),IF($AZ10&gt;=1077550,0,IF($AZ10&gt;=265400,4.29,IF($AZ10&gt;=215400,2.29,IF($AZ10&gt;=157650,2.29,IF($AZ10&gt;=107650,0.29,IF($AZ10&gt;=96800,0.05,IF($AZ10&gt;=80650,-0.1,IF($AZ10&gt;=13900,0.4,IF($AZ10&gt;=11700,-0.3,IF($AZ10&gt;=8500,0.5,0))))))))))),0))))))))))))))))))</f>
      </c>
      <c r="BC10" s="7">
        <f>IF($B10="","",IF($AN10="AL",0.05*$D10,IF($AN10="AR",0.039*$D10,IF($AN10="ID",0.053*$D10,IF($AN10="IN",(0.0295+Inputs!$C$76)*$D10,IF($AN10="KS",0.05*$D10,IF($AN10="MA",0.09*MIN($D10,MAX(0,MAX(0,$AY10-MIN(($BD9+$Q10+$R10+$S10),2000)-IF($AS10=0,0,IF($AS10=1,4400,1000*$AS10+3400)))+$D10-1107750))+0.05*($D10-MIN($D10,MAX(0,MAX(0,$AY10-MIN(($BD9+$Q10+$R10+$S10),2000)-IF($AS10=0,0,IF($AS10=1,4400,1000*$AS10+3400)))+$D10-1107750))),IF($AN10="MD",(0.065+Inputs!$C$74)*$D10,IF($AN10="MI",0.0425*$D10,IF($AN10="MN",0.0625*$D10,IF($AN10="MO",0.047*$D10,IF($AN10="MT",0.05*$D10,IF($AN10="ND",0.015*$D10,IF($AN10="NE",0.035*$D10,IF($AN10="NJ",IF(Inputs!$C$77="B",SUMPRODUCT(($D10*Inputs!$C$8&gt;INDEX('Methodology &amp; Sources'!$B$155:$J$162,0,4))*($D10*Inputs!$C$8-INDEX('Methodology &amp; Sources'!$B$155:$J$162,0,4))*INDEX('Methodology &amp; Sources'!$B$155:$J$162,0,4+2)),IF(Inputs!$C$77="C",SUMPRODUCT(($D10*Inputs!$C$8&gt;INDEX('Methodology &amp; Sources'!$B$155:$J$162,0,7))*($D10*Inputs!$C$8-INDEX('Methodology &amp; Sources'!$B$155:$J$162,0,7))*INDEX('Methodology &amp; Sources'!$B$155:$J$162,0,7+2)),IF(Inputs!$C$77="D",SUMPRODUCT(($D10*Inputs!$C$8&gt;INDEX('Methodology &amp; Sources'!$B$167:$J$179,0,1))*($D10*Inputs!$C$8-INDEX('Methodology &amp; Sources'!$B$167:$J$179,0,1))*INDEX('Methodology &amp; Sources'!$B$167:$J$179,0,1+2)),IF(Inputs!$C$77="E",SUMPRODUCT(($D10*Inputs!$C$8&gt;INDEX('Methodology &amp; Sources'!$B$167:$J$179,0,4))*($D10*Inputs!$C$8-INDEX('Methodology &amp; Sources'!$B$167:$J$179,0,4))*INDEX('Methodology &amp; Sources'!$B$167:$J$179,0,4+2)),SUMPRODUCT(($D10*Inputs!$C$8&gt;INDEX('Methodology &amp; Sources'!$B$155:$J$162,0,1))*($D10*Inputs!$C$8-INDEX('Methodology &amp; Sources'!$B$155:$J$162,0,1))*INDEX('Methodology &amp; Sources'!$B$155:$J$162,0,1+2))))))/Inputs!$C$8,IF($AN10="NY",0.117*$D10,IF($AN10="OH",0.0275*$D10,IF($AN10="OK",0.045*$D10,IF($AN10="OR",0.08*$D10,IF($AN10="WI",IF($AY10&lt;12760,0.0354,IF($AY10&lt;25520,0.0465,IF($AY10&lt;280950,0.053,0.0765)))*$D10,0))))))))))))))))))))</f>
      </c>
      <c r="BD10" s="7">
        <f>IF($B10="","",$BD9+$Q10+$R10+$S10)</f>
      </c>
      <c r="BE10" s="6">
        <f>IF($B10="",$BE9,$BE9+$BF10)</f>
      </c>
      <c r="BF10" s="6">
        <f>IF($B10="","",IF(AND(IF(YEAR(IF(Inputs!$C$7="Weekly",Inputs!$C$90+7*(($BE9+1)-1),IF(Inputs!$C$7="Biweekly",Inputs!$C$90+14*(($BE9+1)-1),IF(Inputs!$C$7="Semimonthly",DATE(YEAR(Inputs!$C$9),MONTH(Inputs!$C$9)+INT((($BE9+1)-1+'Rest of 2026'!$C$2)/2),MIN(DAY(Inputs!$C$9),DAY(EOMONTH(DATE(YEAR(Inputs!$C$9),MONTH(Inputs!$C$9)+INT((($BE9+1)-1+'Rest of 2026'!$C$2)/2),1),0))))+IF(MOD(($BE9+1)-1+'Rest of 2026'!$C$2,2)=1,15,0),EDATE(Inputs!$C$90,($BE9+1)-1)))))&lt;&gt;Inputs!$C$10,"",IF(Inputs!$C$7="Weekly",Inputs!$C$90+7*(($BE9+1)-1),IF(Inputs!$C$7="Biweekly",Inputs!$C$90+14*(($BE9+1)-1),IF(Inputs!$C$7="Semimonthly",DATE(YEAR(Inputs!$C$9),MONTH(Inputs!$C$9)+INT((($BE9+1)-1+'Rest of 2026'!$C$2)/2),MIN(DAY(Inputs!$C$9),DAY(EOMONTH(DATE(YEAR(Inputs!$C$9),MONTH(Inputs!$C$9)+INT((($BE9+1)-1+'Rest of 2026'!$C$2)/2),1),0))))+IF(MOD(($BE9+1)-1+'Rest of 2026'!$C$2,2)=1,15,0),EDATE(Inputs!$C$90,($BE9+1)-1)))))&lt;&gt;"",$B10=IF(YEAR(IF(Inputs!$C$7="Weekly",Inputs!$C$90+7*(($BE9+1)-1),IF(Inputs!$C$7="Biweekly",Inputs!$C$90+14*(($BE9+1)-1),IF(Inputs!$C$7="Semimonthly",DATE(YEAR(Inputs!$C$9),MONTH(Inputs!$C$9)+INT((($BE9+1)-1+'Rest of 2026'!$C$2)/2),MIN(DAY(Inputs!$C$9),DAY(EOMONTH(DATE(YEAR(Inputs!$C$9),MONTH(Inputs!$C$9)+INT((($BE9+1)-1+'Rest of 2026'!$C$2)/2),1),0))))+IF(MOD(($BE9+1)-1+'Rest of 2026'!$C$2,2)=1,15,0),EDATE(Inputs!$C$90,($BE9+1)-1)))))&lt;&gt;Inputs!$C$10,"",IF(Inputs!$C$7="Weekly",Inputs!$C$90+7*(($BE9+1)-1),IF(Inputs!$C$7="Biweekly",Inputs!$C$90+14*(($BE9+1)-1),IF(Inputs!$C$7="Semimonthly",DATE(YEAR(Inputs!$C$9),MONTH(Inputs!$C$9)+INT((($BE9+1)-1+'Rest of 2026'!$C$2)/2),MIN(DAY(Inputs!$C$9),DAY(EOMONTH(DATE(YEAR(Inputs!$C$9),MONTH(Inputs!$C$9)+INT((($BE9+1)-1+'Rest of 2026'!$C$2)/2),1),0))))+IF(MOD(($BE9+1)-1+'Rest of 2026'!$C$2,2)=1,15,0),EDATE(Inputs!$C$90,($BE9+1)-1)))))),1,0))</f>
      </c>
      <c r="BG10" s="7">
        <f>IF($B10="","",$BG9+$H10)</f>
      </c>
      <c r="BH10" s="7">
        <f>IF($B10="","",$BH9+$I10)</f>
      </c>
      <c r="BI10" s="7">
        <f>IF($B10="","",$BI9+$G10)</f>
      </c>
      <c r="BJ10" s="7">
        <f>IF($B10="","",IFERROR(LOOKUP(2,1/((((Events!$C$6:$C$17="Deduction start"))*(Events!$D$6:$D$17="Health FSA"))*(Events!$B$6:$B$17&lt;=$B10)*(Events!$B$6:$B$17&lt;&gt;"")),Events!$E$6:$E$17),Inputs!$D$38))</f>
      </c>
      <c r="BK10" s="7">
        <f>IF($B10="","",IFERROR(LOOKUP(2,1/((((Events!$C$6:$C$17="Deduction start"))*(Events!$D$6:$D$17="Dependent-care FSA"))*(Events!$B$6:$B$17&lt;=$B10)*(Events!$B$6:$B$17&lt;&gt;"")),Events!$E$6:$E$17),Inputs!$D$39))</f>
      </c>
      <c r="BL10" s="7">
        <f>IF($B10="","",IFERROR(LOOKUP(2,1/((((Events!$C$6:$C$17="Deduction start")+(Events!$C$6:$C$17="Deduction stop"))*(Events!$D$6:$D$17="HSA"))*(Events!$B$6:$B$17&lt;=$B10)*(Events!$B$6:$B$17&lt;&gt;"")),Events!$I$6:$I$17),Inputs!$D$35))</f>
      </c>
      <c r="BM10" s="7">
        <f>IF($B10="","",IFERROR(LOOKUP(2,1/((((Events!$C$6:$C$17="Deduction start")+(Events!$C$6:$C$17="Deduction stop"))*(Events!$D$6:$D$17="Premiums"))*(Events!$B$6:$B$17&lt;=$B10)*(Events!$B$6:$B$17&lt;&gt;"")),Events!$I$6:$I$17),Inputs!$D$40+Inputs!$D$41+Inputs!$D$42))</f>
      </c>
      <c r="BN10" s="7">
        <f>IF($B10="","",IFERROR(LOOKUP(2,1/((((Events!$C$6:$C$17="Deduction start")+(Events!$C$6:$C$17="Deduction stop"))*(Events!$D$6:$D$17="Commuter"))*(Events!$B$6:$B$17&lt;=$B10)*(Events!$B$6:$B$17&lt;&gt;"")),Events!$I$6:$I$17),Inputs!$D$43))</f>
      </c>
      <c r="BO10" s="7">
        <f>IF($B10="","",IFERROR(LOOKUP(2,1/((((Events!$C$6:$C$17="Deduction start")+(Events!$C$6:$C$17="Deduction stop"))*(Events!$D$6:$D$17="Other pre-tax"))*(Events!$B$6:$B$17&lt;=$B10)*(Events!$B$6:$B$17&lt;&gt;"")),Events!$I$6:$I$17),Inputs!$D$44))</f>
      </c>
      <c r="BP10" s="7">
        <f>IF($B10="","",IFERROR(LOOKUP(2,1/((((Events!$C$6:$C$17="Deduction start")+(Events!$C$6:$C$17="Deduction stop"))*(Events!$D$6:$D$17="Other post-tax"))*(Events!$B$6:$B$17&lt;=$B10)*(Events!$B$6:$B$17&lt;&gt;"")),Events!$I$6:$I$17),Inputs!$D$45))</f>
      </c>
      <c r="BQ10" s="6">
        <f>IF($B10="","",IFERROR(LOOKUP(2,1/((((Events!$C$6:$C$17="Deduction start")+(Events!$C$6:$C$17="Deduction stop"))*(Events!$D$6:$D$17="Health FSA"))*(Events!$B$6:$B$17&lt;=$B10)*(Events!$B$6:$B$17&lt;&gt;"")),Events!$J$6:$J$17),0))</f>
      </c>
      <c r="BR10" s="6">
        <f>IF($B10="","",IFERROR(LOOKUP(2,1/((((Events!$C$6:$C$17="Deduction start")+(Events!$C$6:$C$17="Deduction stop"))*(Events!$D$6:$D$17="Dependent-care FSA"))*(Events!$B$6:$B$17&lt;=$B10)*(Events!$B$6:$B$17&lt;&gt;"")),Events!$J$6:$J$17),0))</f>
      </c>
      <c r="BS10" s="6">
        <f>IF($B10="","",IF(SUMPRODUCT((Events!$C$6:$C$17="Deduction start")*(Events!$B$6:$B$17&lt;=$B10)*(Events!$B$6:$B$17&lt;&gt;"")*(Events!$D$6:$D$17="Health FSA"))&gt;0,1,0))</f>
      </c>
      <c r="BT10" s="6">
        <f>IF($B10="","",IF(SUMPRODUCT((Events!$C$6:$C$17="Deduction start")*(Events!$B$6:$B$17&lt;=$B10)*(Events!$B$6:$B$17&lt;&gt;"")*(Events!$D$6:$D$17="Dependent-care FSA"))&gt;0,1,0))</f>
      </c>
      <c r="BU10" s="24">
        <f>IF($B10="","",IF(Inputs!$C$13,SUMPRODUCT(($AH10&gt;=INDEX('Methodology &amp; Sources'!$B$29:$J$36,0,IF(Inputs!$C$12="MFJ",1,IF(Inputs!$C$12="HoH",7,4))))*INDEX('Methodology &amp; Sources'!$B$29:$J$36,0,IF(Inputs!$C$12="MFJ",1,IF(Inputs!$C$12="HoH",7,4))+2)),SUMPRODUCT(($AH10&gt;=INDEX('Methodology &amp; Sources'!$B$19:$J$26,0,IF(Inputs!$C$12="MFJ",1,IF(Inputs!$C$12="HoH",7,4))))*INDEX('Methodology &amp; Sources'!$B$19:$J$26,0,IF(Inputs!$C$12="MFJ",1,IF(Inputs!$C$12="HoH",7,4))+2))))</f>
      </c>
      <c r="BV10" s="24">
        <f>IF($B10="","",IF($BZ10&lt;&gt;"",$BZ10,IF($CA10&lt;&gt;"",$CA10,IF($CB10&lt;&gt;"",$CB10,IF($CC10&lt;&gt;"",$CC10,0)))))</f>
      </c>
      <c r="BW10" s="7">
        <f>IF($B10="","",IF($AN10="MD",IF(OR($AU10="Married",$AU10="Head of household"),SUMPRODUCT(($AZ10&gt;INDEX('Methodology &amp; Sources'!$B$114:$J$120,0,1))*($AZ10-INDEX('Methodology &amp; Sources'!$B$114:$J$120,0,1))*INDEX('Methodology &amp; Sources'!$B$114:$J$120,0,1+2)),SUMPRODUCT(($AZ10&gt;INDEX('Methodology &amp; Sources'!$B$103:$J$109,0,7))*($AZ10-INDEX('Methodology &amp; Sources'!$B$103:$J$109,0,7))*INDEX('Methodology &amp; Sources'!$B$103:$J$109,0,7+2))),IF($AN10="MO",SUMPRODUCT(($AZ10&gt;INDEX('Methodology &amp; Sources'!$B$125:$J$132,0,1))*($AZ10-INDEX('Methodology &amp; Sources'!$B$125:$J$132,0,1))*INDEX('Methodology &amp; Sources'!$B$125:$J$132,0,1+2)),IF($AN10="MT",IF($AU10="Head of household",SUMPRODUCT(($AZ10&gt;INDEX('Methodology &amp; Sources'!$B$137:$J$139,0,1))*($AZ10-INDEX('Methodology &amp; Sources'!$B$137:$J$139,0,1))*INDEX('Methodology &amp; Sources'!$B$137:$J$139,0,1+2)),IF($AU10="Married",SUMPRODUCT(($AZ10&gt;INDEX('Methodology &amp; Sources'!$B$125:$J$132,0,7))*($AZ10-INDEX('Methodology &amp; Sources'!$B$125:$J$132,0,7))*INDEX('Methodology &amp; Sources'!$B$125:$J$132,0,7+2)),SUMPRODUCT(($AZ10&gt;INDEX('Methodology &amp; Sources'!$B$125:$J$132,0,4))*($AZ10-INDEX('Methodology &amp; Sources'!$B$125:$J$132,0,4))*INDEX('Methodology &amp; Sources'!$B$125:$J$132,0,4+2)))),IF($AN10="ND",IF($AU10="Head of household",SUMPRODUCT(($AZ10&gt;INDEX('Methodology &amp; Sources'!$B$144:$J$150,0,1))*($AZ10-INDEX('Methodology &amp; Sources'!$B$144:$J$150,0,1))*INDEX('Methodology &amp; Sources'!$B$144:$J$150,0,1+2)),IF($AU10="Married",SUMPRODUCT(($AZ10&gt;INDEX('Methodology &amp; Sources'!$B$137:$J$139,0,7))*($AZ10-INDEX('Methodology &amp; Sources'!$B$137:$J$139,0,7))*INDEX('Methodology &amp; Sources'!$B$137:$J$139,0,7+2)),SUMPRODUCT(($AZ10&gt;INDEX('Methodology &amp; Sources'!$B$137:$J$139,0,4))*($AZ10-INDEX('Methodology &amp; Sources'!$B$137:$J$139,0,4))*INDEX('Methodology &amp; Sources'!$B$137:$J$139,0,4+2)))),IF($AN10="NJ",IF(Inputs!$C$77="B",SUMPRODUCT(($AZ10&gt;INDEX('Methodology &amp; Sources'!$B$155:$J$162,0,4))*($AZ10-INDEX('Methodology &amp; Sources'!$B$155:$J$162,0,4))*INDEX('Methodology &amp; Sources'!$B$155:$J$162,0,4+2)),IF(Inputs!$C$77="C",SUMPRODUCT(($AZ10&gt;INDEX('Methodology &amp; Sources'!$B$155:$J$162,0,7))*($AZ10-INDEX('Methodology &amp; Sources'!$B$155:$J$162,0,7))*INDEX('Methodology &amp; Sources'!$B$155:$J$162,0,7+2)),IF(Inputs!$C$77="D",SUMPRODUCT(($AZ10&gt;INDEX('Methodology &amp; Sources'!$B$167:$J$179,0,1))*($AZ10-INDEX('Methodology &amp; Sources'!$B$167:$J$179,0,1))*INDEX('Methodology &amp; Sources'!$B$167:$J$179,0,1+2)),IF(Inputs!$C$77="E",SUMPRODUCT(($AZ10&gt;INDEX('Methodology &amp; Sources'!$B$167:$J$179,0,4))*($AZ10-INDEX('Methodology &amp; Sources'!$B$167:$J$179,0,4))*INDEX('Methodology &amp; Sources'!$B$167:$J$179,0,4+2)),SUMPRODUCT(($AZ10&gt;INDEX('Methodology &amp; Sources'!$B$155:$J$162,0,1))*($AZ10-INDEX('Methodology &amp; Sources'!$B$155:$J$162,0,1))*INDEX('Methodology &amp; Sources'!$B$155:$J$162,0,1+2)))))),IF($AN10="NY",IF($AU10="Married",IF($AZ10&gt;=2155350,$AZ10*IF($AZ10&gt;25000000,0.117,IF($AZ10&gt;5000000,0.111,0.1045)),SUMPRODUCT(($AZ10&gt;INDEX('Methodology &amp; Sources'!$B$184:$J$198,0,1))*($AZ10-INDEX('Methodology &amp; Sources'!$B$184:$J$198,0,1))*INDEX('Methodology &amp; Sources'!$B$184:$J$198,0,1+2))),IF($AZ10&gt;=1077550,$AZ10*IF($AZ10&gt;25000000,0.117,IF($AZ10&gt;5000000,0.111,0.1045)),SUMPRODUCT(($AZ10&gt;INDEX('Methodology &amp; Sources'!$B$167:$J$179,0,7))*($AZ10-INDEX('Methodology &amp; Sources'!$B$167:$J$179,0,7))*INDEX('Methodology &amp; Sources'!$B$167:$J$179,0,7+2)))),"")))))))</f>
      </c>
      <c r="BX10" s="7">
        <f>IF($B10="","",IF($AN10="AL",IF(OR($AU10="Married",$AU10="Head of household"),SUMPRODUCT(($AZ10&gt;INDEX('Methodology &amp; Sources'!$B$82:$J$86,0,4))*($AZ10-INDEX('Methodology &amp; Sources'!$B$82:$J$86,0,4))*INDEX('Methodology &amp; Sources'!$B$82:$J$86,0,4+2)),SUMPRODUCT(($AZ10&gt;INDEX('Methodology &amp; Sources'!$B$82:$J$86,0,1))*($AZ10-INDEX('Methodology &amp; Sources'!$B$82:$J$86,0,1))*INDEX('Methodology &amp; Sources'!$B$82:$J$86,0,1+2))),IF($AN10="KS",IF($AU10="Married",SUMPRODUCT(($AZ10&gt;INDEX('Methodology &amp; Sources'!$B$103:$J$109,0,4))*($AZ10-INDEX('Methodology &amp; Sources'!$B$103:$J$109,0,4))*INDEX('Methodology &amp; Sources'!$B$103:$J$109,0,4+2)),SUMPRODUCT(($AZ10&gt;INDEX('Methodology &amp; Sources'!$B$103:$J$109,0,1))*($AZ10-INDEX('Methodology &amp; Sources'!$B$103:$J$109,0,1))*INDEX('Methodology &amp; Sources'!$B$103:$J$109,0,1+2))),IF($AN10="MN",IF($AU10="Married",SUMPRODUCT(($AZ10&gt;INDEX('Methodology &amp; Sources'!$B$114:$J$120,0,7))*($AZ10-INDEX('Methodology &amp; Sources'!$B$114:$J$120,0,7))*INDEX('Methodology &amp; Sources'!$B$114:$J$120,0,7+2)),SUMPRODUCT(($AZ10&gt;INDEX('Methodology &amp; Sources'!$B$114:$J$120,0,4))*($AZ10-INDEX('Methodology &amp; Sources'!$B$114:$J$120,0,4))*INDEX('Methodology &amp; Sources'!$B$114:$J$120,0,4+2))),IF($AN10="NE",MAX(IF($AU10="Married",SUMPRODUCT(($AZ10&gt;INDEX('Methodology &amp; Sources'!$B$144:$J$150,0,7))*($AZ10-INDEX('Methodology &amp; Sources'!$B$144:$J$150,0,7))*INDEX('Methodology &amp; Sources'!$B$144:$J$150,0,7+2)),SUMPRODUCT(($AZ10&gt;INDEX('Methodology &amp; Sources'!$B$144:$J$150,0,4))*($AZ10-INDEX('Methodology &amp; Sources'!$B$144:$J$150,0,4))*INDEX('Methodology &amp; Sources'!$B$144:$J$150,0,4+2))),0.015*$AZ10),IF($AN10="OH",IF($B10&gt;=DATE(2027,8,1),SUMPRODUCT(($AZ10&gt;INDEX('Methodology &amp; Sources'!$B$203:$J$206,0,1))*($AZ10-INDEX('Methodology &amp; Sources'!$B$203:$J$206,0,1))*INDEX('Methodology &amp; Sources'!$B$203:$J$206,0,1+2)),SUMPRODUCT(($AZ10&gt;INDEX('Methodology &amp; Sources'!$B$184:$J$198,0,7))*($AZ10-INDEX('Methodology &amp; Sources'!$B$184:$J$198,0,7))*INDEX('Methodology &amp; Sources'!$B$184:$J$198,0,7+2))),IF($AN10="OK",IF($AU10="Married",SUMPRODUCT(($AZ10&gt;INDEX('Methodology &amp; Sources'!$B$203:$J$206,0,7))*($AZ10-INDEX('Methodology &amp; Sources'!$B$203:$J$206,0,7))*INDEX('Methodology &amp; Sources'!$B$203:$J$206,0,7+2)),SUMPRODUCT(($AZ10&gt;INDEX('Methodology &amp; Sources'!$B$203:$J$206,0,4))*($AZ10-INDEX('Methodology &amp; Sources'!$B$203:$J$206,0,4))*INDEX('Methodology &amp; Sources'!$B$203:$J$206,0,4+2))),IF($AN10="RI",SUMPRODUCT(($AZ10&gt;INDEX('Methodology &amp; Sources'!$B$211:$J$214,0,7))*($AZ10-INDEX('Methodology &amp; Sources'!$B$211:$J$214,0,7))*INDEX('Methodology &amp; Sources'!$B$211:$J$214,0,7+2)),IF($AN10="VT",IF($AU10="Married",SUMPRODUCT(($AZ10&gt;INDEX('Methodology &amp; Sources'!$B$228:$J$232,0,1))*($AZ10-INDEX('Methodology &amp; Sources'!$B$228:$J$232,0,1))*INDEX('Methodology &amp; Sources'!$B$228:$J$232,0,1+2)),SUMPRODUCT(($AZ10&gt;INDEX('Methodology &amp; Sources'!$B$219:$J$223,0,7))*($AZ10-INDEX('Methodology &amp; Sources'!$B$219:$J$223,0,7))*INDEX('Methodology &amp; Sources'!$B$219:$J$223,0,7+2))),IF($AN10="WV",IF($AU10="Married",SUMPRODUCT(($AZ10&gt;INDEX('Methodology &amp; Sources'!$B$237:$J$241,0,7))*($AZ10-INDEX('Methodology &amp; Sources'!$B$237:$J$241,0,7))*INDEX('Methodology &amp; Sources'!$B$237:$J$241,0,7+2)),SUMPRODUCT(($AZ10&gt;INDEX('Methodology &amp; Sources'!$B$228:$J$232,0,7))*($AZ10-INDEX('Methodology &amp; Sources'!$B$228:$J$232,0,7))*INDEX('Methodology &amp; Sources'!$B$228:$J$232,0,7+2))),""))))))))))</f>
      </c>
      <c r="BY10" s="7">
        <f>IF($B10="","",IF($AN10="AR",SUMPRODUCT(($AZ10&gt;INDEX('Methodology &amp; Sources'!$B$82:$J$86,0,7))*($AZ10-INDEX('Methodology &amp; Sources'!$B$82:$J$86,0,7))*INDEX('Methodology &amp; Sources'!$B$82:$J$86,0,7+2)),IF($AN10="DE",SUMPRODUCT(($AZ10&gt;INDEX('Methodology &amp; Sources'!$B$91:$J$98,0,1))*($AZ10-INDEX('Methodology &amp; Sources'!$B$91:$J$98,0,1))*INDEX('Methodology &amp; Sources'!$B$91:$J$98,0,1+2)),IF($AN10="HI",IF($AU10="Married",SUMPRODUCT(($AZ10&gt;INDEX('Methodology &amp; Sources'!$B$91:$J$98,0,7))*($AZ10-INDEX('Methodology &amp; Sources'!$B$91:$J$98,0,7))*INDEX('Methodology &amp; Sources'!$B$91:$J$98,0,7+2)),SUMPRODUCT(($AZ10&gt;INDEX('Methodology &amp; Sources'!$B$91:$J$98,0,4))*($AZ10-INDEX('Methodology &amp; Sources'!$B$91:$J$98,0,4))*INDEX('Methodology &amp; Sources'!$B$91:$J$98,0,4+2))),IF($AN10="SC",SUMPRODUCT(($AZ10&gt;INDEX('Methodology &amp; Sources'!$B$219:$J$223,0,1))*($AZ10-INDEX('Methodology &amp; Sources'!$B$219:$J$223,0,1))*INDEX('Methodology &amp; Sources'!$B$219:$J$223,0,1+2)),IF($AN10="VA",SUMPRODUCT(($AZ10&gt;INDEX('Methodology &amp; Sources'!$B$219:$J$223,0,4))*($AZ10-INDEX('Methodology &amp; Sources'!$B$219:$J$223,0,4))*INDEX('Methodology &amp; Sources'!$B$219:$J$223,0,4+2)),IF($AN10="WI",SUMPRODUCT(($AZ10&gt;INDEX('Methodology &amp; Sources'!$B$228:$J$232,0,4))*($AZ10-INDEX('Methodology &amp; Sources'!$B$228:$J$232,0,4))*INDEX('Methodology &amp; Sources'!$B$228:$J$232,0,4+2)),"")))))))</f>
      </c>
      <c r="BZ10" s="24">
        <f>IF($B10="","",IF($AN10="NJ",IF(Inputs!$C$77="B",SUMPRODUCT(($AZ10&gt;=INDEX('Methodology &amp; Sources'!$B$155:$J$162,0,4))*INDEX('Methodology &amp; Sources'!$B$155:$J$162,0,4+2)),IF(Inputs!$C$77="C",SUMPRODUCT(($AZ10&gt;=INDEX('Methodology &amp; Sources'!$B$155:$J$162,0,7))*INDEX('Methodology &amp; Sources'!$B$155:$J$162,0,7+2)),IF(Inputs!$C$77="D",SUMPRODUCT(($AZ10&gt;=INDEX('Methodology &amp; Sources'!$B$167:$J$179,0,1))*INDEX('Methodology &amp; Sources'!$B$167:$J$179,0,1+2)),IF(Inputs!$C$77="E",SUMPRODUCT(($AZ10&gt;=INDEX('Methodology &amp; Sources'!$B$167:$J$179,0,4))*INDEX('Methodology &amp; Sources'!$B$167:$J$179,0,4+2)),SUMPRODUCT(($AZ10&gt;=INDEX('Methodology &amp; Sources'!$B$155:$J$162,0,1))*INDEX('Methodology &amp; Sources'!$B$155:$J$162,0,1+2)))))),IF($AN10="OR",IF(OR($AU10="Married",AND($AU10="Single",$AS10&gt;=3)),SUMPRODUCT((MAX(0,$AY10-MIN(($P10-'Methodology &amp; Sources'!$C$10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Sources'!$B$211:$J$214,0,4))*INDEX('Methodology &amp; Sources'!$B$211:$J$214,0,4+2)),SUMPRODUCT((MAX(0,$AY10-MIN(($P10-'Methodology &amp; Sources'!$C$10*$D10)*Inputs!$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Sources'!$B$211:$J$214,0,1))*INDEX('Methodology &amp; Sources'!$B$211:$J$214,0,1+2)))*IF(($P10-'Methodology &amp; Sources'!$C$10*$D10)*Inputs!$C$8&gt;=IF(OR($AU10="Married",AND($AU10="Single",$AS10&gt;=3)),IF($AY10&lt;250000,8750,IF($AY10&lt;260000,7000,IF($AY10&lt;270000,5250,IF($AY10&lt;280000,3500,IF($AY10&lt;290000,1750,0))))),IF($AY10&lt;125000,8750,IF($AY10&lt;130000,7000,IF($AY10&lt;135000,5250,IF($AY10&lt;140000,3500,IF($AY10&lt;145000,1750,0)))))),1,1-IF(Inputs!$C$13,SUMPRODUCT(($AH10&gt;=INDEX('Methodology &amp; Sources'!$B$29:$J$36,0,IF(Inputs!$C$12="MFJ",1,IF(Inputs!$C$12="HoH",7,4))))*INDEX('Methodology &amp; Sources'!$B$29:$J$36,0,IF(Inputs!$C$12="MFJ",1,IF(Inputs!$C$12="HoH",7,4))+2)),SUMPRODUCT(($AH10&gt;=INDEX('Methodology &amp; Sources'!$B$19:$J$26,0,IF(Inputs!$C$12="MFJ",1,IF(Inputs!$C$12="HoH",7,4))))*INDEX('Methodology &amp; Sources'!$B$19:$J$26,0,IF(Inputs!$C$12="MFJ",1,IF(Inputs!$C$12="HoH",7,4))+2)))),IF($AN10="MI",IF($AY10&gt;5900*$AS10,0.0425,0),""))))</f>
      </c>
      <c r="CA10" s="24">
        <f>IF($B10="","",IF($AN10="AL",IF(OR($AU10="Married",$AU10="Head of household"),SUMPRODUCT(($AZ10&gt;=INDEX('Methodology &amp; Sources'!$B$82:$J$86,0,4))*INDEX('Methodology &amp; Sources'!$B$82:$J$86,0,4+2)),SUMPRODUCT(($AZ10&gt;=INDEX('Methodology &amp; Sources'!$B$82:$J$86,0,1))*INDEX('Methodology &amp; Sources'!$B$82:$J$86,0,1+2)))*(1-IF(Inputs!$C$13,SUMPRODUCT(($AH10&gt;=INDEX('Methodology &amp; Sources'!$B$29:$J$36,0,IF(Inputs!$C$12="MFJ",1,IF(Inputs!$C$12="HoH",7,4))))*INDEX('Methodology &amp; Sources'!$B$29:$J$36,0,IF(Inputs!$C$12="MFJ",1,IF(Inputs!$C$12="HoH",7,4))+2)),SUMPRODUCT(($AH10&gt;=INDEX('Methodology &amp; Sources'!$B$19:$J$26,0,IF(Inputs!$C$12="MFJ",1,IF(Inputs!$C$12="HoH",7,4))))*INDEX('Methodology &amp; Sources'!$B$19:$J$26,0,IF(Inputs!$C$12="MFJ",1,IF(Inputs!$C$12="HoH",7,4))+2)))),IF($AN10="KS",IF($AU10="Married",SUMPRODUCT(($AZ10&gt;=INDEX('Methodology &amp; Sources'!$B$103:$J$109,0,4))*INDEX('Methodology &amp; Sources'!$B$103:$J$109,0,4+2)),SUMPRODUCT(($AZ10&gt;=INDEX('Methodology &amp; Sources'!$B$103:$J$109,0,1))*INDEX('Methodology &amp; Sources'!$B$103:$J$109,0,1+2))),IF($AN10="MD",IF(OR($AU10="Married",$AU10="Head of household"),SUMPRODUCT(($AZ10&gt;=INDEX('Methodology &amp; Sources'!$B$114:$J$120,0,1))*INDEX('Methodology &amp; Sources'!$B$114:$J$120,0,1+2)),SUMPRODUCT(($AZ10&gt;=INDEX('Methodology &amp; Sources'!$B$103:$J$109,0,7))*INDEX('Methodology &amp; Sources'!$B$103:$J$109,0,7+2)))+Inputs!$C$74,IF($AN10="MT",IF($AU10="Head of household",SUMPRODUCT(($AZ10&gt;=INDEX('Methodology &amp; Sources'!$B$137:$J$139,0,1))*INDEX('Methodology &amp; Sources'!$B$137:$J$139,0,1+2)),IF($AU10="Married",SUMPRODUCT(($AZ10&gt;=INDEX('Methodology &amp; Sources'!$B$125:$J$132,0,7))*INDEX('Methodology &amp; Sources'!$B$125:$J$132,0,7+2)),SUMPRODUCT(($AZ10&gt;=INDEX('Methodology &amp; Sources'!$B$125:$J$132,0,4))*INDEX('Methodology &amp; Sources'!$B$125:$J$132,0,4+2)))),IF($AN10="ND",IF($AU10="Head of household",SUMPRODUCT(($AZ10&gt;=INDEX('Methodology &amp; Sources'!$B$144:$J$150,0,1))*INDEX('Methodology &amp; Sources'!$B$144:$J$150,0,1+2)),IF($AU10="Married",SUMPRODUCT(($AZ10&gt;=INDEX('Methodology &amp; Sources'!$B$137:$J$139,0,7))*INDEX('Methodology &amp; Sources'!$B$137:$J$139,0,7+2)),SUMPRODUCT(($AZ10&gt;=INDEX('Methodology &amp; Sources'!$B$137:$J$139,0,4))*INDEX('Methodology &amp; Sources'!$B$137:$J$139,0,4+2)))),IF($AN10="NY",IF($AU10="Married",IF($AZ10&gt;=2155350,IF($AZ10&gt;25000000,0.117,IF($AZ10&gt;5000000,0.111,0.1045)),SUMPRODUCT(($AZ10&gt;=INDEX('Methodology &amp; Sources'!$B$184:$J$198,0,1))*INDEX('Methodology &amp; Sources'!$B$184:$J$198,0,1+2))),IF($AZ10&gt;=1077550,IF($AZ10&gt;25000000,0.117,IF($AZ10&gt;5000000,0.111,0.1045)),SUMPRODUCT(($AZ10&gt;=INDEX('Methodology &amp; Sources'!$B$167:$J$179,0,7))*INDEX('Methodology &amp; Sources'!$B$167:$J$179,0,7+2)))),"")))))))</f>
      </c>
      <c r="CB10" s="24">
        <f>IF($B10="","",IF($AN10="CA",SUMPRODUCT(($AJ10&gt;=INDEX('Methodology &amp; Sources'!$B$39:$J$48,0,IF($AU10="Married",4,IF($AU10="Head of household",7,1))))*INDEX('Methodology &amp; Sources'!$B$39:$J$48,0,IF($AU10="Married",4,IF($AU10="Head of household",7,1))+2)),IF($AN10="HI",IF($AU10="Married",SUMPRODUCT(($AZ10&gt;=INDEX('Methodology &amp; Sources'!$B$91:$J$98,0,7))*INDEX('Methodology &amp; Sources'!$B$91:$J$98,0,7+2)),SUMPRODUCT(($AZ10&gt;=INDEX('Methodology &amp; Sources'!$B$91:$J$98,0,4))*INDEX('Methodology &amp; Sources'!$B$91:$J$98,0,4+2))),IF($AN10="MN",IF($AU10="Married",SUMPRODUCT(($AZ10&gt;=INDEX('Methodology &amp; Sources'!$B$114:$J$120,0,7))*INDEX('Methodology &amp; Sources'!$B$114:$J$120,0,7+2)),SUMPRODUCT(($AZ10&gt;=INDEX('Methodology &amp; Sources'!$B$114:$J$120,0,4))*INDEX('Methodology &amp; Sources'!$B$114:$J$120,0,4+2))),IF($AN10="MO",SUMPRODUCT(($AZ10&gt;=INDEX('Methodology &amp; Sources'!$B$125:$J$132,0,1))*INDEX('Methodology &amp; Sources'!$B$125:$J$132,0,1+2)),IF($AN10="NE",MAX(IF($AU10="Married",SUMPRODUCT(($AZ10&gt;=INDEX('Methodology &amp; Sources'!$B$144:$J$150,0,7))*INDEX('Methodology &amp; Sources'!$B$144:$J$150,0,7+2)),SUMPRODUCT(($AZ10&gt;=INDEX('Methodology &amp; Sources'!$B$144:$J$150,0,4))*INDEX('Methodology &amp; Sources'!$B$144:$J$150,0,4+2))),0.015),IF($AN10="OH",IF($B10&gt;=DATE(2027,8,1),SUMPRODUCT(($AZ10&gt;=INDEX('Methodology &amp; Sources'!$B$203:$J$206,0,1))*INDEX('Methodology &amp; Sources'!$B$203:$J$206,0,1+2)),SUMPRODUCT(($AZ10&gt;=INDEX('Methodology &amp; Sources'!$B$184:$J$198,0,7))*INDEX('Methodology &amp; Sources'!$B$184:$J$198,0,7+2))),IF($AN10="OK",IF($AU10="Married",SUMPRODUCT(($AZ10&gt;=INDEX('Methodology &amp; Sources'!$B$203:$J$206,0,7))*INDEX('Methodology &amp; Sources'!$B$203:$J$206,0,7+2)),SUMPRODUCT(($AZ10&gt;=INDEX('Methodology &amp; Sources'!$B$203:$J$206,0,4))*INDEX('Methodology &amp; Sources'!$B$203:$J$206,0,4+2))),IF($AN10="RI",SUMPRODUCT(($AZ10&gt;=INDEX('Methodology &amp; Sources'!$B$211:$J$214,0,7))*INDEX('Methodology &amp; Sources'!$B$211:$J$214,0,7+2)),IF($AN10="SC",SUMPRODUCT(($AZ10&gt;=INDEX('Methodology &amp; Sources'!$B$219:$J$223,0,1))*INDEX('Methodology &amp; Sources'!$B$219:$J$223,0,1+2)),IF($AN10="VT",IF($AU10="Married",SUMPRODUCT(($AZ10&gt;=INDEX('Methodology &amp; Sources'!$B$228:$J$232,0,1))*INDEX('Methodology &amp; Sources'!$B$228:$J$232,0,1+2)),SUMPRODUCT(($AZ10&gt;=INDEX('Methodology &amp; Sources'!$B$219:$J$223,0,7))*INDEX('Methodology &amp; Sources'!$B$219:$J$223,0,7+2))),IF($AN10="WV",IF($AU10="Married",SUMPRODUCT(($AZ10&gt;=INDEX('Methodology &amp; Sources'!$B$237:$J$241,0,7))*INDEX('Methodology &amp; Sources'!$B$237:$J$241,0,7+2)),SUMPRODUCT(($AZ10&gt;=INDEX('Methodology &amp; Sources'!$B$228:$J$232,0,7))*INDEX('Methodology &amp; Sources'!$B$228:$J$232,0,7+2))),IF($AN10="IN",(0.0295+Inputs!$C$76),"")))))))))))))</f>
      </c>
      <c r="CC10" s="24">
        <f>IF($B10="","",IF($AN10="AR",SUMPRODUCT(($AZ10&gt;=INDEX('Methodology &amp; Sources'!$B$82:$J$86,0,7))*INDEX('Methodology &amp; Sources'!$B$82:$J$86,0,7+2)),IF($AN10="DE",SUMPRODUCT(($AZ10&gt;=INDEX('Methodology &amp; Sources'!$B$91:$J$98,0,1))*INDEX('Methodology &amp; Sources'!$B$91:$J$98,0,1+2)),IF($AN10="VA",SUMPRODUCT(($AZ10&gt;=INDEX('Methodology &amp; Sources'!$B$219:$J$223,0,4))*INDEX('Methodology &amp; Sources'!$B$219:$J$223,0,4+2)),IF($AN10="WI",SUMPRODUCT(($AZ10&gt;=INDEX('Methodology &amp; Sources'!$B$228:$J$232,0,4))*INDEX('Methodology &amp; Sources'!$B$228:$J$232,0,4+2)),IF($AN10="AZ",Inputs!$C$82,IF($AN10="CO",IF($AY10&gt;IF($AU10="Married",10000,5000),0.044,0),IF($AN10="IA",IF($AY10&gt;IF($AU10="Head of household",19500,IF($AU10="Married",26000,13000)),0.038,0),IF($AN10="ID",IF($AY10&gt;IF($AU10="Married",32000,16094),0.053,0),IF($AN10="IL",IF($AY10&gt;(2925*$AS10+1000*$AT10),0.0495,0),IF($AN10="KY",IF($AI10&gt;3360,0.035,0),IF($AN10="LA",0.0309,IF($AN10="MA",IF(MAX(0,$AY10-MIN(($BD9+$Q10+$R10+$S10),2000)-IF($AS10=0,0,IF($AS10=1,4400,1000*$AS10+3400)))&gt;=1107750,0.09,0.05),IF($AN10="MS",IF($AI10-IF($AU10="Head of household",3400,IF($AU10="Married",4600,2300))-Inputs!$C$85&gt;10000,0.04,0),IF($AN10="PA",0.0307,"")))))))))))))))</f>
      </c>
      <c r="CD10" s="21">
        <f>IF(YEAR(IF(Inputs!$C$7="Weekly",Inputs!$C$90+7*(($BE9+1)-1),IF(Inputs!$C$7="Biweekly",Inputs!$C$90+14*(($BE9+1)-1),IF(Inputs!$C$7="Semimonthly",DATE(YEAR(Inputs!$C$9),MONTH(Inputs!$C$9)+INT((($BE9+1)-1+'Rest of 2026'!$C$2)/2),MIN(DAY(Inputs!$C$9),DAY(EOMONTH(DATE(YEAR(Inputs!$C$9),MONTH(Inputs!$C$9)+INT((($BE9+1)-1+'Rest of 2026'!$C$2)/2),1),0))))+IF(MOD(($BE9+1)-1+'Rest of 2026'!$C$2,2)=1,15,0),EDATE(Inputs!$C$90,($BE9+1)-1)))))&lt;&gt;Inputs!$C$10,"",IF(Inputs!$C$7="Weekly",Inputs!$C$90+7*(($BE9+1)-1),IF(Inputs!$C$7="Biweekly",Inputs!$C$90+14*(($BE9+1)-1),IF(Inputs!$C$7="Semimonthly",DATE(YEAR(Inputs!$C$9),MONTH(Inputs!$C$9)+INT((($BE9+1)-1+'Rest of 2026'!$C$2)/2),MIN(DAY(Inputs!$C$9),DAY(EOMONTH(DATE(YEAR(Inputs!$C$9),MONTH(Inputs!$C$9)+INT((($BE9+1)-1+'Rest of 2026'!$C$2)/2),1),0))))+IF(MOD(($BE9+1)-1+'Rest of 2026'!$C$2,2)=1,15,0),EDATE(Inputs!$C$90,($BE9+1)-1)))))</f>
      </c>
      <c r="CE10" s="21">
        <f>IF(SUMPRODUCT(MIN(IF((Inputs!$C$58:$C$67&gt;MAX($B$6:$B9))*(Inputs!$C$58:$C$67&gt;=DATE(Inputs!$C$10,1,1))*(Inputs!$C$58:$C$67&lt;=DATE(Inputs!$C$10,12,31)),Inputs!$C$58:$C$67,999999)))=999999,"",SUMPRODUCT(MIN(IF((Inputs!$C$58:$C$67&gt;MAX($B$6:$B9))*(Inputs!$C$58:$C$67&gt;=DATE(Inputs!$C$10,1,1))*(Inputs!$C$58:$C$67&lt;=DATE(Inputs!$C$10,12,31)),Inputs!$C$58:$C$67,999999))))</f>
      </c>
    </row>
    <row r="11">
      <c r="A11" t="n">
        <v>6</v>
      </c>
      <c r="B11" s="21">
        <f>IF(AND($CD11="",$CE11=""),"",IF($CE11="",$CD11,IF($CD11="",$CE11,MIN($CD11,$CE11))))</f>
      </c>
      <c r="C11" s="7">
        <f>IF($B11="","",IF($BF11=0,0,IF(Inputs!$C$4="Annual salary",ROUND($AK11/IF(AND(Inputs!$C$88="Actual paydays",MONTH(Inputs!$C$90)=1),MAX(1,MAX($BE$6:$BE$68)),Inputs!$C$8),2),$AK11)))</f>
      </c>
      <c r="D11" s="7">
        <f>IF($B11="","",SUMIF(Inputs!$C$58:$C$67,$B11,Inputs!$D$58:$D$67))</f>
      </c>
      <c r="E11" s="7">
        <f>IF($B11="","",ROUND(MAX(0,MIN(IF($AL11="Percent",$AM11*($C11+$D11),$AM11),MAX(0,Inputs!$C$34-$AC10))),2))</f>
      </c>
      <c r="F11" s="7">
        <f>IF($B11="","",ROUND(MAX(0,MIN(IF(Inputs!$C$32="Percent",Inputs!$D$32*($C11+$D11),Inputs!$D$32),MAX(0,Inputs!$C$34-$AC10-$E11))),2))</f>
      </c>
      <c r="G11" s="7">
        <f>IF($B11="","",IF($BF11=0,0,ROUND(MAX(0,MIN($BL11,Inputs!$C$37-Inputs!$C$99-$BI10)),2)))</f>
      </c>
      <c r="H11" s="7">
        <f>IF($B11="","",IF(OR($BF11=0,$BQ11=1),0,ROUND(MAX(0,MIN(IF($BS11=1,ROUND(MAX(0,MIN($BJ11,'Methodology &amp; Sources'!$C$13)-$BG10)/MAX(1,MAX($BE$6:$BE$68)-($BE10)),2),ROUND(MIN($BJ11,'Methodology &amp; Sources'!$C$13)/Inputs!$C$8,2)),MIN($BJ11,'Methodology &amp; Sources'!$C$13)-$BG10)),2)))</f>
      </c>
      <c r="I11" s="7">
        <f>IF($B11="","",IF(OR($BF11=0,$BR11=1),0,ROUND(MAX(0,MIN(IF($BT11=1,ROUND(MAX(0,MIN($BK11,IF(Inputs!$C$12="MFJ",'Methodology &amp; Sources'!$C$14,'Methodology &amp; Sources'!$C$15))-$BH10)/MAX(1,MAX($BE$6:$BE$68)-($BE10)),2),ROUND(MIN($BK11,IF(Inputs!$C$12="MFJ",'Methodology &amp; Sources'!$C$14,'Methodology &amp; Sources'!$C$15))/Inputs!$C$8,2)),MIN($BK11,IF(Inputs!$C$12="MFJ",'Methodology &amp; Sources'!$C$14,'Methodology &amp; Sources'!$C$15))-$BH10)),2)))</f>
      </c>
      <c r="J11" s="7">
        <f>IF($B11="","",IF($BF11=0,0,$BM11))</f>
      </c>
      <c r="K11" s="7">
        <f>IF($B11="","",IF($BF11=0,0,$BN11+$BO11))</f>
      </c>
      <c r="L11" s="7">
        <f>IF($B11="","",IF($BF11=0,0,Inputs!$D$46))</f>
      </c>
      <c r="M11" s="7">
        <f>IF($B11="","",$C11+$D11+$L11-$E11-$G11-$H11-$I11-$J11-$K11)</f>
      </c>
      <c r="N11" s="7">
        <f>IF($B11="","",$C11+$D11+$L11-$G11-$H11-$I11-$J11-$K11)</f>
      </c>
      <c r="O11" s="7">
        <f>IF($B11="","",$C11+$D11+$L11-$E11-$H11-$I11-$J11-$K11-IF(OR($AN11="CA",$AN11="NJ"),0,$G11))</f>
      </c>
      <c r="P11" s="7">
        <f>IF($B11="","",IF(Inputs!$C$18,0,ROUND(MAX(0,IF(Inputs!$C$13,SUMPRODUCT(($AH11&gt;INDEX('Methodology &amp; Sources'!$B$29:$J$36,0,IF(Inputs!$C$12="MFJ",1,IF(Inputs!$C$12="HoH",7,4))))*($AH11-INDEX('Methodology &amp; Sources'!$B$29:$J$36,0,IF(Inputs!$C$12="MFJ",1,IF(Inputs!$C$12="HoH",7,4))))*INDEX('Methodology &amp; Sources'!$B$29:$J$36,0,IF(Inputs!$C$12="MFJ",1,IF(Inputs!$C$12="HoH",7,4))+2)),SUMPRODUCT(($AH11&gt;INDEX('Methodology &amp; Sources'!$B$19:$J$26,0,IF(Inputs!$C$12="MFJ",1,IF(Inputs!$C$12="HoH",7,4))))*($AH11-INDEX('Methodology &amp; Sources'!$B$19:$J$26,0,IF(Inputs!$C$12="MFJ",1,IF(Inputs!$C$12="HoH",7,4))))*INDEX('Methodology &amp; Sources'!$B$19:$J$26,0,IF(Inputs!$C$12="MFJ",1,IF(Inputs!$C$12="HoH",7,4))+2)))/Inputs!$C$8-$AO11/Inputs!$C$8)+$AR11+IF(Inputs!$C$89="Aggregate",MAX(0,IF(Inputs!$C$13,SUMPRODUCT((($AH11+$D11)&gt;INDEX('Methodology &amp; Sources'!$B$29:$J$36,0,IF(Inputs!$C$12="MFJ",1,IF(Inputs!$C$12="HoH",7,4))))*(($AH11+$D11)-INDEX('Methodology &amp; Sources'!$B$29:$J$36,0,IF(Inputs!$C$12="MFJ",1,IF(Inputs!$C$12="HoH",7,4))))*INDEX('Methodology &amp; Sources'!$B$29:$J$36,0,IF(Inputs!$C$12="MFJ",1,IF(Inputs!$C$12="HoH",7,4))+2)),SUMPRODUCT((($AH11+$D11)&gt;INDEX('Methodology &amp; Sources'!$B$19:$J$26,0,IF(Inputs!$C$12="MFJ",1,IF(Inputs!$C$12="HoH",7,4))))*(($AH11+$D11)-INDEX('Methodology &amp; Sources'!$B$19:$J$26,0,IF(Inputs!$C$12="MFJ",1,IF(Inputs!$C$12="HoH",7,4))))*INDEX('Methodology &amp; Sources'!$B$19:$J$26,0,IF(Inputs!$C$12="MFJ",1,IF(Inputs!$C$12="HoH",7,4))+2)))-IF(Inputs!$C$13,SUMPRODUCT(($AH11&gt;INDEX('Methodology &amp; Sources'!$B$29:$J$36,0,IF(Inputs!$C$12="MFJ",1,IF(Inputs!$C$12="HoH",7,4))))*($AH11-INDEX('Methodology &amp; Sources'!$B$29:$J$36,0,IF(Inputs!$C$12="MFJ",1,IF(Inputs!$C$12="HoH",7,4))))*INDEX('Methodology &amp; Sources'!$B$29:$J$36,0,IF(Inputs!$C$12="MFJ",1,IF(Inputs!$C$12="HoH",7,4))+2)),SUMPRODUCT(($AH11&gt;INDEX('Methodology &amp; Sources'!$B$19:$J$26,0,IF(Inputs!$C$12="MFJ",1,IF(Inputs!$C$12="HoH",7,4))))*($AH11-INDEX('Methodology &amp; Sources'!$B$19:$J$26,0,IF(Inputs!$C$12="MFJ",1,IF(Inputs!$C$12="HoH",7,4))))*INDEX('Methodology &amp; Sources'!$B$19:$J$26,0,IF(Inputs!$C$12="MFJ",1,IF(Inputs!$C$12="HoH",7,4))+2)))),'Methodology &amp; Sources'!$C$10*$D11),2)))</f>
      </c>
      <c r="Q11" s="7">
        <f>IF($B11="","",ROUND('Methodology &amp; Sources'!$C$4*MIN($N11,MAX(0,'Methodology &amp; Sources'!$C$3-($AX11+$AB10-$AW11))),2))</f>
      </c>
      <c r="R11" s="7">
        <f>IF($B11="","",ROUND('Methodology &amp; Sources'!$C$5*$N11,2))</f>
      </c>
      <c r="S11" s="7">
        <f>IF($B11="","",ROUND('Methodology &amp; Sources'!$C$6*MAX(0,MIN($N11,$AG10+$N11-'Methodology &amp; Sources'!$C$7)),2))</f>
      </c>
      <c r="T11" s="7">
        <f>IF($B11="","",IF(Inputs!$C$26,0,IF($AN11="CA",ROUND(IF($AI11&lt;=IF(($AS11+$AT11)&gt;=2,VLOOKUP($AN11,StateTables!$A$6:$AB$56,10,FALSE),VLOOKUP($AN11,StateTables!$A$6:$AB$56,9,FALSE)),0,MAX(0,SUMPRODUCT(($AJ11&gt;INDEX('Methodology &amp; Sources'!$B$39:$J$48,0,IF($AU11="Married",4,IF($AU11="Head of household",7,1))))*($AJ11-INDEX('Methodology &amp; Sources'!$B$39:$J$48,0,IF($AU11="Married",4,IF($AU11="Head of household",7,1))))*INDEX('Methodology &amp; Sources'!$B$39:$J$48,0,IF($AU11="Married",4,IF($AU11="Head of household",7,1))+2))-VLOOKUP($AN11,StateTables!$A$6:$AB$56,11,FALSE)*$AS11)/Inputs!$C$8)+Inputs!$C$25+VLOOKUP($AN11,StateTables!$A$6:$AB$56,13,FALSE)*$D11,2),IF(VLOOKUP($AN11,StateTables!$A$6:$AB$56,4,FALSE)="None",0,IF(ISNUMBER(SEARCH("MANUAL",VLOOKUP($AN11,StateTables!$A$6:$AB$56,5,FALSE))),Inputs!$C$28,ROUND(MAX(0,$BA11+$BB11)/Inputs!$C$8+Inputs!$C$25+$BC11,2))))))</f>
      </c>
      <c r="U11" s="7">
        <f>IF($B11="","",IF(VLOOKUP($AN11,StateTables!$A$6:$AB$56,24,FALSE)="flatq",IF(OR(MONTH($B11)=1,MONTH($B11)=4,MONTH($B11)=7,MONTH($B11)=10),VLOOKUP($AN11,StateTables!$A$6:$AB$56,25,FALSE),0),IF(VLOOKUP($AN11,StateTables!$A$6:$AB$56,24,FALSE)="dbl",MIN(ROUND(0.005*$N11,2),ROUND(0.6*52/Inputs!$C$8,2)),IF(OR(VLOOKUP($AN11,StateTables!$A$6:$AB$56,15,FALSE)="",VLOOKUP($AN11,StateTables!$A$6:$AB$56,15,FALSE)=0),0,ROUND(VLOOKUP($AN11,StateTables!$A$6:$AB$56,15,FALSE)*IF(OR(VLOOKUP($AN11,StateTables!$A$6:$AB$56,16,FALSE)="",VLOOKUP($AN11,StateTables!$A$6:$AB$56,16,FALSE)=0),$N11,MIN($N11,MAX(0,VLOOKUP($AN11,StateTables!$A$6:$AB$56,16,FALSE)-($AX11+$AB10-$AW11)))),2))))+IF(VLOOKUP($AN11,StateTables!$A$6:$AB$56,27,FALSE)="flatq",IF(OR(MONTH($B11)=1,MONTH($B11)=4,MONTH($B11)=7,MONTH($B11)=10),VLOOKUP($AN11,StateTables!$A$6:$AB$56,28,FALSE),0),IF(VLOOKUP($AN11,StateTables!$A$6:$AB$56,27,FALSE)="dbl",MIN(ROUND(0.005*$N11,2),ROUND(0.6*52/Inputs!$C$8,2)),IF(OR(VLOOKUP($AN11,StateTables!$A$6:$AB$56,18,FALSE)="",VLOOKUP($AN11,StateTables!$A$6:$AB$56,18,FALSE)=0),0,ROUND(VLOOKUP($AN11,StateTables!$A$6:$AB$56,18,FALSE)*IF(OR(VLOOKUP($AN11,StateTables!$A$6:$AB$56,19,FALSE)="",VLOOKUP($AN11,StateTables!$A$6:$AB$56,19,FALSE)=0),$N11,MIN($N11,MAX(0,VLOOKUP($AN11,StateTables!$A$6:$AB$56,19,FALSE)-($AX11+$AB10-$AW11)))),2)))))</f>
      </c>
      <c r="V11" s="7">
        <f>IF($B11="","",IF($AN11="NY",IF(Inputs!$C$78,ROUND(SUMPRODUCT((MAX(0,($O11-$D11)*Inputs!$C$8-(IF($AU11="Married",5500,5000)+1000*$AS11))&gt;INDEX('Methodology &amp; Sources'!$B$184:$J$198,0,4))*(MAX(0,($O11-$D11)*Inputs!$C$8-(IF($AU11="Married",5500,5000)+1000*$AS11))-INDEX('Methodology &amp; Sources'!$B$184:$J$198,0,4))*INDEX('Methodology &amp; Sources'!$B$184:$J$198,0,4+2))/Inputs!$C$8+0.0425*$D11,2),0)+IF(Inputs!$C$79="Resident",ROUND(0.1675*$T11,2),IF(Inputs!$C$79="Nonresident",ROUND(0.005*MAX(0,($O11-$D11)-(IF($AU11="Married",7950,7400)+1000*$AS11)/Inputs!$C$8),2),0)),IF($AN11="PA",IF(Inputs!$C$80="None",Inputs!$C$27+ROUND(Inputs!$C$81*($C11+$D11),2),ROUND(IF(Inputs!$C$80="Resident",IF($B11&lt;DATE(2027,7,1),0.03735,0.03735),IF($B11&lt;DATE(2027,7,1),0.03425,0.03425))*($C11+$D11),2)),IF($BF11=0,ROUND(Inputs!$C$81*($C11+$D11),2),Inputs!$C$27+ROUND(Inputs!$C$81*($C11+$D11),2)))))</f>
      </c>
      <c r="W11" s="7">
        <f>IF($B11="","",IF($BF11=0,0,$BP11))</f>
      </c>
      <c r="X11" s="7">
        <f>IF($B11="","",SUM($E11:$K11)+$P11+$Q11+$R11+$S11+$T11+$U11+$V11+$W11)</f>
      </c>
      <c r="Y11" s="22">
        <f>IF($B11="","",$C11+$D11-$X11)</f>
      </c>
      <c r="Z11" s="7">
        <f>IF($B11="","",$Z10+$C11+$D11)</f>
      </c>
      <c r="AA11" s="7">
        <f>IF($B11="","",$AA10+$Y11)</f>
      </c>
      <c r="AB11" s="7">
        <f>IF($B11="","",$AB10+MIN($N11,MAX(0,'Methodology &amp; Sources'!$C$3-($AX11+$AB10-$AW11))))</f>
      </c>
      <c r="AC11" s="7">
        <f>IF($B11="","",$AC10+$E11+$F11)</f>
      </c>
      <c r="AD11" s="3">
        <f>IF($B11="","",IF(AND($AB10&lt;'Methodology &amp; Sources'!$C$3,$AB11&gt;='Methodology &amp; Sources'!$C$3),"★ Social Security maxed on this check — from the next check your net rises by about $"&amp;TEXT(ROUND('Methodology &amp; Sources'!$C$4*$N11,2),"#,##0.00")&amp;". ","")&amp;IF(AND($AC10&lt;Inputs!$C$34,$AC11&gt;=Inputs!$C$34),"★ 401(k) reaches the $"&amp;TEXT(Inputs!$C$34,"#,##0")&amp;" cap on this check — deferrals stop and net pay rises. ","")&amp;IF(AND($AG10&lt;'Methodology &amp; Sources'!$C$7,$AG11&gt;='Methodology &amp; Sources'!$C$7),"★ Wages pass $200,000 — the 0.9% Additional Medicare Tax starts here. ","")&amp;IF(AND($BJ11&gt;0,$H11&gt;0,$BG10&lt;MIN($BJ11,'Methodology &amp; Sources'!$C$13),$BG10+$H11&gt;=MIN($BJ11,'Methodology &amp; Sources'!$C$13)),"★ Health FSA election is now fully deferred for the year. ",""))</f>
      </c>
      <c r="AE11" s="41" t="n"/>
      <c r="AF11" s="7">
        <f>IF(OR($B11="",$AE11=""),"",$AE11-$Y11)</f>
      </c>
      <c r="AG11" s="7">
        <f>IF($B11="","",$AG10+$N11)</f>
      </c>
      <c r="AH11" s="7">
        <f>IF($B11="","",MAX(0,($M11-$D11)*Inputs!$C$8+$AP11-$AQ11-IF(Inputs!$C$13,0,IF(Inputs!$C$12="MFJ",'Methodology &amp; Sources'!$C$8,'Methodology &amp; Sources'!$C$9))))</f>
      </c>
      <c r="AI11" s="7">
        <f>IF($B11="","",$O11*Inputs!$C$8)</f>
      </c>
      <c r="AJ11" s="7">
        <f>IF($B11="","",MAX(0,$AI11-VLOOKUP($AN11,StateTables!$A$6:$AB$56,12,FALSE)*$AT11-IF(($AS11+$AT11)&gt;=2,VLOOKUP($AN11,StateTables!$A$6:$AB$56,8,FALSE),VLOOKUP($AN11,StateTables!$A$6:$AB$56,7,FALSE))))</f>
      </c>
      <c r="AK11" s="7">
        <f>IF($B11="","",IFERROR(LOOKUP(2,1/((Events!$C$6:$C$17="Salary change")*(Events!$B$6:$B$17&lt;=$B11)*(Events!$B$6:$B$17&lt;&gt;"")),Events!$D$6:$D$17),IF(Inputs!$C$4="Annual salary",Inputs!$C$5,Inputs!$C$6)))</f>
      </c>
      <c r="AL11">
        <f>IF($B11="","",IFERROR(LOOKUP(2,1/((Events!$C$6:$C$17="401(k) change")*(Events!$B$6:$B$17&lt;=$B11)*(Events!$B$6:$B$17&lt;&gt;"")),Events!$D$6:$D$17),Inputs!$C$30))</f>
      </c>
      <c r="AM11" s="7">
        <f>IF($B11="","",IFERROR(LOOKUP(2,1/((Events!$C$6:$C$17="401(k) change")*(Events!$B$6:$B$17&lt;=$B11)*(Events!$B$6:$B$17&lt;&gt;"")),Events!$E$6:$E$17),Inputs!$D$30))</f>
      </c>
      <c r="AN11">
        <f>IF($B11="","",IFERROR(LOOKUP(2,1/((Events!$C$6:$C$17="State move")*(Events!$B$6:$B$17&lt;=$B11)*(Events!$B$6:$B$17&lt;&gt;"")),Events!$D$6:$D$17),Inputs!$C$21))</f>
      </c>
      <c r="AO11" s="7">
        <f>IF($B11="","",IFERROR(LOOKUP(2,1/((Events!$C$6:$C$17="W-4 change")*(Events!$B$6:$B$17&lt;=$B11)*(Events!$B$6:$B$17&lt;&gt;"")),Events!$D$6:$D$17),Inputs!$C$14))</f>
      </c>
      <c r="AP11" s="7">
        <f>IF($B11="","",IFERROR(LOOKUP(2,1/((Events!$C$6:$C$17="W-4 change")*(Events!$B$6:$B$17&lt;=$B11)*(Events!$B$6:$B$17&lt;&gt;"")),Events!$E$6:$E$17),Inputs!$C$15))</f>
      </c>
      <c r="AQ11" s="7">
        <f>IF($B11="","",IFERROR(LOOKUP(2,1/((Events!$C$6:$C$17="W-4 change")*(Events!$B$6:$B$17&lt;=$B11)*(Events!$B$6:$B$17&lt;&gt;"")),Events!$F$6:$F$17),Inputs!$C$16))</f>
      </c>
      <c r="AR11" s="7">
        <f>IF($B11="","",IFERROR(LOOKUP(2,1/((Events!$C$6:$C$17="W-4 change")*(Events!$B$6:$B$17&lt;=$B11)*(Events!$B$6:$B$17&lt;&gt;"")),Events!$G$6:$G$17),Inputs!$C$17))</f>
      </c>
      <c r="AS11" s="6">
        <f>IF($B11="","",IFERROR(LOOKUP(2,1/(((Events!$C$6:$C$17="State move")+(Events!$C$6:$C$17="State cert change"))*(Events!$B$6:$B$17&lt;=$B11)*(Events!$B$6:$B$17&lt;&gt;"")),Events!$F$6:$F$17),Inputs!$C$23))</f>
      </c>
      <c r="AT11" s="6">
        <f>IF($B11="","",IFERROR(LOOKUP(2,1/(((Events!$C$6:$C$17="State move")+(Events!$C$6:$C$17="State cert change"))*(Events!$B$6:$B$17&lt;=$B11)*(Events!$B$6:$B$17&lt;&gt;"")),Events!$G$6:$G$17),Inputs!$C$24))</f>
      </c>
      <c r="AU11">
        <f>IF($B11="","",IFERROR(LOOKUP(2,1/((Events!$C$6:$C$17="State move")*(Events!$B$6:$B$17&lt;=$B11)*(Events!$B$6:$B$17&lt;&gt;"")),Events!$E$6:$E$17),Inputs!$C$22))</f>
      </c>
      <c r="AV11" s="6">
        <f>IF($B11="","",1+COUNTIFS(Events!$C$6:$C$17,"Employer change",Events!$B$6:$B$17,"&lt;="&amp;$B11,Events!$B$6:$B$17,"&lt;&gt;"))</f>
      </c>
      <c r="AW11" s="7">
        <f>IF($B11="","",IF($AV11=1,Inputs!$C$94,IF(IFERROR(MATCH(IFERROR(LOOKUP(2,1/((Events!$C$6:$C$17="Employer change")*(Events!$B$6:$B$17&lt;=$B11)*(Events!$B$6:$B$17&lt;&gt;"")),Events!$B$6:$B$17),""),$B$6:$B$68,1),1)&lt;=1,Inputs!$C$94,INDEX($AB$6:$AB$68,MATCH(IFERROR(LOOKUP(2,1/((Events!$C$6:$C$17="Employer change")*(Events!$B$6:$B$17&lt;=$B11)*(Events!$B$6:$B$17&lt;&gt;"")),Events!$B$6:$B$17),""),$B$6:$B$68,1)-1))))</f>
      </c>
      <c r="AX11" s="7">
        <f>IF($B11="","",IF($AV11=1,Inputs!$C$94,IFERROR(LOOKUP(2,1/((Events!$C$6:$C$17="Employer change")*(Events!$B$6:$B$17&lt;=$B11)*(Events!$B$6:$B$17&lt;&gt;"")),Events!$D$6:$D$17),0)))</f>
      </c>
      <c r="AY11" s="7">
        <f>IF($B11="","",($O11-$D11)*Inputs!$C$8)</f>
      </c>
      <c r="AZ11" s="7">
        <f>IF($B11="","",IF($AN11="AL",MAX(0,$AY11-IF($AU11="Married",IF($AY11&lt;=25999,8500,MAX(5000,8500-175*CEILING(($AY11-25999)/500,1))),IF($AU11="Head of household",IF($AY11&lt;=25999,5200,MAX(2500,5200-135*CEILING(($AY11-25999)/500,1))),IF($AY11&lt;=25999,3000,MAX(2500,3000-25*CEILING(($AY11-25999)/500,1)))))-($P11-'Methodology &amp; Sources'!$C$10*$D11)*Inputs!$C$8-IF(OR($AU11="Married",$AU11="Head of household"),3000,1500)-$AT11*IF($AY11&lt;=50000,1000,IF($AY11&lt;=100000,500,300))),IF($AN11="AR",IF(MAX(0,$AY11-2470)&lt;97701,INT(MAX(0,$AY11-2470)/100)*100+50,MAX(0,$AY11-2470)),IF($AN11="DE",MAX(0,$AI11-3250),IF($AN11="HI",MAX(0,$AI11-1144*$AS11-4350),IF($AN11="KS",MAX(0,$AI11-(9160*IF($AU11="Married",2,1)+2320*$AT11+IF($AU11="Head of household",2320,0))),IF($AN11="MD",MAX(0,$AI11-3400-3200*$AS11),IF($AN11="MN",MAX(0,$AY11-5300*$AS11),IF($AN11="MO",MAX(0,$AI11-IF($AU11="Head of household",24150,IF($AU11="Married",IF(Inputs!$C$83,16100,32200),16100))),IF($AN11="MT",$AY11,IF($AN11="ND",($C11+$L11)*Inputs!$C$8,IF($AN11="NE",MAX(0,$AY11-2440*$AS11),IF($AN11="NJ",MAX(0,$AY11-1000*$AS11),IF($AN11="NY",MAX(0,$AY11-(IF($AU11="Married",7950,7400)+1000*$AS11)),IF($AN11="OH",MAX(0,$AY11-650*$AS11),IF($AN11="OK",MAX(0,$AY11-1000*$AS11),IF($AN11="RI",MAX(0,$AI11-1000*$AS11),IF($AN11="SC",MAX(0,$AI11-5000*$AS11-IF($AS11=0,0,MIN(0.1*$AI11,7500))),IF($AN11="VA",MAX(0,$AI11-IF($AU11="Married",17500,8750)-930*$AS11-800*$AT11),IF($AN11="VT",MAX(0,$AI11-5400*$AS11),IF($AN11="WI",MAX(0,$AI11-MAX(0,IF($AU11="Married",9461-0.2*MAX(0,$AI11-25727),6702-0.12*MAX(0,$AI11-17780)))-400*$AS11),IF($AN11="WV",MAX(0,$AI11-2000*$AS11),$AI11))))))))))))))))))))))</f>
      </c>
      <c r="BA11" s="7">
        <f>IF($B11="","",IF($BW11&lt;&gt;"",$BW11,IF($BX11&lt;&gt;"",$BX11,IF($BY11&lt;&gt;"",$BY11,0))))</f>
      </c>
      <c r="BB11" s="7">
        <f>IF($B11="","",IF($AN11="AR",-29*$AS11,IF($AN11="DE",-110*$AS11,IF($AN11="MD",$AZ11*Inputs!$C$74,IF($AN11="AZ",Inputs!$C$82*($M11-$D11)*Inputs!$C$8,IF($AN11="CO",0.044*MAX(0,$AY11-IF($AU11="Married",10000,5000)),IF($AN11="IA",MAX(0,0.038*MAX(0,$AY11-IF($AU11="Head of household",19500,IF($AU11="Married",26000,13000)))-40*$AS11),IF($AN11="ID",0.053*MAX(0,$AY11-IF($AU11="Married",32000,16094)),IF($AN11="IL",0.0495*MAX(0,$AY11-(2925*$AS11+1000*$AT11)),IF($AN11="IN",(0.0295+Inputs!$C$76)*MAX(0,$AY11-(1000*$AS11+1500*$AT11+3000*Inputs!$C$86)),IF($AN11="KY",0.035*MAX(0,$AI11-3360),IF($AN11="LA",IF(Inputs!$C$84="0",0.0309*$AI11,0.0309*MAX(0,$AI11-IF(Inputs!$C$84="2",25750,12875))),IF($AN11="MA",0.05*MIN(MAX(0,$AY11-MIN(($BD10+$Q11+$R11+$S11),2000)-IF($AS11=0,0,IF($AS11=1,4400,1000*$AS11+3400))),1107750)+0.09*MAX(0,MAX(0,$AY11-MIN(($BD10+$Q11+$R11+$S11),2000)-IF($AS11=0,0,IF($AS11=1,4400,1000*$AS11+3400)))-1107750)-IF($AU11="Head of household",120,0)-110*Inputs!$C$75,IF($AN11="MI",0.0425*MAX(0,$AY11-5900*$AS11),IF($AN11="MS",0.04*MAX(0,$AI11-IF($AU11="Head of household",3400,IF($AU11="Married",4600,2300))-Inputs!$C$85-10000),IF($AN11="OR",IF(OR($AU11="Married",AND($AU11="Single",$AS11&gt;=3)),SUMPRODUCT((MAX(0,$AY11-MIN(($P11-'Methodology &amp; Sources'!$C$10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Sources'!$B$211:$J$214,0,4))*(MAX(0,$AY11-MIN(($P11-'Methodology &amp; Sources'!$C$10*$D11)*Inputs!$C$8,IF(OR($AU11="Married",AND($AU11="Single",$AS11&gt;=3)),IF($AY11&lt;250000,8750,IF($AY11&lt;260000,7000,IF($AY11&lt;270000,5250,IF($AY11&lt;280000,3500,IF($AY11&lt;290000,1750,0))))),IF($AY11&lt;125000,8750,IF($AY11&lt;130000,7000,IF($AY11&lt;135000,5250,IF($AY11&lt;140000,3500,IF($AY11&lt;145000,1750,0)))))))-IF(OR($AU11="Married",AND($AU11="Single",$AS11&gt;=3)),5820,2910))-INDEX('Methodology &amp; Sources'!$B$211:$J$214,0,4))*INDEX('Methodology &amp; Sources'!$B$211:$J$214,0,4+2)),SUMPRODUCT((MAX(0,$AY11-MIN(($P11-'Methodology &amp; Sources'!$C$10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Sources'!$B$211:$J$214,0,1))*(MAX(0,$AY11-MIN(($P11-'Methodology &amp; Sources'!$C$10*$D11)*Inputs!$C$8,IF(OR($AU11="Married",AND($AU11="Single",$AS11&gt;=3)),IF($AY11&lt;250000,8750,IF($AY11&lt;260000,7000,IF($AY11&lt;270000,5250,IF($AY11&lt;280000,3500,IF($AY11&lt;290000,1750,0))))),IF($AY11&lt;125000,8750,IF($AY11&lt;130000,7000,IF($AY11&lt;135000,5250,IF($AY11&lt;140000,3500,IF($AY11&lt;145000,1750,0)))))))-IF(OR($AU11="Married",AND($AU11="Single",$AS11&gt;=3)),5820,2910))-INDEX('Methodology &amp; Sources'!$B$211:$J$214,0,1))*INDEX('Methodology &amp; Sources'!$B$211:$J$214,0,1+2)))+263-263*IF(IF($AU11="Married",$AY11&gt;200000,$AY11&gt;100000),0,$AS11),IF($AN11="PA",0.0307*(($O11+$E11+$G11)*Inputs!$C$8),IF($AN11="NY",IF($AU11="Married",IF($AZ11&gt;=2155350,0,IF($AZ11&gt;=1077550,0.48,IF($AZ11&gt;=373200,1.21,IF($AZ11&gt;=323200,0.21,IF($AZ11&gt;=211550,-0.19,IF($AZ11&gt;=157650,-2.8,IF($AZ11&gt;=107650,-0.8,IF($AZ11&gt;=96800,0.05,IF($AZ11&gt;=80650,-0.1,IF($AZ11&gt;=13900,0.4,IF($AZ11&gt;=11700,-0.3,IF($AZ11&gt;=8500,0.5,0)))))))))))),IF($AZ11&gt;=1077550,0,IF($AZ11&gt;=265400,4.29,IF($AZ11&gt;=215400,2.29,IF($AZ11&gt;=157650,2.29,IF($AZ11&gt;=107650,0.29,IF($AZ11&gt;=96800,0.05,IF($AZ11&gt;=80650,-0.1,IF($AZ11&gt;=13900,0.4,IF($AZ11&gt;=11700,-0.3,IF($AZ11&gt;=8500,0.5,0))))))))))),0))))))))))))))))))</f>
      </c>
      <c r="BC11" s="7">
        <f>IF($B11="","",IF($AN11="AL",0.05*$D11,IF($AN11="AR",0.039*$D11,IF($AN11="ID",0.053*$D11,IF($AN11="IN",(0.0295+Inputs!$C$76)*$D11,IF($AN11="KS",0.05*$D11,IF($AN11="MA",0.09*MIN($D11,MAX(0,MAX(0,$AY11-MIN(($BD10+$Q11+$R11+$S11),2000)-IF($AS11=0,0,IF($AS11=1,4400,1000*$AS11+3400)))+$D11-1107750))+0.05*($D11-MIN($D11,MAX(0,MAX(0,$AY11-MIN(($BD10+$Q11+$R11+$S11),2000)-IF($AS11=0,0,IF($AS11=1,4400,1000*$AS11+3400)))+$D11-1107750))),IF($AN11="MD",(0.065+Inputs!$C$74)*$D11,IF($AN11="MI",0.0425*$D11,IF($AN11="MN",0.0625*$D11,IF($AN11="MO",0.047*$D11,IF($AN11="MT",0.05*$D11,IF($AN11="ND",0.015*$D11,IF($AN11="NE",0.035*$D11,IF($AN11="NJ",IF(Inputs!$C$77="B",SUMPRODUCT(($D11*Inputs!$C$8&gt;INDEX('Methodology &amp; Sources'!$B$155:$J$162,0,4))*($D11*Inputs!$C$8-INDEX('Methodology &amp; Sources'!$B$155:$J$162,0,4))*INDEX('Methodology &amp; Sources'!$B$155:$J$162,0,4+2)),IF(Inputs!$C$77="C",SUMPRODUCT(($D11*Inputs!$C$8&gt;INDEX('Methodology &amp; Sources'!$B$155:$J$162,0,7))*($D11*Inputs!$C$8-INDEX('Methodology &amp; Sources'!$B$155:$J$162,0,7))*INDEX('Methodology &amp; Sources'!$B$155:$J$162,0,7+2)),IF(Inputs!$C$77="D",SUMPRODUCT(($D11*Inputs!$C$8&gt;INDEX('Methodology &amp; Sources'!$B$167:$J$179,0,1))*($D11*Inputs!$C$8-INDEX('Methodology &amp; Sources'!$B$167:$J$179,0,1))*INDEX('Methodology &amp; Sources'!$B$167:$J$179,0,1+2)),IF(Inputs!$C$77="E",SUMPRODUCT(($D11*Inputs!$C$8&gt;INDEX('Methodology &amp; Sources'!$B$167:$J$179,0,4))*($D11*Inputs!$C$8-INDEX('Methodology &amp; Sources'!$B$167:$J$179,0,4))*INDEX('Methodology &amp; Sources'!$B$167:$J$179,0,4+2)),SUMPRODUCT(($D11*Inputs!$C$8&gt;INDEX('Methodology &amp; Sources'!$B$155:$J$162,0,1))*($D11*Inputs!$C$8-INDEX('Methodology &amp; Sources'!$B$155:$J$162,0,1))*INDEX('Methodology &amp; Sources'!$B$155:$J$162,0,1+2))))))/Inputs!$C$8,IF($AN11="NY",0.117*$D11,IF($AN11="OH",0.0275*$D11,IF($AN11="OK",0.045*$D11,IF($AN11="OR",0.08*$D11,IF($AN11="WI",IF($AY11&lt;12760,0.0354,IF($AY11&lt;25520,0.0465,IF($AY11&lt;280950,0.053,0.0765)))*$D11,0))))))))))))))))))))</f>
      </c>
      <c r="BD11" s="7">
        <f>IF($B11="","",$BD10+$Q11+$R11+$S11)</f>
      </c>
      <c r="BE11" s="6">
        <f>IF($B11="",$BE10,$BE10+$BF11)</f>
      </c>
      <c r="BF11" s="6">
        <f>IF($B11="","",IF(AND(IF(YEAR(IF(Inputs!$C$7="Weekly",Inputs!$C$90+7*(($BE10+1)-1),IF(Inputs!$C$7="Biweekly",Inputs!$C$90+14*(($BE10+1)-1),IF(Inputs!$C$7="Semimonthly",DATE(YEAR(Inputs!$C$9),MONTH(Inputs!$C$9)+INT((($BE10+1)-1+'Rest of 2026'!$C$2)/2),MIN(DAY(Inputs!$C$9),DAY(EOMONTH(DATE(YEAR(Inputs!$C$9),MONTH(Inputs!$C$9)+INT((($BE10+1)-1+'Rest of 2026'!$C$2)/2),1),0))))+IF(MOD(($BE10+1)-1+'Rest of 2026'!$C$2,2)=1,15,0),EDATE(Inputs!$C$90,($BE10+1)-1)))))&lt;&gt;Inputs!$C$10,"",IF(Inputs!$C$7="Weekly",Inputs!$C$90+7*(($BE10+1)-1),IF(Inputs!$C$7="Biweekly",Inputs!$C$90+14*(($BE10+1)-1),IF(Inputs!$C$7="Semimonthly",DATE(YEAR(Inputs!$C$9),MONTH(Inputs!$C$9)+INT((($BE10+1)-1+'Rest of 2026'!$C$2)/2),MIN(DAY(Inputs!$C$9),DAY(EOMONTH(DATE(YEAR(Inputs!$C$9),MONTH(Inputs!$C$9)+INT((($BE10+1)-1+'Rest of 2026'!$C$2)/2),1),0))))+IF(MOD(($BE10+1)-1+'Rest of 2026'!$C$2,2)=1,15,0),EDATE(Inputs!$C$90,($BE10+1)-1)))))&lt;&gt;"",$B11=IF(YEAR(IF(Inputs!$C$7="Weekly",Inputs!$C$90+7*(($BE10+1)-1),IF(Inputs!$C$7="Biweekly",Inputs!$C$90+14*(($BE10+1)-1),IF(Inputs!$C$7="Semimonthly",DATE(YEAR(Inputs!$C$9),MONTH(Inputs!$C$9)+INT((($BE10+1)-1+'Rest of 2026'!$C$2)/2),MIN(DAY(Inputs!$C$9),DAY(EOMONTH(DATE(YEAR(Inputs!$C$9),MONTH(Inputs!$C$9)+INT((($BE10+1)-1+'Rest of 2026'!$C$2)/2),1),0))))+IF(MOD(($BE10+1)-1+'Rest of 2026'!$C$2,2)=1,15,0),EDATE(Inputs!$C$90,($BE10+1)-1)))))&lt;&gt;Inputs!$C$10,"",IF(Inputs!$C$7="Weekly",Inputs!$C$90+7*(($BE10+1)-1),IF(Inputs!$C$7="Biweekly",Inputs!$C$90+14*(($BE10+1)-1),IF(Inputs!$C$7="Semimonthly",DATE(YEAR(Inputs!$C$9),MONTH(Inputs!$C$9)+INT((($BE10+1)-1+'Rest of 2026'!$C$2)/2),MIN(DAY(Inputs!$C$9),DAY(EOMONTH(DATE(YEAR(Inputs!$C$9),MONTH(Inputs!$C$9)+INT((($BE10+1)-1+'Rest of 2026'!$C$2)/2),1),0))))+IF(MOD(($BE10+1)-1+'Rest of 2026'!$C$2,2)=1,15,0),EDATE(Inputs!$C$90,($BE10+1)-1)))))),1,0))</f>
      </c>
      <c r="BG11" s="7">
        <f>IF($B11="","",$BG10+$H11)</f>
      </c>
      <c r="BH11" s="7">
        <f>IF($B11="","",$BH10+$I11)</f>
      </c>
      <c r="BI11" s="7">
        <f>IF($B11="","",$BI10+$G11)</f>
      </c>
      <c r="BJ11" s="7">
        <f>IF($B11="","",IFERROR(LOOKUP(2,1/((((Events!$C$6:$C$17="Deduction start"))*(Events!$D$6:$D$17="Health FSA"))*(Events!$B$6:$B$17&lt;=$B11)*(Events!$B$6:$B$17&lt;&gt;"")),Events!$E$6:$E$17),Inputs!$D$38))</f>
      </c>
      <c r="BK11" s="7">
        <f>IF($B11="","",IFERROR(LOOKUP(2,1/((((Events!$C$6:$C$17="Deduction start"))*(Events!$D$6:$D$17="Dependent-care FSA"))*(Events!$B$6:$B$17&lt;=$B11)*(Events!$B$6:$B$17&lt;&gt;"")),Events!$E$6:$E$17),Inputs!$D$39))</f>
      </c>
      <c r="BL11" s="7">
        <f>IF($B11="","",IFERROR(LOOKUP(2,1/((((Events!$C$6:$C$17="Deduction start")+(Events!$C$6:$C$17="Deduction stop"))*(Events!$D$6:$D$17="HSA"))*(Events!$B$6:$B$17&lt;=$B11)*(Events!$B$6:$B$17&lt;&gt;"")),Events!$I$6:$I$17),Inputs!$D$35))</f>
      </c>
      <c r="BM11" s="7">
        <f>IF($B11="","",IFERROR(LOOKUP(2,1/((((Events!$C$6:$C$17="Deduction start")+(Events!$C$6:$C$17="Deduction stop"))*(Events!$D$6:$D$17="Premiums"))*(Events!$B$6:$B$17&lt;=$B11)*(Events!$B$6:$B$17&lt;&gt;"")),Events!$I$6:$I$17),Inputs!$D$40+Inputs!$D$41+Inputs!$D$42))</f>
      </c>
      <c r="BN11" s="7">
        <f>IF($B11="","",IFERROR(LOOKUP(2,1/((((Events!$C$6:$C$17="Deduction start")+(Events!$C$6:$C$17="Deduction stop"))*(Events!$D$6:$D$17="Commuter"))*(Events!$B$6:$B$17&lt;=$B11)*(Events!$B$6:$B$17&lt;&gt;"")),Events!$I$6:$I$17),Inputs!$D$43))</f>
      </c>
      <c r="BO11" s="7">
        <f>IF($B11="","",IFERROR(LOOKUP(2,1/((((Events!$C$6:$C$17="Deduction start")+(Events!$C$6:$C$17="Deduction stop"))*(Events!$D$6:$D$17="Other pre-tax"))*(Events!$B$6:$B$17&lt;=$B11)*(Events!$B$6:$B$17&lt;&gt;"")),Events!$I$6:$I$17),Inputs!$D$44))</f>
      </c>
      <c r="BP11" s="7">
        <f>IF($B11="","",IFERROR(LOOKUP(2,1/((((Events!$C$6:$C$17="Deduction start")+(Events!$C$6:$C$17="Deduction stop"))*(Events!$D$6:$D$17="Other post-tax"))*(Events!$B$6:$B$17&lt;=$B11)*(Events!$B$6:$B$17&lt;&gt;"")),Events!$I$6:$I$17),Inputs!$D$45))</f>
      </c>
      <c r="BQ11" s="6">
        <f>IF($B11="","",IFERROR(LOOKUP(2,1/((((Events!$C$6:$C$17="Deduction start")+(Events!$C$6:$C$17="Deduction stop"))*(Events!$D$6:$D$17="Health FSA"))*(Events!$B$6:$B$17&lt;=$B11)*(Events!$B$6:$B$17&lt;&gt;"")),Events!$J$6:$J$17),0))</f>
      </c>
      <c r="BR11" s="6">
        <f>IF($B11="","",IFERROR(LOOKUP(2,1/((((Events!$C$6:$C$17="Deduction start")+(Events!$C$6:$C$17="Deduction stop"))*(Events!$D$6:$D$17="Dependent-care FSA"))*(Events!$B$6:$B$17&lt;=$B11)*(Events!$B$6:$B$17&lt;&gt;"")),Events!$J$6:$J$17),0))</f>
      </c>
      <c r="BS11" s="6">
        <f>IF($B11="","",IF(SUMPRODUCT((Events!$C$6:$C$17="Deduction start")*(Events!$B$6:$B$17&lt;=$B11)*(Events!$B$6:$B$17&lt;&gt;"")*(Events!$D$6:$D$17="Health FSA"))&gt;0,1,0))</f>
      </c>
      <c r="BT11" s="6">
        <f>IF($B11="","",IF(SUMPRODUCT((Events!$C$6:$C$17="Deduction start")*(Events!$B$6:$B$17&lt;=$B11)*(Events!$B$6:$B$17&lt;&gt;"")*(Events!$D$6:$D$17="Dependent-care FSA"))&gt;0,1,0))</f>
      </c>
      <c r="BU11" s="24">
        <f>IF($B11="","",IF(Inputs!$C$13,SUMPRODUCT(($AH11&gt;=INDEX('Methodology &amp; Sources'!$B$29:$J$36,0,IF(Inputs!$C$12="MFJ",1,IF(Inputs!$C$12="HoH",7,4))))*INDEX('Methodology &amp; Sources'!$B$29:$J$36,0,IF(Inputs!$C$12="MFJ",1,IF(Inputs!$C$12="HoH",7,4))+2)),SUMPRODUCT(($AH11&gt;=INDEX('Methodology &amp; Sources'!$B$19:$J$26,0,IF(Inputs!$C$12="MFJ",1,IF(Inputs!$C$12="HoH",7,4))))*INDEX('Methodology &amp; Sources'!$B$19:$J$26,0,IF(Inputs!$C$12="MFJ",1,IF(Inputs!$C$12="HoH",7,4))+2))))</f>
      </c>
      <c r="BV11" s="24">
        <f>IF($B11="","",IF($BZ11&lt;&gt;"",$BZ11,IF($CA11&lt;&gt;"",$CA11,IF($CB11&lt;&gt;"",$CB11,IF($CC11&lt;&gt;"",$CC11,0)))))</f>
      </c>
      <c r="BW11" s="7">
        <f>IF($B11="","",IF($AN11="MD",IF(OR($AU11="Married",$AU11="Head of household"),SUMPRODUCT(($AZ11&gt;INDEX('Methodology &amp; Sources'!$B$114:$J$120,0,1))*($AZ11-INDEX('Methodology &amp; Sources'!$B$114:$J$120,0,1))*INDEX('Methodology &amp; Sources'!$B$114:$J$120,0,1+2)),SUMPRODUCT(($AZ11&gt;INDEX('Methodology &amp; Sources'!$B$103:$J$109,0,7))*($AZ11-INDEX('Methodology &amp; Sources'!$B$103:$J$109,0,7))*INDEX('Methodology &amp; Sources'!$B$103:$J$109,0,7+2))),IF($AN11="MO",SUMPRODUCT(($AZ11&gt;INDEX('Methodology &amp; Sources'!$B$125:$J$132,0,1))*($AZ11-INDEX('Methodology &amp; Sources'!$B$125:$J$132,0,1))*INDEX('Methodology &amp; Sources'!$B$125:$J$132,0,1+2)),IF($AN11="MT",IF($AU11="Head of household",SUMPRODUCT(($AZ11&gt;INDEX('Methodology &amp; Sources'!$B$137:$J$139,0,1))*($AZ11-INDEX('Methodology &amp; Sources'!$B$137:$J$139,0,1))*INDEX('Methodology &amp; Sources'!$B$137:$J$139,0,1+2)),IF($AU11="Married",SUMPRODUCT(($AZ11&gt;INDEX('Methodology &amp; Sources'!$B$125:$J$132,0,7))*($AZ11-INDEX('Methodology &amp; Sources'!$B$125:$J$132,0,7))*INDEX('Methodology &amp; Sources'!$B$125:$J$132,0,7+2)),SUMPRODUCT(($AZ11&gt;INDEX('Methodology &amp; Sources'!$B$125:$J$132,0,4))*($AZ11-INDEX('Methodology &amp; Sources'!$B$125:$J$132,0,4))*INDEX('Methodology &amp; Sources'!$B$125:$J$132,0,4+2)))),IF($AN11="ND",IF($AU11="Head of household",SUMPRODUCT(($AZ11&gt;INDEX('Methodology &amp; Sources'!$B$144:$J$150,0,1))*($AZ11-INDEX('Methodology &amp; Sources'!$B$144:$J$150,0,1))*INDEX('Methodology &amp; Sources'!$B$144:$J$150,0,1+2)),IF($AU11="Married",SUMPRODUCT(($AZ11&gt;INDEX('Methodology &amp; Sources'!$B$137:$J$139,0,7))*($AZ11-INDEX('Methodology &amp; Sources'!$B$137:$J$139,0,7))*INDEX('Methodology &amp; Sources'!$B$137:$J$139,0,7+2)),SUMPRODUCT(($AZ11&gt;INDEX('Methodology &amp; Sources'!$B$137:$J$139,0,4))*($AZ11-INDEX('Methodology &amp; Sources'!$B$137:$J$139,0,4))*INDEX('Methodology &amp; Sources'!$B$137:$J$139,0,4+2)))),IF($AN11="NJ",IF(Inputs!$C$77="B",SUMPRODUCT(($AZ11&gt;INDEX('Methodology &amp; Sources'!$B$155:$J$162,0,4))*($AZ11-INDEX('Methodology &amp; Sources'!$B$155:$J$162,0,4))*INDEX('Methodology &amp; Sources'!$B$155:$J$162,0,4+2)),IF(Inputs!$C$77="C",SUMPRODUCT(($AZ11&gt;INDEX('Methodology &amp; Sources'!$B$155:$J$162,0,7))*($AZ11-INDEX('Methodology &amp; Sources'!$B$155:$J$162,0,7))*INDEX('Methodology &amp; Sources'!$B$155:$J$162,0,7+2)),IF(Inputs!$C$77="D",SUMPRODUCT(($AZ11&gt;INDEX('Methodology &amp; Sources'!$B$167:$J$179,0,1))*($AZ11-INDEX('Methodology &amp; Sources'!$B$167:$J$179,0,1))*INDEX('Methodology &amp; Sources'!$B$167:$J$179,0,1+2)),IF(Inputs!$C$77="E",SUMPRODUCT(($AZ11&gt;INDEX('Methodology &amp; Sources'!$B$167:$J$179,0,4))*($AZ11-INDEX('Methodology &amp; Sources'!$B$167:$J$179,0,4))*INDEX('Methodology &amp; Sources'!$B$167:$J$179,0,4+2)),SUMPRODUCT(($AZ11&gt;INDEX('Methodology &amp; Sources'!$B$155:$J$162,0,1))*($AZ11-INDEX('Methodology &amp; Sources'!$B$155:$J$162,0,1))*INDEX('Methodology &amp; Sources'!$B$155:$J$162,0,1+2)))))),IF($AN11="NY",IF($AU11="Married",IF($AZ11&gt;=2155350,$AZ11*IF($AZ11&gt;25000000,0.117,IF($AZ11&gt;5000000,0.111,0.1045)),SUMPRODUCT(($AZ11&gt;INDEX('Methodology &amp; Sources'!$B$184:$J$198,0,1))*($AZ11-INDEX('Methodology &amp; Sources'!$B$184:$J$198,0,1))*INDEX('Methodology &amp; Sources'!$B$184:$J$198,0,1+2))),IF($AZ11&gt;=1077550,$AZ11*IF($AZ11&gt;25000000,0.117,IF($AZ11&gt;5000000,0.111,0.1045)),SUMPRODUCT(($AZ11&gt;INDEX('Methodology &amp; Sources'!$B$167:$J$179,0,7))*($AZ11-INDEX('Methodology &amp; Sources'!$B$167:$J$179,0,7))*INDEX('Methodology &amp; Sources'!$B$167:$J$179,0,7+2)))),"")))))))</f>
      </c>
      <c r="BX11" s="7">
        <f>IF($B11="","",IF($AN11="AL",IF(OR($AU11="Married",$AU11="Head of household"),SUMPRODUCT(($AZ11&gt;INDEX('Methodology &amp; Sources'!$B$82:$J$86,0,4))*($AZ11-INDEX('Methodology &amp; Sources'!$B$82:$J$86,0,4))*INDEX('Methodology &amp; Sources'!$B$82:$J$86,0,4+2)),SUMPRODUCT(($AZ11&gt;INDEX('Methodology &amp; Sources'!$B$82:$J$86,0,1))*($AZ11-INDEX('Methodology &amp; Sources'!$B$82:$J$86,0,1))*INDEX('Methodology &amp; Sources'!$B$82:$J$86,0,1+2))),IF($AN11="KS",IF($AU11="Married",SUMPRODUCT(($AZ11&gt;INDEX('Methodology &amp; Sources'!$B$103:$J$109,0,4))*($AZ11-INDEX('Methodology &amp; Sources'!$B$103:$J$109,0,4))*INDEX('Methodology &amp; Sources'!$B$103:$J$109,0,4+2)),SUMPRODUCT(($AZ11&gt;INDEX('Methodology &amp; Sources'!$B$103:$J$109,0,1))*($AZ11-INDEX('Methodology &amp; Sources'!$B$103:$J$109,0,1))*INDEX('Methodology &amp; Sources'!$B$103:$J$109,0,1+2))),IF($AN11="MN",IF($AU11="Married",SUMPRODUCT(($AZ11&gt;INDEX('Methodology &amp; Sources'!$B$114:$J$120,0,7))*($AZ11-INDEX('Methodology &amp; Sources'!$B$114:$J$120,0,7))*INDEX('Methodology &amp; Sources'!$B$114:$J$120,0,7+2)),SUMPRODUCT(($AZ11&gt;INDEX('Methodology &amp; Sources'!$B$114:$J$120,0,4))*($AZ11-INDEX('Methodology &amp; Sources'!$B$114:$J$120,0,4))*INDEX('Methodology &amp; Sources'!$B$114:$J$120,0,4+2))),IF($AN11="NE",MAX(IF($AU11="Married",SUMPRODUCT(($AZ11&gt;INDEX('Methodology &amp; Sources'!$B$144:$J$150,0,7))*($AZ11-INDEX('Methodology &amp; Sources'!$B$144:$J$150,0,7))*INDEX('Methodology &amp; Sources'!$B$144:$J$150,0,7+2)),SUMPRODUCT(($AZ11&gt;INDEX('Methodology &amp; Sources'!$B$144:$J$150,0,4))*($AZ11-INDEX('Methodology &amp; Sources'!$B$144:$J$150,0,4))*INDEX('Methodology &amp; Sources'!$B$144:$J$150,0,4+2))),0.015*$AZ11),IF($AN11="OH",IF($B11&gt;=DATE(2027,8,1),SUMPRODUCT(($AZ11&gt;INDEX('Methodology &amp; Sources'!$B$203:$J$206,0,1))*($AZ11-INDEX('Methodology &amp; Sources'!$B$203:$J$206,0,1))*INDEX('Methodology &amp; Sources'!$B$203:$J$206,0,1+2)),SUMPRODUCT(($AZ11&gt;INDEX('Methodology &amp; Sources'!$B$184:$J$198,0,7))*($AZ11-INDEX('Methodology &amp; Sources'!$B$184:$J$198,0,7))*INDEX('Methodology &amp; Sources'!$B$184:$J$198,0,7+2))),IF($AN11="OK",IF($AU11="Married",SUMPRODUCT(($AZ11&gt;INDEX('Methodology &amp; Sources'!$B$203:$J$206,0,7))*($AZ11-INDEX('Methodology &amp; Sources'!$B$203:$J$206,0,7))*INDEX('Methodology &amp; Sources'!$B$203:$J$206,0,7+2)),SUMPRODUCT(($AZ11&gt;INDEX('Methodology &amp; Sources'!$B$203:$J$206,0,4))*($AZ11-INDEX('Methodology &amp; Sources'!$B$203:$J$206,0,4))*INDEX('Methodology &amp; Sources'!$B$203:$J$206,0,4+2))),IF($AN11="RI",SUMPRODUCT(($AZ11&gt;INDEX('Methodology &amp; Sources'!$B$211:$J$214,0,7))*($AZ11-INDEX('Methodology &amp; Sources'!$B$211:$J$214,0,7))*INDEX('Methodology &amp; Sources'!$B$211:$J$214,0,7+2)),IF($AN11="VT",IF($AU11="Married",SUMPRODUCT(($AZ11&gt;INDEX('Methodology &amp; Sources'!$B$228:$J$232,0,1))*($AZ11-INDEX('Methodology &amp; Sources'!$B$228:$J$232,0,1))*INDEX('Methodology &amp; Sources'!$B$228:$J$232,0,1+2)),SUMPRODUCT(($AZ11&gt;INDEX('Methodology &amp; Sources'!$B$219:$J$223,0,7))*($AZ11-INDEX('Methodology &amp; Sources'!$B$219:$J$223,0,7))*INDEX('Methodology &amp; Sources'!$B$219:$J$223,0,7+2))),IF($AN11="WV",IF($AU11="Married",SUMPRODUCT(($AZ11&gt;INDEX('Methodology &amp; Sources'!$B$237:$J$241,0,7))*($AZ11-INDEX('Methodology &amp; Sources'!$B$237:$J$241,0,7))*INDEX('Methodology &amp; Sources'!$B$237:$J$241,0,7+2)),SUMPRODUCT(($AZ11&gt;INDEX('Methodology &amp; Sources'!$B$228:$J$232,0,7))*($AZ11-INDEX('Methodology &amp; Sources'!$B$228:$J$232,0,7))*INDEX('Methodology &amp; Sources'!$B$228:$J$232,0,7+2))),""))))))))))</f>
      </c>
      <c r="BY11" s="7">
        <f>IF($B11="","",IF($AN11="AR",SUMPRODUCT(($AZ11&gt;INDEX('Methodology &amp; Sources'!$B$82:$J$86,0,7))*($AZ11-INDEX('Methodology &amp; Sources'!$B$82:$J$86,0,7))*INDEX('Methodology &amp; Sources'!$B$82:$J$86,0,7+2)),IF($AN11="DE",SUMPRODUCT(($AZ11&gt;INDEX('Methodology &amp; Sources'!$B$91:$J$98,0,1))*($AZ11-INDEX('Methodology &amp; Sources'!$B$91:$J$98,0,1))*INDEX('Methodology &amp; Sources'!$B$91:$J$98,0,1+2)),IF($AN11="HI",IF($AU11="Married",SUMPRODUCT(($AZ11&gt;INDEX('Methodology &amp; Sources'!$B$91:$J$98,0,7))*($AZ11-INDEX('Methodology &amp; Sources'!$B$91:$J$98,0,7))*INDEX('Methodology &amp; Sources'!$B$91:$J$98,0,7+2)),SUMPRODUCT(($AZ11&gt;INDEX('Methodology &amp; Sources'!$B$91:$J$98,0,4))*($AZ11-INDEX('Methodology &amp; Sources'!$B$91:$J$98,0,4))*INDEX('Methodology &amp; Sources'!$B$91:$J$98,0,4+2))),IF($AN11="SC",SUMPRODUCT(($AZ11&gt;INDEX('Methodology &amp; Sources'!$B$219:$J$223,0,1))*($AZ11-INDEX('Methodology &amp; Sources'!$B$219:$J$223,0,1))*INDEX('Methodology &amp; Sources'!$B$219:$J$223,0,1+2)),IF($AN11="VA",SUMPRODUCT(($AZ11&gt;INDEX('Methodology &amp; Sources'!$B$219:$J$223,0,4))*($AZ11-INDEX('Methodology &amp; Sources'!$B$219:$J$223,0,4))*INDEX('Methodology &amp; Sources'!$B$219:$J$223,0,4+2)),IF($AN11="WI",SUMPRODUCT(($AZ11&gt;INDEX('Methodology &amp; Sources'!$B$228:$J$232,0,4))*($AZ11-INDEX('Methodology &amp; Sources'!$B$228:$J$232,0,4))*INDEX('Methodology &amp; Sources'!$B$228:$J$232,0,4+2)),"")))))))</f>
      </c>
      <c r="BZ11" s="24">
        <f>IF($B11="","",IF($AN11="NJ",IF(Inputs!$C$77="B",SUMPRODUCT(($AZ11&gt;=INDEX('Methodology &amp; Sources'!$B$155:$J$162,0,4))*INDEX('Methodology &amp; Sources'!$B$155:$J$162,0,4+2)),IF(Inputs!$C$77="C",SUMPRODUCT(($AZ11&gt;=INDEX('Methodology &amp; Sources'!$B$155:$J$162,0,7))*INDEX('Methodology &amp; Sources'!$B$155:$J$162,0,7+2)),IF(Inputs!$C$77="D",SUMPRODUCT(($AZ11&gt;=INDEX('Methodology &amp; Sources'!$B$167:$J$179,0,1))*INDEX('Methodology &amp; Sources'!$B$167:$J$179,0,1+2)),IF(Inputs!$C$77="E",SUMPRODUCT(($AZ11&gt;=INDEX('Methodology &amp; Sources'!$B$167:$J$179,0,4))*INDEX('Methodology &amp; Sources'!$B$167:$J$179,0,4+2)),SUMPRODUCT(($AZ11&gt;=INDEX('Methodology &amp; Sources'!$B$155:$J$162,0,1))*INDEX('Methodology &amp; Sources'!$B$155:$J$162,0,1+2)))))),IF($AN11="OR",IF(OR($AU11="Married",AND($AU11="Single",$AS11&gt;=3)),SUMPRODUCT((MAX(0,$AY11-MIN(($P11-'Methodology &amp; Sources'!$C$10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Sources'!$B$211:$J$214,0,4))*INDEX('Methodology &amp; Sources'!$B$211:$J$214,0,4+2)),SUMPRODUCT((MAX(0,$AY11-MIN(($P11-'Methodology &amp; Sources'!$C$10*$D11)*Inputs!$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Sources'!$B$211:$J$214,0,1))*INDEX('Methodology &amp; Sources'!$B$211:$J$214,0,1+2)))*IF(($P11-'Methodology &amp; Sources'!$C$10*$D11)*Inputs!$C$8&gt;=IF(OR($AU11="Married",AND($AU11="Single",$AS11&gt;=3)),IF($AY11&lt;250000,8750,IF($AY11&lt;260000,7000,IF($AY11&lt;270000,5250,IF($AY11&lt;280000,3500,IF($AY11&lt;290000,1750,0))))),IF($AY11&lt;125000,8750,IF($AY11&lt;130000,7000,IF($AY11&lt;135000,5250,IF($AY11&lt;140000,3500,IF($AY11&lt;145000,1750,0)))))),1,1-IF(Inputs!$C$13,SUMPRODUCT(($AH11&gt;=INDEX('Methodology &amp; Sources'!$B$29:$J$36,0,IF(Inputs!$C$12="MFJ",1,IF(Inputs!$C$12="HoH",7,4))))*INDEX('Methodology &amp; Sources'!$B$29:$J$36,0,IF(Inputs!$C$12="MFJ",1,IF(Inputs!$C$12="HoH",7,4))+2)),SUMPRODUCT(($AH11&gt;=INDEX('Methodology &amp; Sources'!$B$19:$J$26,0,IF(Inputs!$C$12="MFJ",1,IF(Inputs!$C$12="HoH",7,4))))*INDEX('Methodology &amp; Sources'!$B$19:$J$26,0,IF(Inputs!$C$12="MFJ",1,IF(Inputs!$C$12="HoH",7,4))+2)))),IF($AN11="MI",IF($AY11&gt;5900*$AS11,0.0425,0),""))))</f>
      </c>
      <c r="CA11" s="24">
        <f>IF($B11="","",IF($AN11="AL",IF(OR($AU11="Married",$AU11="Head of household"),SUMPRODUCT(($AZ11&gt;=INDEX('Methodology &amp; Sources'!$B$82:$J$86,0,4))*INDEX('Methodology &amp; Sources'!$B$82:$J$86,0,4+2)),SUMPRODUCT(($AZ11&gt;=INDEX('Methodology &amp; Sources'!$B$82:$J$86,0,1))*INDEX('Methodology &amp; Sources'!$B$82:$J$86,0,1+2)))*(1-IF(Inputs!$C$13,SUMPRODUCT(($AH11&gt;=INDEX('Methodology &amp; Sources'!$B$29:$J$36,0,IF(Inputs!$C$12="MFJ",1,IF(Inputs!$C$12="HoH",7,4))))*INDEX('Methodology &amp; Sources'!$B$29:$J$36,0,IF(Inputs!$C$12="MFJ",1,IF(Inputs!$C$12="HoH",7,4))+2)),SUMPRODUCT(($AH11&gt;=INDEX('Methodology &amp; Sources'!$B$19:$J$26,0,IF(Inputs!$C$12="MFJ",1,IF(Inputs!$C$12="HoH",7,4))))*INDEX('Methodology &amp; Sources'!$B$19:$J$26,0,IF(Inputs!$C$12="MFJ",1,IF(Inputs!$C$12="HoH",7,4))+2)))),IF($AN11="KS",IF($AU11="Married",SUMPRODUCT(($AZ11&gt;=INDEX('Methodology &amp; Sources'!$B$103:$J$109,0,4))*INDEX('Methodology &amp; Sources'!$B$103:$J$109,0,4+2)),SUMPRODUCT(($AZ11&gt;=INDEX('Methodology &amp; Sources'!$B$103:$J$109,0,1))*INDEX('Methodology &amp; Sources'!$B$103:$J$109,0,1+2))),IF($AN11="MD",IF(OR($AU11="Married",$AU11="Head of household"),SUMPRODUCT(($AZ11&gt;=INDEX('Methodology &amp; Sources'!$B$114:$J$120,0,1))*INDEX('Methodology &amp; Sources'!$B$114:$J$120,0,1+2)),SUMPRODUCT(($AZ11&gt;=INDEX('Methodology &amp; Sources'!$B$103:$J$109,0,7))*INDEX('Methodology &amp; Sources'!$B$103:$J$109,0,7+2)))+Inputs!$C$74,IF($AN11="MT",IF($AU11="Head of household",SUMPRODUCT(($AZ11&gt;=INDEX('Methodology &amp; Sources'!$B$137:$J$139,0,1))*INDEX('Methodology &amp; Sources'!$B$137:$J$139,0,1+2)),IF($AU11="Married",SUMPRODUCT(($AZ11&gt;=INDEX('Methodology &amp; Sources'!$B$125:$J$132,0,7))*INDEX('Methodology &amp; Sources'!$B$125:$J$132,0,7+2)),SUMPRODUCT(($AZ11&gt;=INDEX('Methodology &amp; Sources'!$B$125:$J$132,0,4))*INDEX('Methodology &amp; Sources'!$B$125:$J$132,0,4+2)))),IF($AN11="ND",IF($AU11="Head of household",SUMPRODUCT(($AZ11&gt;=INDEX('Methodology &amp; Sources'!$B$144:$J$150,0,1))*INDEX('Methodology &amp; Sources'!$B$144:$J$150,0,1+2)),IF($AU11="Married",SUMPRODUCT(($AZ11&gt;=INDEX('Methodology &amp; Sources'!$B$137:$J$139,0,7))*INDEX('Methodology &amp; Sources'!$B$137:$J$139,0,7+2)),SUMPRODUCT(($AZ11&gt;=INDEX('Methodology &amp; Sources'!$B$137:$J$139,0,4))*INDEX('Methodology &amp; Sources'!$B$137:$J$139,0,4+2)))),IF($AN11="NY",IF($AU11="Married",IF($AZ11&gt;=2155350,IF($AZ11&gt;25000000,0.117,IF($AZ11&gt;5000000,0.111,0.1045)),SUMPRODUCT(($AZ11&gt;=INDEX('Methodology &amp; Sources'!$B$184:$J$198,0,1))*INDEX('Methodology &amp; Sources'!$B$184:$J$198,0,1+2))),IF($AZ11&gt;=1077550,IF($AZ11&gt;25000000,0.117,IF($AZ11&gt;5000000,0.111,0.1045)),SUMPRODUCT(($AZ11&gt;=INDEX('Methodology &amp; Sources'!$B$167:$J$179,0,7))*INDEX('Methodology &amp; Sources'!$B$167:$J$179,0,7+2)))),"")))))))</f>
      </c>
      <c r="CB11" s="24">
        <f>IF($B11="","",IF($AN11="CA",SUMPRODUCT(($AJ11&gt;=INDEX('Methodology &amp; Sources'!$B$39:$J$48,0,IF($AU11="Married",4,IF($AU11="Head of household",7,1))))*INDEX('Methodology &amp; Sources'!$B$39:$J$48,0,IF($AU11="Married",4,IF($AU11="Head of household",7,1))+2)),IF($AN11="HI",IF($AU11="Married",SUMPRODUCT(($AZ11&gt;=INDEX('Methodology &amp; Sources'!$B$91:$J$98,0,7))*INDEX('Methodology &amp; Sources'!$B$91:$J$98,0,7+2)),SUMPRODUCT(($AZ11&gt;=INDEX('Methodology &amp; Sources'!$B$91:$J$98,0,4))*INDEX('Methodology &amp; Sources'!$B$91:$J$98,0,4+2))),IF($AN11="MN",IF($AU11="Married",SUMPRODUCT(($AZ11&gt;=INDEX('Methodology &amp; Sources'!$B$114:$J$120,0,7))*INDEX('Methodology &amp; Sources'!$B$114:$J$120,0,7+2)),SUMPRODUCT(($AZ11&gt;=INDEX('Methodology &amp; Sources'!$B$114:$J$120,0,4))*INDEX('Methodology &amp; Sources'!$B$114:$J$120,0,4+2))),IF($AN11="MO",SUMPRODUCT(($AZ11&gt;=INDEX('Methodology &amp; Sources'!$B$125:$J$132,0,1))*INDEX('Methodology &amp; Sources'!$B$125:$J$132,0,1+2)),IF($AN11="NE",MAX(IF($AU11="Married",SUMPRODUCT(($AZ11&gt;=INDEX('Methodology &amp; Sources'!$B$144:$J$150,0,7))*INDEX('Methodology &amp; Sources'!$B$144:$J$150,0,7+2)),SUMPRODUCT(($AZ11&gt;=INDEX('Methodology &amp; Sources'!$B$144:$J$150,0,4))*INDEX('Methodology &amp; Sources'!$B$144:$J$150,0,4+2))),0.015),IF($AN11="OH",IF($B11&gt;=DATE(2027,8,1),SUMPRODUCT(($AZ11&gt;=INDEX('Methodology &amp; Sources'!$B$203:$J$206,0,1))*INDEX('Methodology &amp; Sources'!$B$203:$J$206,0,1+2)),SUMPRODUCT(($AZ11&gt;=INDEX('Methodology &amp; Sources'!$B$184:$J$198,0,7))*INDEX('Methodology &amp; Sources'!$B$184:$J$198,0,7+2))),IF($AN11="OK",IF($AU11="Married",SUMPRODUCT(($AZ11&gt;=INDEX('Methodology &amp; Sources'!$B$203:$J$206,0,7))*INDEX('Methodology &amp; Sources'!$B$203:$J$206,0,7+2)),SUMPRODUCT(($AZ11&gt;=INDEX('Methodology &amp; Sources'!$B$203:$J$206,0,4))*INDEX('Methodology &amp; Sources'!$B$203:$J$206,0,4+2))),IF($AN11="RI",SUMPRODUCT(($AZ11&gt;=INDEX('Methodology &amp; Sources'!$B$211:$J$214,0,7))*INDEX('Methodology &amp; Sources'!$B$211:$J$214,0,7+2)),IF($AN11="SC",SUMPRODUCT(($AZ11&gt;=INDEX('Methodology &amp; Sources'!$B$219:$J$223,0,1))*INDEX('Methodology &amp; Sources'!$B$219:$J$223,0,1+2)),IF($AN11="VT",IF($AU11="Married",SUMPRODUCT(($AZ11&gt;=INDEX('Methodology &amp; Sources'!$B$228:$J$232,0,1))*INDEX('Methodology &amp; Sources'!$B$228:$J$232,0,1+2)),SUMPRODUCT(($AZ11&gt;=INDEX('Methodology &amp; Sources'!$B$219:$J$223,0,7))*INDEX('Methodology &amp; Sources'!$B$219:$J$223,0,7+2))),IF($AN11="WV",IF($AU11="Married",SUMPRODUCT(($AZ11&gt;=INDEX('Methodology &amp; Sources'!$B$237:$J$241,0,7))*INDEX('Methodology &amp; Sources'!$B$237:$J$241,0,7+2)),SUMPRODUCT(($AZ11&gt;=INDEX('Methodology &amp; Sources'!$B$228:$J$232,0,7))*INDEX('Methodology &amp; Sources'!$B$228:$J$232,0,7+2))),IF($AN11="IN",(0.0295+Inputs!$C$76),"")))))))))))))</f>
      </c>
      <c r="CC11" s="24">
        <f>IF($B11="","",IF($AN11="AR",SUMPRODUCT(($AZ11&gt;=INDEX('Methodology &amp; Sources'!$B$82:$J$86,0,7))*INDEX('Methodology &amp; Sources'!$B$82:$J$86,0,7+2)),IF($AN11="DE",SUMPRODUCT(($AZ11&gt;=INDEX('Methodology &amp; Sources'!$B$91:$J$98,0,1))*INDEX('Methodology &amp; Sources'!$B$91:$J$98,0,1+2)),IF($AN11="VA",SUMPRODUCT(($AZ11&gt;=INDEX('Methodology &amp; Sources'!$B$219:$J$223,0,4))*INDEX('Methodology &amp; Sources'!$B$219:$J$223,0,4+2)),IF($AN11="WI",SUMPRODUCT(($AZ11&gt;=INDEX('Methodology &amp; Sources'!$B$228:$J$232,0,4))*INDEX('Methodology &amp; Sources'!$B$228:$J$232,0,4+2)),IF($AN11="AZ",Inputs!$C$82,IF($AN11="CO",IF($AY11&gt;IF($AU11="Married",10000,5000),0.044,0),IF($AN11="IA",IF($AY11&gt;IF($AU11="Head of household",19500,IF($AU11="Married",26000,13000)),0.038,0),IF($AN11="ID",IF($AY11&gt;IF($AU11="Married",32000,16094),0.053,0),IF($AN11="IL",IF($AY11&gt;(2925*$AS11+1000*$AT11),0.0495,0),IF($AN11="KY",IF($AI11&gt;3360,0.035,0),IF($AN11="LA",0.0309,IF($AN11="MA",IF(MAX(0,$AY11-MIN(($BD10+$Q11+$R11+$S11),2000)-IF($AS11=0,0,IF($AS11=1,4400,1000*$AS11+3400)))&gt;=1107750,0.09,0.05),IF($AN11="MS",IF($AI11-IF($AU11="Head of household",3400,IF($AU11="Married",4600,2300))-Inputs!$C$85&gt;10000,0.04,0),IF($AN11="PA",0.0307,"")))))))))))))))</f>
      </c>
      <c r="CD11" s="21">
        <f>IF(YEAR(IF(Inputs!$C$7="Weekly",Inputs!$C$90+7*(($BE10+1)-1),IF(Inputs!$C$7="Biweekly",Inputs!$C$90+14*(($BE10+1)-1),IF(Inputs!$C$7="Semimonthly",DATE(YEAR(Inputs!$C$9),MONTH(Inputs!$C$9)+INT((($BE10+1)-1+'Rest of 2026'!$C$2)/2),MIN(DAY(Inputs!$C$9),DAY(EOMONTH(DATE(YEAR(Inputs!$C$9),MONTH(Inputs!$C$9)+INT((($BE10+1)-1+'Rest of 2026'!$C$2)/2),1),0))))+IF(MOD(($BE10+1)-1+'Rest of 2026'!$C$2,2)=1,15,0),EDATE(Inputs!$C$90,($BE10+1)-1)))))&lt;&gt;Inputs!$C$10,"",IF(Inputs!$C$7="Weekly",Inputs!$C$90+7*(($BE10+1)-1),IF(Inputs!$C$7="Biweekly",Inputs!$C$90+14*(($BE10+1)-1),IF(Inputs!$C$7="Semimonthly",DATE(YEAR(Inputs!$C$9),MONTH(Inputs!$C$9)+INT((($BE10+1)-1+'Rest of 2026'!$C$2)/2),MIN(DAY(Inputs!$C$9),DAY(EOMONTH(DATE(YEAR(Inputs!$C$9),MONTH(Inputs!$C$9)+INT((($BE10+1)-1+'Rest of 2026'!$C$2)/2),1),0))))+IF(MOD(($BE10+1)-1+'Rest of 2026'!$C$2,2)=1,15,0),EDATE(Inputs!$C$90,($BE10+1)-1)))))</f>
      </c>
      <c r="CE11" s="21">
        <f>IF(SUMPRODUCT(MIN(IF((Inputs!$C$58:$C$67&gt;MAX($B$6:$B10))*(Inputs!$C$58:$C$67&gt;=DATE(Inputs!$C$10,1,1))*(Inputs!$C$58:$C$67&lt;=DATE(Inputs!$C$10,12,31)),Inputs!$C$58:$C$67,999999)))=999999,"",SUMPRODUCT(MIN(IF((Inputs!$C$58:$C$67&gt;MAX($B$6:$B10))*(Inputs!$C$58:$C$67&gt;=DATE(Inputs!$C$10,1,1))*(Inputs!$C$58:$C$67&lt;=DATE(Inputs!$C$10,12,31)),Inputs!$C$58:$C$67,999999))))</f>
      </c>
    </row>
    <row r="12">
      <c r="A12" t="n">
        <v>7</v>
      </c>
      <c r="B12" s="21">
        <f>IF(AND($CD12="",$CE12=""),"",IF($CE12="",$CD12,IF($CD12="",$CE12,MIN($CD12,$CE12))))</f>
      </c>
      <c r="C12" s="7">
        <f>IF($B12="","",IF($BF12=0,0,IF(Inputs!$C$4="Annual salary",ROUND($AK12/IF(AND(Inputs!$C$88="Actual paydays",MONTH(Inputs!$C$90)=1),MAX(1,MAX($BE$6:$BE$68)),Inputs!$C$8),2),$AK12)))</f>
      </c>
      <c r="D12" s="7">
        <f>IF($B12="","",SUMIF(Inputs!$C$58:$C$67,$B12,Inputs!$D$58:$D$67))</f>
      </c>
      <c r="E12" s="7">
        <f>IF($B12="","",ROUND(MAX(0,MIN(IF($AL12="Percent",$AM12*($C12+$D12),$AM12),MAX(0,Inputs!$C$34-$AC11))),2))</f>
      </c>
      <c r="F12" s="7">
        <f>IF($B12="","",ROUND(MAX(0,MIN(IF(Inputs!$C$32="Percent",Inputs!$D$32*($C12+$D12),Inputs!$D$32),MAX(0,Inputs!$C$34-$AC11-$E12))),2))</f>
      </c>
      <c r="G12" s="7">
        <f>IF($B12="","",IF($BF12=0,0,ROUND(MAX(0,MIN($BL12,Inputs!$C$37-Inputs!$C$99-$BI11)),2)))</f>
      </c>
      <c r="H12" s="7">
        <f>IF($B12="","",IF(OR($BF12=0,$BQ12=1),0,ROUND(MAX(0,MIN(IF($BS12=1,ROUND(MAX(0,MIN($BJ12,'Methodology &amp; Sources'!$C$13)-$BG11)/MAX(1,MAX($BE$6:$BE$68)-($BE11)),2),ROUND(MIN($BJ12,'Methodology &amp; Sources'!$C$13)/Inputs!$C$8,2)),MIN($BJ12,'Methodology &amp; Sources'!$C$13)-$BG11)),2)))</f>
      </c>
      <c r="I12" s="7">
        <f>IF($B12="","",IF(OR($BF12=0,$BR12=1),0,ROUND(MAX(0,MIN(IF($BT12=1,ROUND(MAX(0,MIN($BK12,IF(Inputs!$C$12="MFJ",'Methodology &amp; Sources'!$C$14,'Methodology &amp; Sources'!$C$15))-$BH11)/MAX(1,MAX($BE$6:$BE$68)-($BE11)),2),ROUND(MIN($BK12,IF(Inputs!$C$12="MFJ",'Methodology &amp; Sources'!$C$14,'Methodology &amp; Sources'!$C$15))/Inputs!$C$8,2)),MIN($BK12,IF(Inputs!$C$12="MFJ",'Methodology &amp; Sources'!$C$14,'Methodology &amp; Sources'!$C$15))-$BH11)),2)))</f>
      </c>
      <c r="J12" s="7">
        <f>IF($B12="","",IF($BF12=0,0,$BM12))</f>
      </c>
      <c r="K12" s="7">
        <f>IF($B12="","",IF($BF12=0,0,$BN12+$BO12))</f>
      </c>
      <c r="L12" s="7">
        <f>IF($B12="","",IF($BF12=0,0,Inputs!$D$46))</f>
      </c>
      <c r="M12" s="7">
        <f>IF($B12="","",$C12+$D12+$L12-$E12-$G12-$H12-$I12-$J12-$K12)</f>
      </c>
      <c r="N12" s="7">
        <f>IF($B12="","",$C12+$D12+$L12-$G12-$H12-$I12-$J12-$K12)</f>
      </c>
      <c r="O12" s="7">
        <f>IF($B12="","",$C12+$D12+$L12-$E12-$H12-$I12-$J12-$K12-IF(OR($AN12="CA",$AN12="NJ"),0,$G12))</f>
      </c>
      <c r="P12" s="7">
        <f>IF($B12="","",IF(Inputs!$C$18,0,ROUND(MAX(0,IF(Inputs!$C$13,SUMPRODUCT(($AH12&gt;INDEX('Methodology &amp; Sources'!$B$29:$J$36,0,IF(Inputs!$C$12="MFJ",1,IF(Inputs!$C$12="HoH",7,4))))*($AH12-INDEX('Methodology &amp; Sources'!$B$29:$J$36,0,IF(Inputs!$C$12="MFJ",1,IF(Inputs!$C$12="HoH",7,4))))*INDEX('Methodology &amp; Sources'!$B$29:$J$36,0,IF(Inputs!$C$12="MFJ",1,IF(Inputs!$C$12="HoH",7,4))+2)),SUMPRODUCT(($AH12&gt;INDEX('Methodology &amp; Sources'!$B$19:$J$26,0,IF(Inputs!$C$12="MFJ",1,IF(Inputs!$C$12="HoH",7,4))))*($AH12-INDEX('Methodology &amp; Sources'!$B$19:$J$26,0,IF(Inputs!$C$12="MFJ",1,IF(Inputs!$C$12="HoH",7,4))))*INDEX('Methodology &amp; Sources'!$B$19:$J$26,0,IF(Inputs!$C$12="MFJ",1,IF(Inputs!$C$12="HoH",7,4))+2)))/Inputs!$C$8-$AO12/Inputs!$C$8)+$AR12+IF(Inputs!$C$89="Aggregate",MAX(0,IF(Inputs!$C$13,SUMPRODUCT((($AH12+$D12)&gt;INDEX('Methodology &amp; Sources'!$B$29:$J$36,0,IF(Inputs!$C$12="MFJ",1,IF(Inputs!$C$12="HoH",7,4))))*(($AH12+$D12)-INDEX('Methodology &amp; Sources'!$B$29:$J$36,0,IF(Inputs!$C$12="MFJ",1,IF(Inputs!$C$12="HoH",7,4))))*INDEX('Methodology &amp; Sources'!$B$29:$J$36,0,IF(Inputs!$C$12="MFJ",1,IF(Inputs!$C$12="HoH",7,4))+2)),SUMPRODUCT((($AH12+$D12)&gt;INDEX('Methodology &amp; Sources'!$B$19:$J$26,0,IF(Inputs!$C$12="MFJ",1,IF(Inputs!$C$12="HoH",7,4))))*(($AH12+$D12)-INDEX('Methodology &amp; Sources'!$B$19:$J$26,0,IF(Inputs!$C$12="MFJ",1,IF(Inputs!$C$12="HoH",7,4))))*INDEX('Methodology &amp; Sources'!$B$19:$J$26,0,IF(Inputs!$C$12="MFJ",1,IF(Inputs!$C$12="HoH",7,4))+2)))-IF(Inputs!$C$13,SUMPRODUCT(($AH12&gt;INDEX('Methodology &amp; Sources'!$B$29:$J$36,0,IF(Inputs!$C$12="MFJ",1,IF(Inputs!$C$12="HoH",7,4))))*($AH12-INDEX('Methodology &amp; Sources'!$B$29:$J$36,0,IF(Inputs!$C$12="MFJ",1,IF(Inputs!$C$12="HoH",7,4))))*INDEX('Methodology &amp; Sources'!$B$29:$J$36,0,IF(Inputs!$C$12="MFJ",1,IF(Inputs!$C$12="HoH",7,4))+2)),SUMPRODUCT(($AH12&gt;INDEX('Methodology &amp; Sources'!$B$19:$J$26,0,IF(Inputs!$C$12="MFJ",1,IF(Inputs!$C$12="HoH",7,4))))*($AH12-INDEX('Methodology &amp; Sources'!$B$19:$J$26,0,IF(Inputs!$C$12="MFJ",1,IF(Inputs!$C$12="HoH",7,4))))*INDEX('Methodology &amp; Sources'!$B$19:$J$26,0,IF(Inputs!$C$12="MFJ",1,IF(Inputs!$C$12="HoH",7,4))+2)))),'Methodology &amp; Sources'!$C$10*$D12),2)))</f>
      </c>
      <c r="Q12" s="7">
        <f>IF($B12="","",ROUND('Methodology &amp; Sources'!$C$4*MIN($N12,MAX(0,'Methodology &amp; Sources'!$C$3-($AX12+$AB11-$AW12))),2))</f>
      </c>
      <c r="R12" s="7">
        <f>IF($B12="","",ROUND('Methodology &amp; Sources'!$C$5*$N12,2))</f>
      </c>
      <c r="S12" s="7">
        <f>IF($B12="","",ROUND('Methodology &amp; Sources'!$C$6*MAX(0,MIN($N12,$AG11+$N12-'Methodology &amp; Sources'!$C$7)),2))</f>
      </c>
      <c r="T12" s="7">
        <f>IF($B12="","",IF(Inputs!$C$26,0,IF($AN12="CA",ROUND(IF($AI12&lt;=IF(($AS12+$AT12)&gt;=2,VLOOKUP($AN12,StateTables!$A$6:$AB$56,10,FALSE),VLOOKUP($AN12,StateTables!$A$6:$AB$56,9,FALSE)),0,MAX(0,SUMPRODUCT(($AJ12&gt;INDEX('Methodology &amp; Sources'!$B$39:$J$48,0,IF($AU12="Married",4,IF($AU12="Head of household",7,1))))*($AJ12-INDEX('Methodology &amp; Sources'!$B$39:$J$48,0,IF($AU12="Married",4,IF($AU12="Head of household",7,1))))*INDEX('Methodology &amp; Sources'!$B$39:$J$48,0,IF($AU12="Married",4,IF($AU12="Head of household",7,1))+2))-VLOOKUP($AN12,StateTables!$A$6:$AB$56,11,FALSE)*$AS12)/Inputs!$C$8)+Inputs!$C$25+VLOOKUP($AN12,StateTables!$A$6:$AB$56,13,FALSE)*$D12,2),IF(VLOOKUP($AN12,StateTables!$A$6:$AB$56,4,FALSE)="None",0,IF(ISNUMBER(SEARCH("MANUAL",VLOOKUP($AN12,StateTables!$A$6:$AB$56,5,FALSE))),Inputs!$C$28,ROUND(MAX(0,$BA12+$BB12)/Inputs!$C$8+Inputs!$C$25+$BC12,2))))))</f>
      </c>
      <c r="U12" s="7">
        <f>IF($B12="","",IF(VLOOKUP($AN12,StateTables!$A$6:$AB$56,24,FALSE)="flatq",IF(OR(MONTH($B12)=1,MONTH($B12)=4,MONTH($B12)=7,MONTH($B12)=10),VLOOKUP($AN12,StateTables!$A$6:$AB$56,25,FALSE),0),IF(VLOOKUP($AN12,StateTables!$A$6:$AB$56,24,FALSE)="dbl",MIN(ROUND(0.005*$N12,2),ROUND(0.6*52/Inputs!$C$8,2)),IF(OR(VLOOKUP($AN12,StateTables!$A$6:$AB$56,15,FALSE)="",VLOOKUP($AN12,StateTables!$A$6:$AB$56,15,FALSE)=0),0,ROUND(VLOOKUP($AN12,StateTables!$A$6:$AB$56,15,FALSE)*IF(OR(VLOOKUP($AN12,StateTables!$A$6:$AB$56,16,FALSE)="",VLOOKUP($AN12,StateTables!$A$6:$AB$56,16,FALSE)=0),$N12,MIN($N12,MAX(0,VLOOKUP($AN12,StateTables!$A$6:$AB$56,16,FALSE)-($AX12+$AB11-$AW12)))),2))))+IF(VLOOKUP($AN12,StateTables!$A$6:$AB$56,27,FALSE)="flatq",IF(OR(MONTH($B12)=1,MONTH($B12)=4,MONTH($B12)=7,MONTH($B12)=10),VLOOKUP($AN12,StateTables!$A$6:$AB$56,28,FALSE),0),IF(VLOOKUP($AN12,StateTables!$A$6:$AB$56,27,FALSE)="dbl",MIN(ROUND(0.005*$N12,2),ROUND(0.6*52/Inputs!$C$8,2)),IF(OR(VLOOKUP($AN12,StateTables!$A$6:$AB$56,18,FALSE)="",VLOOKUP($AN12,StateTables!$A$6:$AB$56,18,FALSE)=0),0,ROUND(VLOOKUP($AN12,StateTables!$A$6:$AB$56,18,FALSE)*IF(OR(VLOOKUP($AN12,StateTables!$A$6:$AB$56,19,FALSE)="",VLOOKUP($AN12,StateTables!$A$6:$AB$56,19,FALSE)=0),$N12,MIN($N12,MAX(0,VLOOKUP($AN12,StateTables!$A$6:$AB$56,19,FALSE)-($AX12+$AB11-$AW12)))),2)))))</f>
      </c>
      <c r="V12" s="7">
        <f>IF($B12="","",IF($AN12="NY",IF(Inputs!$C$78,ROUND(SUMPRODUCT((MAX(0,($O12-$D12)*Inputs!$C$8-(IF($AU12="Married",5500,5000)+1000*$AS12))&gt;INDEX('Methodology &amp; Sources'!$B$184:$J$198,0,4))*(MAX(0,($O12-$D12)*Inputs!$C$8-(IF($AU12="Married",5500,5000)+1000*$AS12))-INDEX('Methodology &amp; Sources'!$B$184:$J$198,0,4))*INDEX('Methodology &amp; Sources'!$B$184:$J$198,0,4+2))/Inputs!$C$8+0.0425*$D12,2),0)+IF(Inputs!$C$79="Resident",ROUND(0.1675*$T12,2),IF(Inputs!$C$79="Nonresident",ROUND(0.005*MAX(0,($O12-$D12)-(IF($AU12="Married",7950,7400)+1000*$AS12)/Inputs!$C$8),2),0)),IF($AN12="PA",IF(Inputs!$C$80="None",Inputs!$C$27+ROUND(Inputs!$C$81*($C12+$D12),2),ROUND(IF(Inputs!$C$80="Resident",IF($B12&lt;DATE(2027,7,1),0.03735,0.03735),IF($B12&lt;DATE(2027,7,1),0.03425,0.03425))*($C12+$D12),2)),IF($BF12=0,ROUND(Inputs!$C$81*($C12+$D12),2),Inputs!$C$27+ROUND(Inputs!$C$81*($C12+$D12),2)))))</f>
      </c>
      <c r="W12" s="7">
        <f>IF($B12="","",IF($BF12=0,0,$BP12))</f>
      </c>
      <c r="X12" s="7">
        <f>IF($B12="","",SUM($E12:$K12)+$P12+$Q12+$R12+$S12+$T12+$U12+$V12+$W12)</f>
      </c>
      <c r="Y12" s="22">
        <f>IF($B12="","",$C12+$D12-$X12)</f>
      </c>
      <c r="Z12" s="7">
        <f>IF($B12="","",$Z11+$C12+$D12)</f>
      </c>
      <c r="AA12" s="7">
        <f>IF($B12="","",$AA11+$Y12)</f>
      </c>
      <c r="AB12" s="7">
        <f>IF($B12="","",$AB11+MIN($N12,MAX(0,'Methodology &amp; Sources'!$C$3-($AX12+$AB11-$AW12))))</f>
      </c>
      <c r="AC12" s="7">
        <f>IF($B12="","",$AC11+$E12+$F12)</f>
      </c>
      <c r="AD12" s="3">
        <f>IF($B12="","",IF(AND($AB11&lt;'Methodology &amp; Sources'!$C$3,$AB12&gt;='Methodology &amp; Sources'!$C$3),"★ Social Security maxed on this check — from the next check your net rises by about $"&amp;TEXT(ROUND('Methodology &amp; Sources'!$C$4*$N12,2),"#,##0.00")&amp;". ","")&amp;IF(AND($AC11&lt;Inputs!$C$34,$AC12&gt;=Inputs!$C$34),"★ 401(k) reaches the $"&amp;TEXT(Inputs!$C$34,"#,##0")&amp;" cap on this check — deferrals stop and net pay rises. ","")&amp;IF(AND($AG11&lt;'Methodology &amp; Sources'!$C$7,$AG12&gt;='Methodology &amp; Sources'!$C$7),"★ Wages pass $200,000 — the 0.9% Additional Medicare Tax starts here. ","")&amp;IF(AND($BJ12&gt;0,$H12&gt;0,$BG11&lt;MIN($BJ12,'Methodology &amp; Sources'!$C$13),$BG11+$H12&gt;=MIN($BJ12,'Methodology &amp; Sources'!$C$13)),"★ Health FSA election is now fully deferred for the year. ",""))</f>
      </c>
      <c r="AE12" s="41" t="n"/>
      <c r="AF12" s="7">
        <f>IF(OR($B12="",$AE12=""),"",$AE12-$Y12)</f>
      </c>
      <c r="AG12" s="7">
        <f>IF($B12="","",$AG11+$N12)</f>
      </c>
      <c r="AH12" s="7">
        <f>IF($B12="","",MAX(0,($M12-$D12)*Inputs!$C$8+$AP12-$AQ12-IF(Inputs!$C$13,0,IF(Inputs!$C$12="MFJ",'Methodology &amp; Sources'!$C$8,'Methodology &amp; Sources'!$C$9))))</f>
      </c>
      <c r="AI12" s="7">
        <f>IF($B12="","",$O12*Inputs!$C$8)</f>
      </c>
      <c r="AJ12" s="7">
        <f>IF($B12="","",MAX(0,$AI12-VLOOKUP($AN12,StateTables!$A$6:$AB$56,12,FALSE)*$AT12-IF(($AS12+$AT12)&gt;=2,VLOOKUP($AN12,StateTables!$A$6:$AB$56,8,FALSE),VLOOKUP($AN12,StateTables!$A$6:$AB$56,7,FALSE))))</f>
      </c>
      <c r="AK12" s="7">
        <f>IF($B12="","",IFERROR(LOOKUP(2,1/((Events!$C$6:$C$17="Salary change")*(Events!$B$6:$B$17&lt;=$B12)*(Events!$B$6:$B$17&lt;&gt;"")),Events!$D$6:$D$17),IF(Inputs!$C$4="Annual salary",Inputs!$C$5,Inputs!$C$6)))</f>
      </c>
      <c r="AL12">
        <f>IF($B12="","",IFERROR(LOOKUP(2,1/((Events!$C$6:$C$17="401(k) change")*(Events!$B$6:$B$17&lt;=$B12)*(Events!$B$6:$B$17&lt;&gt;"")),Events!$D$6:$D$17),Inputs!$C$30))</f>
      </c>
      <c r="AM12" s="7">
        <f>IF($B12="","",IFERROR(LOOKUP(2,1/((Events!$C$6:$C$17="401(k) change")*(Events!$B$6:$B$17&lt;=$B12)*(Events!$B$6:$B$17&lt;&gt;"")),Events!$E$6:$E$17),Inputs!$D$30))</f>
      </c>
      <c r="AN12">
        <f>IF($B12="","",IFERROR(LOOKUP(2,1/((Events!$C$6:$C$17="State move")*(Events!$B$6:$B$17&lt;=$B12)*(Events!$B$6:$B$17&lt;&gt;"")),Events!$D$6:$D$17),Inputs!$C$21))</f>
      </c>
      <c r="AO12" s="7">
        <f>IF($B12="","",IFERROR(LOOKUP(2,1/((Events!$C$6:$C$17="W-4 change")*(Events!$B$6:$B$17&lt;=$B12)*(Events!$B$6:$B$17&lt;&gt;"")),Events!$D$6:$D$17),Inputs!$C$14))</f>
      </c>
      <c r="AP12" s="7">
        <f>IF($B12="","",IFERROR(LOOKUP(2,1/((Events!$C$6:$C$17="W-4 change")*(Events!$B$6:$B$17&lt;=$B12)*(Events!$B$6:$B$17&lt;&gt;"")),Events!$E$6:$E$17),Inputs!$C$15))</f>
      </c>
      <c r="AQ12" s="7">
        <f>IF($B12="","",IFERROR(LOOKUP(2,1/((Events!$C$6:$C$17="W-4 change")*(Events!$B$6:$B$17&lt;=$B12)*(Events!$B$6:$B$17&lt;&gt;"")),Events!$F$6:$F$17),Inputs!$C$16))</f>
      </c>
      <c r="AR12" s="7">
        <f>IF($B12="","",IFERROR(LOOKUP(2,1/((Events!$C$6:$C$17="W-4 change")*(Events!$B$6:$B$17&lt;=$B12)*(Events!$B$6:$B$17&lt;&gt;"")),Events!$G$6:$G$17),Inputs!$C$17))</f>
      </c>
      <c r="AS12" s="6">
        <f>IF($B12="","",IFERROR(LOOKUP(2,1/(((Events!$C$6:$C$17="State move")+(Events!$C$6:$C$17="State cert change"))*(Events!$B$6:$B$17&lt;=$B12)*(Events!$B$6:$B$17&lt;&gt;"")),Events!$F$6:$F$17),Inputs!$C$23))</f>
      </c>
      <c r="AT12" s="6">
        <f>IF($B12="","",IFERROR(LOOKUP(2,1/(((Events!$C$6:$C$17="State move")+(Events!$C$6:$C$17="State cert change"))*(Events!$B$6:$B$17&lt;=$B12)*(Events!$B$6:$B$17&lt;&gt;"")),Events!$G$6:$G$17),Inputs!$C$24))</f>
      </c>
      <c r="AU12">
        <f>IF($B12="","",IFERROR(LOOKUP(2,1/((Events!$C$6:$C$17="State move")*(Events!$B$6:$B$17&lt;=$B12)*(Events!$B$6:$B$17&lt;&gt;"")),Events!$E$6:$E$17),Inputs!$C$22))</f>
      </c>
      <c r="AV12" s="6">
        <f>IF($B12="","",1+COUNTIFS(Events!$C$6:$C$17,"Employer change",Events!$B$6:$B$17,"&lt;="&amp;$B12,Events!$B$6:$B$17,"&lt;&gt;"))</f>
      </c>
      <c r="AW12" s="7">
        <f>IF($B12="","",IF($AV12=1,Inputs!$C$94,IF(IFERROR(MATCH(IFERROR(LOOKUP(2,1/((Events!$C$6:$C$17="Employer change")*(Events!$B$6:$B$17&lt;=$B12)*(Events!$B$6:$B$17&lt;&gt;"")),Events!$B$6:$B$17),""),$B$6:$B$68,1),1)&lt;=1,Inputs!$C$94,INDEX($AB$6:$AB$68,MATCH(IFERROR(LOOKUP(2,1/((Events!$C$6:$C$17="Employer change")*(Events!$B$6:$B$17&lt;=$B12)*(Events!$B$6:$B$17&lt;&gt;"")),Events!$B$6:$B$17),""),$B$6:$B$68,1)-1))))</f>
      </c>
      <c r="AX12" s="7">
        <f>IF($B12="","",IF($AV12=1,Inputs!$C$94,IFERROR(LOOKUP(2,1/((Events!$C$6:$C$17="Employer change")*(Events!$B$6:$B$17&lt;=$B12)*(Events!$B$6:$B$17&lt;&gt;"")),Events!$D$6:$D$17),0)))</f>
      </c>
      <c r="AY12" s="7">
        <f>IF($B12="","",($O12-$D12)*Inputs!$C$8)</f>
      </c>
      <c r="AZ12" s="7">
        <f>IF($B12="","",IF($AN12="AL",MAX(0,$AY12-IF($AU12="Married",IF($AY12&lt;=25999,8500,MAX(5000,8500-175*CEILING(($AY12-25999)/500,1))),IF($AU12="Head of household",IF($AY12&lt;=25999,5200,MAX(2500,5200-135*CEILING(($AY12-25999)/500,1))),IF($AY12&lt;=25999,3000,MAX(2500,3000-25*CEILING(($AY12-25999)/500,1)))))-($P12-'Methodology &amp; Sources'!$C$10*$D12)*Inputs!$C$8-IF(OR($AU12="Married",$AU12="Head of household"),3000,1500)-$AT12*IF($AY12&lt;=50000,1000,IF($AY12&lt;=100000,500,300))),IF($AN12="AR",IF(MAX(0,$AY12-2470)&lt;97701,INT(MAX(0,$AY12-2470)/100)*100+50,MAX(0,$AY12-2470)),IF($AN12="DE",MAX(0,$AI12-3250),IF($AN12="HI",MAX(0,$AI12-1144*$AS12-4350),IF($AN12="KS",MAX(0,$AI12-(9160*IF($AU12="Married",2,1)+2320*$AT12+IF($AU12="Head of household",2320,0))),IF($AN12="MD",MAX(0,$AI12-3400-3200*$AS12),IF($AN12="MN",MAX(0,$AY12-5300*$AS12),IF($AN12="MO",MAX(0,$AI12-IF($AU12="Head of household",24150,IF($AU12="Married",IF(Inputs!$C$83,16100,32200),16100))),IF($AN12="MT",$AY12,IF($AN12="ND",($C12+$L12)*Inputs!$C$8,IF($AN12="NE",MAX(0,$AY12-2440*$AS12),IF($AN12="NJ",MAX(0,$AY12-1000*$AS12),IF($AN12="NY",MAX(0,$AY12-(IF($AU12="Married",7950,7400)+1000*$AS12)),IF($AN12="OH",MAX(0,$AY12-650*$AS12),IF($AN12="OK",MAX(0,$AY12-1000*$AS12),IF($AN12="RI",MAX(0,$AI12-1000*$AS12),IF($AN12="SC",MAX(0,$AI12-5000*$AS12-IF($AS12=0,0,MIN(0.1*$AI12,7500))),IF($AN12="VA",MAX(0,$AI12-IF($AU12="Married",17500,8750)-930*$AS12-800*$AT12),IF($AN12="VT",MAX(0,$AI12-5400*$AS12),IF($AN12="WI",MAX(0,$AI12-MAX(0,IF($AU12="Married",9461-0.2*MAX(0,$AI12-25727),6702-0.12*MAX(0,$AI12-17780)))-400*$AS12),IF($AN12="WV",MAX(0,$AI12-2000*$AS12),$AI12))))))))))))))))))))))</f>
      </c>
      <c r="BA12" s="7">
        <f>IF($B12="","",IF($BW12&lt;&gt;"",$BW12,IF($BX12&lt;&gt;"",$BX12,IF($BY12&lt;&gt;"",$BY12,0))))</f>
      </c>
      <c r="BB12" s="7">
        <f>IF($B12="","",IF($AN12="AR",-29*$AS12,IF($AN12="DE",-110*$AS12,IF($AN12="MD",$AZ12*Inputs!$C$74,IF($AN12="AZ",Inputs!$C$82*($M12-$D12)*Inputs!$C$8,IF($AN12="CO",0.044*MAX(0,$AY12-IF($AU12="Married",10000,5000)),IF($AN12="IA",MAX(0,0.038*MAX(0,$AY12-IF($AU12="Head of household",19500,IF($AU12="Married",26000,13000)))-40*$AS12),IF($AN12="ID",0.053*MAX(0,$AY12-IF($AU12="Married",32000,16094)),IF($AN12="IL",0.0495*MAX(0,$AY12-(2925*$AS12+1000*$AT12)),IF($AN12="IN",(0.0295+Inputs!$C$76)*MAX(0,$AY12-(1000*$AS12+1500*$AT12+3000*Inputs!$C$86)),IF($AN12="KY",0.035*MAX(0,$AI12-3360),IF($AN12="LA",IF(Inputs!$C$84="0",0.0309*$AI12,0.0309*MAX(0,$AI12-IF(Inputs!$C$84="2",25750,12875))),IF($AN12="MA",0.05*MIN(MAX(0,$AY12-MIN(($BD11+$Q12+$R12+$S12),2000)-IF($AS12=0,0,IF($AS12=1,4400,1000*$AS12+3400))),1107750)+0.09*MAX(0,MAX(0,$AY12-MIN(($BD11+$Q12+$R12+$S12),2000)-IF($AS12=0,0,IF($AS12=1,4400,1000*$AS12+3400)))-1107750)-IF($AU12="Head of household",120,0)-110*Inputs!$C$75,IF($AN12="MI",0.0425*MAX(0,$AY12-5900*$AS12),IF($AN12="MS",0.04*MAX(0,$AI12-IF($AU12="Head of household",3400,IF($AU12="Married",4600,2300))-Inputs!$C$85-10000),IF($AN12="OR",IF(OR($AU12="Married",AND($AU12="Single",$AS12&gt;=3)),SUMPRODUCT((MAX(0,$AY12-MIN(($P12-'Methodology &amp; Sources'!$C$10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Sources'!$B$211:$J$214,0,4))*(MAX(0,$AY12-MIN(($P12-'Methodology &amp; Sources'!$C$10*$D12)*Inputs!$C$8,IF(OR($AU12="Married",AND($AU12="Single",$AS12&gt;=3)),IF($AY12&lt;250000,8750,IF($AY12&lt;260000,7000,IF($AY12&lt;270000,5250,IF($AY12&lt;280000,3500,IF($AY12&lt;290000,1750,0))))),IF($AY12&lt;125000,8750,IF($AY12&lt;130000,7000,IF($AY12&lt;135000,5250,IF($AY12&lt;140000,3500,IF($AY12&lt;145000,1750,0)))))))-IF(OR($AU12="Married",AND($AU12="Single",$AS12&gt;=3)),5820,2910))-INDEX('Methodology &amp; Sources'!$B$211:$J$214,0,4))*INDEX('Methodology &amp; Sources'!$B$211:$J$214,0,4+2)),SUMPRODUCT((MAX(0,$AY12-MIN(($P12-'Methodology &amp; Sources'!$C$10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Sources'!$B$211:$J$214,0,1))*(MAX(0,$AY12-MIN(($P12-'Methodology &amp; Sources'!$C$10*$D12)*Inputs!$C$8,IF(OR($AU12="Married",AND($AU12="Single",$AS12&gt;=3)),IF($AY12&lt;250000,8750,IF($AY12&lt;260000,7000,IF($AY12&lt;270000,5250,IF($AY12&lt;280000,3500,IF($AY12&lt;290000,1750,0))))),IF($AY12&lt;125000,8750,IF($AY12&lt;130000,7000,IF($AY12&lt;135000,5250,IF($AY12&lt;140000,3500,IF($AY12&lt;145000,1750,0)))))))-IF(OR($AU12="Married",AND($AU12="Single",$AS12&gt;=3)),5820,2910))-INDEX('Methodology &amp; Sources'!$B$211:$J$214,0,1))*INDEX('Methodology &amp; Sources'!$B$211:$J$214,0,1+2)))+263-263*IF(IF($AU12="Married",$AY12&gt;200000,$AY12&gt;100000),0,$AS12),IF($AN12="PA",0.0307*(($O12+$E12+$G12)*Inputs!$C$8),IF($AN12="NY",IF($AU12="Married",IF($AZ12&gt;=2155350,0,IF($AZ12&gt;=1077550,0.48,IF($AZ12&gt;=373200,1.21,IF($AZ12&gt;=323200,0.21,IF($AZ12&gt;=211550,-0.19,IF($AZ12&gt;=157650,-2.8,IF($AZ12&gt;=107650,-0.8,IF($AZ12&gt;=96800,0.05,IF($AZ12&gt;=80650,-0.1,IF($AZ12&gt;=13900,0.4,IF($AZ12&gt;=11700,-0.3,IF($AZ12&gt;=8500,0.5,0)))))))))))),IF($AZ12&gt;=1077550,0,IF($AZ12&gt;=265400,4.29,IF($AZ12&gt;=215400,2.29,IF($AZ12&gt;=157650,2.29,IF($AZ12&gt;=107650,0.29,IF($AZ12&gt;=96800,0.05,IF($AZ12&gt;=80650,-0.1,IF($AZ12&gt;=13900,0.4,IF($AZ12&gt;=11700,-0.3,IF($AZ12&gt;=8500,0.5,0))))))))))),0))))))))))))))))))</f>
      </c>
      <c r="BC12" s="7">
        <f>IF($B12="","",IF($AN12="AL",0.05*$D12,IF($AN12="AR",0.039*$D12,IF($AN12="ID",0.053*$D12,IF($AN12="IN",(0.0295+Inputs!$C$76)*$D12,IF($AN12="KS",0.05*$D12,IF($AN12="MA",0.09*MIN($D12,MAX(0,MAX(0,$AY12-MIN(($BD11+$Q12+$R12+$S12),2000)-IF($AS12=0,0,IF($AS12=1,4400,1000*$AS12+3400)))+$D12-1107750))+0.05*($D12-MIN($D12,MAX(0,MAX(0,$AY12-MIN(($BD11+$Q12+$R12+$S12),2000)-IF($AS12=0,0,IF($AS12=1,4400,1000*$AS12+3400)))+$D12-1107750))),IF($AN12="MD",(0.065+Inputs!$C$74)*$D12,IF($AN12="MI",0.0425*$D12,IF($AN12="MN",0.0625*$D12,IF($AN12="MO",0.047*$D12,IF($AN12="MT",0.05*$D12,IF($AN12="ND",0.015*$D12,IF($AN12="NE",0.035*$D12,IF($AN12="NJ",IF(Inputs!$C$77="B",SUMPRODUCT(($D12*Inputs!$C$8&gt;INDEX('Methodology &amp; Sources'!$B$155:$J$162,0,4))*($D12*Inputs!$C$8-INDEX('Methodology &amp; Sources'!$B$155:$J$162,0,4))*INDEX('Methodology &amp; Sources'!$B$155:$J$162,0,4+2)),IF(Inputs!$C$77="C",SUMPRODUCT(($D12*Inputs!$C$8&gt;INDEX('Methodology &amp; Sources'!$B$155:$J$162,0,7))*($D12*Inputs!$C$8-INDEX('Methodology &amp; Sources'!$B$155:$J$162,0,7))*INDEX('Methodology &amp; Sources'!$B$155:$J$162,0,7+2)),IF(Inputs!$C$77="D",SUMPRODUCT(($D12*Inputs!$C$8&gt;INDEX('Methodology &amp; Sources'!$B$167:$J$179,0,1))*($D12*Inputs!$C$8-INDEX('Methodology &amp; Sources'!$B$167:$J$179,0,1))*INDEX('Methodology &amp; Sources'!$B$167:$J$179,0,1+2)),IF(Inputs!$C$77="E",SUMPRODUCT(($D12*Inputs!$C$8&gt;INDEX('Methodology &amp; Sources'!$B$167:$J$179,0,4))*($D12*Inputs!$C$8-INDEX('Methodology &amp; Sources'!$B$167:$J$179,0,4))*INDEX('Methodology &amp; Sources'!$B$167:$J$179,0,4+2)),SUMPRODUCT(($D12*Inputs!$C$8&gt;INDEX('Methodology &amp; Sources'!$B$155:$J$162,0,1))*($D12*Inputs!$C$8-INDEX('Methodology &amp; Sources'!$B$155:$J$162,0,1))*INDEX('Methodology &amp; Sources'!$B$155:$J$162,0,1+2))))))/Inputs!$C$8,IF($AN12="NY",0.117*$D12,IF($AN12="OH",0.0275*$D12,IF($AN12="OK",0.045*$D12,IF($AN12="OR",0.08*$D12,IF($AN12="WI",IF($AY12&lt;12760,0.0354,IF($AY12&lt;25520,0.0465,IF($AY12&lt;280950,0.053,0.0765)))*$D12,0))))))))))))))))))))</f>
      </c>
      <c r="BD12" s="7">
        <f>IF($B12="","",$BD11+$Q12+$R12+$S12)</f>
      </c>
      <c r="BE12" s="6">
        <f>IF($B12="",$BE11,$BE11+$BF12)</f>
      </c>
      <c r="BF12" s="6">
        <f>IF($B12="","",IF(AND(IF(YEAR(IF(Inputs!$C$7="Weekly",Inputs!$C$90+7*(($BE11+1)-1),IF(Inputs!$C$7="Biweekly",Inputs!$C$90+14*(($BE11+1)-1),IF(Inputs!$C$7="Semimonthly",DATE(YEAR(Inputs!$C$9),MONTH(Inputs!$C$9)+INT((($BE11+1)-1+'Rest of 2026'!$C$2)/2),MIN(DAY(Inputs!$C$9),DAY(EOMONTH(DATE(YEAR(Inputs!$C$9),MONTH(Inputs!$C$9)+INT((($BE11+1)-1+'Rest of 2026'!$C$2)/2),1),0))))+IF(MOD(($BE11+1)-1+'Rest of 2026'!$C$2,2)=1,15,0),EDATE(Inputs!$C$90,($BE11+1)-1)))))&lt;&gt;Inputs!$C$10,"",IF(Inputs!$C$7="Weekly",Inputs!$C$90+7*(($BE11+1)-1),IF(Inputs!$C$7="Biweekly",Inputs!$C$90+14*(($BE11+1)-1),IF(Inputs!$C$7="Semimonthly",DATE(YEAR(Inputs!$C$9),MONTH(Inputs!$C$9)+INT((($BE11+1)-1+'Rest of 2026'!$C$2)/2),MIN(DAY(Inputs!$C$9),DAY(EOMONTH(DATE(YEAR(Inputs!$C$9),MONTH(Inputs!$C$9)+INT((($BE11+1)-1+'Rest of 2026'!$C$2)/2),1),0))))+IF(MOD(($BE11+1)-1+'Rest of 2026'!$C$2,2)=1,15,0),EDATE(Inputs!$C$90,($BE11+1)-1)))))&lt;&gt;"",$B12=IF(YEAR(IF(Inputs!$C$7="Weekly",Inputs!$C$90+7*(($BE11+1)-1),IF(Inputs!$C$7="Biweekly",Inputs!$C$90+14*(($BE11+1)-1),IF(Inputs!$C$7="Semimonthly",DATE(YEAR(Inputs!$C$9),MONTH(Inputs!$C$9)+INT((($BE11+1)-1+'Rest of 2026'!$C$2)/2),MIN(DAY(Inputs!$C$9),DAY(EOMONTH(DATE(YEAR(Inputs!$C$9),MONTH(Inputs!$C$9)+INT((($BE11+1)-1+'Rest of 2026'!$C$2)/2),1),0))))+IF(MOD(($BE11+1)-1+'Rest of 2026'!$C$2,2)=1,15,0),EDATE(Inputs!$C$90,($BE11+1)-1)))))&lt;&gt;Inputs!$C$10,"",IF(Inputs!$C$7="Weekly",Inputs!$C$90+7*(($BE11+1)-1),IF(Inputs!$C$7="Biweekly",Inputs!$C$90+14*(($BE11+1)-1),IF(Inputs!$C$7="Semimonthly",DATE(YEAR(Inputs!$C$9),MONTH(Inputs!$C$9)+INT((($BE11+1)-1+'Rest of 2026'!$C$2)/2),MIN(DAY(Inputs!$C$9),DAY(EOMONTH(DATE(YEAR(Inputs!$C$9),MONTH(Inputs!$C$9)+INT((($BE11+1)-1+'Rest of 2026'!$C$2)/2),1),0))))+IF(MOD(($BE11+1)-1+'Rest of 2026'!$C$2,2)=1,15,0),EDATE(Inputs!$C$90,($BE11+1)-1)))))),1,0))</f>
      </c>
      <c r="BG12" s="7">
        <f>IF($B12="","",$BG11+$H12)</f>
      </c>
      <c r="BH12" s="7">
        <f>IF($B12="","",$BH11+$I12)</f>
      </c>
      <c r="BI12" s="7">
        <f>IF($B12="","",$BI11+$G12)</f>
      </c>
      <c r="BJ12" s="7">
        <f>IF($B12="","",IFERROR(LOOKUP(2,1/((((Events!$C$6:$C$17="Deduction start"))*(Events!$D$6:$D$17="Health FSA"))*(Events!$B$6:$B$17&lt;=$B12)*(Events!$B$6:$B$17&lt;&gt;"")),Events!$E$6:$E$17),Inputs!$D$38))</f>
      </c>
      <c r="BK12" s="7">
        <f>IF($B12="","",IFERROR(LOOKUP(2,1/((((Events!$C$6:$C$17="Deduction start"))*(Events!$D$6:$D$17="Dependent-care FSA"))*(Events!$B$6:$B$17&lt;=$B12)*(Events!$B$6:$B$17&lt;&gt;"")),Events!$E$6:$E$17),Inputs!$D$39))</f>
      </c>
      <c r="BL12" s="7">
        <f>IF($B12="","",IFERROR(LOOKUP(2,1/((((Events!$C$6:$C$17="Deduction start")+(Events!$C$6:$C$17="Deduction stop"))*(Events!$D$6:$D$17="HSA"))*(Events!$B$6:$B$17&lt;=$B12)*(Events!$B$6:$B$17&lt;&gt;"")),Events!$I$6:$I$17),Inputs!$D$35))</f>
      </c>
      <c r="BM12" s="7">
        <f>IF($B12="","",IFERROR(LOOKUP(2,1/((((Events!$C$6:$C$17="Deduction start")+(Events!$C$6:$C$17="Deduction stop"))*(Events!$D$6:$D$17="Premiums"))*(Events!$B$6:$B$17&lt;=$B12)*(Events!$B$6:$B$17&lt;&gt;"")),Events!$I$6:$I$17),Inputs!$D$40+Inputs!$D$41+Inputs!$D$42))</f>
      </c>
      <c r="BN12" s="7">
        <f>IF($B12="","",IFERROR(LOOKUP(2,1/((((Events!$C$6:$C$17="Deduction start")+(Events!$C$6:$C$17="Deduction stop"))*(Events!$D$6:$D$17="Commuter"))*(Events!$B$6:$B$17&lt;=$B12)*(Events!$B$6:$B$17&lt;&gt;"")),Events!$I$6:$I$17),Inputs!$D$43))</f>
      </c>
      <c r="BO12" s="7">
        <f>IF($B12="","",IFERROR(LOOKUP(2,1/((((Events!$C$6:$C$17="Deduction start")+(Events!$C$6:$C$17="Deduction stop"))*(Events!$D$6:$D$17="Other pre-tax"))*(Events!$B$6:$B$17&lt;=$B12)*(Events!$B$6:$B$17&lt;&gt;"")),Events!$I$6:$I$17),Inputs!$D$44))</f>
      </c>
      <c r="BP12" s="7">
        <f>IF($B12="","",IFERROR(LOOKUP(2,1/((((Events!$C$6:$C$17="Deduction start")+(Events!$C$6:$C$17="Deduction stop"))*(Events!$D$6:$D$17="Other post-tax"))*(Events!$B$6:$B$17&lt;=$B12)*(Events!$B$6:$B$17&lt;&gt;"")),Events!$I$6:$I$17),Inputs!$D$45))</f>
      </c>
      <c r="BQ12" s="6">
        <f>IF($B12="","",IFERROR(LOOKUP(2,1/((((Events!$C$6:$C$17="Deduction start")+(Events!$C$6:$C$17="Deduction stop"))*(Events!$D$6:$D$17="Health FSA"))*(Events!$B$6:$B$17&lt;=$B12)*(Events!$B$6:$B$17&lt;&gt;"")),Events!$J$6:$J$17),0))</f>
      </c>
      <c r="BR12" s="6">
        <f>IF($B12="","",IFERROR(LOOKUP(2,1/((((Events!$C$6:$C$17="Deduction start")+(Events!$C$6:$C$17="Deduction stop"))*(Events!$D$6:$D$17="Dependent-care FSA"))*(Events!$B$6:$B$17&lt;=$B12)*(Events!$B$6:$B$17&lt;&gt;"")),Events!$J$6:$J$17),0))</f>
      </c>
      <c r="BS12" s="6">
        <f>IF($B12="","",IF(SUMPRODUCT((Events!$C$6:$C$17="Deduction start")*(Events!$B$6:$B$17&lt;=$B12)*(Events!$B$6:$B$17&lt;&gt;"")*(Events!$D$6:$D$17="Health FSA"))&gt;0,1,0))</f>
      </c>
      <c r="BT12" s="6">
        <f>IF($B12="","",IF(SUMPRODUCT((Events!$C$6:$C$17="Deduction start")*(Events!$B$6:$B$17&lt;=$B12)*(Events!$B$6:$B$17&lt;&gt;"")*(Events!$D$6:$D$17="Dependent-care FSA"))&gt;0,1,0))</f>
      </c>
      <c r="BU12" s="24">
        <f>IF($B12="","",IF(Inputs!$C$13,SUMPRODUCT(($AH12&gt;=INDEX('Methodology &amp; Sources'!$B$29:$J$36,0,IF(Inputs!$C$12="MFJ",1,IF(Inputs!$C$12="HoH",7,4))))*INDEX('Methodology &amp; Sources'!$B$29:$J$36,0,IF(Inputs!$C$12="MFJ",1,IF(Inputs!$C$12="HoH",7,4))+2)),SUMPRODUCT(($AH12&gt;=INDEX('Methodology &amp; Sources'!$B$19:$J$26,0,IF(Inputs!$C$12="MFJ",1,IF(Inputs!$C$12="HoH",7,4))))*INDEX('Methodology &amp; Sources'!$B$19:$J$26,0,IF(Inputs!$C$12="MFJ",1,IF(Inputs!$C$12="HoH",7,4))+2))))</f>
      </c>
      <c r="BV12" s="24">
        <f>IF($B12="","",IF($BZ12&lt;&gt;"",$BZ12,IF($CA12&lt;&gt;"",$CA12,IF($CB12&lt;&gt;"",$CB12,IF($CC12&lt;&gt;"",$CC12,0)))))</f>
      </c>
      <c r="BW12" s="7">
        <f>IF($B12="","",IF($AN12="MD",IF(OR($AU12="Married",$AU12="Head of household"),SUMPRODUCT(($AZ12&gt;INDEX('Methodology &amp; Sources'!$B$114:$J$120,0,1))*($AZ12-INDEX('Methodology &amp; Sources'!$B$114:$J$120,0,1))*INDEX('Methodology &amp; Sources'!$B$114:$J$120,0,1+2)),SUMPRODUCT(($AZ12&gt;INDEX('Methodology &amp; Sources'!$B$103:$J$109,0,7))*($AZ12-INDEX('Methodology &amp; Sources'!$B$103:$J$109,0,7))*INDEX('Methodology &amp; Sources'!$B$103:$J$109,0,7+2))),IF($AN12="MO",SUMPRODUCT(($AZ12&gt;INDEX('Methodology &amp; Sources'!$B$125:$J$132,0,1))*($AZ12-INDEX('Methodology &amp; Sources'!$B$125:$J$132,0,1))*INDEX('Methodology &amp; Sources'!$B$125:$J$132,0,1+2)),IF($AN12="MT",IF($AU12="Head of household",SUMPRODUCT(($AZ12&gt;INDEX('Methodology &amp; Sources'!$B$137:$J$139,0,1))*($AZ12-INDEX('Methodology &amp; Sources'!$B$137:$J$139,0,1))*INDEX('Methodology &amp; Sources'!$B$137:$J$139,0,1+2)),IF($AU12="Married",SUMPRODUCT(($AZ12&gt;INDEX('Methodology &amp; Sources'!$B$125:$J$132,0,7))*($AZ12-INDEX('Methodology &amp; Sources'!$B$125:$J$132,0,7))*INDEX('Methodology &amp; Sources'!$B$125:$J$132,0,7+2)),SUMPRODUCT(($AZ12&gt;INDEX('Methodology &amp; Sources'!$B$125:$J$132,0,4))*($AZ12-INDEX('Methodology &amp; Sources'!$B$125:$J$132,0,4))*INDEX('Methodology &amp; Sources'!$B$125:$J$132,0,4+2)))),IF($AN12="ND",IF($AU12="Head of household",SUMPRODUCT(($AZ12&gt;INDEX('Methodology &amp; Sources'!$B$144:$J$150,0,1))*($AZ12-INDEX('Methodology &amp; Sources'!$B$144:$J$150,0,1))*INDEX('Methodology &amp; Sources'!$B$144:$J$150,0,1+2)),IF($AU12="Married",SUMPRODUCT(($AZ12&gt;INDEX('Methodology &amp; Sources'!$B$137:$J$139,0,7))*($AZ12-INDEX('Methodology &amp; Sources'!$B$137:$J$139,0,7))*INDEX('Methodology &amp; Sources'!$B$137:$J$139,0,7+2)),SUMPRODUCT(($AZ12&gt;INDEX('Methodology &amp; Sources'!$B$137:$J$139,0,4))*($AZ12-INDEX('Methodology &amp; Sources'!$B$137:$J$139,0,4))*INDEX('Methodology &amp; Sources'!$B$137:$J$139,0,4+2)))),IF($AN12="NJ",IF(Inputs!$C$77="B",SUMPRODUCT(($AZ12&gt;INDEX('Methodology &amp; Sources'!$B$155:$J$162,0,4))*($AZ12-INDEX('Methodology &amp; Sources'!$B$155:$J$162,0,4))*INDEX('Methodology &amp; Sources'!$B$155:$J$162,0,4+2)),IF(Inputs!$C$77="C",SUMPRODUCT(($AZ12&gt;INDEX('Methodology &amp; Sources'!$B$155:$J$162,0,7))*($AZ12-INDEX('Methodology &amp; Sources'!$B$155:$J$162,0,7))*INDEX('Methodology &amp; Sources'!$B$155:$J$162,0,7+2)),IF(Inputs!$C$77="D",SUMPRODUCT(($AZ12&gt;INDEX('Methodology &amp; Sources'!$B$167:$J$179,0,1))*($AZ12-INDEX('Methodology &amp; Sources'!$B$167:$J$179,0,1))*INDEX('Methodology &amp; Sources'!$B$167:$J$179,0,1+2)),IF(Inputs!$C$77="E",SUMPRODUCT(($AZ12&gt;INDEX('Methodology &amp; Sources'!$B$167:$J$179,0,4))*($AZ12-INDEX('Methodology &amp; Sources'!$B$167:$J$179,0,4))*INDEX('Methodology &amp; Sources'!$B$167:$J$179,0,4+2)),SUMPRODUCT(($AZ12&gt;INDEX('Methodology &amp; Sources'!$B$155:$J$162,0,1))*($AZ12-INDEX('Methodology &amp; Sources'!$B$155:$J$162,0,1))*INDEX('Methodology &amp; Sources'!$B$155:$J$162,0,1+2)))))),IF($AN12="NY",IF($AU12="Married",IF($AZ12&gt;=2155350,$AZ12*IF($AZ12&gt;25000000,0.117,IF($AZ12&gt;5000000,0.111,0.1045)),SUMPRODUCT(($AZ12&gt;INDEX('Methodology &amp; Sources'!$B$184:$J$198,0,1))*($AZ12-INDEX('Methodology &amp; Sources'!$B$184:$J$198,0,1))*INDEX('Methodology &amp; Sources'!$B$184:$J$198,0,1+2))),IF($AZ12&gt;=1077550,$AZ12*IF($AZ12&gt;25000000,0.117,IF($AZ12&gt;5000000,0.111,0.1045)),SUMPRODUCT(($AZ12&gt;INDEX('Methodology &amp; Sources'!$B$167:$J$179,0,7))*($AZ12-INDEX('Methodology &amp; Sources'!$B$167:$J$179,0,7))*INDEX('Methodology &amp; Sources'!$B$167:$J$179,0,7+2)))),"")))))))</f>
      </c>
      <c r="BX12" s="7">
        <f>IF($B12="","",IF($AN12="AL",IF(OR($AU12="Married",$AU12="Head of household"),SUMPRODUCT(($AZ12&gt;INDEX('Methodology &amp; Sources'!$B$82:$J$86,0,4))*($AZ12-INDEX('Methodology &amp; Sources'!$B$82:$J$86,0,4))*INDEX('Methodology &amp; Sources'!$B$82:$J$86,0,4+2)),SUMPRODUCT(($AZ12&gt;INDEX('Methodology &amp; Sources'!$B$82:$J$86,0,1))*($AZ12-INDEX('Methodology &amp; Sources'!$B$82:$J$86,0,1))*INDEX('Methodology &amp; Sources'!$B$82:$J$86,0,1+2))),IF($AN12="KS",IF($AU12="Married",SUMPRODUCT(($AZ12&gt;INDEX('Methodology &amp; Sources'!$B$103:$J$109,0,4))*($AZ12-INDEX('Methodology &amp; Sources'!$B$103:$J$109,0,4))*INDEX('Methodology &amp; Sources'!$B$103:$J$109,0,4+2)),SUMPRODUCT(($AZ12&gt;INDEX('Methodology &amp; Sources'!$B$103:$J$109,0,1))*($AZ12-INDEX('Methodology &amp; Sources'!$B$103:$J$109,0,1))*INDEX('Methodology &amp; Sources'!$B$103:$J$109,0,1+2))),IF($AN12="MN",IF($AU12="Married",SUMPRODUCT(($AZ12&gt;INDEX('Methodology &amp; Sources'!$B$114:$J$120,0,7))*($AZ12-INDEX('Methodology &amp; Sources'!$B$114:$J$120,0,7))*INDEX('Methodology &amp; Sources'!$B$114:$J$120,0,7+2)),SUMPRODUCT(($AZ12&gt;INDEX('Methodology &amp; Sources'!$B$114:$J$120,0,4))*($AZ12-INDEX('Methodology &amp; Sources'!$B$114:$J$120,0,4))*INDEX('Methodology &amp; Sources'!$B$114:$J$120,0,4+2))),IF($AN12="NE",MAX(IF($AU12="Married",SUMPRODUCT(($AZ12&gt;INDEX('Methodology &amp; Sources'!$B$144:$J$150,0,7))*($AZ12-INDEX('Methodology &amp; Sources'!$B$144:$J$150,0,7))*INDEX('Methodology &amp; Sources'!$B$144:$J$150,0,7+2)),SUMPRODUCT(($AZ12&gt;INDEX('Methodology &amp; Sources'!$B$144:$J$150,0,4))*($AZ12-INDEX('Methodology &amp; Sources'!$B$144:$J$150,0,4))*INDEX('Methodology &amp; Sources'!$B$144:$J$150,0,4+2))),0.015*$AZ12),IF($AN12="OH",IF($B12&gt;=DATE(2027,8,1),SUMPRODUCT(($AZ12&gt;INDEX('Methodology &amp; Sources'!$B$203:$J$206,0,1))*($AZ12-INDEX('Methodology &amp; Sources'!$B$203:$J$206,0,1))*INDEX('Methodology &amp; Sources'!$B$203:$J$206,0,1+2)),SUMPRODUCT(($AZ12&gt;INDEX('Methodology &amp; Sources'!$B$184:$J$198,0,7))*($AZ12-INDEX('Methodology &amp; Sources'!$B$184:$J$198,0,7))*INDEX('Methodology &amp; Sources'!$B$184:$J$198,0,7+2))),IF($AN12="OK",IF($AU12="Married",SUMPRODUCT(($AZ12&gt;INDEX('Methodology &amp; Sources'!$B$203:$J$206,0,7))*($AZ12-INDEX('Methodology &amp; Sources'!$B$203:$J$206,0,7))*INDEX('Methodology &amp; Sources'!$B$203:$J$206,0,7+2)),SUMPRODUCT(($AZ12&gt;INDEX('Methodology &amp; Sources'!$B$203:$J$206,0,4))*($AZ12-INDEX('Methodology &amp; Sources'!$B$203:$J$206,0,4))*INDEX('Methodology &amp; Sources'!$B$203:$J$206,0,4+2))),IF($AN12="RI",SUMPRODUCT(($AZ12&gt;INDEX('Methodology &amp; Sources'!$B$211:$J$214,0,7))*($AZ12-INDEX('Methodology &amp; Sources'!$B$211:$J$214,0,7))*INDEX('Methodology &amp; Sources'!$B$211:$J$214,0,7+2)),IF($AN12="VT",IF($AU12="Married",SUMPRODUCT(($AZ12&gt;INDEX('Methodology &amp; Sources'!$B$228:$J$232,0,1))*($AZ12-INDEX('Methodology &amp; Sources'!$B$228:$J$232,0,1))*INDEX('Methodology &amp; Sources'!$B$228:$J$232,0,1+2)),SUMPRODUCT(($AZ12&gt;INDEX('Methodology &amp; Sources'!$B$219:$J$223,0,7))*($AZ12-INDEX('Methodology &amp; Sources'!$B$219:$J$223,0,7))*INDEX('Methodology &amp; Sources'!$B$219:$J$223,0,7+2))),IF($AN12="WV",IF($AU12="Married",SUMPRODUCT(($AZ12&gt;INDEX('Methodology &amp; Sources'!$B$237:$J$241,0,7))*($AZ12-INDEX('Methodology &amp; Sources'!$B$237:$J$241,0,7))*INDEX('Methodology &amp; Sources'!$B$237:$J$241,0,7+2)),SUMPRODUCT(($AZ12&gt;INDEX('Methodology &amp; Sources'!$B$228:$J$232,0,7))*($AZ12-INDEX('Methodology &amp; Sources'!$B$228:$J$232,0,7))*INDEX('Methodology &amp; Sources'!$B$228:$J$232,0,7+2))),""))))))))))</f>
      </c>
      <c r="BY12" s="7">
        <f>IF($B12="","",IF($AN12="AR",SUMPRODUCT(($AZ12&gt;INDEX('Methodology &amp; Sources'!$B$82:$J$86,0,7))*($AZ12-INDEX('Methodology &amp; Sources'!$B$82:$J$86,0,7))*INDEX('Methodology &amp; Sources'!$B$82:$J$86,0,7+2)),IF($AN12="DE",SUMPRODUCT(($AZ12&gt;INDEX('Methodology &amp; Sources'!$B$91:$J$98,0,1))*($AZ12-INDEX('Methodology &amp; Sources'!$B$91:$J$98,0,1))*INDEX('Methodology &amp; Sources'!$B$91:$J$98,0,1+2)),IF($AN12="HI",IF($AU12="Married",SUMPRODUCT(($AZ12&gt;INDEX('Methodology &amp; Sources'!$B$91:$J$98,0,7))*($AZ12-INDEX('Methodology &amp; Sources'!$B$91:$J$98,0,7))*INDEX('Methodology &amp; Sources'!$B$91:$J$98,0,7+2)),SUMPRODUCT(($AZ12&gt;INDEX('Methodology &amp; Sources'!$B$91:$J$98,0,4))*($AZ12-INDEX('Methodology &amp; Sources'!$B$91:$J$98,0,4))*INDEX('Methodology &amp; Sources'!$B$91:$J$98,0,4+2))),IF($AN12="SC",SUMPRODUCT(($AZ12&gt;INDEX('Methodology &amp; Sources'!$B$219:$J$223,0,1))*($AZ12-INDEX('Methodology &amp; Sources'!$B$219:$J$223,0,1))*INDEX('Methodology &amp; Sources'!$B$219:$J$223,0,1+2)),IF($AN12="VA",SUMPRODUCT(($AZ12&gt;INDEX('Methodology &amp; Sources'!$B$219:$J$223,0,4))*($AZ12-INDEX('Methodology &amp; Sources'!$B$219:$J$223,0,4))*INDEX('Methodology &amp; Sources'!$B$219:$J$223,0,4+2)),IF($AN12="WI",SUMPRODUCT(($AZ12&gt;INDEX('Methodology &amp; Sources'!$B$228:$J$232,0,4))*($AZ12-INDEX('Methodology &amp; Sources'!$B$228:$J$232,0,4))*INDEX('Methodology &amp; Sources'!$B$228:$J$232,0,4+2)),"")))))))</f>
      </c>
      <c r="BZ12" s="24">
        <f>IF($B12="","",IF($AN12="NJ",IF(Inputs!$C$77="B",SUMPRODUCT(($AZ12&gt;=INDEX('Methodology &amp; Sources'!$B$155:$J$162,0,4))*INDEX('Methodology &amp; Sources'!$B$155:$J$162,0,4+2)),IF(Inputs!$C$77="C",SUMPRODUCT(($AZ12&gt;=INDEX('Methodology &amp; Sources'!$B$155:$J$162,0,7))*INDEX('Methodology &amp; Sources'!$B$155:$J$162,0,7+2)),IF(Inputs!$C$77="D",SUMPRODUCT(($AZ12&gt;=INDEX('Methodology &amp; Sources'!$B$167:$J$179,0,1))*INDEX('Methodology &amp; Sources'!$B$167:$J$179,0,1+2)),IF(Inputs!$C$77="E",SUMPRODUCT(($AZ12&gt;=INDEX('Methodology &amp; Sources'!$B$167:$J$179,0,4))*INDEX('Methodology &amp; Sources'!$B$167:$J$179,0,4+2)),SUMPRODUCT(($AZ12&gt;=INDEX('Methodology &amp; Sources'!$B$155:$J$162,0,1))*INDEX('Methodology &amp; Sources'!$B$155:$J$162,0,1+2)))))),IF($AN12="OR",IF(OR($AU12="Married",AND($AU12="Single",$AS12&gt;=3)),SUMPRODUCT((MAX(0,$AY12-MIN(($P12-'Methodology &amp; Sources'!$C$10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Sources'!$B$211:$J$214,0,4))*INDEX('Methodology &amp; Sources'!$B$211:$J$214,0,4+2)),SUMPRODUCT((MAX(0,$AY12-MIN(($P12-'Methodology &amp; Sources'!$C$10*$D12)*Inputs!$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Sources'!$B$211:$J$214,0,1))*INDEX('Methodology &amp; Sources'!$B$211:$J$214,0,1+2)))*IF(($P12-'Methodology &amp; Sources'!$C$10*$D12)*Inputs!$C$8&gt;=IF(OR($AU12="Married",AND($AU12="Single",$AS12&gt;=3)),IF($AY12&lt;250000,8750,IF($AY12&lt;260000,7000,IF($AY12&lt;270000,5250,IF($AY12&lt;280000,3500,IF($AY12&lt;290000,1750,0))))),IF($AY12&lt;125000,8750,IF($AY12&lt;130000,7000,IF($AY12&lt;135000,5250,IF($AY12&lt;140000,3500,IF($AY12&lt;145000,1750,0)))))),1,1-IF(Inputs!$C$13,SUMPRODUCT(($AH12&gt;=INDEX('Methodology &amp; Sources'!$B$29:$J$36,0,IF(Inputs!$C$12="MFJ",1,IF(Inputs!$C$12="HoH",7,4))))*INDEX('Methodology &amp; Sources'!$B$29:$J$36,0,IF(Inputs!$C$12="MFJ",1,IF(Inputs!$C$12="HoH",7,4))+2)),SUMPRODUCT(($AH12&gt;=INDEX('Methodology &amp; Sources'!$B$19:$J$26,0,IF(Inputs!$C$12="MFJ",1,IF(Inputs!$C$12="HoH",7,4))))*INDEX('Methodology &amp; Sources'!$B$19:$J$26,0,IF(Inputs!$C$12="MFJ",1,IF(Inputs!$C$12="HoH",7,4))+2)))),IF($AN12="MI",IF($AY12&gt;5900*$AS12,0.0425,0),""))))</f>
      </c>
      <c r="CA12" s="24">
        <f>IF($B12="","",IF($AN12="AL",IF(OR($AU12="Married",$AU12="Head of household"),SUMPRODUCT(($AZ12&gt;=INDEX('Methodology &amp; Sources'!$B$82:$J$86,0,4))*INDEX('Methodology &amp; Sources'!$B$82:$J$86,0,4+2)),SUMPRODUCT(($AZ12&gt;=INDEX('Methodology &amp; Sources'!$B$82:$J$86,0,1))*INDEX('Methodology &amp; Sources'!$B$82:$J$86,0,1+2)))*(1-IF(Inputs!$C$13,SUMPRODUCT(($AH12&gt;=INDEX('Methodology &amp; Sources'!$B$29:$J$36,0,IF(Inputs!$C$12="MFJ",1,IF(Inputs!$C$12="HoH",7,4))))*INDEX('Methodology &amp; Sources'!$B$29:$J$36,0,IF(Inputs!$C$12="MFJ",1,IF(Inputs!$C$12="HoH",7,4))+2)),SUMPRODUCT(($AH12&gt;=INDEX('Methodology &amp; Sources'!$B$19:$J$26,0,IF(Inputs!$C$12="MFJ",1,IF(Inputs!$C$12="HoH",7,4))))*INDEX('Methodology &amp; Sources'!$B$19:$J$26,0,IF(Inputs!$C$12="MFJ",1,IF(Inputs!$C$12="HoH",7,4))+2)))),IF($AN12="KS",IF($AU12="Married",SUMPRODUCT(($AZ12&gt;=INDEX('Methodology &amp; Sources'!$B$103:$J$109,0,4))*INDEX('Methodology &amp; Sources'!$B$103:$J$109,0,4+2)),SUMPRODUCT(($AZ12&gt;=INDEX('Methodology &amp; Sources'!$B$103:$J$109,0,1))*INDEX('Methodology &amp; Sources'!$B$103:$J$109,0,1+2))),IF($AN12="MD",IF(OR($AU12="Married",$AU12="Head of household"),SUMPRODUCT(($AZ12&gt;=INDEX('Methodology &amp; Sources'!$B$114:$J$120,0,1))*INDEX('Methodology &amp; Sources'!$B$114:$J$120,0,1+2)),SUMPRODUCT(($AZ12&gt;=INDEX('Methodology &amp; Sources'!$B$103:$J$109,0,7))*INDEX('Methodology &amp; Sources'!$B$103:$J$109,0,7+2)))+Inputs!$C$74,IF($AN12="MT",IF($AU12="Head of household",SUMPRODUCT(($AZ12&gt;=INDEX('Methodology &amp; Sources'!$B$137:$J$139,0,1))*INDEX('Methodology &amp; Sources'!$B$137:$J$139,0,1+2)),IF($AU12="Married",SUMPRODUCT(($AZ12&gt;=INDEX('Methodology &amp; Sources'!$B$125:$J$132,0,7))*INDEX('Methodology &amp; Sources'!$B$125:$J$132,0,7+2)),SUMPRODUCT(($AZ12&gt;=INDEX('Methodology &amp; Sources'!$B$125:$J$132,0,4))*INDEX('Methodology &amp; Sources'!$B$125:$J$132,0,4+2)))),IF($AN12="ND",IF($AU12="Head of household",SUMPRODUCT(($AZ12&gt;=INDEX('Methodology &amp; Sources'!$B$144:$J$150,0,1))*INDEX('Methodology &amp; Sources'!$B$144:$J$150,0,1+2)),IF($AU12="Married",SUMPRODUCT(($AZ12&gt;=INDEX('Methodology &amp; Sources'!$B$137:$J$139,0,7))*INDEX('Methodology &amp; Sources'!$B$137:$J$139,0,7+2)),SUMPRODUCT(($AZ12&gt;=INDEX('Methodology &amp; Sources'!$B$137:$J$139,0,4))*INDEX('Methodology &amp; Sources'!$B$137:$J$139,0,4+2)))),IF($AN12="NY",IF($AU12="Married",IF($AZ12&gt;=2155350,IF($AZ12&gt;25000000,0.117,IF($AZ12&gt;5000000,0.111,0.1045)),SUMPRODUCT(($AZ12&gt;=INDEX('Methodology &amp; Sources'!$B$184:$J$198,0,1))*INDEX('Methodology &amp; Sources'!$B$184:$J$198,0,1+2))),IF($AZ12&gt;=1077550,IF($AZ12&gt;25000000,0.117,IF($AZ12&gt;5000000,0.111,0.1045)),SUMPRODUCT(($AZ12&gt;=INDEX('Methodology &amp; Sources'!$B$167:$J$179,0,7))*INDEX('Methodology &amp; Sources'!$B$167:$J$179,0,7+2)))),"")))))))</f>
      </c>
      <c r="CB12" s="24">
        <f>IF($B12="","",IF($AN12="CA",SUMPRODUCT(($AJ12&gt;=INDEX('Methodology &amp; Sources'!$B$39:$J$48,0,IF($AU12="Married",4,IF($AU12="Head of household",7,1))))*INDEX('Methodology &amp; Sources'!$B$39:$J$48,0,IF($AU12="Married",4,IF($AU12="Head of household",7,1))+2)),IF($AN12="HI",IF($AU12="Married",SUMPRODUCT(($AZ12&gt;=INDEX('Methodology &amp; Sources'!$B$91:$J$98,0,7))*INDEX('Methodology &amp; Sources'!$B$91:$J$98,0,7+2)),SUMPRODUCT(($AZ12&gt;=INDEX('Methodology &amp; Sources'!$B$91:$J$98,0,4))*INDEX('Methodology &amp; Sources'!$B$91:$J$98,0,4+2))),IF($AN12="MN",IF($AU12="Married",SUMPRODUCT(($AZ12&gt;=INDEX('Methodology &amp; Sources'!$B$114:$J$120,0,7))*INDEX('Methodology &amp; Sources'!$B$114:$J$120,0,7+2)),SUMPRODUCT(($AZ12&gt;=INDEX('Methodology &amp; Sources'!$B$114:$J$120,0,4))*INDEX('Methodology &amp; Sources'!$B$114:$J$120,0,4+2))),IF($AN12="MO",SUMPRODUCT(($AZ12&gt;=INDEX('Methodology &amp; Sources'!$B$125:$J$132,0,1))*INDEX('Methodology &amp; Sources'!$B$125:$J$132,0,1+2)),IF($AN12="NE",MAX(IF($AU12="Married",SUMPRODUCT(($AZ12&gt;=INDEX('Methodology &amp; Sources'!$B$144:$J$150,0,7))*INDEX('Methodology &amp; Sources'!$B$144:$J$150,0,7+2)),SUMPRODUCT(($AZ12&gt;=INDEX('Methodology &amp; Sources'!$B$144:$J$150,0,4))*INDEX('Methodology &amp; Sources'!$B$144:$J$150,0,4+2))),0.015),IF($AN12="OH",IF($B12&gt;=DATE(2027,8,1),SUMPRODUCT(($AZ12&gt;=INDEX('Methodology &amp; Sources'!$B$203:$J$206,0,1))*INDEX('Methodology &amp; Sources'!$B$203:$J$206,0,1+2)),SUMPRODUCT(($AZ12&gt;=INDEX('Methodology &amp; Sources'!$B$184:$J$198,0,7))*INDEX('Methodology &amp; Sources'!$B$184:$J$198,0,7+2))),IF($AN12="OK",IF($AU12="Married",SUMPRODUCT(($AZ12&gt;=INDEX('Methodology &amp; Sources'!$B$203:$J$206,0,7))*INDEX('Methodology &amp; Sources'!$B$203:$J$206,0,7+2)),SUMPRODUCT(($AZ12&gt;=INDEX('Methodology &amp; Sources'!$B$203:$J$206,0,4))*INDEX('Methodology &amp; Sources'!$B$203:$J$206,0,4+2))),IF($AN12="RI",SUMPRODUCT(($AZ12&gt;=INDEX('Methodology &amp; Sources'!$B$211:$J$214,0,7))*INDEX('Methodology &amp; Sources'!$B$211:$J$214,0,7+2)),IF($AN12="SC",SUMPRODUCT(($AZ12&gt;=INDEX('Methodology &amp; Sources'!$B$219:$J$223,0,1))*INDEX('Methodology &amp; Sources'!$B$219:$J$223,0,1+2)),IF($AN12="VT",IF($AU12="Married",SUMPRODUCT(($AZ12&gt;=INDEX('Methodology &amp; Sources'!$B$228:$J$232,0,1))*INDEX('Methodology &amp; Sources'!$B$228:$J$232,0,1+2)),SUMPRODUCT(($AZ12&gt;=INDEX('Methodology &amp; Sources'!$B$219:$J$223,0,7))*INDEX('Methodology &amp; Sources'!$B$219:$J$223,0,7+2))),IF($AN12="WV",IF($AU12="Married",SUMPRODUCT(($AZ12&gt;=INDEX('Methodology &amp; Sources'!$B$237:$J$241,0,7))*INDEX('Methodology &amp; Sources'!$B$237:$J$241,0,7+2)),SUMPRODUCT(($AZ12&gt;=INDEX('Methodology &amp; Sources'!$B$228:$J$232,0,7))*INDEX('Methodology &amp; Sources'!$B$228:$J$232,0,7+2))),IF($AN12="IN",(0.0295+Inputs!$C$76),"")))))))))))))</f>
      </c>
      <c r="CC12" s="24">
        <f>IF($B12="","",IF($AN12="AR",SUMPRODUCT(($AZ12&gt;=INDEX('Methodology &amp; Sources'!$B$82:$J$86,0,7))*INDEX('Methodology &amp; Sources'!$B$82:$J$86,0,7+2)),IF($AN12="DE",SUMPRODUCT(($AZ12&gt;=INDEX('Methodology &amp; Sources'!$B$91:$J$98,0,1))*INDEX('Methodology &amp; Sources'!$B$91:$J$98,0,1+2)),IF($AN12="VA",SUMPRODUCT(($AZ12&gt;=INDEX('Methodology &amp; Sources'!$B$219:$J$223,0,4))*INDEX('Methodology &amp; Sources'!$B$219:$J$223,0,4+2)),IF($AN12="WI",SUMPRODUCT(($AZ12&gt;=INDEX('Methodology &amp; Sources'!$B$228:$J$232,0,4))*INDEX('Methodology &amp; Sources'!$B$228:$J$232,0,4+2)),IF($AN12="AZ",Inputs!$C$82,IF($AN12="CO",IF($AY12&gt;IF($AU12="Married",10000,5000),0.044,0),IF($AN12="IA",IF($AY12&gt;IF($AU12="Head of household",19500,IF($AU12="Married",26000,13000)),0.038,0),IF($AN12="ID",IF($AY12&gt;IF($AU12="Married",32000,16094),0.053,0),IF($AN12="IL",IF($AY12&gt;(2925*$AS12+1000*$AT12),0.0495,0),IF($AN12="KY",IF($AI12&gt;3360,0.035,0),IF($AN12="LA",0.0309,IF($AN12="MA",IF(MAX(0,$AY12-MIN(($BD11+$Q12+$R12+$S12),2000)-IF($AS12=0,0,IF($AS12=1,4400,1000*$AS12+3400)))&gt;=1107750,0.09,0.05),IF($AN12="MS",IF($AI12-IF($AU12="Head of household",3400,IF($AU12="Married",4600,2300))-Inputs!$C$85&gt;10000,0.04,0),IF($AN12="PA",0.0307,"")))))))))))))))</f>
      </c>
      <c r="CD12" s="21">
        <f>IF(YEAR(IF(Inputs!$C$7="Weekly",Inputs!$C$90+7*(($BE11+1)-1),IF(Inputs!$C$7="Biweekly",Inputs!$C$90+14*(($BE11+1)-1),IF(Inputs!$C$7="Semimonthly",DATE(YEAR(Inputs!$C$9),MONTH(Inputs!$C$9)+INT((($BE11+1)-1+'Rest of 2026'!$C$2)/2),MIN(DAY(Inputs!$C$9),DAY(EOMONTH(DATE(YEAR(Inputs!$C$9),MONTH(Inputs!$C$9)+INT((($BE11+1)-1+'Rest of 2026'!$C$2)/2),1),0))))+IF(MOD(($BE11+1)-1+'Rest of 2026'!$C$2,2)=1,15,0),EDATE(Inputs!$C$90,($BE11+1)-1)))))&lt;&gt;Inputs!$C$10,"",IF(Inputs!$C$7="Weekly",Inputs!$C$90+7*(($BE11+1)-1),IF(Inputs!$C$7="Biweekly",Inputs!$C$90+14*(($BE11+1)-1),IF(Inputs!$C$7="Semimonthly",DATE(YEAR(Inputs!$C$9),MONTH(Inputs!$C$9)+INT((($BE11+1)-1+'Rest of 2026'!$C$2)/2),MIN(DAY(Inputs!$C$9),DAY(EOMONTH(DATE(YEAR(Inputs!$C$9),MONTH(Inputs!$C$9)+INT((($BE11+1)-1+'Rest of 2026'!$C$2)/2),1),0))))+IF(MOD(($BE11+1)-1+'Rest of 2026'!$C$2,2)=1,15,0),EDATE(Inputs!$C$90,($BE11+1)-1)))))</f>
      </c>
      <c r="CE12" s="21">
        <f>IF(SUMPRODUCT(MIN(IF((Inputs!$C$58:$C$67&gt;MAX($B$6:$B11))*(Inputs!$C$58:$C$67&gt;=DATE(Inputs!$C$10,1,1))*(Inputs!$C$58:$C$67&lt;=DATE(Inputs!$C$10,12,31)),Inputs!$C$58:$C$67,999999)))=999999,"",SUMPRODUCT(MIN(IF((Inputs!$C$58:$C$67&gt;MAX($B$6:$B11))*(Inputs!$C$58:$C$67&gt;=DATE(Inputs!$C$10,1,1))*(Inputs!$C$58:$C$67&lt;=DATE(Inputs!$C$10,12,31)),Inputs!$C$58:$C$67,999999))))</f>
      </c>
    </row>
    <row r="13">
      <c r="A13" t="n">
        <v>8</v>
      </c>
      <c r="B13" s="21">
        <f>IF(AND($CD13="",$CE13=""),"",IF($CE13="",$CD13,IF($CD13="",$CE13,MIN($CD13,$CE13))))</f>
      </c>
      <c r="C13" s="7">
        <f>IF($B13="","",IF($BF13=0,0,IF(Inputs!$C$4="Annual salary",ROUND($AK13/IF(AND(Inputs!$C$88="Actual paydays",MONTH(Inputs!$C$90)=1),MAX(1,MAX($BE$6:$BE$68)),Inputs!$C$8),2),$AK13)))</f>
      </c>
      <c r="D13" s="7">
        <f>IF($B13="","",SUMIF(Inputs!$C$58:$C$67,$B13,Inputs!$D$58:$D$67))</f>
      </c>
      <c r="E13" s="7">
        <f>IF($B13="","",ROUND(MAX(0,MIN(IF($AL13="Percent",$AM13*($C13+$D13),$AM13),MAX(0,Inputs!$C$34-$AC12))),2))</f>
      </c>
      <c r="F13" s="7">
        <f>IF($B13="","",ROUND(MAX(0,MIN(IF(Inputs!$C$32="Percent",Inputs!$D$32*($C13+$D13),Inputs!$D$32),MAX(0,Inputs!$C$34-$AC12-$E13))),2))</f>
      </c>
      <c r="G13" s="7">
        <f>IF($B13="","",IF($BF13=0,0,ROUND(MAX(0,MIN($BL13,Inputs!$C$37-Inputs!$C$99-$BI12)),2)))</f>
      </c>
      <c r="H13" s="7">
        <f>IF($B13="","",IF(OR($BF13=0,$BQ13=1),0,ROUND(MAX(0,MIN(IF($BS13=1,ROUND(MAX(0,MIN($BJ13,'Methodology &amp; Sources'!$C$13)-$BG12)/MAX(1,MAX($BE$6:$BE$68)-($BE12)),2),ROUND(MIN($BJ13,'Methodology &amp; Sources'!$C$13)/Inputs!$C$8,2)),MIN($BJ13,'Methodology &amp; Sources'!$C$13)-$BG12)),2)))</f>
      </c>
      <c r="I13" s="7">
        <f>IF($B13="","",IF(OR($BF13=0,$BR13=1),0,ROUND(MAX(0,MIN(IF($BT13=1,ROUND(MAX(0,MIN($BK13,IF(Inputs!$C$12="MFJ",'Methodology &amp; Sources'!$C$14,'Methodology &amp; Sources'!$C$15))-$BH12)/MAX(1,MAX($BE$6:$BE$68)-($BE12)),2),ROUND(MIN($BK13,IF(Inputs!$C$12="MFJ",'Methodology &amp; Sources'!$C$14,'Methodology &amp; Sources'!$C$15))/Inputs!$C$8,2)),MIN($BK13,IF(Inputs!$C$12="MFJ",'Methodology &amp; Sources'!$C$14,'Methodology &amp; Sources'!$C$15))-$BH12)),2)))</f>
      </c>
      <c r="J13" s="7">
        <f>IF($B13="","",IF($BF13=0,0,$BM13))</f>
      </c>
      <c r="K13" s="7">
        <f>IF($B13="","",IF($BF13=0,0,$BN13+$BO13))</f>
      </c>
      <c r="L13" s="7">
        <f>IF($B13="","",IF($BF13=0,0,Inputs!$D$46))</f>
      </c>
      <c r="M13" s="7">
        <f>IF($B13="","",$C13+$D13+$L13-$E13-$G13-$H13-$I13-$J13-$K13)</f>
      </c>
      <c r="N13" s="7">
        <f>IF($B13="","",$C13+$D13+$L13-$G13-$H13-$I13-$J13-$K13)</f>
      </c>
      <c r="O13" s="7">
        <f>IF($B13="","",$C13+$D13+$L13-$E13-$H13-$I13-$J13-$K13-IF(OR($AN13="CA",$AN13="NJ"),0,$G13))</f>
      </c>
      <c r="P13" s="7">
        <f>IF($B13="","",IF(Inputs!$C$18,0,ROUND(MAX(0,IF(Inputs!$C$13,SUMPRODUCT(($AH13&gt;INDEX('Methodology &amp; Sources'!$B$29:$J$36,0,IF(Inputs!$C$12="MFJ",1,IF(Inputs!$C$12="HoH",7,4))))*($AH13-INDEX('Methodology &amp; Sources'!$B$29:$J$36,0,IF(Inputs!$C$12="MFJ",1,IF(Inputs!$C$12="HoH",7,4))))*INDEX('Methodology &amp; Sources'!$B$29:$J$36,0,IF(Inputs!$C$12="MFJ",1,IF(Inputs!$C$12="HoH",7,4))+2)),SUMPRODUCT(($AH13&gt;INDEX('Methodology &amp; Sources'!$B$19:$J$26,0,IF(Inputs!$C$12="MFJ",1,IF(Inputs!$C$12="HoH",7,4))))*($AH13-INDEX('Methodology &amp; Sources'!$B$19:$J$26,0,IF(Inputs!$C$12="MFJ",1,IF(Inputs!$C$12="HoH",7,4))))*INDEX('Methodology &amp; Sources'!$B$19:$J$26,0,IF(Inputs!$C$12="MFJ",1,IF(Inputs!$C$12="HoH",7,4))+2)))/Inputs!$C$8-$AO13/Inputs!$C$8)+$AR13+IF(Inputs!$C$89="Aggregate",MAX(0,IF(Inputs!$C$13,SUMPRODUCT((($AH13+$D13)&gt;INDEX('Methodology &amp; Sources'!$B$29:$J$36,0,IF(Inputs!$C$12="MFJ",1,IF(Inputs!$C$12="HoH",7,4))))*(($AH13+$D13)-INDEX('Methodology &amp; Sources'!$B$29:$J$36,0,IF(Inputs!$C$12="MFJ",1,IF(Inputs!$C$12="HoH",7,4))))*INDEX('Methodology &amp; Sources'!$B$29:$J$36,0,IF(Inputs!$C$12="MFJ",1,IF(Inputs!$C$12="HoH",7,4))+2)),SUMPRODUCT((($AH13+$D13)&gt;INDEX('Methodology &amp; Sources'!$B$19:$J$26,0,IF(Inputs!$C$12="MFJ",1,IF(Inputs!$C$12="HoH",7,4))))*(($AH13+$D13)-INDEX('Methodology &amp; Sources'!$B$19:$J$26,0,IF(Inputs!$C$12="MFJ",1,IF(Inputs!$C$12="HoH",7,4))))*INDEX('Methodology &amp; Sources'!$B$19:$J$26,0,IF(Inputs!$C$12="MFJ",1,IF(Inputs!$C$12="HoH",7,4))+2)))-IF(Inputs!$C$13,SUMPRODUCT(($AH13&gt;INDEX('Methodology &amp; Sources'!$B$29:$J$36,0,IF(Inputs!$C$12="MFJ",1,IF(Inputs!$C$12="HoH",7,4))))*($AH13-INDEX('Methodology &amp; Sources'!$B$29:$J$36,0,IF(Inputs!$C$12="MFJ",1,IF(Inputs!$C$12="HoH",7,4))))*INDEX('Methodology &amp; Sources'!$B$29:$J$36,0,IF(Inputs!$C$12="MFJ",1,IF(Inputs!$C$12="HoH",7,4))+2)),SUMPRODUCT(($AH13&gt;INDEX('Methodology &amp; Sources'!$B$19:$J$26,0,IF(Inputs!$C$12="MFJ",1,IF(Inputs!$C$12="HoH",7,4))))*($AH13-INDEX('Methodology &amp; Sources'!$B$19:$J$26,0,IF(Inputs!$C$12="MFJ",1,IF(Inputs!$C$12="HoH",7,4))))*INDEX('Methodology &amp; Sources'!$B$19:$J$26,0,IF(Inputs!$C$12="MFJ",1,IF(Inputs!$C$12="HoH",7,4))+2)))),'Methodology &amp; Sources'!$C$10*$D13),2)))</f>
      </c>
      <c r="Q13" s="7">
        <f>IF($B13="","",ROUND('Methodology &amp; Sources'!$C$4*MIN($N13,MAX(0,'Methodology &amp; Sources'!$C$3-($AX13+$AB12-$AW13))),2))</f>
      </c>
      <c r="R13" s="7">
        <f>IF($B13="","",ROUND('Methodology &amp; Sources'!$C$5*$N13,2))</f>
      </c>
      <c r="S13" s="7">
        <f>IF($B13="","",ROUND('Methodology &amp; Sources'!$C$6*MAX(0,MIN($N13,$AG12+$N13-'Methodology &amp; Sources'!$C$7)),2))</f>
      </c>
      <c r="T13" s="7">
        <f>IF($B13="","",IF(Inputs!$C$26,0,IF($AN13="CA",ROUND(IF($AI13&lt;=IF(($AS13+$AT13)&gt;=2,VLOOKUP($AN13,StateTables!$A$6:$AB$56,10,FALSE),VLOOKUP($AN13,StateTables!$A$6:$AB$56,9,FALSE)),0,MAX(0,SUMPRODUCT(($AJ13&gt;INDEX('Methodology &amp; Sources'!$B$39:$J$48,0,IF($AU13="Married",4,IF($AU13="Head of household",7,1))))*($AJ13-INDEX('Methodology &amp; Sources'!$B$39:$J$48,0,IF($AU13="Married",4,IF($AU13="Head of household",7,1))))*INDEX('Methodology &amp; Sources'!$B$39:$J$48,0,IF($AU13="Married",4,IF($AU13="Head of household",7,1))+2))-VLOOKUP($AN13,StateTables!$A$6:$AB$56,11,FALSE)*$AS13)/Inputs!$C$8)+Inputs!$C$25+VLOOKUP($AN13,StateTables!$A$6:$AB$56,13,FALSE)*$D13,2),IF(VLOOKUP($AN13,StateTables!$A$6:$AB$56,4,FALSE)="None",0,IF(ISNUMBER(SEARCH("MANUAL",VLOOKUP($AN13,StateTables!$A$6:$AB$56,5,FALSE))),Inputs!$C$28,ROUND(MAX(0,$BA13+$BB13)/Inputs!$C$8+Inputs!$C$25+$BC13,2))))))</f>
      </c>
      <c r="U13" s="7">
        <f>IF($B13="","",IF(VLOOKUP($AN13,StateTables!$A$6:$AB$56,24,FALSE)="flatq",IF(OR(MONTH($B13)=1,MONTH($B13)=4,MONTH($B13)=7,MONTH($B13)=10),VLOOKUP($AN13,StateTables!$A$6:$AB$56,25,FALSE),0),IF(VLOOKUP($AN13,StateTables!$A$6:$AB$56,24,FALSE)="dbl",MIN(ROUND(0.005*$N13,2),ROUND(0.6*52/Inputs!$C$8,2)),IF(OR(VLOOKUP($AN13,StateTables!$A$6:$AB$56,15,FALSE)="",VLOOKUP($AN13,StateTables!$A$6:$AB$56,15,FALSE)=0),0,ROUND(VLOOKUP($AN13,StateTables!$A$6:$AB$56,15,FALSE)*IF(OR(VLOOKUP($AN13,StateTables!$A$6:$AB$56,16,FALSE)="",VLOOKUP($AN13,StateTables!$A$6:$AB$56,16,FALSE)=0),$N13,MIN($N13,MAX(0,VLOOKUP($AN13,StateTables!$A$6:$AB$56,16,FALSE)-($AX13+$AB12-$AW13)))),2))))+IF(VLOOKUP($AN13,StateTables!$A$6:$AB$56,27,FALSE)="flatq",IF(OR(MONTH($B13)=1,MONTH($B13)=4,MONTH($B13)=7,MONTH($B13)=10),VLOOKUP($AN13,StateTables!$A$6:$AB$56,28,FALSE),0),IF(VLOOKUP($AN13,StateTables!$A$6:$AB$56,27,FALSE)="dbl",MIN(ROUND(0.005*$N13,2),ROUND(0.6*52/Inputs!$C$8,2)),IF(OR(VLOOKUP($AN13,StateTables!$A$6:$AB$56,18,FALSE)="",VLOOKUP($AN13,StateTables!$A$6:$AB$56,18,FALSE)=0),0,ROUND(VLOOKUP($AN13,StateTables!$A$6:$AB$56,18,FALSE)*IF(OR(VLOOKUP($AN13,StateTables!$A$6:$AB$56,19,FALSE)="",VLOOKUP($AN13,StateTables!$A$6:$AB$56,19,FALSE)=0),$N13,MIN($N13,MAX(0,VLOOKUP($AN13,StateTables!$A$6:$AB$56,19,FALSE)-($AX13+$AB12-$AW13)))),2)))))</f>
      </c>
      <c r="V13" s="7">
        <f>IF($B13="","",IF($AN13="NY",IF(Inputs!$C$78,ROUND(SUMPRODUCT((MAX(0,($O13-$D13)*Inputs!$C$8-(IF($AU13="Married",5500,5000)+1000*$AS13))&gt;INDEX('Methodology &amp; Sources'!$B$184:$J$198,0,4))*(MAX(0,($O13-$D13)*Inputs!$C$8-(IF($AU13="Married",5500,5000)+1000*$AS13))-INDEX('Methodology &amp; Sources'!$B$184:$J$198,0,4))*INDEX('Methodology &amp; Sources'!$B$184:$J$198,0,4+2))/Inputs!$C$8+0.0425*$D13,2),0)+IF(Inputs!$C$79="Resident",ROUND(0.1675*$T13,2),IF(Inputs!$C$79="Nonresident",ROUND(0.005*MAX(0,($O13-$D13)-(IF($AU13="Married",7950,7400)+1000*$AS13)/Inputs!$C$8),2),0)),IF($AN13="PA",IF(Inputs!$C$80="None",Inputs!$C$27+ROUND(Inputs!$C$81*($C13+$D13),2),ROUND(IF(Inputs!$C$80="Resident",IF($B13&lt;DATE(2027,7,1),0.03735,0.03735),IF($B13&lt;DATE(2027,7,1),0.03425,0.03425))*($C13+$D13),2)),IF($BF13=0,ROUND(Inputs!$C$81*($C13+$D13),2),Inputs!$C$27+ROUND(Inputs!$C$81*($C13+$D13),2)))))</f>
      </c>
      <c r="W13" s="7">
        <f>IF($B13="","",IF($BF13=0,0,$BP13))</f>
      </c>
      <c r="X13" s="7">
        <f>IF($B13="","",SUM($E13:$K13)+$P13+$Q13+$R13+$S13+$T13+$U13+$V13+$W13)</f>
      </c>
      <c r="Y13" s="22">
        <f>IF($B13="","",$C13+$D13-$X13)</f>
      </c>
      <c r="Z13" s="7">
        <f>IF($B13="","",$Z12+$C13+$D13)</f>
      </c>
      <c r="AA13" s="7">
        <f>IF($B13="","",$AA12+$Y13)</f>
      </c>
      <c r="AB13" s="7">
        <f>IF($B13="","",$AB12+MIN($N13,MAX(0,'Methodology &amp; Sources'!$C$3-($AX13+$AB12-$AW13))))</f>
      </c>
      <c r="AC13" s="7">
        <f>IF($B13="","",$AC12+$E13+$F13)</f>
      </c>
      <c r="AD13" s="3">
        <f>IF($B13="","",IF(AND($AB12&lt;'Methodology &amp; Sources'!$C$3,$AB13&gt;='Methodology &amp; Sources'!$C$3),"★ Social Security maxed on this check — from the next check your net rises by about $"&amp;TEXT(ROUND('Methodology &amp; Sources'!$C$4*$N13,2),"#,##0.00")&amp;". ","")&amp;IF(AND($AC12&lt;Inputs!$C$34,$AC13&gt;=Inputs!$C$34),"★ 401(k) reaches the $"&amp;TEXT(Inputs!$C$34,"#,##0")&amp;" cap on this check — deferrals stop and net pay rises. ","")&amp;IF(AND($AG12&lt;'Methodology &amp; Sources'!$C$7,$AG13&gt;='Methodology &amp; Sources'!$C$7),"★ Wages pass $200,000 — the 0.9% Additional Medicare Tax starts here. ","")&amp;IF(AND($BJ13&gt;0,$H13&gt;0,$BG12&lt;MIN($BJ13,'Methodology &amp; Sources'!$C$13),$BG12+$H13&gt;=MIN($BJ13,'Methodology &amp; Sources'!$C$13)),"★ Health FSA election is now fully deferred for the year. ",""))</f>
      </c>
      <c r="AE13" s="41" t="n"/>
      <c r="AF13" s="7">
        <f>IF(OR($B13="",$AE13=""),"",$AE13-$Y13)</f>
      </c>
      <c r="AG13" s="7">
        <f>IF($B13="","",$AG12+$N13)</f>
      </c>
      <c r="AH13" s="7">
        <f>IF($B13="","",MAX(0,($M13-$D13)*Inputs!$C$8+$AP13-$AQ13-IF(Inputs!$C$13,0,IF(Inputs!$C$12="MFJ",'Methodology &amp; Sources'!$C$8,'Methodology &amp; Sources'!$C$9))))</f>
      </c>
      <c r="AI13" s="7">
        <f>IF($B13="","",$O13*Inputs!$C$8)</f>
      </c>
      <c r="AJ13" s="7">
        <f>IF($B13="","",MAX(0,$AI13-VLOOKUP($AN13,StateTables!$A$6:$AB$56,12,FALSE)*$AT13-IF(($AS13+$AT13)&gt;=2,VLOOKUP($AN13,StateTables!$A$6:$AB$56,8,FALSE),VLOOKUP($AN13,StateTables!$A$6:$AB$56,7,FALSE))))</f>
      </c>
      <c r="AK13" s="7">
        <f>IF($B13="","",IFERROR(LOOKUP(2,1/((Events!$C$6:$C$17="Salary change")*(Events!$B$6:$B$17&lt;=$B13)*(Events!$B$6:$B$17&lt;&gt;"")),Events!$D$6:$D$17),IF(Inputs!$C$4="Annual salary",Inputs!$C$5,Inputs!$C$6)))</f>
      </c>
      <c r="AL13">
        <f>IF($B13="","",IFERROR(LOOKUP(2,1/((Events!$C$6:$C$17="401(k) change")*(Events!$B$6:$B$17&lt;=$B13)*(Events!$B$6:$B$17&lt;&gt;"")),Events!$D$6:$D$17),Inputs!$C$30))</f>
      </c>
      <c r="AM13" s="7">
        <f>IF($B13="","",IFERROR(LOOKUP(2,1/((Events!$C$6:$C$17="401(k) change")*(Events!$B$6:$B$17&lt;=$B13)*(Events!$B$6:$B$17&lt;&gt;"")),Events!$E$6:$E$17),Inputs!$D$30))</f>
      </c>
      <c r="AN13">
        <f>IF($B13="","",IFERROR(LOOKUP(2,1/((Events!$C$6:$C$17="State move")*(Events!$B$6:$B$17&lt;=$B13)*(Events!$B$6:$B$17&lt;&gt;"")),Events!$D$6:$D$17),Inputs!$C$21))</f>
      </c>
      <c r="AO13" s="7">
        <f>IF($B13="","",IFERROR(LOOKUP(2,1/((Events!$C$6:$C$17="W-4 change")*(Events!$B$6:$B$17&lt;=$B13)*(Events!$B$6:$B$17&lt;&gt;"")),Events!$D$6:$D$17),Inputs!$C$14))</f>
      </c>
      <c r="AP13" s="7">
        <f>IF($B13="","",IFERROR(LOOKUP(2,1/((Events!$C$6:$C$17="W-4 change")*(Events!$B$6:$B$17&lt;=$B13)*(Events!$B$6:$B$17&lt;&gt;"")),Events!$E$6:$E$17),Inputs!$C$15))</f>
      </c>
      <c r="AQ13" s="7">
        <f>IF($B13="","",IFERROR(LOOKUP(2,1/((Events!$C$6:$C$17="W-4 change")*(Events!$B$6:$B$17&lt;=$B13)*(Events!$B$6:$B$17&lt;&gt;"")),Events!$F$6:$F$17),Inputs!$C$16))</f>
      </c>
      <c r="AR13" s="7">
        <f>IF($B13="","",IFERROR(LOOKUP(2,1/((Events!$C$6:$C$17="W-4 change")*(Events!$B$6:$B$17&lt;=$B13)*(Events!$B$6:$B$17&lt;&gt;"")),Events!$G$6:$G$17),Inputs!$C$17))</f>
      </c>
      <c r="AS13" s="6">
        <f>IF($B13="","",IFERROR(LOOKUP(2,1/(((Events!$C$6:$C$17="State move")+(Events!$C$6:$C$17="State cert change"))*(Events!$B$6:$B$17&lt;=$B13)*(Events!$B$6:$B$17&lt;&gt;"")),Events!$F$6:$F$17),Inputs!$C$23))</f>
      </c>
      <c r="AT13" s="6">
        <f>IF($B13="","",IFERROR(LOOKUP(2,1/(((Events!$C$6:$C$17="State move")+(Events!$C$6:$C$17="State cert change"))*(Events!$B$6:$B$17&lt;=$B13)*(Events!$B$6:$B$17&lt;&gt;"")),Events!$G$6:$G$17),Inputs!$C$24))</f>
      </c>
      <c r="AU13">
        <f>IF($B13="","",IFERROR(LOOKUP(2,1/((Events!$C$6:$C$17="State move")*(Events!$B$6:$B$17&lt;=$B13)*(Events!$B$6:$B$17&lt;&gt;"")),Events!$E$6:$E$17),Inputs!$C$22))</f>
      </c>
      <c r="AV13" s="6">
        <f>IF($B13="","",1+COUNTIFS(Events!$C$6:$C$17,"Employer change",Events!$B$6:$B$17,"&lt;="&amp;$B13,Events!$B$6:$B$17,"&lt;&gt;"))</f>
      </c>
      <c r="AW13" s="7">
        <f>IF($B13="","",IF($AV13=1,Inputs!$C$94,IF(IFERROR(MATCH(IFERROR(LOOKUP(2,1/((Events!$C$6:$C$17="Employer change")*(Events!$B$6:$B$17&lt;=$B13)*(Events!$B$6:$B$17&lt;&gt;"")),Events!$B$6:$B$17),""),$B$6:$B$68,1),1)&lt;=1,Inputs!$C$94,INDEX($AB$6:$AB$68,MATCH(IFERROR(LOOKUP(2,1/((Events!$C$6:$C$17="Employer change")*(Events!$B$6:$B$17&lt;=$B13)*(Events!$B$6:$B$17&lt;&gt;"")),Events!$B$6:$B$17),""),$B$6:$B$68,1)-1))))</f>
      </c>
      <c r="AX13" s="7">
        <f>IF($B13="","",IF($AV13=1,Inputs!$C$94,IFERROR(LOOKUP(2,1/((Events!$C$6:$C$17="Employer change")*(Events!$B$6:$B$17&lt;=$B13)*(Events!$B$6:$B$17&lt;&gt;"")),Events!$D$6:$D$17),0)))</f>
      </c>
      <c r="AY13" s="7">
        <f>IF($B13="","",($O13-$D13)*Inputs!$C$8)</f>
      </c>
      <c r="AZ13" s="7">
        <f>IF($B13="","",IF($AN13="AL",MAX(0,$AY13-IF($AU13="Married",IF($AY13&lt;=25999,8500,MAX(5000,8500-175*CEILING(($AY13-25999)/500,1))),IF($AU13="Head of household",IF($AY13&lt;=25999,5200,MAX(2500,5200-135*CEILING(($AY13-25999)/500,1))),IF($AY13&lt;=25999,3000,MAX(2500,3000-25*CEILING(($AY13-25999)/500,1)))))-($P13-'Methodology &amp; Sources'!$C$10*$D13)*Inputs!$C$8-IF(OR($AU13="Married",$AU13="Head of household"),3000,1500)-$AT13*IF($AY13&lt;=50000,1000,IF($AY13&lt;=100000,500,300))),IF($AN13="AR",IF(MAX(0,$AY13-2470)&lt;97701,INT(MAX(0,$AY13-2470)/100)*100+50,MAX(0,$AY13-2470)),IF($AN13="DE",MAX(0,$AI13-3250),IF($AN13="HI",MAX(0,$AI13-1144*$AS13-4350),IF($AN13="KS",MAX(0,$AI13-(9160*IF($AU13="Married",2,1)+2320*$AT13+IF($AU13="Head of household",2320,0))),IF($AN13="MD",MAX(0,$AI13-3400-3200*$AS13),IF($AN13="MN",MAX(0,$AY13-5300*$AS13),IF($AN13="MO",MAX(0,$AI13-IF($AU13="Head of household",24150,IF($AU13="Married",IF(Inputs!$C$83,16100,32200),16100))),IF($AN13="MT",$AY13,IF($AN13="ND",($C13+$L13)*Inputs!$C$8,IF($AN13="NE",MAX(0,$AY13-2440*$AS13),IF($AN13="NJ",MAX(0,$AY13-1000*$AS13),IF($AN13="NY",MAX(0,$AY13-(IF($AU13="Married",7950,7400)+1000*$AS13)),IF($AN13="OH",MAX(0,$AY13-650*$AS13),IF($AN13="OK",MAX(0,$AY13-1000*$AS13),IF($AN13="RI",MAX(0,$AI13-1000*$AS13),IF($AN13="SC",MAX(0,$AI13-5000*$AS13-IF($AS13=0,0,MIN(0.1*$AI13,7500))),IF($AN13="VA",MAX(0,$AI13-IF($AU13="Married",17500,8750)-930*$AS13-800*$AT13),IF($AN13="VT",MAX(0,$AI13-5400*$AS13),IF($AN13="WI",MAX(0,$AI13-MAX(0,IF($AU13="Married",9461-0.2*MAX(0,$AI13-25727),6702-0.12*MAX(0,$AI13-17780)))-400*$AS13),IF($AN13="WV",MAX(0,$AI13-2000*$AS13),$AI13))))))))))))))))))))))</f>
      </c>
      <c r="BA13" s="7">
        <f>IF($B13="","",IF($BW13&lt;&gt;"",$BW13,IF($BX13&lt;&gt;"",$BX13,IF($BY13&lt;&gt;"",$BY13,0))))</f>
      </c>
      <c r="BB13" s="7">
        <f>IF($B13="","",IF($AN13="AR",-29*$AS13,IF($AN13="DE",-110*$AS13,IF($AN13="MD",$AZ13*Inputs!$C$74,IF($AN13="AZ",Inputs!$C$82*($M13-$D13)*Inputs!$C$8,IF($AN13="CO",0.044*MAX(0,$AY13-IF($AU13="Married",10000,5000)),IF($AN13="IA",MAX(0,0.038*MAX(0,$AY13-IF($AU13="Head of household",19500,IF($AU13="Married",26000,13000)))-40*$AS13),IF($AN13="ID",0.053*MAX(0,$AY13-IF($AU13="Married",32000,16094)),IF($AN13="IL",0.0495*MAX(0,$AY13-(2925*$AS13+1000*$AT13)),IF($AN13="IN",(0.0295+Inputs!$C$76)*MAX(0,$AY13-(1000*$AS13+1500*$AT13+3000*Inputs!$C$86)),IF($AN13="KY",0.035*MAX(0,$AI13-3360),IF($AN13="LA",IF(Inputs!$C$84="0",0.0309*$AI13,0.0309*MAX(0,$AI13-IF(Inputs!$C$84="2",25750,12875))),IF($AN13="MA",0.05*MIN(MAX(0,$AY13-MIN(($BD12+$Q13+$R13+$S13),2000)-IF($AS13=0,0,IF($AS13=1,4400,1000*$AS13+3400))),1107750)+0.09*MAX(0,MAX(0,$AY13-MIN(($BD12+$Q13+$R13+$S13),2000)-IF($AS13=0,0,IF($AS13=1,4400,1000*$AS13+3400)))-1107750)-IF($AU13="Head of household",120,0)-110*Inputs!$C$75,IF($AN13="MI",0.0425*MAX(0,$AY13-5900*$AS13),IF($AN13="MS",0.04*MAX(0,$AI13-IF($AU13="Head of household",3400,IF($AU13="Married",4600,2300))-Inputs!$C$85-10000),IF($AN13="OR",IF(OR($AU13="Married",AND($AU13="Single",$AS13&gt;=3)),SUMPRODUCT((MAX(0,$AY13-MIN(($P13-'Methodology &amp; Sources'!$C$10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Sources'!$B$211:$J$214,0,4))*(MAX(0,$AY13-MIN(($P13-'Methodology &amp; Sources'!$C$10*$D13)*Inputs!$C$8,IF(OR($AU13="Married",AND($AU13="Single",$AS13&gt;=3)),IF($AY13&lt;250000,8750,IF($AY13&lt;260000,7000,IF($AY13&lt;270000,5250,IF($AY13&lt;280000,3500,IF($AY13&lt;290000,1750,0))))),IF($AY13&lt;125000,8750,IF($AY13&lt;130000,7000,IF($AY13&lt;135000,5250,IF($AY13&lt;140000,3500,IF($AY13&lt;145000,1750,0)))))))-IF(OR($AU13="Married",AND($AU13="Single",$AS13&gt;=3)),5820,2910))-INDEX('Methodology &amp; Sources'!$B$211:$J$214,0,4))*INDEX('Methodology &amp; Sources'!$B$211:$J$214,0,4+2)),SUMPRODUCT((MAX(0,$AY13-MIN(($P13-'Methodology &amp; Sources'!$C$10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Sources'!$B$211:$J$214,0,1))*(MAX(0,$AY13-MIN(($P13-'Methodology &amp; Sources'!$C$10*$D13)*Inputs!$C$8,IF(OR($AU13="Married",AND($AU13="Single",$AS13&gt;=3)),IF($AY13&lt;250000,8750,IF($AY13&lt;260000,7000,IF($AY13&lt;270000,5250,IF($AY13&lt;280000,3500,IF($AY13&lt;290000,1750,0))))),IF($AY13&lt;125000,8750,IF($AY13&lt;130000,7000,IF($AY13&lt;135000,5250,IF($AY13&lt;140000,3500,IF($AY13&lt;145000,1750,0)))))))-IF(OR($AU13="Married",AND($AU13="Single",$AS13&gt;=3)),5820,2910))-INDEX('Methodology &amp; Sources'!$B$211:$J$214,0,1))*INDEX('Methodology &amp; Sources'!$B$211:$J$214,0,1+2)))+263-263*IF(IF($AU13="Married",$AY13&gt;200000,$AY13&gt;100000),0,$AS13),IF($AN13="PA",0.0307*(($O13+$E13+$G13)*Inputs!$C$8),IF($AN13="NY",IF($AU13="Married",IF($AZ13&gt;=2155350,0,IF($AZ13&gt;=1077550,0.48,IF($AZ13&gt;=373200,1.21,IF($AZ13&gt;=323200,0.21,IF($AZ13&gt;=211550,-0.19,IF($AZ13&gt;=157650,-2.8,IF($AZ13&gt;=107650,-0.8,IF($AZ13&gt;=96800,0.05,IF($AZ13&gt;=80650,-0.1,IF($AZ13&gt;=13900,0.4,IF($AZ13&gt;=11700,-0.3,IF($AZ13&gt;=8500,0.5,0)))))))))))),IF($AZ13&gt;=1077550,0,IF($AZ13&gt;=265400,4.29,IF($AZ13&gt;=215400,2.29,IF($AZ13&gt;=157650,2.29,IF($AZ13&gt;=107650,0.29,IF($AZ13&gt;=96800,0.05,IF($AZ13&gt;=80650,-0.1,IF($AZ13&gt;=13900,0.4,IF($AZ13&gt;=11700,-0.3,IF($AZ13&gt;=8500,0.5,0))))))))))),0))))))))))))))))))</f>
      </c>
      <c r="BC13" s="7">
        <f>IF($B13="","",IF($AN13="AL",0.05*$D13,IF($AN13="AR",0.039*$D13,IF($AN13="ID",0.053*$D13,IF($AN13="IN",(0.0295+Inputs!$C$76)*$D13,IF($AN13="KS",0.05*$D13,IF($AN13="MA",0.09*MIN($D13,MAX(0,MAX(0,$AY13-MIN(($BD12+$Q13+$R13+$S13),2000)-IF($AS13=0,0,IF($AS13=1,4400,1000*$AS13+3400)))+$D13-1107750))+0.05*($D13-MIN($D13,MAX(0,MAX(0,$AY13-MIN(($BD12+$Q13+$R13+$S13),2000)-IF($AS13=0,0,IF($AS13=1,4400,1000*$AS13+3400)))+$D13-1107750))),IF($AN13="MD",(0.065+Inputs!$C$74)*$D13,IF($AN13="MI",0.0425*$D13,IF($AN13="MN",0.0625*$D13,IF($AN13="MO",0.047*$D13,IF($AN13="MT",0.05*$D13,IF($AN13="ND",0.015*$D13,IF($AN13="NE",0.035*$D13,IF($AN13="NJ",IF(Inputs!$C$77="B",SUMPRODUCT(($D13*Inputs!$C$8&gt;INDEX('Methodology &amp; Sources'!$B$155:$J$162,0,4))*($D13*Inputs!$C$8-INDEX('Methodology &amp; Sources'!$B$155:$J$162,0,4))*INDEX('Methodology &amp; Sources'!$B$155:$J$162,0,4+2)),IF(Inputs!$C$77="C",SUMPRODUCT(($D13*Inputs!$C$8&gt;INDEX('Methodology &amp; Sources'!$B$155:$J$162,0,7))*($D13*Inputs!$C$8-INDEX('Methodology &amp; Sources'!$B$155:$J$162,0,7))*INDEX('Methodology &amp; Sources'!$B$155:$J$162,0,7+2)),IF(Inputs!$C$77="D",SUMPRODUCT(($D13*Inputs!$C$8&gt;INDEX('Methodology &amp; Sources'!$B$167:$J$179,0,1))*($D13*Inputs!$C$8-INDEX('Methodology &amp; Sources'!$B$167:$J$179,0,1))*INDEX('Methodology &amp; Sources'!$B$167:$J$179,0,1+2)),IF(Inputs!$C$77="E",SUMPRODUCT(($D13*Inputs!$C$8&gt;INDEX('Methodology &amp; Sources'!$B$167:$J$179,0,4))*($D13*Inputs!$C$8-INDEX('Methodology &amp; Sources'!$B$167:$J$179,0,4))*INDEX('Methodology &amp; Sources'!$B$167:$J$179,0,4+2)),SUMPRODUCT(($D13*Inputs!$C$8&gt;INDEX('Methodology &amp; Sources'!$B$155:$J$162,0,1))*($D13*Inputs!$C$8-INDEX('Methodology &amp; Sources'!$B$155:$J$162,0,1))*INDEX('Methodology &amp; Sources'!$B$155:$J$162,0,1+2))))))/Inputs!$C$8,IF($AN13="NY",0.117*$D13,IF($AN13="OH",0.0275*$D13,IF($AN13="OK",0.045*$D13,IF($AN13="OR",0.08*$D13,IF($AN13="WI",IF($AY13&lt;12760,0.0354,IF($AY13&lt;25520,0.0465,IF($AY13&lt;280950,0.053,0.0765)))*$D13,0))))))))))))))))))))</f>
      </c>
      <c r="BD13" s="7">
        <f>IF($B13="","",$BD12+$Q13+$R13+$S13)</f>
      </c>
      <c r="BE13" s="6">
        <f>IF($B13="",$BE12,$BE12+$BF13)</f>
      </c>
      <c r="BF13" s="6">
        <f>IF($B13="","",IF(AND(IF(YEAR(IF(Inputs!$C$7="Weekly",Inputs!$C$90+7*(($BE12+1)-1),IF(Inputs!$C$7="Biweekly",Inputs!$C$90+14*(($BE12+1)-1),IF(Inputs!$C$7="Semimonthly",DATE(YEAR(Inputs!$C$9),MONTH(Inputs!$C$9)+INT((($BE12+1)-1+'Rest of 2026'!$C$2)/2),MIN(DAY(Inputs!$C$9),DAY(EOMONTH(DATE(YEAR(Inputs!$C$9),MONTH(Inputs!$C$9)+INT((($BE12+1)-1+'Rest of 2026'!$C$2)/2),1),0))))+IF(MOD(($BE12+1)-1+'Rest of 2026'!$C$2,2)=1,15,0),EDATE(Inputs!$C$90,($BE12+1)-1)))))&lt;&gt;Inputs!$C$10,"",IF(Inputs!$C$7="Weekly",Inputs!$C$90+7*(($BE12+1)-1),IF(Inputs!$C$7="Biweekly",Inputs!$C$90+14*(($BE12+1)-1),IF(Inputs!$C$7="Semimonthly",DATE(YEAR(Inputs!$C$9),MONTH(Inputs!$C$9)+INT((($BE12+1)-1+'Rest of 2026'!$C$2)/2),MIN(DAY(Inputs!$C$9),DAY(EOMONTH(DATE(YEAR(Inputs!$C$9),MONTH(Inputs!$C$9)+INT((($BE12+1)-1+'Rest of 2026'!$C$2)/2),1),0))))+IF(MOD(($BE12+1)-1+'Rest of 2026'!$C$2,2)=1,15,0),EDATE(Inputs!$C$90,($BE12+1)-1)))))&lt;&gt;"",$B13=IF(YEAR(IF(Inputs!$C$7="Weekly",Inputs!$C$90+7*(($BE12+1)-1),IF(Inputs!$C$7="Biweekly",Inputs!$C$90+14*(($BE12+1)-1),IF(Inputs!$C$7="Semimonthly",DATE(YEAR(Inputs!$C$9),MONTH(Inputs!$C$9)+INT((($BE12+1)-1+'Rest of 2026'!$C$2)/2),MIN(DAY(Inputs!$C$9),DAY(EOMONTH(DATE(YEAR(Inputs!$C$9),MONTH(Inputs!$C$9)+INT((($BE12+1)-1+'Rest of 2026'!$C$2)/2),1),0))))+IF(MOD(($BE12+1)-1+'Rest of 2026'!$C$2,2)=1,15,0),EDATE(Inputs!$C$90,($BE12+1)-1)))))&lt;&gt;Inputs!$C$10,"",IF(Inputs!$C$7="Weekly",Inputs!$C$90+7*(($BE12+1)-1),IF(Inputs!$C$7="Biweekly",Inputs!$C$90+14*(($BE12+1)-1),IF(Inputs!$C$7="Semimonthly",DATE(YEAR(Inputs!$C$9),MONTH(Inputs!$C$9)+INT((($BE12+1)-1+'Rest of 2026'!$C$2)/2),MIN(DAY(Inputs!$C$9),DAY(EOMONTH(DATE(YEAR(Inputs!$C$9),MONTH(Inputs!$C$9)+INT((($BE12+1)-1+'Rest of 2026'!$C$2)/2),1),0))))+IF(MOD(($BE12+1)-1+'Rest of 2026'!$C$2,2)=1,15,0),EDATE(Inputs!$C$90,($BE12+1)-1)))))),1,0))</f>
      </c>
      <c r="BG13" s="7">
        <f>IF($B13="","",$BG12+$H13)</f>
      </c>
      <c r="BH13" s="7">
        <f>IF($B13="","",$BH12+$I13)</f>
      </c>
      <c r="BI13" s="7">
        <f>IF($B13="","",$BI12+$G13)</f>
      </c>
      <c r="BJ13" s="7">
        <f>IF($B13="","",IFERROR(LOOKUP(2,1/((((Events!$C$6:$C$17="Deduction start"))*(Events!$D$6:$D$17="Health FSA"))*(Events!$B$6:$B$17&lt;=$B13)*(Events!$B$6:$B$17&lt;&gt;"")),Events!$E$6:$E$17),Inputs!$D$38))</f>
      </c>
      <c r="BK13" s="7">
        <f>IF($B13="","",IFERROR(LOOKUP(2,1/((((Events!$C$6:$C$17="Deduction start"))*(Events!$D$6:$D$17="Dependent-care FSA"))*(Events!$B$6:$B$17&lt;=$B13)*(Events!$B$6:$B$17&lt;&gt;"")),Events!$E$6:$E$17),Inputs!$D$39))</f>
      </c>
      <c r="BL13" s="7">
        <f>IF($B13="","",IFERROR(LOOKUP(2,1/((((Events!$C$6:$C$17="Deduction start")+(Events!$C$6:$C$17="Deduction stop"))*(Events!$D$6:$D$17="HSA"))*(Events!$B$6:$B$17&lt;=$B13)*(Events!$B$6:$B$17&lt;&gt;"")),Events!$I$6:$I$17),Inputs!$D$35))</f>
      </c>
      <c r="BM13" s="7">
        <f>IF($B13="","",IFERROR(LOOKUP(2,1/((((Events!$C$6:$C$17="Deduction start")+(Events!$C$6:$C$17="Deduction stop"))*(Events!$D$6:$D$17="Premiums"))*(Events!$B$6:$B$17&lt;=$B13)*(Events!$B$6:$B$17&lt;&gt;"")),Events!$I$6:$I$17),Inputs!$D$40+Inputs!$D$41+Inputs!$D$42))</f>
      </c>
      <c r="BN13" s="7">
        <f>IF($B13="","",IFERROR(LOOKUP(2,1/((((Events!$C$6:$C$17="Deduction start")+(Events!$C$6:$C$17="Deduction stop"))*(Events!$D$6:$D$17="Commuter"))*(Events!$B$6:$B$17&lt;=$B13)*(Events!$B$6:$B$17&lt;&gt;"")),Events!$I$6:$I$17),Inputs!$D$43))</f>
      </c>
      <c r="BO13" s="7">
        <f>IF($B13="","",IFERROR(LOOKUP(2,1/((((Events!$C$6:$C$17="Deduction start")+(Events!$C$6:$C$17="Deduction stop"))*(Events!$D$6:$D$17="Other pre-tax"))*(Events!$B$6:$B$17&lt;=$B13)*(Events!$B$6:$B$17&lt;&gt;"")),Events!$I$6:$I$17),Inputs!$D$44))</f>
      </c>
      <c r="BP13" s="7">
        <f>IF($B13="","",IFERROR(LOOKUP(2,1/((((Events!$C$6:$C$17="Deduction start")+(Events!$C$6:$C$17="Deduction stop"))*(Events!$D$6:$D$17="Other post-tax"))*(Events!$B$6:$B$17&lt;=$B13)*(Events!$B$6:$B$17&lt;&gt;"")),Events!$I$6:$I$17),Inputs!$D$45))</f>
      </c>
      <c r="BQ13" s="6">
        <f>IF($B13="","",IFERROR(LOOKUP(2,1/((((Events!$C$6:$C$17="Deduction start")+(Events!$C$6:$C$17="Deduction stop"))*(Events!$D$6:$D$17="Health FSA"))*(Events!$B$6:$B$17&lt;=$B13)*(Events!$B$6:$B$17&lt;&gt;"")),Events!$J$6:$J$17),0))</f>
      </c>
      <c r="BR13" s="6">
        <f>IF($B13="","",IFERROR(LOOKUP(2,1/((((Events!$C$6:$C$17="Deduction start")+(Events!$C$6:$C$17="Deduction stop"))*(Events!$D$6:$D$17="Dependent-care FSA"))*(Events!$B$6:$B$17&lt;=$B13)*(Events!$B$6:$B$17&lt;&gt;"")),Events!$J$6:$J$17),0))</f>
      </c>
      <c r="BS13" s="6">
        <f>IF($B13="","",IF(SUMPRODUCT((Events!$C$6:$C$17="Deduction start")*(Events!$B$6:$B$17&lt;=$B13)*(Events!$B$6:$B$17&lt;&gt;"")*(Events!$D$6:$D$17="Health FSA"))&gt;0,1,0))</f>
      </c>
      <c r="BT13" s="6">
        <f>IF($B13="","",IF(SUMPRODUCT((Events!$C$6:$C$17="Deduction start")*(Events!$B$6:$B$17&lt;=$B13)*(Events!$B$6:$B$17&lt;&gt;"")*(Events!$D$6:$D$17="Dependent-care FSA"))&gt;0,1,0))</f>
      </c>
      <c r="BU13" s="24">
        <f>IF($B13="","",IF(Inputs!$C$13,SUMPRODUCT(($AH13&gt;=INDEX('Methodology &amp; Sources'!$B$29:$J$36,0,IF(Inputs!$C$12="MFJ",1,IF(Inputs!$C$12="HoH",7,4))))*INDEX('Methodology &amp; Sources'!$B$29:$J$36,0,IF(Inputs!$C$12="MFJ",1,IF(Inputs!$C$12="HoH",7,4))+2)),SUMPRODUCT(($AH13&gt;=INDEX('Methodology &amp; Sources'!$B$19:$J$26,0,IF(Inputs!$C$12="MFJ",1,IF(Inputs!$C$12="HoH",7,4))))*INDEX('Methodology &amp; Sources'!$B$19:$J$26,0,IF(Inputs!$C$12="MFJ",1,IF(Inputs!$C$12="HoH",7,4))+2))))</f>
      </c>
      <c r="BV13" s="24">
        <f>IF($B13="","",IF($BZ13&lt;&gt;"",$BZ13,IF($CA13&lt;&gt;"",$CA13,IF($CB13&lt;&gt;"",$CB13,IF($CC13&lt;&gt;"",$CC13,0)))))</f>
      </c>
      <c r="BW13" s="7">
        <f>IF($B13="","",IF($AN13="MD",IF(OR($AU13="Married",$AU13="Head of household"),SUMPRODUCT(($AZ13&gt;INDEX('Methodology &amp; Sources'!$B$114:$J$120,0,1))*($AZ13-INDEX('Methodology &amp; Sources'!$B$114:$J$120,0,1))*INDEX('Methodology &amp; Sources'!$B$114:$J$120,0,1+2)),SUMPRODUCT(($AZ13&gt;INDEX('Methodology &amp; Sources'!$B$103:$J$109,0,7))*($AZ13-INDEX('Methodology &amp; Sources'!$B$103:$J$109,0,7))*INDEX('Methodology &amp; Sources'!$B$103:$J$109,0,7+2))),IF($AN13="MO",SUMPRODUCT(($AZ13&gt;INDEX('Methodology &amp; Sources'!$B$125:$J$132,0,1))*($AZ13-INDEX('Methodology &amp; Sources'!$B$125:$J$132,0,1))*INDEX('Methodology &amp; Sources'!$B$125:$J$132,0,1+2)),IF($AN13="MT",IF($AU13="Head of household",SUMPRODUCT(($AZ13&gt;INDEX('Methodology &amp; Sources'!$B$137:$J$139,0,1))*($AZ13-INDEX('Methodology &amp; Sources'!$B$137:$J$139,0,1))*INDEX('Methodology &amp; Sources'!$B$137:$J$139,0,1+2)),IF($AU13="Married",SUMPRODUCT(($AZ13&gt;INDEX('Methodology &amp; Sources'!$B$125:$J$132,0,7))*($AZ13-INDEX('Methodology &amp; Sources'!$B$125:$J$132,0,7))*INDEX('Methodology &amp; Sources'!$B$125:$J$132,0,7+2)),SUMPRODUCT(($AZ13&gt;INDEX('Methodology &amp; Sources'!$B$125:$J$132,0,4))*($AZ13-INDEX('Methodology &amp; Sources'!$B$125:$J$132,0,4))*INDEX('Methodology &amp; Sources'!$B$125:$J$132,0,4+2)))),IF($AN13="ND",IF($AU13="Head of household",SUMPRODUCT(($AZ13&gt;INDEX('Methodology &amp; Sources'!$B$144:$J$150,0,1))*($AZ13-INDEX('Methodology &amp; Sources'!$B$144:$J$150,0,1))*INDEX('Methodology &amp; Sources'!$B$144:$J$150,0,1+2)),IF($AU13="Married",SUMPRODUCT(($AZ13&gt;INDEX('Methodology &amp; Sources'!$B$137:$J$139,0,7))*($AZ13-INDEX('Methodology &amp; Sources'!$B$137:$J$139,0,7))*INDEX('Methodology &amp; Sources'!$B$137:$J$139,0,7+2)),SUMPRODUCT(($AZ13&gt;INDEX('Methodology &amp; Sources'!$B$137:$J$139,0,4))*($AZ13-INDEX('Methodology &amp; Sources'!$B$137:$J$139,0,4))*INDEX('Methodology &amp; Sources'!$B$137:$J$139,0,4+2)))),IF($AN13="NJ",IF(Inputs!$C$77="B",SUMPRODUCT(($AZ13&gt;INDEX('Methodology &amp; Sources'!$B$155:$J$162,0,4))*($AZ13-INDEX('Methodology &amp; Sources'!$B$155:$J$162,0,4))*INDEX('Methodology &amp; Sources'!$B$155:$J$162,0,4+2)),IF(Inputs!$C$77="C",SUMPRODUCT(($AZ13&gt;INDEX('Methodology &amp; Sources'!$B$155:$J$162,0,7))*($AZ13-INDEX('Methodology &amp; Sources'!$B$155:$J$162,0,7))*INDEX('Methodology &amp; Sources'!$B$155:$J$162,0,7+2)),IF(Inputs!$C$77="D",SUMPRODUCT(($AZ13&gt;INDEX('Methodology &amp; Sources'!$B$167:$J$179,0,1))*($AZ13-INDEX('Methodology &amp; Sources'!$B$167:$J$179,0,1))*INDEX('Methodology &amp; Sources'!$B$167:$J$179,0,1+2)),IF(Inputs!$C$77="E",SUMPRODUCT(($AZ13&gt;INDEX('Methodology &amp; Sources'!$B$167:$J$179,0,4))*($AZ13-INDEX('Methodology &amp; Sources'!$B$167:$J$179,0,4))*INDEX('Methodology &amp; Sources'!$B$167:$J$179,0,4+2)),SUMPRODUCT(($AZ13&gt;INDEX('Methodology &amp; Sources'!$B$155:$J$162,0,1))*($AZ13-INDEX('Methodology &amp; Sources'!$B$155:$J$162,0,1))*INDEX('Methodology &amp; Sources'!$B$155:$J$162,0,1+2)))))),IF($AN13="NY",IF($AU13="Married",IF($AZ13&gt;=2155350,$AZ13*IF($AZ13&gt;25000000,0.117,IF($AZ13&gt;5000000,0.111,0.1045)),SUMPRODUCT(($AZ13&gt;INDEX('Methodology &amp; Sources'!$B$184:$J$198,0,1))*($AZ13-INDEX('Methodology &amp; Sources'!$B$184:$J$198,0,1))*INDEX('Methodology &amp; Sources'!$B$184:$J$198,0,1+2))),IF($AZ13&gt;=1077550,$AZ13*IF($AZ13&gt;25000000,0.117,IF($AZ13&gt;5000000,0.111,0.1045)),SUMPRODUCT(($AZ13&gt;INDEX('Methodology &amp; Sources'!$B$167:$J$179,0,7))*($AZ13-INDEX('Methodology &amp; Sources'!$B$167:$J$179,0,7))*INDEX('Methodology &amp; Sources'!$B$167:$J$179,0,7+2)))),"")))))))</f>
      </c>
      <c r="BX13" s="7">
        <f>IF($B13="","",IF($AN13="AL",IF(OR($AU13="Married",$AU13="Head of household"),SUMPRODUCT(($AZ13&gt;INDEX('Methodology &amp; Sources'!$B$82:$J$86,0,4))*($AZ13-INDEX('Methodology &amp; Sources'!$B$82:$J$86,0,4))*INDEX('Methodology &amp; Sources'!$B$82:$J$86,0,4+2)),SUMPRODUCT(($AZ13&gt;INDEX('Methodology &amp; Sources'!$B$82:$J$86,0,1))*($AZ13-INDEX('Methodology &amp; Sources'!$B$82:$J$86,0,1))*INDEX('Methodology &amp; Sources'!$B$82:$J$86,0,1+2))),IF($AN13="KS",IF($AU13="Married",SUMPRODUCT(($AZ13&gt;INDEX('Methodology &amp; Sources'!$B$103:$J$109,0,4))*($AZ13-INDEX('Methodology &amp; Sources'!$B$103:$J$109,0,4))*INDEX('Methodology &amp; Sources'!$B$103:$J$109,0,4+2)),SUMPRODUCT(($AZ13&gt;INDEX('Methodology &amp; Sources'!$B$103:$J$109,0,1))*($AZ13-INDEX('Methodology &amp; Sources'!$B$103:$J$109,0,1))*INDEX('Methodology &amp; Sources'!$B$103:$J$109,0,1+2))),IF($AN13="MN",IF($AU13="Married",SUMPRODUCT(($AZ13&gt;INDEX('Methodology &amp; Sources'!$B$114:$J$120,0,7))*($AZ13-INDEX('Methodology &amp; Sources'!$B$114:$J$120,0,7))*INDEX('Methodology &amp; Sources'!$B$114:$J$120,0,7+2)),SUMPRODUCT(($AZ13&gt;INDEX('Methodology &amp; Sources'!$B$114:$J$120,0,4))*($AZ13-INDEX('Methodology &amp; Sources'!$B$114:$J$120,0,4))*INDEX('Methodology &amp; Sources'!$B$114:$J$120,0,4+2))),IF($AN13="NE",MAX(IF($AU13="Married",SUMPRODUCT(($AZ13&gt;INDEX('Methodology &amp; Sources'!$B$144:$J$150,0,7))*($AZ13-INDEX('Methodology &amp; Sources'!$B$144:$J$150,0,7))*INDEX('Methodology &amp; Sources'!$B$144:$J$150,0,7+2)),SUMPRODUCT(($AZ13&gt;INDEX('Methodology &amp; Sources'!$B$144:$J$150,0,4))*($AZ13-INDEX('Methodology &amp; Sources'!$B$144:$J$150,0,4))*INDEX('Methodology &amp; Sources'!$B$144:$J$150,0,4+2))),0.015*$AZ13),IF($AN13="OH",IF($B13&gt;=DATE(2027,8,1),SUMPRODUCT(($AZ13&gt;INDEX('Methodology &amp; Sources'!$B$203:$J$206,0,1))*($AZ13-INDEX('Methodology &amp; Sources'!$B$203:$J$206,0,1))*INDEX('Methodology &amp; Sources'!$B$203:$J$206,0,1+2)),SUMPRODUCT(($AZ13&gt;INDEX('Methodology &amp; Sources'!$B$184:$J$198,0,7))*($AZ13-INDEX('Methodology &amp; Sources'!$B$184:$J$198,0,7))*INDEX('Methodology &amp; Sources'!$B$184:$J$198,0,7+2))),IF($AN13="OK",IF($AU13="Married",SUMPRODUCT(($AZ13&gt;INDEX('Methodology &amp; Sources'!$B$203:$J$206,0,7))*($AZ13-INDEX('Methodology &amp; Sources'!$B$203:$J$206,0,7))*INDEX('Methodology &amp; Sources'!$B$203:$J$206,0,7+2)),SUMPRODUCT(($AZ13&gt;INDEX('Methodology &amp; Sources'!$B$203:$J$206,0,4))*($AZ13-INDEX('Methodology &amp; Sources'!$B$203:$J$206,0,4))*INDEX('Methodology &amp; Sources'!$B$203:$J$206,0,4+2))),IF($AN13="RI",SUMPRODUCT(($AZ13&gt;INDEX('Methodology &amp; Sources'!$B$211:$J$214,0,7))*($AZ13-INDEX('Methodology &amp; Sources'!$B$211:$J$214,0,7))*INDEX('Methodology &amp; Sources'!$B$211:$J$214,0,7+2)),IF($AN13="VT",IF($AU13="Married",SUMPRODUCT(($AZ13&gt;INDEX('Methodology &amp; Sources'!$B$228:$J$232,0,1))*($AZ13-INDEX('Methodology &amp; Sources'!$B$228:$J$232,0,1))*INDEX('Methodology &amp; Sources'!$B$228:$J$232,0,1+2)),SUMPRODUCT(($AZ13&gt;INDEX('Methodology &amp; Sources'!$B$219:$J$223,0,7))*($AZ13-INDEX('Methodology &amp; Sources'!$B$219:$J$223,0,7))*INDEX('Methodology &amp; Sources'!$B$219:$J$223,0,7+2))),IF($AN13="WV",IF($AU13="Married",SUMPRODUCT(($AZ13&gt;INDEX('Methodology &amp; Sources'!$B$237:$J$241,0,7))*($AZ13-INDEX('Methodology &amp; Sources'!$B$237:$J$241,0,7))*INDEX('Methodology &amp; Sources'!$B$237:$J$241,0,7+2)),SUMPRODUCT(($AZ13&gt;INDEX('Methodology &amp; Sources'!$B$228:$J$232,0,7))*($AZ13-INDEX('Methodology &amp; Sources'!$B$228:$J$232,0,7))*INDEX('Methodology &amp; Sources'!$B$228:$J$232,0,7+2))),""))))))))))</f>
      </c>
      <c r="BY13" s="7">
        <f>IF($B13="","",IF($AN13="AR",SUMPRODUCT(($AZ13&gt;INDEX('Methodology &amp; Sources'!$B$82:$J$86,0,7))*($AZ13-INDEX('Methodology &amp; Sources'!$B$82:$J$86,0,7))*INDEX('Methodology &amp; Sources'!$B$82:$J$86,0,7+2)),IF($AN13="DE",SUMPRODUCT(($AZ13&gt;INDEX('Methodology &amp; Sources'!$B$91:$J$98,0,1))*($AZ13-INDEX('Methodology &amp; Sources'!$B$91:$J$98,0,1))*INDEX('Methodology &amp; Sources'!$B$91:$J$98,0,1+2)),IF($AN13="HI",IF($AU13="Married",SUMPRODUCT(($AZ13&gt;INDEX('Methodology &amp; Sources'!$B$91:$J$98,0,7))*($AZ13-INDEX('Methodology &amp; Sources'!$B$91:$J$98,0,7))*INDEX('Methodology &amp; Sources'!$B$91:$J$98,0,7+2)),SUMPRODUCT(($AZ13&gt;INDEX('Methodology &amp; Sources'!$B$91:$J$98,0,4))*($AZ13-INDEX('Methodology &amp; Sources'!$B$91:$J$98,0,4))*INDEX('Methodology &amp; Sources'!$B$91:$J$98,0,4+2))),IF($AN13="SC",SUMPRODUCT(($AZ13&gt;INDEX('Methodology &amp; Sources'!$B$219:$J$223,0,1))*($AZ13-INDEX('Methodology &amp; Sources'!$B$219:$J$223,0,1))*INDEX('Methodology &amp; Sources'!$B$219:$J$223,0,1+2)),IF($AN13="VA",SUMPRODUCT(($AZ13&gt;INDEX('Methodology &amp; Sources'!$B$219:$J$223,0,4))*($AZ13-INDEX('Methodology &amp; Sources'!$B$219:$J$223,0,4))*INDEX('Methodology &amp; Sources'!$B$219:$J$223,0,4+2)),IF($AN13="WI",SUMPRODUCT(($AZ13&gt;INDEX('Methodology &amp; Sources'!$B$228:$J$232,0,4))*($AZ13-INDEX('Methodology &amp; Sources'!$B$228:$J$232,0,4))*INDEX('Methodology &amp; Sources'!$B$228:$J$232,0,4+2)),"")))))))</f>
      </c>
      <c r="BZ13" s="24">
        <f>IF($B13="","",IF($AN13="NJ",IF(Inputs!$C$77="B",SUMPRODUCT(($AZ13&gt;=INDEX('Methodology &amp; Sources'!$B$155:$J$162,0,4))*INDEX('Methodology &amp; Sources'!$B$155:$J$162,0,4+2)),IF(Inputs!$C$77="C",SUMPRODUCT(($AZ13&gt;=INDEX('Methodology &amp; Sources'!$B$155:$J$162,0,7))*INDEX('Methodology &amp; Sources'!$B$155:$J$162,0,7+2)),IF(Inputs!$C$77="D",SUMPRODUCT(($AZ13&gt;=INDEX('Methodology &amp; Sources'!$B$167:$J$179,0,1))*INDEX('Methodology &amp; Sources'!$B$167:$J$179,0,1+2)),IF(Inputs!$C$77="E",SUMPRODUCT(($AZ13&gt;=INDEX('Methodology &amp; Sources'!$B$167:$J$179,0,4))*INDEX('Methodology &amp; Sources'!$B$167:$J$179,0,4+2)),SUMPRODUCT(($AZ13&gt;=INDEX('Methodology &amp; Sources'!$B$155:$J$162,0,1))*INDEX('Methodology &amp; Sources'!$B$155:$J$162,0,1+2)))))),IF($AN13="OR",IF(OR($AU13="Married",AND($AU13="Single",$AS13&gt;=3)),SUMPRODUCT((MAX(0,$AY13-MIN(($P13-'Methodology &amp; Sources'!$C$10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Sources'!$B$211:$J$214,0,4))*INDEX('Methodology &amp; Sources'!$B$211:$J$214,0,4+2)),SUMPRODUCT((MAX(0,$AY13-MIN(($P13-'Methodology &amp; Sources'!$C$10*$D13)*Inputs!$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Sources'!$B$211:$J$214,0,1))*INDEX('Methodology &amp; Sources'!$B$211:$J$214,0,1+2)))*IF(($P13-'Methodology &amp; Sources'!$C$10*$D13)*Inputs!$C$8&gt;=IF(OR($AU13="Married",AND($AU13="Single",$AS13&gt;=3)),IF($AY13&lt;250000,8750,IF($AY13&lt;260000,7000,IF($AY13&lt;270000,5250,IF($AY13&lt;280000,3500,IF($AY13&lt;290000,1750,0))))),IF($AY13&lt;125000,8750,IF($AY13&lt;130000,7000,IF($AY13&lt;135000,5250,IF($AY13&lt;140000,3500,IF($AY13&lt;145000,1750,0)))))),1,1-IF(Inputs!$C$13,SUMPRODUCT(($AH13&gt;=INDEX('Methodology &amp; Sources'!$B$29:$J$36,0,IF(Inputs!$C$12="MFJ",1,IF(Inputs!$C$12="HoH",7,4))))*INDEX('Methodology &amp; Sources'!$B$29:$J$36,0,IF(Inputs!$C$12="MFJ",1,IF(Inputs!$C$12="HoH",7,4))+2)),SUMPRODUCT(($AH13&gt;=INDEX('Methodology &amp; Sources'!$B$19:$J$26,0,IF(Inputs!$C$12="MFJ",1,IF(Inputs!$C$12="HoH",7,4))))*INDEX('Methodology &amp; Sources'!$B$19:$J$26,0,IF(Inputs!$C$12="MFJ",1,IF(Inputs!$C$12="HoH",7,4))+2)))),IF($AN13="MI",IF($AY13&gt;5900*$AS13,0.0425,0),""))))</f>
      </c>
      <c r="CA13" s="24">
        <f>IF($B13="","",IF($AN13="AL",IF(OR($AU13="Married",$AU13="Head of household"),SUMPRODUCT(($AZ13&gt;=INDEX('Methodology &amp; Sources'!$B$82:$J$86,0,4))*INDEX('Methodology &amp; Sources'!$B$82:$J$86,0,4+2)),SUMPRODUCT(($AZ13&gt;=INDEX('Methodology &amp; Sources'!$B$82:$J$86,0,1))*INDEX('Methodology &amp; Sources'!$B$82:$J$86,0,1+2)))*(1-IF(Inputs!$C$13,SUMPRODUCT(($AH13&gt;=INDEX('Methodology &amp; Sources'!$B$29:$J$36,0,IF(Inputs!$C$12="MFJ",1,IF(Inputs!$C$12="HoH",7,4))))*INDEX('Methodology &amp; Sources'!$B$29:$J$36,0,IF(Inputs!$C$12="MFJ",1,IF(Inputs!$C$12="HoH",7,4))+2)),SUMPRODUCT(($AH13&gt;=INDEX('Methodology &amp; Sources'!$B$19:$J$26,0,IF(Inputs!$C$12="MFJ",1,IF(Inputs!$C$12="HoH",7,4))))*INDEX('Methodology &amp; Sources'!$B$19:$J$26,0,IF(Inputs!$C$12="MFJ",1,IF(Inputs!$C$12="HoH",7,4))+2)))),IF($AN13="KS",IF($AU13="Married",SUMPRODUCT(($AZ13&gt;=INDEX('Methodology &amp; Sources'!$B$103:$J$109,0,4))*INDEX('Methodology &amp; Sources'!$B$103:$J$109,0,4+2)),SUMPRODUCT(($AZ13&gt;=INDEX('Methodology &amp; Sources'!$B$103:$J$109,0,1))*INDEX('Methodology &amp; Sources'!$B$103:$J$109,0,1+2))),IF($AN13="MD",IF(OR($AU13="Married",$AU13="Head of household"),SUMPRODUCT(($AZ13&gt;=INDEX('Methodology &amp; Sources'!$B$114:$J$120,0,1))*INDEX('Methodology &amp; Sources'!$B$114:$J$120,0,1+2)),SUMPRODUCT(($AZ13&gt;=INDEX('Methodology &amp; Sources'!$B$103:$J$109,0,7))*INDEX('Methodology &amp; Sources'!$B$103:$J$109,0,7+2)))+Inputs!$C$74,IF($AN13="MT",IF($AU13="Head of household",SUMPRODUCT(($AZ13&gt;=INDEX('Methodology &amp; Sources'!$B$137:$J$139,0,1))*INDEX('Methodology &amp; Sources'!$B$137:$J$139,0,1+2)),IF($AU13="Married",SUMPRODUCT(($AZ13&gt;=INDEX('Methodology &amp; Sources'!$B$125:$J$132,0,7))*INDEX('Methodology &amp; Sources'!$B$125:$J$132,0,7+2)),SUMPRODUCT(($AZ13&gt;=INDEX('Methodology &amp; Sources'!$B$125:$J$132,0,4))*INDEX('Methodology &amp; Sources'!$B$125:$J$132,0,4+2)))),IF($AN13="ND",IF($AU13="Head of household",SUMPRODUCT(($AZ13&gt;=INDEX('Methodology &amp; Sources'!$B$144:$J$150,0,1))*INDEX('Methodology &amp; Sources'!$B$144:$J$150,0,1+2)),IF($AU13="Married",SUMPRODUCT(($AZ13&gt;=INDEX('Methodology &amp; Sources'!$B$137:$J$139,0,7))*INDEX('Methodology &amp; Sources'!$B$137:$J$139,0,7+2)),SUMPRODUCT(($AZ13&gt;=INDEX('Methodology &amp; Sources'!$B$137:$J$139,0,4))*INDEX('Methodology &amp; Sources'!$B$137:$J$139,0,4+2)))),IF($AN13="NY",IF($AU13="Married",IF($AZ13&gt;=2155350,IF($AZ13&gt;25000000,0.117,IF($AZ13&gt;5000000,0.111,0.1045)),SUMPRODUCT(($AZ13&gt;=INDEX('Methodology &amp; Sources'!$B$184:$J$198,0,1))*INDEX('Methodology &amp; Sources'!$B$184:$J$198,0,1+2))),IF($AZ13&gt;=1077550,IF($AZ13&gt;25000000,0.117,IF($AZ13&gt;5000000,0.111,0.1045)),SUMPRODUCT(($AZ13&gt;=INDEX('Methodology &amp; Sources'!$B$167:$J$179,0,7))*INDEX('Methodology &amp; Sources'!$B$167:$J$179,0,7+2)))),"")))))))</f>
      </c>
      <c r="CB13" s="24">
        <f>IF($B13="","",IF($AN13="CA",SUMPRODUCT(($AJ13&gt;=INDEX('Methodology &amp; Sources'!$B$39:$J$48,0,IF($AU13="Married",4,IF($AU13="Head of household",7,1))))*INDEX('Methodology &amp; Sources'!$B$39:$J$48,0,IF($AU13="Married",4,IF($AU13="Head of household",7,1))+2)),IF($AN13="HI",IF($AU13="Married",SUMPRODUCT(($AZ13&gt;=INDEX('Methodology &amp; Sources'!$B$91:$J$98,0,7))*INDEX('Methodology &amp; Sources'!$B$91:$J$98,0,7+2)),SUMPRODUCT(($AZ13&gt;=INDEX('Methodology &amp; Sources'!$B$91:$J$98,0,4))*INDEX('Methodology &amp; Sources'!$B$91:$J$98,0,4+2))),IF($AN13="MN",IF($AU13="Married",SUMPRODUCT(($AZ13&gt;=INDEX('Methodology &amp; Sources'!$B$114:$J$120,0,7))*INDEX('Methodology &amp; Sources'!$B$114:$J$120,0,7+2)),SUMPRODUCT(($AZ13&gt;=INDEX('Methodology &amp; Sources'!$B$114:$J$120,0,4))*INDEX('Methodology &amp; Sources'!$B$114:$J$120,0,4+2))),IF($AN13="MO",SUMPRODUCT(($AZ13&gt;=INDEX('Methodology &amp; Sources'!$B$125:$J$132,0,1))*INDEX('Methodology &amp; Sources'!$B$125:$J$132,0,1+2)),IF($AN13="NE",MAX(IF($AU13="Married",SUMPRODUCT(($AZ13&gt;=INDEX('Methodology &amp; Sources'!$B$144:$J$150,0,7))*INDEX('Methodology &amp; Sources'!$B$144:$J$150,0,7+2)),SUMPRODUCT(($AZ13&gt;=INDEX('Methodology &amp; Sources'!$B$144:$J$150,0,4))*INDEX('Methodology &amp; Sources'!$B$144:$J$150,0,4+2))),0.015),IF($AN13="OH",IF($B13&gt;=DATE(2027,8,1),SUMPRODUCT(($AZ13&gt;=INDEX('Methodology &amp; Sources'!$B$203:$J$206,0,1))*INDEX('Methodology &amp; Sources'!$B$203:$J$206,0,1+2)),SUMPRODUCT(($AZ13&gt;=INDEX('Methodology &amp; Sources'!$B$184:$J$198,0,7))*INDEX('Methodology &amp; Sources'!$B$184:$J$198,0,7+2))),IF($AN13="OK",IF($AU13="Married",SUMPRODUCT(($AZ13&gt;=INDEX('Methodology &amp; Sources'!$B$203:$J$206,0,7))*INDEX('Methodology &amp; Sources'!$B$203:$J$206,0,7+2)),SUMPRODUCT(($AZ13&gt;=INDEX('Methodology &amp; Sources'!$B$203:$J$206,0,4))*INDEX('Methodology &amp; Sources'!$B$203:$J$206,0,4+2))),IF($AN13="RI",SUMPRODUCT(($AZ13&gt;=INDEX('Methodology &amp; Sources'!$B$211:$J$214,0,7))*INDEX('Methodology &amp; Sources'!$B$211:$J$214,0,7+2)),IF($AN13="SC",SUMPRODUCT(($AZ13&gt;=INDEX('Methodology &amp; Sources'!$B$219:$J$223,0,1))*INDEX('Methodology &amp; Sources'!$B$219:$J$223,0,1+2)),IF($AN13="VT",IF($AU13="Married",SUMPRODUCT(($AZ13&gt;=INDEX('Methodology &amp; Sources'!$B$228:$J$232,0,1))*INDEX('Methodology &amp; Sources'!$B$228:$J$232,0,1+2)),SUMPRODUCT(($AZ13&gt;=INDEX('Methodology &amp; Sources'!$B$219:$J$223,0,7))*INDEX('Methodology &amp; Sources'!$B$219:$J$223,0,7+2))),IF($AN13="WV",IF($AU13="Married",SUMPRODUCT(($AZ13&gt;=INDEX('Methodology &amp; Sources'!$B$237:$J$241,0,7))*INDEX('Methodology &amp; Sources'!$B$237:$J$241,0,7+2)),SUMPRODUCT(($AZ13&gt;=INDEX('Methodology &amp; Sources'!$B$228:$J$232,0,7))*INDEX('Methodology &amp; Sources'!$B$228:$J$232,0,7+2))),IF($AN13="IN",(0.0295+Inputs!$C$76),"")))))))))))))</f>
      </c>
      <c r="CC13" s="24">
        <f>IF($B13="","",IF($AN13="AR",SUMPRODUCT(($AZ13&gt;=INDEX('Methodology &amp; Sources'!$B$82:$J$86,0,7))*INDEX('Methodology &amp; Sources'!$B$82:$J$86,0,7+2)),IF($AN13="DE",SUMPRODUCT(($AZ13&gt;=INDEX('Methodology &amp; Sources'!$B$91:$J$98,0,1))*INDEX('Methodology &amp; Sources'!$B$91:$J$98,0,1+2)),IF($AN13="VA",SUMPRODUCT(($AZ13&gt;=INDEX('Methodology &amp; Sources'!$B$219:$J$223,0,4))*INDEX('Methodology &amp; Sources'!$B$219:$J$223,0,4+2)),IF($AN13="WI",SUMPRODUCT(($AZ13&gt;=INDEX('Methodology &amp; Sources'!$B$228:$J$232,0,4))*INDEX('Methodology &amp; Sources'!$B$228:$J$232,0,4+2)),IF($AN13="AZ",Inputs!$C$82,IF($AN13="CO",IF($AY13&gt;IF($AU13="Married",10000,5000),0.044,0),IF($AN13="IA",IF($AY13&gt;IF($AU13="Head of household",19500,IF($AU13="Married",26000,13000)),0.038,0),IF($AN13="ID",IF($AY13&gt;IF($AU13="Married",32000,16094),0.053,0),IF($AN13="IL",IF($AY13&gt;(2925*$AS13+1000*$AT13),0.0495,0),IF($AN13="KY",IF($AI13&gt;3360,0.035,0),IF($AN13="LA",0.0309,IF($AN13="MA",IF(MAX(0,$AY13-MIN(($BD12+$Q13+$R13+$S13),2000)-IF($AS13=0,0,IF($AS13=1,4400,1000*$AS13+3400)))&gt;=1107750,0.09,0.05),IF($AN13="MS",IF($AI13-IF($AU13="Head of household",3400,IF($AU13="Married",4600,2300))-Inputs!$C$85&gt;10000,0.04,0),IF($AN13="PA",0.0307,"")))))))))))))))</f>
      </c>
      <c r="CD13" s="21">
        <f>IF(YEAR(IF(Inputs!$C$7="Weekly",Inputs!$C$90+7*(($BE12+1)-1),IF(Inputs!$C$7="Biweekly",Inputs!$C$90+14*(($BE12+1)-1),IF(Inputs!$C$7="Semimonthly",DATE(YEAR(Inputs!$C$9),MONTH(Inputs!$C$9)+INT((($BE12+1)-1+'Rest of 2026'!$C$2)/2),MIN(DAY(Inputs!$C$9),DAY(EOMONTH(DATE(YEAR(Inputs!$C$9),MONTH(Inputs!$C$9)+INT((($BE12+1)-1+'Rest of 2026'!$C$2)/2),1),0))))+IF(MOD(($BE12+1)-1+'Rest of 2026'!$C$2,2)=1,15,0),EDATE(Inputs!$C$90,($BE12+1)-1)))))&lt;&gt;Inputs!$C$10,"",IF(Inputs!$C$7="Weekly",Inputs!$C$90+7*(($BE12+1)-1),IF(Inputs!$C$7="Biweekly",Inputs!$C$90+14*(($BE12+1)-1),IF(Inputs!$C$7="Semimonthly",DATE(YEAR(Inputs!$C$9),MONTH(Inputs!$C$9)+INT((($BE12+1)-1+'Rest of 2026'!$C$2)/2),MIN(DAY(Inputs!$C$9),DAY(EOMONTH(DATE(YEAR(Inputs!$C$9),MONTH(Inputs!$C$9)+INT((($BE12+1)-1+'Rest of 2026'!$C$2)/2),1),0))))+IF(MOD(($BE12+1)-1+'Rest of 2026'!$C$2,2)=1,15,0),EDATE(Inputs!$C$90,($BE12+1)-1)))))</f>
      </c>
      <c r="CE13" s="21">
        <f>IF(SUMPRODUCT(MIN(IF((Inputs!$C$58:$C$67&gt;MAX($B$6:$B12))*(Inputs!$C$58:$C$67&gt;=DATE(Inputs!$C$10,1,1))*(Inputs!$C$58:$C$67&lt;=DATE(Inputs!$C$10,12,31)),Inputs!$C$58:$C$67,999999)))=999999,"",SUMPRODUCT(MIN(IF((Inputs!$C$58:$C$67&gt;MAX($B$6:$B12))*(Inputs!$C$58:$C$67&gt;=DATE(Inputs!$C$10,1,1))*(Inputs!$C$58:$C$67&lt;=DATE(Inputs!$C$10,12,31)),Inputs!$C$58:$C$67,999999))))</f>
      </c>
    </row>
    <row r="14">
      <c r="A14" t="n">
        <v>9</v>
      </c>
      <c r="B14" s="21">
        <f>IF(AND($CD14="",$CE14=""),"",IF($CE14="",$CD14,IF($CD14="",$CE14,MIN($CD14,$CE14))))</f>
      </c>
      <c r="C14" s="7">
        <f>IF($B14="","",IF($BF14=0,0,IF(Inputs!$C$4="Annual salary",ROUND($AK14/IF(AND(Inputs!$C$88="Actual paydays",MONTH(Inputs!$C$90)=1),MAX(1,MAX($BE$6:$BE$68)),Inputs!$C$8),2),$AK14)))</f>
      </c>
      <c r="D14" s="7">
        <f>IF($B14="","",SUMIF(Inputs!$C$58:$C$67,$B14,Inputs!$D$58:$D$67))</f>
      </c>
      <c r="E14" s="7">
        <f>IF($B14="","",ROUND(MAX(0,MIN(IF($AL14="Percent",$AM14*($C14+$D14),$AM14),MAX(0,Inputs!$C$34-$AC13))),2))</f>
      </c>
      <c r="F14" s="7">
        <f>IF($B14="","",ROUND(MAX(0,MIN(IF(Inputs!$C$32="Percent",Inputs!$D$32*($C14+$D14),Inputs!$D$32),MAX(0,Inputs!$C$34-$AC13-$E14))),2))</f>
      </c>
      <c r="G14" s="7">
        <f>IF($B14="","",IF($BF14=0,0,ROUND(MAX(0,MIN($BL14,Inputs!$C$37-Inputs!$C$99-$BI13)),2)))</f>
      </c>
      <c r="H14" s="7">
        <f>IF($B14="","",IF(OR($BF14=0,$BQ14=1),0,ROUND(MAX(0,MIN(IF($BS14=1,ROUND(MAX(0,MIN($BJ14,'Methodology &amp; Sources'!$C$13)-$BG13)/MAX(1,MAX($BE$6:$BE$68)-($BE13)),2),ROUND(MIN($BJ14,'Methodology &amp; Sources'!$C$13)/Inputs!$C$8,2)),MIN($BJ14,'Methodology &amp; Sources'!$C$13)-$BG13)),2)))</f>
      </c>
      <c r="I14" s="7">
        <f>IF($B14="","",IF(OR($BF14=0,$BR14=1),0,ROUND(MAX(0,MIN(IF($BT14=1,ROUND(MAX(0,MIN($BK14,IF(Inputs!$C$12="MFJ",'Methodology &amp; Sources'!$C$14,'Methodology &amp; Sources'!$C$15))-$BH13)/MAX(1,MAX($BE$6:$BE$68)-($BE13)),2),ROUND(MIN($BK14,IF(Inputs!$C$12="MFJ",'Methodology &amp; Sources'!$C$14,'Methodology &amp; Sources'!$C$15))/Inputs!$C$8,2)),MIN($BK14,IF(Inputs!$C$12="MFJ",'Methodology &amp; Sources'!$C$14,'Methodology &amp; Sources'!$C$15))-$BH13)),2)))</f>
      </c>
      <c r="J14" s="7">
        <f>IF($B14="","",IF($BF14=0,0,$BM14))</f>
      </c>
      <c r="K14" s="7">
        <f>IF($B14="","",IF($BF14=0,0,$BN14+$BO14))</f>
      </c>
      <c r="L14" s="7">
        <f>IF($B14="","",IF($BF14=0,0,Inputs!$D$46))</f>
      </c>
      <c r="M14" s="7">
        <f>IF($B14="","",$C14+$D14+$L14-$E14-$G14-$H14-$I14-$J14-$K14)</f>
      </c>
      <c r="N14" s="7">
        <f>IF($B14="","",$C14+$D14+$L14-$G14-$H14-$I14-$J14-$K14)</f>
      </c>
      <c r="O14" s="7">
        <f>IF($B14="","",$C14+$D14+$L14-$E14-$H14-$I14-$J14-$K14-IF(OR($AN14="CA",$AN14="NJ"),0,$G14))</f>
      </c>
      <c r="P14" s="7">
        <f>IF($B14="","",IF(Inputs!$C$18,0,ROUND(MAX(0,IF(Inputs!$C$13,SUMPRODUCT(($AH14&gt;INDEX('Methodology &amp; Sources'!$B$29:$J$36,0,IF(Inputs!$C$12="MFJ",1,IF(Inputs!$C$12="HoH",7,4))))*($AH14-INDEX('Methodology &amp; Sources'!$B$29:$J$36,0,IF(Inputs!$C$12="MFJ",1,IF(Inputs!$C$12="HoH",7,4))))*INDEX('Methodology &amp; Sources'!$B$29:$J$36,0,IF(Inputs!$C$12="MFJ",1,IF(Inputs!$C$12="HoH",7,4))+2)),SUMPRODUCT(($AH14&gt;INDEX('Methodology &amp; Sources'!$B$19:$J$26,0,IF(Inputs!$C$12="MFJ",1,IF(Inputs!$C$12="HoH",7,4))))*($AH14-INDEX('Methodology &amp; Sources'!$B$19:$J$26,0,IF(Inputs!$C$12="MFJ",1,IF(Inputs!$C$12="HoH",7,4))))*INDEX('Methodology &amp; Sources'!$B$19:$J$26,0,IF(Inputs!$C$12="MFJ",1,IF(Inputs!$C$12="HoH",7,4))+2)))/Inputs!$C$8-$AO14/Inputs!$C$8)+$AR14+IF(Inputs!$C$89="Aggregate",MAX(0,IF(Inputs!$C$13,SUMPRODUCT((($AH14+$D14)&gt;INDEX('Methodology &amp; Sources'!$B$29:$J$36,0,IF(Inputs!$C$12="MFJ",1,IF(Inputs!$C$12="HoH",7,4))))*(($AH14+$D14)-INDEX('Methodology &amp; Sources'!$B$29:$J$36,0,IF(Inputs!$C$12="MFJ",1,IF(Inputs!$C$12="HoH",7,4))))*INDEX('Methodology &amp; Sources'!$B$29:$J$36,0,IF(Inputs!$C$12="MFJ",1,IF(Inputs!$C$12="HoH",7,4))+2)),SUMPRODUCT((($AH14+$D14)&gt;INDEX('Methodology &amp; Sources'!$B$19:$J$26,0,IF(Inputs!$C$12="MFJ",1,IF(Inputs!$C$12="HoH",7,4))))*(($AH14+$D14)-INDEX('Methodology &amp; Sources'!$B$19:$J$26,0,IF(Inputs!$C$12="MFJ",1,IF(Inputs!$C$12="HoH",7,4))))*INDEX('Methodology &amp; Sources'!$B$19:$J$26,0,IF(Inputs!$C$12="MFJ",1,IF(Inputs!$C$12="HoH",7,4))+2)))-IF(Inputs!$C$13,SUMPRODUCT(($AH14&gt;INDEX('Methodology &amp; Sources'!$B$29:$J$36,0,IF(Inputs!$C$12="MFJ",1,IF(Inputs!$C$12="HoH",7,4))))*($AH14-INDEX('Methodology &amp; Sources'!$B$29:$J$36,0,IF(Inputs!$C$12="MFJ",1,IF(Inputs!$C$12="HoH",7,4))))*INDEX('Methodology &amp; Sources'!$B$29:$J$36,0,IF(Inputs!$C$12="MFJ",1,IF(Inputs!$C$12="HoH",7,4))+2)),SUMPRODUCT(($AH14&gt;INDEX('Methodology &amp; Sources'!$B$19:$J$26,0,IF(Inputs!$C$12="MFJ",1,IF(Inputs!$C$12="HoH",7,4))))*($AH14-INDEX('Methodology &amp; Sources'!$B$19:$J$26,0,IF(Inputs!$C$12="MFJ",1,IF(Inputs!$C$12="HoH",7,4))))*INDEX('Methodology &amp; Sources'!$B$19:$J$26,0,IF(Inputs!$C$12="MFJ",1,IF(Inputs!$C$12="HoH",7,4))+2)))),'Methodology &amp; Sources'!$C$10*$D14),2)))</f>
      </c>
      <c r="Q14" s="7">
        <f>IF($B14="","",ROUND('Methodology &amp; Sources'!$C$4*MIN($N14,MAX(0,'Methodology &amp; Sources'!$C$3-($AX14+$AB13-$AW14))),2))</f>
      </c>
      <c r="R14" s="7">
        <f>IF($B14="","",ROUND('Methodology &amp; Sources'!$C$5*$N14,2))</f>
      </c>
      <c r="S14" s="7">
        <f>IF($B14="","",ROUND('Methodology &amp; Sources'!$C$6*MAX(0,MIN($N14,$AG13+$N14-'Methodology &amp; Sources'!$C$7)),2))</f>
      </c>
      <c r="T14" s="7">
        <f>IF($B14="","",IF(Inputs!$C$26,0,IF($AN14="CA",ROUND(IF($AI14&lt;=IF(($AS14+$AT14)&gt;=2,VLOOKUP($AN14,StateTables!$A$6:$AB$56,10,FALSE),VLOOKUP($AN14,StateTables!$A$6:$AB$56,9,FALSE)),0,MAX(0,SUMPRODUCT(($AJ14&gt;INDEX('Methodology &amp; Sources'!$B$39:$J$48,0,IF($AU14="Married",4,IF($AU14="Head of household",7,1))))*($AJ14-INDEX('Methodology &amp; Sources'!$B$39:$J$48,0,IF($AU14="Married",4,IF($AU14="Head of household",7,1))))*INDEX('Methodology &amp; Sources'!$B$39:$J$48,0,IF($AU14="Married",4,IF($AU14="Head of household",7,1))+2))-VLOOKUP($AN14,StateTables!$A$6:$AB$56,11,FALSE)*$AS14)/Inputs!$C$8)+Inputs!$C$25+VLOOKUP($AN14,StateTables!$A$6:$AB$56,13,FALSE)*$D14,2),IF(VLOOKUP($AN14,StateTables!$A$6:$AB$56,4,FALSE)="None",0,IF(ISNUMBER(SEARCH("MANUAL",VLOOKUP($AN14,StateTables!$A$6:$AB$56,5,FALSE))),Inputs!$C$28,ROUND(MAX(0,$BA14+$BB14)/Inputs!$C$8+Inputs!$C$25+$BC14,2))))))</f>
      </c>
      <c r="U14" s="7">
        <f>IF($B14="","",IF(VLOOKUP($AN14,StateTables!$A$6:$AB$56,24,FALSE)="flatq",IF(OR(MONTH($B14)=1,MONTH($B14)=4,MONTH($B14)=7,MONTH($B14)=10),VLOOKUP($AN14,StateTables!$A$6:$AB$56,25,FALSE),0),IF(VLOOKUP($AN14,StateTables!$A$6:$AB$56,24,FALSE)="dbl",MIN(ROUND(0.005*$N14,2),ROUND(0.6*52/Inputs!$C$8,2)),IF(OR(VLOOKUP($AN14,StateTables!$A$6:$AB$56,15,FALSE)="",VLOOKUP($AN14,StateTables!$A$6:$AB$56,15,FALSE)=0),0,ROUND(VLOOKUP($AN14,StateTables!$A$6:$AB$56,15,FALSE)*IF(OR(VLOOKUP($AN14,StateTables!$A$6:$AB$56,16,FALSE)="",VLOOKUP($AN14,StateTables!$A$6:$AB$56,16,FALSE)=0),$N14,MIN($N14,MAX(0,VLOOKUP($AN14,StateTables!$A$6:$AB$56,16,FALSE)-($AX14+$AB13-$AW14)))),2))))+IF(VLOOKUP($AN14,StateTables!$A$6:$AB$56,27,FALSE)="flatq",IF(OR(MONTH($B14)=1,MONTH($B14)=4,MONTH($B14)=7,MONTH($B14)=10),VLOOKUP($AN14,StateTables!$A$6:$AB$56,28,FALSE),0),IF(VLOOKUP($AN14,StateTables!$A$6:$AB$56,27,FALSE)="dbl",MIN(ROUND(0.005*$N14,2),ROUND(0.6*52/Inputs!$C$8,2)),IF(OR(VLOOKUP($AN14,StateTables!$A$6:$AB$56,18,FALSE)="",VLOOKUP($AN14,StateTables!$A$6:$AB$56,18,FALSE)=0),0,ROUND(VLOOKUP($AN14,StateTables!$A$6:$AB$56,18,FALSE)*IF(OR(VLOOKUP($AN14,StateTables!$A$6:$AB$56,19,FALSE)="",VLOOKUP($AN14,StateTables!$A$6:$AB$56,19,FALSE)=0),$N14,MIN($N14,MAX(0,VLOOKUP($AN14,StateTables!$A$6:$AB$56,19,FALSE)-($AX14+$AB13-$AW14)))),2)))))</f>
      </c>
      <c r="V14" s="7">
        <f>IF($B14="","",IF($AN14="NY",IF(Inputs!$C$78,ROUND(SUMPRODUCT((MAX(0,($O14-$D14)*Inputs!$C$8-(IF($AU14="Married",5500,5000)+1000*$AS14))&gt;INDEX('Methodology &amp; Sources'!$B$184:$J$198,0,4))*(MAX(0,($O14-$D14)*Inputs!$C$8-(IF($AU14="Married",5500,5000)+1000*$AS14))-INDEX('Methodology &amp; Sources'!$B$184:$J$198,0,4))*INDEX('Methodology &amp; Sources'!$B$184:$J$198,0,4+2))/Inputs!$C$8+0.0425*$D14,2),0)+IF(Inputs!$C$79="Resident",ROUND(0.1675*$T14,2),IF(Inputs!$C$79="Nonresident",ROUND(0.005*MAX(0,($O14-$D14)-(IF($AU14="Married",7950,7400)+1000*$AS14)/Inputs!$C$8),2),0)),IF($AN14="PA",IF(Inputs!$C$80="None",Inputs!$C$27+ROUND(Inputs!$C$81*($C14+$D14),2),ROUND(IF(Inputs!$C$80="Resident",IF($B14&lt;DATE(2027,7,1),0.03735,0.03735),IF($B14&lt;DATE(2027,7,1),0.03425,0.03425))*($C14+$D14),2)),IF($BF14=0,ROUND(Inputs!$C$81*($C14+$D14),2),Inputs!$C$27+ROUND(Inputs!$C$81*($C14+$D14),2)))))</f>
      </c>
      <c r="W14" s="7">
        <f>IF($B14="","",IF($BF14=0,0,$BP14))</f>
      </c>
      <c r="X14" s="7">
        <f>IF($B14="","",SUM($E14:$K14)+$P14+$Q14+$R14+$S14+$T14+$U14+$V14+$W14)</f>
      </c>
      <c r="Y14" s="22">
        <f>IF($B14="","",$C14+$D14-$X14)</f>
      </c>
      <c r="Z14" s="7">
        <f>IF($B14="","",$Z13+$C14+$D14)</f>
      </c>
      <c r="AA14" s="7">
        <f>IF($B14="","",$AA13+$Y14)</f>
      </c>
      <c r="AB14" s="7">
        <f>IF($B14="","",$AB13+MIN($N14,MAX(0,'Methodology &amp; Sources'!$C$3-($AX14+$AB13-$AW14))))</f>
      </c>
      <c r="AC14" s="7">
        <f>IF($B14="","",$AC13+$E14+$F14)</f>
      </c>
      <c r="AD14" s="3">
        <f>IF($B14="","",IF(AND($AB13&lt;'Methodology &amp; Sources'!$C$3,$AB14&gt;='Methodology &amp; Sources'!$C$3),"★ Social Security maxed on this check — from the next check your net rises by about $"&amp;TEXT(ROUND('Methodology &amp; Sources'!$C$4*$N14,2),"#,##0.00")&amp;". ","")&amp;IF(AND($AC13&lt;Inputs!$C$34,$AC14&gt;=Inputs!$C$34),"★ 401(k) reaches the $"&amp;TEXT(Inputs!$C$34,"#,##0")&amp;" cap on this check — deferrals stop and net pay rises. ","")&amp;IF(AND($AG13&lt;'Methodology &amp; Sources'!$C$7,$AG14&gt;='Methodology &amp; Sources'!$C$7),"★ Wages pass $200,000 — the 0.9% Additional Medicare Tax starts here. ","")&amp;IF(AND($BJ14&gt;0,$H14&gt;0,$BG13&lt;MIN($BJ14,'Methodology &amp; Sources'!$C$13),$BG13+$H14&gt;=MIN($BJ14,'Methodology &amp; Sources'!$C$13)),"★ Health FSA election is now fully deferred for the year. ",""))</f>
      </c>
      <c r="AE14" s="41" t="n"/>
      <c r="AF14" s="7">
        <f>IF(OR($B14="",$AE14=""),"",$AE14-$Y14)</f>
      </c>
      <c r="AG14" s="7">
        <f>IF($B14="","",$AG13+$N14)</f>
      </c>
      <c r="AH14" s="7">
        <f>IF($B14="","",MAX(0,($M14-$D14)*Inputs!$C$8+$AP14-$AQ14-IF(Inputs!$C$13,0,IF(Inputs!$C$12="MFJ",'Methodology &amp; Sources'!$C$8,'Methodology &amp; Sources'!$C$9))))</f>
      </c>
      <c r="AI14" s="7">
        <f>IF($B14="","",$O14*Inputs!$C$8)</f>
      </c>
      <c r="AJ14" s="7">
        <f>IF($B14="","",MAX(0,$AI14-VLOOKUP($AN14,StateTables!$A$6:$AB$56,12,FALSE)*$AT14-IF(($AS14+$AT14)&gt;=2,VLOOKUP($AN14,StateTables!$A$6:$AB$56,8,FALSE),VLOOKUP($AN14,StateTables!$A$6:$AB$56,7,FALSE))))</f>
      </c>
      <c r="AK14" s="7">
        <f>IF($B14="","",IFERROR(LOOKUP(2,1/((Events!$C$6:$C$17="Salary change")*(Events!$B$6:$B$17&lt;=$B14)*(Events!$B$6:$B$17&lt;&gt;"")),Events!$D$6:$D$17),IF(Inputs!$C$4="Annual salary",Inputs!$C$5,Inputs!$C$6)))</f>
      </c>
      <c r="AL14">
        <f>IF($B14="","",IFERROR(LOOKUP(2,1/((Events!$C$6:$C$17="401(k) change")*(Events!$B$6:$B$17&lt;=$B14)*(Events!$B$6:$B$17&lt;&gt;"")),Events!$D$6:$D$17),Inputs!$C$30))</f>
      </c>
      <c r="AM14" s="7">
        <f>IF($B14="","",IFERROR(LOOKUP(2,1/((Events!$C$6:$C$17="401(k) change")*(Events!$B$6:$B$17&lt;=$B14)*(Events!$B$6:$B$17&lt;&gt;"")),Events!$E$6:$E$17),Inputs!$D$30))</f>
      </c>
      <c r="AN14">
        <f>IF($B14="","",IFERROR(LOOKUP(2,1/((Events!$C$6:$C$17="State move")*(Events!$B$6:$B$17&lt;=$B14)*(Events!$B$6:$B$17&lt;&gt;"")),Events!$D$6:$D$17),Inputs!$C$21))</f>
      </c>
      <c r="AO14" s="7">
        <f>IF($B14="","",IFERROR(LOOKUP(2,1/((Events!$C$6:$C$17="W-4 change")*(Events!$B$6:$B$17&lt;=$B14)*(Events!$B$6:$B$17&lt;&gt;"")),Events!$D$6:$D$17),Inputs!$C$14))</f>
      </c>
      <c r="AP14" s="7">
        <f>IF($B14="","",IFERROR(LOOKUP(2,1/((Events!$C$6:$C$17="W-4 change")*(Events!$B$6:$B$17&lt;=$B14)*(Events!$B$6:$B$17&lt;&gt;"")),Events!$E$6:$E$17),Inputs!$C$15))</f>
      </c>
      <c r="AQ14" s="7">
        <f>IF($B14="","",IFERROR(LOOKUP(2,1/((Events!$C$6:$C$17="W-4 change")*(Events!$B$6:$B$17&lt;=$B14)*(Events!$B$6:$B$17&lt;&gt;"")),Events!$F$6:$F$17),Inputs!$C$16))</f>
      </c>
      <c r="AR14" s="7">
        <f>IF($B14="","",IFERROR(LOOKUP(2,1/((Events!$C$6:$C$17="W-4 change")*(Events!$B$6:$B$17&lt;=$B14)*(Events!$B$6:$B$17&lt;&gt;"")),Events!$G$6:$G$17),Inputs!$C$17))</f>
      </c>
      <c r="AS14" s="6">
        <f>IF($B14="","",IFERROR(LOOKUP(2,1/(((Events!$C$6:$C$17="State move")+(Events!$C$6:$C$17="State cert change"))*(Events!$B$6:$B$17&lt;=$B14)*(Events!$B$6:$B$17&lt;&gt;"")),Events!$F$6:$F$17),Inputs!$C$23))</f>
      </c>
      <c r="AT14" s="6">
        <f>IF($B14="","",IFERROR(LOOKUP(2,1/(((Events!$C$6:$C$17="State move")+(Events!$C$6:$C$17="State cert change"))*(Events!$B$6:$B$17&lt;=$B14)*(Events!$B$6:$B$17&lt;&gt;"")),Events!$G$6:$G$17),Inputs!$C$24))</f>
      </c>
      <c r="AU14">
        <f>IF($B14="","",IFERROR(LOOKUP(2,1/((Events!$C$6:$C$17="State move")*(Events!$B$6:$B$17&lt;=$B14)*(Events!$B$6:$B$17&lt;&gt;"")),Events!$E$6:$E$17),Inputs!$C$22))</f>
      </c>
      <c r="AV14" s="6">
        <f>IF($B14="","",1+COUNTIFS(Events!$C$6:$C$17,"Employer change",Events!$B$6:$B$17,"&lt;="&amp;$B14,Events!$B$6:$B$17,"&lt;&gt;"))</f>
      </c>
      <c r="AW14" s="7">
        <f>IF($B14="","",IF($AV14=1,Inputs!$C$94,IF(IFERROR(MATCH(IFERROR(LOOKUP(2,1/((Events!$C$6:$C$17="Employer change")*(Events!$B$6:$B$17&lt;=$B14)*(Events!$B$6:$B$17&lt;&gt;"")),Events!$B$6:$B$17),""),$B$6:$B$68,1),1)&lt;=1,Inputs!$C$94,INDEX($AB$6:$AB$68,MATCH(IFERROR(LOOKUP(2,1/((Events!$C$6:$C$17="Employer change")*(Events!$B$6:$B$17&lt;=$B14)*(Events!$B$6:$B$17&lt;&gt;"")),Events!$B$6:$B$17),""),$B$6:$B$68,1)-1))))</f>
      </c>
      <c r="AX14" s="7">
        <f>IF($B14="","",IF($AV14=1,Inputs!$C$94,IFERROR(LOOKUP(2,1/((Events!$C$6:$C$17="Employer change")*(Events!$B$6:$B$17&lt;=$B14)*(Events!$B$6:$B$17&lt;&gt;"")),Events!$D$6:$D$17),0)))</f>
      </c>
      <c r="AY14" s="7">
        <f>IF($B14="","",($O14-$D14)*Inputs!$C$8)</f>
      </c>
      <c r="AZ14" s="7">
        <f>IF($B14="","",IF($AN14="AL",MAX(0,$AY14-IF($AU14="Married",IF($AY14&lt;=25999,8500,MAX(5000,8500-175*CEILING(($AY14-25999)/500,1))),IF($AU14="Head of household",IF($AY14&lt;=25999,5200,MAX(2500,5200-135*CEILING(($AY14-25999)/500,1))),IF($AY14&lt;=25999,3000,MAX(2500,3000-25*CEILING(($AY14-25999)/500,1)))))-($P14-'Methodology &amp; Sources'!$C$10*$D14)*Inputs!$C$8-IF(OR($AU14="Married",$AU14="Head of household"),3000,1500)-$AT14*IF($AY14&lt;=50000,1000,IF($AY14&lt;=100000,500,300))),IF($AN14="AR",IF(MAX(0,$AY14-2470)&lt;97701,INT(MAX(0,$AY14-2470)/100)*100+50,MAX(0,$AY14-2470)),IF($AN14="DE",MAX(0,$AI14-3250),IF($AN14="HI",MAX(0,$AI14-1144*$AS14-4350),IF($AN14="KS",MAX(0,$AI14-(9160*IF($AU14="Married",2,1)+2320*$AT14+IF($AU14="Head of household",2320,0))),IF($AN14="MD",MAX(0,$AI14-3400-3200*$AS14),IF($AN14="MN",MAX(0,$AY14-5300*$AS14),IF($AN14="MO",MAX(0,$AI14-IF($AU14="Head of household",24150,IF($AU14="Married",IF(Inputs!$C$83,16100,32200),16100))),IF($AN14="MT",$AY14,IF($AN14="ND",($C14+$L14)*Inputs!$C$8,IF($AN14="NE",MAX(0,$AY14-2440*$AS14),IF($AN14="NJ",MAX(0,$AY14-1000*$AS14),IF($AN14="NY",MAX(0,$AY14-(IF($AU14="Married",7950,7400)+1000*$AS14)),IF($AN14="OH",MAX(0,$AY14-650*$AS14),IF($AN14="OK",MAX(0,$AY14-1000*$AS14),IF($AN14="RI",MAX(0,$AI14-1000*$AS14),IF($AN14="SC",MAX(0,$AI14-5000*$AS14-IF($AS14=0,0,MIN(0.1*$AI14,7500))),IF($AN14="VA",MAX(0,$AI14-IF($AU14="Married",17500,8750)-930*$AS14-800*$AT14),IF($AN14="VT",MAX(0,$AI14-5400*$AS14),IF($AN14="WI",MAX(0,$AI14-MAX(0,IF($AU14="Married",9461-0.2*MAX(0,$AI14-25727),6702-0.12*MAX(0,$AI14-17780)))-400*$AS14),IF($AN14="WV",MAX(0,$AI14-2000*$AS14),$AI14))))))))))))))))))))))</f>
      </c>
      <c r="BA14" s="7">
        <f>IF($B14="","",IF($BW14&lt;&gt;"",$BW14,IF($BX14&lt;&gt;"",$BX14,IF($BY14&lt;&gt;"",$BY14,0))))</f>
      </c>
      <c r="BB14" s="7">
        <f>IF($B14="","",IF($AN14="AR",-29*$AS14,IF($AN14="DE",-110*$AS14,IF($AN14="MD",$AZ14*Inputs!$C$74,IF($AN14="AZ",Inputs!$C$82*($M14-$D14)*Inputs!$C$8,IF($AN14="CO",0.044*MAX(0,$AY14-IF($AU14="Married",10000,5000)),IF($AN14="IA",MAX(0,0.038*MAX(0,$AY14-IF($AU14="Head of household",19500,IF($AU14="Married",26000,13000)))-40*$AS14),IF($AN14="ID",0.053*MAX(0,$AY14-IF($AU14="Married",32000,16094)),IF($AN14="IL",0.0495*MAX(0,$AY14-(2925*$AS14+1000*$AT14)),IF($AN14="IN",(0.0295+Inputs!$C$76)*MAX(0,$AY14-(1000*$AS14+1500*$AT14+3000*Inputs!$C$86)),IF($AN14="KY",0.035*MAX(0,$AI14-3360),IF($AN14="LA",IF(Inputs!$C$84="0",0.0309*$AI14,0.0309*MAX(0,$AI14-IF(Inputs!$C$84="2",25750,12875))),IF($AN14="MA",0.05*MIN(MAX(0,$AY14-MIN(($BD13+$Q14+$R14+$S14),2000)-IF($AS14=0,0,IF($AS14=1,4400,1000*$AS14+3400))),1107750)+0.09*MAX(0,MAX(0,$AY14-MIN(($BD13+$Q14+$R14+$S14),2000)-IF($AS14=0,0,IF($AS14=1,4400,1000*$AS14+3400)))-1107750)-IF($AU14="Head of household",120,0)-110*Inputs!$C$75,IF($AN14="MI",0.0425*MAX(0,$AY14-5900*$AS14),IF($AN14="MS",0.04*MAX(0,$AI14-IF($AU14="Head of household",3400,IF($AU14="Married",4600,2300))-Inputs!$C$85-10000),IF($AN14="OR",IF(OR($AU14="Married",AND($AU14="Single",$AS14&gt;=3)),SUMPRODUCT((MAX(0,$AY14-MIN(($P14-'Methodology &amp; Sources'!$C$10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Sources'!$B$211:$J$214,0,4))*(MAX(0,$AY14-MIN(($P14-'Methodology &amp; Sources'!$C$10*$D14)*Inputs!$C$8,IF(OR($AU14="Married",AND($AU14="Single",$AS14&gt;=3)),IF($AY14&lt;250000,8750,IF($AY14&lt;260000,7000,IF($AY14&lt;270000,5250,IF($AY14&lt;280000,3500,IF($AY14&lt;290000,1750,0))))),IF($AY14&lt;125000,8750,IF($AY14&lt;130000,7000,IF($AY14&lt;135000,5250,IF($AY14&lt;140000,3500,IF($AY14&lt;145000,1750,0)))))))-IF(OR($AU14="Married",AND($AU14="Single",$AS14&gt;=3)),5820,2910))-INDEX('Methodology &amp; Sources'!$B$211:$J$214,0,4))*INDEX('Methodology &amp; Sources'!$B$211:$J$214,0,4+2)),SUMPRODUCT((MAX(0,$AY14-MIN(($P14-'Methodology &amp; Sources'!$C$10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Sources'!$B$211:$J$214,0,1))*(MAX(0,$AY14-MIN(($P14-'Methodology &amp; Sources'!$C$10*$D14)*Inputs!$C$8,IF(OR($AU14="Married",AND($AU14="Single",$AS14&gt;=3)),IF($AY14&lt;250000,8750,IF($AY14&lt;260000,7000,IF($AY14&lt;270000,5250,IF($AY14&lt;280000,3500,IF($AY14&lt;290000,1750,0))))),IF($AY14&lt;125000,8750,IF($AY14&lt;130000,7000,IF($AY14&lt;135000,5250,IF($AY14&lt;140000,3500,IF($AY14&lt;145000,1750,0)))))))-IF(OR($AU14="Married",AND($AU14="Single",$AS14&gt;=3)),5820,2910))-INDEX('Methodology &amp; Sources'!$B$211:$J$214,0,1))*INDEX('Methodology &amp; Sources'!$B$211:$J$214,0,1+2)))+263-263*IF(IF($AU14="Married",$AY14&gt;200000,$AY14&gt;100000),0,$AS14),IF($AN14="PA",0.0307*(($O14+$E14+$G14)*Inputs!$C$8),IF($AN14="NY",IF($AU14="Married",IF($AZ14&gt;=2155350,0,IF($AZ14&gt;=1077550,0.48,IF($AZ14&gt;=373200,1.21,IF($AZ14&gt;=323200,0.21,IF($AZ14&gt;=211550,-0.19,IF($AZ14&gt;=157650,-2.8,IF($AZ14&gt;=107650,-0.8,IF($AZ14&gt;=96800,0.05,IF($AZ14&gt;=80650,-0.1,IF($AZ14&gt;=13900,0.4,IF($AZ14&gt;=11700,-0.3,IF($AZ14&gt;=8500,0.5,0)))))))))))),IF($AZ14&gt;=1077550,0,IF($AZ14&gt;=265400,4.29,IF($AZ14&gt;=215400,2.29,IF($AZ14&gt;=157650,2.29,IF($AZ14&gt;=107650,0.29,IF($AZ14&gt;=96800,0.05,IF($AZ14&gt;=80650,-0.1,IF($AZ14&gt;=13900,0.4,IF($AZ14&gt;=11700,-0.3,IF($AZ14&gt;=8500,0.5,0))))))))))),0))))))))))))))))))</f>
      </c>
      <c r="BC14" s="7">
        <f>IF($B14="","",IF($AN14="AL",0.05*$D14,IF($AN14="AR",0.039*$D14,IF($AN14="ID",0.053*$D14,IF($AN14="IN",(0.0295+Inputs!$C$76)*$D14,IF($AN14="KS",0.05*$D14,IF($AN14="MA",0.09*MIN($D14,MAX(0,MAX(0,$AY14-MIN(($BD13+$Q14+$R14+$S14),2000)-IF($AS14=0,0,IF($AS14=1,4400,1000*$AS14+3400)))+$D14-1107750))+0.05*($D14-MIN($D14,MAX(0,MAX(0,$AY14-MIN(($BD13+$Q14+$R14+$S14),2000)-IF($AS14=0,0,IF($AS14=1,4400,1000*$AS14+3400)))+$D14-1107750))),IF($AN14="MD",(0.065+Inputs!$C$74)*$D14,IF($AN14="MI",0.0425*$D14,IF($AN14="MN",0.0625*$D14,IF($AN14="MO",0.047*$D14,IF($AN14="MT",0.05*$D14,IF($AN14="ND",0.015*$D14,IF($AN14="NE",0.035*$D14,IF($AN14="NJ",IF(Inputs!$C$77="B",SUMPRODUCT(($D14*Inputs!$C$8&gt;INDEX('Methodology &amp; Sources'!$B$155:$J$162,0,4))*($D14*Inputs!$C$8-INDEX('Methodology &amp; Sources'!$B$155:$J$162,0,4))*INDEX('Methodology &amp; Sources'!$B$155:$J$162,0,4+2)),IF(Inputs!$C$77="C",SUMPRODUCT(($D14*Inputs!$C$8&gt;INDEX('Methodology &amp; Sources'!$B$155:$J$162,0,7))*($D14*Inputs!$C$8-INDEX('Methodology &amp; Sources'!$B$155:$J$162,0,7))*INDEX('Methodology &amp; Sources'!$B$155:$J$162,0,7+2)),IF(Inputs!$C$77="D",SUMPRODUCT(($D14*Inputs!$C$8&gt;INDEX('Methodology &amp; Sources'!$B$167:$J$179,0,1))*($D14*Inputs!$C$8-INDEX('Methodology &amp; Sources'!$B$167:$J$179,0,1))*INDEX('Methodology &amp; Sources'!$B$167:$J$179,0,1+2)),IF(Inputs!$C$77="E",SUMPRODUCT(($D14*Inputs!$C$8&gt;INDEX('Methodology &amp; Sources'!$B$167:$J$179,0,4))*($D14*Inputs!$C$8-INDEX('Methodology &amp; Sources'!$B$167:$J$179,0,4))*INDEX('Methodology &amp; Sources'!$B$167:$J$179,0,4+2)),SUMPRODUCT(($D14*Inputs!$C$8&gt;INDEX('Methodology &amp; Sources'!$B$155:$J$162,0,1))*($D14*Inputs!$C$8-INDEX('Methodology &amp; Sources'!$B$155:$J$162,0,1))*INDEX('Methodology &amp; Sources'!$B$155:$J$162,0,1+2))))))/Inputs!$C$8,IF($AN14="NY",0.117*$D14,IF($AN14="OH",0.0275*$D14,IF($AN14="OK",0.045*$D14,IF($AN14="OR",0.08*$D14,IF($AN14="WI",IF($AY14&lt;12760,0.0354,IF($AY14&lt;25520,0.0465,IF($AY14&lt;280950,0.053,0.0765)))*$D14,0))))))))))))))))))))</f>
      </c>
      <c r="BD14" s="7">
        <f>IF($B14="","",$BD13+$Q14+$R14+$S14)</f>
      </c>
      <c r="BE14" s="6">
        <f>IF($B14="",$BE13,$BE13+$BF14)</f>
      </c>
      <c r="BF14" s="6">
        <f>IF($B14="","",IF(AND(IF(YEAR(IF(Inputs!$C$7="Weekly",Inputs!$C$90+7*(($BE13+1)-1),IF(Inputs!$C$7="Biweekly",Inputs!$C$90+14*(($BE13+1)-1),IF(Inputs!$C$7="Semimonthly",DATE(YEAR(Inputs!$C$9),MONTH(Inputs!$C$9)+INT((($BE13+1)-1+'Rest of 2026'!$C$2)/2),MIN(DAY(Inputs!$C$9),DAY(EOMONTH(DATE(YEAR(Inputs!$C$9),MONTH(Inputs!$C$9)+INT((($BE13+1)-1+'Rest of 2026'!$C$2)/2),1),0))))+IF(MOD(($BE13+1)-1+'Rest of 2026'!$C$2,2)=1,15,0),EDATE(Inputs!$C$90,($BE13+1)-1)))))&lt;&gt;Inputs!$C$10,"",IF(Inputs!$C$7="Weekly",Inputs!$C$90+7*(($BE13+1)-1),IF(Inputs!$C$7="Biweekly",Inputs!$C$90+14*(($BE13+1)-1),IF(Inputs!$C$7="Semimonthly",DATE(YEAR(Inputs!$C$9),MONTH(Inputs!$C$9)+INT((($BE13+1)-1+'Rest of 2026'!$C$2)/2),MIN(DAY(Inputs!$C$9),DAY(EOMONTH(DATE(YEAR(Inputs!$C$9),MONTH(Inputs!$C$9)+INT((($BE13+1)-1+'Rest of 2026'!$C$2)/2),1),0))))+IF(MOD(($BE13+1)-1+'Rest of 2026'!$C$2,2)=1,15,0),EDATE(Inputs!$C$90,($BE13+1)-1)))))&lt;&gt;"",$B14=IF(YEAR(IF(Inputs!$C$7="Weekly",Inputs!$C$90+7*(($BE13+1)-1),IF(Inputs!$C$7="Biweekly",Inputs!$C$90+14*(($BE13+1)-1),IF(Inputs!$C$7="Semimonthly",DATE(YEAR(Inputs!$C$9),MONTH(Inputs!$C$9)+INT((($BE13+1)-1+'Rest of 2026'!$C$2)/2),MIN(DAY(Inputs!$C$9),DAY(EOMONTH(DATE(YEAR(Inputs!$C$9),MONTH(Inputs!$C$9)+INT((($BE13+1)-1+'Rest of 2026'!$C$2)/2),1),0))))+IF(MOD(($BE13+1)-1+'Rest of 2026'!$C$2,2)=1,15,0),EDATE(Inputs!$C$90,($BE13+1)-1)))))&lt;&gt;Inputs!$C$10,"",IF(Inputs!$C$7="Weekly",Inputs!$C$90+7*(($BE13+1)-1),IF(Inputs!$C$7="Biweekly",Inputs!$C$90+14*(($BE13+1)-1),IF(Inputs!$C$7="Semimonthly",DATE(YEAR(Inputs!$C$9),MONTH(Inputs!$C$9)+INT((($BE13+1)-1+'Rest of 2026'!$C$2)/2),MIN(DAY(Inputs!$C$9),DAY(EOMONTH(DATE(YEAR(Inputs!$C$9),MONTH(Inputs!$C$9)+INT((($BE13+1)-1+'Rest of 2026'!$C$2)/2),1),0))))+IF(MOD(($BE13+1)-1+'Rest of 2026'!$C$2,2)=1,15,0),EDATE(Inputs!$C$90,($BE13+1)-1)))))),1,0))</f>
      </c>
      <c r="BG14" s="7">
        <f>IF($B14="","",$BG13+$H14)</f>
      </c>
      <c r="BH14" s="7">
        <f>IF($B14="","",$BH13+$I14)</f>
      </c>
      <c r="BI14" s="7">
        <f>IF($B14="","",$BI13+$G14)</f>
      </c>
      <c r="BJ14" s="7">
        <f>IF($B14="","",IFERROR(LOOKUP(2,1/((((Events!$C$6:$C$17="Deduction start"))*(Events!$D$6:$D$17="Health FSA"))*(Events!$B$6:$B$17&lt;=$B14)*(Events!$B$6:$B$17&lt;&gt;"")),Events!$E$6:$E$17),Inputs!$D$38))</f>
      </c>
      <c r="BK14" s="7">
        <f>IF($B14="","",IFERROR(LOOKUP(2,1/((((Events!$C$6:$C$17="Deduction start"))*(Events!$D$6:$D$17="Dependent-care FSA"))*(Events!$B$6:$B$17&lt;=$B14)*(Events!$B$6:$B$17&lt;&gt;"")),Events!$E$6:$E$17),Inputs!$D$39))</f>
      </c>
      <c r="BL14" s="7">
        <f>IF($B14="","",IFERROR(LOOKUP(2,1/((((Events!$C$6:$C$17="Deduction start")+(Events!$C$6:$C$17="Deduction stop"))*(Events!$D$6:$D$17="HSA"))*(Events!$B$6:$B$17&lt;=$B14)*(Events!$B$6:$B$17&lt;&gt;"")),Events!$I$6:$I$17),Inputs!$D$35))</f>
      </c>
      <c r="BM14" s="7">
        <f>IF($B14="","",IFERROR(LOOKUP(2,1/((((Events!$C$6:$C$17="Deduction start")+(Events!$C$6:$C$17="Deduction stop"))*(Events!$D$6:$D$17="Premiums"))*(Events!$B$6:$B$17&lt;=$B14)*(Events!$B$6:$B$17&lt;&gt;"")),Events!$I$6:$I$17),Inputs!$D$40+Inputs!$D$41+Inputs!$D$42))</f>
      </c>
      <c r="BN14" s="7">
        <f>IF($B14="","",IFERROR(LOOKUP(2,1/((((Events!$C$6:$C$17="Deduction start")+(Events!$C$6:$C$17="Deduction stop"))*(Events!$D$6:$D$17="Commuter"))*(Events!$B$6:$B$17&lt;=$B14)*(Events!$B$6:$B$17&lt;&gt;"")),Events!$I$6:$I$17),Inputs!$D$43))</f>
      </c>
      <c r="BO14" s="7">
        <f>IF($B14="","",IFERROR(LOOKUP(2,1/((((Events!$C$6:$C$17="Deduction start")+(Events!$C$6:$C$17="Deduction stop"))*(Events!$D$6:$D$17="Other pre-tax"))*(Events!$B$6:$B$17&lt;=$B14)*(Events!$B$6:$B$17&lt;&gt;"")),Events!$I$6:$I$17),Inputs!$D$44))</f>
      </c>
      <c r="BP14" s="7">
        <f>IF($B14="","",IFERROR(LOOKUP(2,1/((((Events!$C$6:$C$17="Deduction start")+(Events!$C$6:$C$17="Deduction stop"))*(Events!$D$6:$D$17="Other post-tax"))*(Events!$B$6:$B$17&lt;=$B14)*(Events!$B$6:$B$17&lt;&gt;"")),Events!$I$6:$I$17),Inputs!$D$45))</f>
      </c>
      <c r="BQ14" s="6">
        <f>IF($B14="","",IFERROR(LOOKUP(2,1/((((Events!$C$6:$C$17="Deduction start")+(Events!$C$6:$C$17="Deduction stop"))*(Events!$D$6:$D$17="Health FSA"))*(Events!$B$6:$B$17&lt;=$B14)*(Events!$B$6:$B$17&lt;&gt;"")),Events!$J$6:$J$17),0))</f>
      </c>
      <c r="BR14" s="6">
        <f>IF($B14="","",IFERROR(LOOKUP(2,1/((((Events!$C$6:$C$17="Deduction start")+(Events!$C$6:$C$17="Deduction stop"))*(Events!$D$6:$D$17="Dependent-care FSA"))*(Events!$B$6:$B$17&lt;=$B14)*(Events!$B$6:$B$17&lt;&gt;"")),Events!$J$6:$J$17),0))</f>
      </c>
      <c r="BS14" s="6">
        <f>IF($B14="","",IF(SUMPRODUCT((Events!$C$6:$C$17="Deduction start")*(Events!$B$6:$B$17&lt;=$B14)*(Events!$B$6:$B$17&lt;&gt;"")*(Events!$D$6:$D$17="Health FSA"))&gt;0,1,0))</f>
      </c>
      <c r="BT14" s="6">
        <f>IF($B14="","",IF(SUMPRODUCT((Events!$C$6:$C$17="Deduction start")*(Events!$B$6:$B$17&lt;=$B14)*(Events!$B$6:$B$17&lt;&gt;"")*(Events!$D$6:$D$17="Dependent-care FSA"))&gt;0,1,0))</f>
      </c>
      <c r="BU14" s="24">
        <f>IF($B14="","",IF(Inputs!$C$13,SUMPRODUCT(($AH14&gt;=INDEX('Methodology &amp; Sources'!$B$29:$J$36,0,IF(Inputs!$C$12="MFJ",1,IF(Inputs!$C$12="HoH",7,4))))*INDEX('Methodology &amp; Sources'!$B$29:$J$36,0,IF(Inputs!$C$12="MFJ",1,IF(Inputs!$C$12="HoH",7,4))+2)),SUMPRODUCT(($AH14&gt;=INDEX('Methodology &amp; Sources'!$B$19:$J$26,0,IF(Inputs!$C$12="MFJ",1,IF(Inputs!$C$12="HoH",7,4))))*INDEX('Methodology &amp; Sources'!$B$19:$J$26,0,IF(Inputs!$C$12="MFJ",1,IF(Inputs!$C$12="HoH",7,4))+2))))</f>
      </c>
      <c r="BV14" s="24">
        <f>IF($B14="","",IF($BZ14&lt;&gt;"",$BZ14,IF($CA14&lt;&gt;"",$CA14,IF($CB14&lt;&gt;"",$CB14,IF($CC14&lt;&gt;"",$CC14,0)))))</f>
      </c>
      <c r="BW14" s="7">
        <f>IF($B14="","",IF($AN14="MD",IF(OR($AU14="Married",$AU14="Head of household"),SUMPRODUCT(($AZ14&gt;INDEX('Methodology &amp; Sources'!$B$114:$J$120,0,1))*($AZ14-INDEX('Methodology &amp; Sources'!$B$114:$J$120,0,1))*INDEX('Methodology &amp; Sources'!$B$114:$J$120,0,1+2)),SUMPRODUCT(($AZ14&gt;INDEX('Methodology &amp; Sources'!$B$103:$J$109,0,7))*($AZ14-INDEX('Methodology &amp; Sources'!$B$103:$J$109,0,7))*INDEX('Methodology &amp; Sources'!$B$103:$J$109,0,7+2))),IF($AN14="MO",SUMPRODUCT(($AZ14&gt;INDEX('Methodology &amp; Sources'!$B$125:$J$132,0,1))*($AZ14-INDEX('Methodology &amp; Sources'!$B$125:$J$132,0,1))*INDEX('Methodology &amp; Sources'!$B$125:$J$132,0,1+2)),IF($AN14="MT",IF($AU14="Head of household",SUMPRODUCT(($AZ14&gt;INDEX('Methodology &amp; Sources'!$B$137:$J$139,0,1))*($AZ14-INDEX('Methodology &amp; Sources'!$B$137:$J$139,0,1))*INDEX('Methodology &amp; Sources'!$B$137:$J$139,0,1+2)),IF($AU14="Married",SUMPRODUCT(($AZ14&gt;INDEX('Methodology &amp; Sources'!$B$125:$J$132,0,7))*($AZ14-INDEX('Methodology &amp; Sources'!$B$125:$J$132,0,7))*INDEX('Methodology &amp; Sources'!$B$125:$J$132,0,7+2)),SUMPRODUCT(($AZ14&gt;INDEX('Methodology &amp; Sources'!$B$125:$J$132,0,4))*($AZ14-INDEX('Methodology &amp; Sources'!$B$125:$J$132,0,4))*INDEX('Methodology &amp; Sources'!$B$125:$J$132,0,4+2)))),IF($AN14="ND",IF($AU14="Head of household",SUMPRODUCT(($AZ14&gt;INDEX('Methodology &amp; Sources'!$B$144:$J$150,0,1))*($AZ14-INDEX('Methodology &amp; Sources'!$B$144:$J$150,0,1))*INDEX('Methodology &amp; Sources'!$B$144:$J$150,0,1+2)),IF($AU14="Married",SUMPRODUCT(($AZ14&gt;INDEX('Methodology &amp; Sources'!$B$137:$J$139,0,7))*($AZ14-INDEX('Methodology &amp; Sources'!$B$137:$J$139,0,7))*INDEX('Methodology &amp; Sources'!$B$137:$J$139,0,7+2)),SUMPRODUCT(($AZ14&gt;INDEX('Methodology &amp; Sources'!$B$137:$J$139,0,4))*($AZ14-INDEX('Methodology &amp; Sources'!$B$137:$J$139,0,4))*INDEX('Methodology &amp; Sources'!$B$137:$J$139,0,4+2)))),IF($AN14="NJ",IF(Inputs!$C$77="B",SUMPRODUCT(($AZ14&gt;INDEX('Methodology &amp; Sources'!$B$155:$J$162,0,4))*($AZ14-INDEX('Methodology &amp; Sources'!$B$155:$J$162,0,4))*INDEX('Methodology &amp; Sources'!$B$155:$J$162,0,4+2)),IF(Inputs!$C$77="C",SUMPRODUCT(($AZ14&gt;INDEX('Methodology &amp; Sources'!$B$155:$J$162,0,7))*($AZ14-INDEX('Methodology &amp; Sources'!$B$155:$J$162,0,7))*INDEX('Methodology &amp; Sources'!$B$155:$J$162,0,7+2)),IF(Inputs!$C$77="D",SUMPRODUCT(($AZ14&gt;INDEX('Methodology &amp; Sources'!$B$167:$J$179,0,1))*($AZ14-INDEX('Methodology &amp; Sources'!$B$167:$J$179,0,1))*INDEX('Methodology &amp; Sources'!$B$167:$J$179,0,1+2)),IF(Inputs!$C$77="E",SUMPRODUCT(($AZ14&gt;INDEX('Methodology &amp; Sources'!$B$167:$J$179,0,4))*($AZ14-INDEX('Methodology &amp; Sources'!$B$167:$J$179,0,4))*INDEX('Methodology &amp; Sources'!$B$167:$J$179,0,4+2)),SUMPRODUCT(($AZ14&gt;INDEX('Methodology &amp; Sources'!$B$155:$J$162,0,1))*($AZ14-INDEX('Methodology &amp; Sources'!$B$155:$J$162,0,1))*INDEX('Methodology &amp; Sources'!$B$155:$J$162,0,1+2)))))),IF($AN14="NY",IF($AU14="Married",IF($AZ14&gt;=2155350,$AZ14*IF($AZ14&gt;25000000,0.117,IF($AZ14&gt;5000000,0.111,0.1045)),SUMPRODUCT(($AZ14&gt;INDEX('Methodology &amp; Sources'!$B$184:$J$198,0,1))*($AZ14-INDEX('Methodology &amp; Sources'!$B$184:$J$198,0,1))*INDEX('Methodology &amp; Sources'!$B$184:$J$198,0,1+2))),IF($AZ14&gt;=1077550,$AZ14*IF($AZ14&gt;25000000,0.117,IF($AZ14&gt;5000000,0.111,0.1045)),SUMPRODUCT(($AZ14&gt;INDEX('Methodology &amp; Sources'!$B$167:$J$179,0,7))*($AZ14-INDEX('Methodology &amp; Sources'!$B$167:$J$179,0,7))*INDEX('Methodology &amp; Sources'!$B$167:$J$179,0,7+2)))),"")))))))</f>
      </c>
      <c r="BX14" s="7">
        <f>IF($B14="","",IF($AN14="AL",IF(OR($AU14="Married",$AU14="Head of household"),SUMPRODUCT(($AZ14&gt;INDEX('Methodology &amp; Sources'!$B$82:$J$86,0,4))*($AZ14-INDEX('Methodology &amp; Sources'!$B$82:$J$86,0,4))*INDEX('Methodology &amp; Sources'!$B$82:$J$86,0,4+2)),SUMPRODUCT(($AZ14&gt;INDEX('Methodology &amp; Sources'!$B$82:$J$86,0,1))*($AZ14-INDEX('Methodology &amp; Sources'!$B$82:$J$86,0,1))*INDEX('Methodology &amp; Sources'!$B$82:$J$86,0,1+2))),IF($AN14="KS",IF($AU14="Married",SUMPRODUCT(($AZ14&gt;INDEX('Methodology &amp; Sources'!$B$103:$J$109,0,4))*($AZ14-INDEX('Methodology &amp; Sources'!$B$103:$J$109,0,4))*INDEX('Methodology &amp; Sources'!$B$103:$J$109,0,4+2)),SUMPRODUCT(($AZ14&gt;INDEX('Methodology &amp; Sources'!$B$103:$J$109,0,1))*($AZ14-INDEX('Methodology &amp; Sources'!$B$103:$J$109,0,1))*INDEX('Methodology &amp; Sources'!$B$103:$J$109,0,1+2))),IF($AN14="MN",IF($AU14="Married",SUMPRODUCT(($AZ14&gt;INDEX('Methodology &amp; Sources'!$B$114:$J$120,0,7))*($AZ14-INDEX('Methodology &amp; Sources'!$B$114:$J$120,0,7))*INDEX('Methodology &amp; Sources'!$B$114:$J$120,0,7+2)),SUMPRODUCT(($AZ14&gt;INDEX('Methodology &amp; Sources'!$B$114:$J$120,0,4))*($AZ14-INDEX('Methodology &amp; Sources'!$B$114:$J$120,0,4))*INDEX('Methodology &amp; Sources'!$B$114:$J$120,0,4+2))),IF($AN14="NE",MAX(IF($AU14="Married",SUMPRODUCT(($AZ14&gt;INDEX('Methodology &amp; Sources'!$B$144:$J$150,0,7))*($AZ14-INDEX('Methodology &amp; Sources'!$B$144:$J$150,0,7))*INDEX('Methodology &amp; Sources'!$B$144:$J$150,0,7+2)),SUMPRODUCT(($AZ14&gt;INDEX('Methodology &amp; Sources'!$B$144:$J$150,0,4))*($AZ14-INDEX('Methodology &amp; Sources'!$B$144:$J$150,0,4))*INDEX('Methodology &amp; Sources'!$B$144:$J$150,0,4+2))),0.015*$AZ14),IF($AN14="OH",IF($B14&gt;=DATE(2027,8,1),SUMPRODUCT(($AZ14&gt;INDEX('Methodology &amp; Sources'!$B$203:$J$206,0,1))*($AZ14-INDEX('Methodology &amp; Sources'!$B$203:$J$206,0,1))*INDEX('Methodology &amp; Sources'!$B$203:$J$206,0,1+2)),SUMPRODUCT(($AZ14&gt;INDEX('Methodology &amp; Sources'!$B$184:$J$198,0,7))*($AZ14-INDEX('Methodology &amp; Sources'!$B$184:$J$198,0,7))*INDEX('Methodology &amp; Sources'!$B$184:$J$198,0,7+2))),IF($AN14="OK",IF($AU14="Married",SUMPRODUCT(($AZ14&gt;INDEX('Methodology &amp; Sources'!$B$203:$J$206,0,7))*($AZ14-INDEX('Methodology &amp; Sources'!$B$203:$J$206,0,7))*INDEX('Methodology &amp; Sources'!$B$203:$J$206,0,7+2)),SUMPRODUCT(($AZ14&gt;INDEX('Methodology &amp; Sources'!$B$203:$J$206,0,4))*($AZ14-INDEX('Methodology &amp; Sources'!$B$203:$J$206,0,4))*INDEX('Methodology &amp; Sources'!$B$203:$J$206,0,4+2))),IF($AN14="RI",SUMPRODUCT(($AZ14&gt;INDEX('Methodology &amp; Sources'!$B$211:$J$214,0,7))*($AZ14-INDEX('Methodology &amp; Sources'!$B$211:$J$214,0,7))*INDEX('Methodology &amp; Sources'!$B$211:$J$214,0,7+2)),IF($AN14="VT",IF($AU14="Married",SUMPRODUCT(($AZ14&gt;INDEX('Methodology &amp; Sources'!$B$228:$J$232,0,1))*($AZ14-INDEX('Methodology &amp; Sources'!$B$228:$J$232,0,1))*INDEX('Methodology &amp; Sources'!$B$228:$J$232,0,1+2)),SUMPRODUCT(($AZ14&gt;INDEX('Methodology &amp; Sources'!$B$219:$J$223,0,7))*($AZ14-INDEX('Methodology &amp; Sources'!$B$219:$J$223,0,7))*INDEX('Methodology &amp; Sources'!$B$219:$J$223,0,7+2))),IF($AN14="WV",IF($AU14="Married",SUMPRODUCT(($AZ14&gt;INDEX('Methodology &amp; Sources'!$B$237:$J$241,0,7))*($AZ14-INDEX('Methodology &amp; Sources'!$B$237:$J$241,0,7))*INDEX('Methodology &amp; Sources'!$B$237:$J$241,0,7+2)),SUMPRODUCT(($AZ14&gt;INDEX('Methodology &amp; Sources'!$B$228:$J$232,0,7))*($AZ14-INDEX('Methodology &amp; Sources'!$B$228:$J$232,0,7))*INDEX('Methodology &amp; Sources'!$B$228:$J$232,0,7+2))),""))))))))))</f>
      </c>
      <c r="BY14" s="7">
        <f>IF($B14="","",IF($AN14="AR",SUMPRODUCT(($AZ14&gt;INDEX('Methodology &amp; Sources'!$B$82:$J$86,0,7))*($AZ14-INDEX('Methodology &amp; Sources'!$B$82:$J$86,0,7))*INDEX('Methodology &amp; Sources'!$B$82:$J$86,0,7+2)),IF($AN14="DE",SUMPRODUCT(($AZ14&gt;INDEX('Methodology &amp; Sources'!$B$91:$J$98,0,1))*($AZ14-INDEX('Methodology &amp; Sources'!$B$91:$J$98,0,1))*INDEX('Methodology &amp; Sources'!$B$91:$J$98,0,1+2)),IF($AN14="HI",IF($AU14="Married",SUMPRODUCT(($AZ14&gt;INDEX('Methodology &amp; Sources'!$B$91:$J$98,0,7))*($AZ14-INDEX('Methodology &amp; Sources'!$B$91:$J$98,0,7))*INDEX('Methodology &amp; Sources'!$B$91:$J$98,0,7+2)),SUMPRODUCT(($AZ14&gt;INDEX('Methodology &amp; Sources'!$B$91:$J$98,0,4))*($AZ14-INDEX('Methodology &amp; Sources'!$B$91:$J$98,0,4))*INDEX('Methodology &amp; Sources'!$B$91:$J$98,0,4+2))),IF($AN14="SC",SUMPRODUCT(($AZ14&gt;INDEX('Methodology &amp; Sources'!$B$219:$J$223,0,1))*($AZ14-INDEX('Methodology &amp; Sources'!$B$219:$J$223,0,1))*INDEX('Methodology &amp; Sources'!$B$219:$J$223,0,1+2)),IF($AN14="VA",SUMPRODUCT(($AZ14&gt;INDEX('Methodology &amp; Sources'!$B$219:$J$223,0,4))*($AZ14-INDEX('Methodology &amp; Sources'!$B$219:$J$223,0,4))*INDEX('Methodology &amp; Sources'!$B$219:$J$223,0,4+2)),IF($AN14="WI",SUMPRODUCT(($AZ14&gt;INDEX('Methodology &amp; Sources'!$B$228:$J$232,0,4))*($AZ14-INDEX('Methodology &amp; Sources'!$B$228:$J$232,0,4))*INDEX('Methodology &amp; Sources'!$B$228:$J$232,0,4+2)),"")))))))</f>
      </c>
      <c r="BZ14" s="24">
        <f>IF($B14="","",IF($AN14="NJ",IF(Inputs!$C$77="B",SUMPRODUCT(($AZ14&gt;=INDEX('Methodology &amp; Sources'!$B$155:$J$162,0,4))*INDEX('Methodology &amp; Sources'!$B$155:$J$162,0,4+2)),IF(Inputs!$C$77="C",SUMPRODUCT(($AZ14&gt;=INDEX('Methodology &amp; Sources'!$B$155:$J$162,0,7))*INDEX('Methodology &amp; Sources'!$B$155:$J$162,0,7+2)),IF(Inputs!$C$77="D",SUMPRODUCT(($AZ14&gt;=INDEX('Methodology &amp; Sources'!$B$167:$J$179,0,1))*INDEX('Methodology &amp; Sources'!$B$167:$J$179,0,1+2)),IF(Inputs!$C$77="E",SUMPRODUCT(($AZ14&gt;=INDEX('Methodology &amp; Sources'!$B$167:$J$179,0,4))*INDEX('Methodology &amp; Sources'!$B$167:$J$179,0,4+2)),SUMPRODUCT(($AZ14&gt;=INDEX('Methodology &amp; Sources'!$B$155:$J$162,0,1))*INDEX('Methodology &amp; Sources'!$B$155:$J$162,0,1+2)))))),IF($AN14="OR",IF(OR($AU14="Married",AND($AU14="Single",$AS14&gt;=3)),SUMPRODUCT((MAX(0,$AY14-MIN(($P14-'Methodology &amp; Sources'!$C$10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Sources'!$B$211:$J$214,0,4))*INDEX('Methodology &amp; Sources'!$B$211:$J$214,0,4+2)),SUMPRODUCT((MAX(0,$AY14-MIN(($P14-'Methodology &amp; Sources'!$C$10*$D14)*Inputs!$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Sources'!$B$211:$J$214,0,1))*INDEX('Methodology &amp; Sources'!$B$211:$J$214,0,1+2)))*IF(($P14-'Methodology &amp; Sources'!$C$10*$D14)*Inputs!$C$8&gt;=IF(OR($AU14="Married",AND($AU14="Single",$AS14&gt;=3)),IF($AY14&lt;250000,8750,IF($AY14&lt;260000,7000,IF($AY14&lt;270000,5250,IF($AY14&lt;280000,3500,IF($AY14&lt;290000,1750,0))))),IF($AY14&lt;125000,8750,IF($AY14&lt;130000,7000,IF($AY14&lt;135000,5250,IF($AY14&lt;140000,3500,IF($AY14&lt;145000,1750,0)))))),1,1-IF(Inputs!$C$13,SUMPRODUCT(($AH14&gt;=INDEX('Methodology &amp; Sources'!$B$29:$J$36,0,IF(Inputs!$C$12="MFJ",1,IF(Inputs!$C$12="HoH",7,4))))*INDEX('Methodology &amp; Sources'!$B$29:$J$36,0,IF(Inputs!$C$12="MFJ",1,IF(Inputs!$C$12="HoH",7,4))+2)),SUMPRODUCT(($AH14&gt;=INDEX('Methodology &amp; Sources'!$B$19:$J$26,0,IF(Inputs!$C$12="MFJ",1,IF(Inputs!$C$12="HoH",7,4))))*INDEX('Methodology &amp; Sources'!$B$19:$J$26,0,IF(Inputs!$C$12="MFJ",1,IF(Inputs!$C$12="HoH",7,4))+2)))),IF($AN14="MI",IF($AY14&gt;5900*$AS14,0.0425,0),""))))</f>
      </c>
      <c r="CA14" s="24">
        <f>IF($B14="","",IF($AN14="AL",IF(OR($AU14="Married",$AU14="Head of household"),SUMPRODUCT(($AZ14&gt;=INDEX('Methodology &amp; Sources'!$B$82:$J$86,0,4))*INDEX('Methodology &amp; Sources'!$B$82:$J$86,0,4+2)),SUMPRODUCT(($AZ14&gt;=INDEX('Methodology &amp; Sources'!$B$82:$J$86,0,1))*INDEX('Methodology &amp; Sources'!$B$82:$J$86,0,1+2)))*(1-IF(Inputs!$C$13,SUMPRODUCT(($AH14&gt;=INDEX('Methodology &amp; Sources'!$B$29:$J$36,0,IF(Inputs!$C$12="MFJ",1,IF(Inputs!$C$12="HoH",7,4))))*INDEX('Methodology &amp; Sources'!$B$29:$J$36,0,IF(Inputs!$C$12="MFJ",1,IF(Inputs!$C$12="HoH",7,4))+2)),SUMPRODUCT(($AH14&gt;=INDEX('Methodology &amp; Sources'!$B$19:$J$26,0,IF(Inputs!$C$12="MFJ",1,IF(Inputs!$C$12="HoH",7,4))))*INDEX('Methodology &amp; Sources'!$B$19:$J$26,0,IF(Inputs!$C$12="MFJ",1,IF(Inputs!$C$12="HoH",7,4))+2)))),IF($AN14="KS",IF($AU14="Married",SUMPRODUCT(($AZ14&gt;=INDEX('Methodology &amp; Sources'!$B$103:$J$109,0,4))*INDEX('Methodology &amp; Sources'!$B$103:$J$109,0,4+2)),SUMPRODUCT(($AZ14&gt;=INDEX('Methodology &amp; Sources'!$B$103:$J$109,0,1))*INDEX('Methodology &amp; Sources'!$B$103:$J$109,0,1+2))),IF($AN14="MD",IF(OR($AU14="Married",$AU14="Head of household"),SUMPRODUCT(($AZ14&gt;=INDEX('Methodology &amp; Sources'!$B$114:$J$120,0,1))*INDEX('Methodology &amp; Sources'!$B$114:$J$120,0,1+2)),SUMPRODUCT(($AZ14&gt;=INDEX('Methodology &amp; Sources'!$B$103:$J$109,0,7))*INDEX('Methodology &amp; Sources'!$B$103:$J$109,0,7+2)))+Inputs!$C$74,IF($AN14="MT",IF($AU14="Head of household",SUMPRODUCT(($AZ14&gt;=INDEX('Methodology &amp; Sources'!$B$137:$J$139,0,1))*INDEX('Methodology &amp; Sources'!$B$137:$J$139,0,1+2)),IF($AU14="Married",SUMPRODUCT(($AZ14&gt;=INDEX('Methodology &amp; Sources'!$B$125:$J$132,0,7))*INDEX('Methodology &amp; Sources'!$B$125:$J$132,0,7+2)),SUMPRODUCT(($AZ14&gt;=INDEX('Methodology &amp; Sources'!$B$125:$J$132,0,4))*INDEX('Methodology &amp; Sources'!$B$125:$J$132,0,4+2)))),IF($AN14="ND",IF($AU14="Head of household",SUMPRODUCT(($AZ14&gt;=INDEX('Methodology &amp; Sources'!$B$144:$J$150,0,1))*INDEX('Methodology &amp; Sources'!$B$144:$J$150,0,1+2)),IF($AU14="Married",SUMPRODUCT(($AZ14&gt;=INDEX('Methodology &amp; Sources'!$B$137:$J$139,0,7))*INDEX('Methodology &amp; Sources'!$B$137:$J$139,0,7+2)),SUMPRODUCT(($AZ14&gt;=INDEX('Methodology &amp; Sources'!$B$137:$J$139,0,4))*INDEX('Methodology &amp; Sources'!$B$137:$J$139,0,4+2)))),IF($AN14="NY",IF($AU14="Married",IF($AZ14&gt;=2155350,IF($AZ14&gt;25000000,0.117,IF($AZ14&gt;5000000,0.111,0.1045)),SUMPRODUCT(($AZ14&gt;=INDEX('Methodology &amp; Sources'!$B$184:$J$198,0,1))*INDEX('Methodology &amp; Sources'!$B$184:$J$198,0,1+2))),IF($AZ14&gt;=1077550,IF($AZ14&gt;25000000,0.117,IF($AZ14&gt;5000000,0.111,0.1045)),SUMPRODUCT(($AZ14&gt;=INDEX('Methodology &amp; Sources'!$B$167:$J$179,0,7))*INDEX('Methodology &amp; Sources'!$B$167:$J$179,0,7+2)))),"")))))))</f>
      </c>
      <c r="CB14" s="24">
        <f>IF($B14="","",IF($AN14="CA",SUMPRODUCT(($AJ14&gt;=INDEX('Methodology &amp; Sources'!$B$39:$J$48,0,IF($AU14="Married",4,IF($AU14="Head of household",7,1))))*INDEX('Methodology &amp; Sources'!$B$39:$J$48,0,IF($AU14="Married",4,IF($AU14="Head of household",7,1))+2)),IF($AN14="HI",IF($AU14="Married",SUMPRODUCT(($AZ14&gt;=INDEX('Methodology &amp; Sources'!$B$91:$J$98,0,7))*INDEX('Methodology &amp; Sources'!$B$91:$J$98,0,7+2)),SUMPRODUCT(($AZ14&gt;=INDEX('Methodology &amp; Sources'!$B$91:$J$98,0,4))*INDEX('Methodology &amp; Sources'!$B$91:$J$98,0,4+2))),IF($AN14="MN",IF($AU14="Married",SUMPRODUCT(($AZ14&gt;=INDEX('Methodology &amp; Sources'!$B$114:$J$120,0,7))*INDEX('Methodology &amp; Sources'!$B$114:$J$120,0,7+2)),SUMPRODUCT(($AZ14&gt;=INDEX('Methodology &amp; Sources'!$B$114:$J$120,0,4))*INDEX('Methodology &amp; Sources'!$B$114:$J$120,0,4+2))),IF($AN14="MO",SUMPRODUCT(($AZ14&gt;=INDEX('Methodology &amp; Sources'!$B$125:$J$132,0,1))*INDEX('Methodology &amp; Sources'!$B$125:$J$132,0,1+2)),IF($AN14="NE",MAX(IF($AU14="Married",SUMPRODUCT(($AZ14&gt;=INDEX('Methodology &amp; Sources'!$B$144:$J$150,0,7))*INDEX('Methodology &amp; Sources'!$B$144:$J$150,0,7+2)),SUMPRODUCT(($AZ14&gt;=INDEX('Methodology &amp; Sources'!$B$144:$J$150,0,4))*INDEX('Methodology &amp; Sources'!$B$144:$J$150,0,4+2))),0.015),IF($AN14="OH",IF($B14&gt;=DATE(2027,8,1),SUMPRODUCT(($AZ14&gt;=INDEX('Methodology &amp; Sources'!$B$203:$J$206,0,1))*INDEX('Methodology &amp; Sources'!$B$203:$J$206,0,1+2)),SUMPRODUCT(($AZ14&gt;=INDEX('Methodology &amp; Sources'!$B$184:$J$198,0,7))*INDEX('Methodology &amp; Sources'!$B$184:$J$198,0,7+2))),IF($AN14="OK",IF($AU14="Married",SUMPRODUCT(($AZ14&gt;=INDEX('Methodology &amp; Sources'!$B$203:$J$206,0,7))*INDEX('Methodology &amp; Sources'!$B$203:$J$206,0,7+2)),SUMPRODUCT(($AZ14&gt;=INDEX('Methodology &amp; Sources'!$B$203:$J$206,0,4))*INDEX('Methodology &amp; Sources'!$B$203:$J$206,0,4+2))),IF($AN14="RI",SUMPRODUCT(($AZ14&gt;=INDEX('Methodology &amp; Sources'!$B$211:$J$214,0,7))*INDEX('Methodology &amp; Sources'!$B$211:$J$214,0,7+2)),IF($AN14="SC",SUMPRODUCT(($AZ14&gt;=INDEX('Methodology &amp; Sources'!$B$219:$J$223,0,1))*INDEX('Methodology &amp; Sources'!$B$219:$J$223,0,1+2)),IF($AN14="VT",IF($AU14="Married",SUMPRODUCT(($AZ14&gt;=INDEX('Methodology &amp; Sources'!$B$228:$J$232,0,1))*INDEX('Methodology &amp; Sources'!$B$228:$J$232,0,1+2)),SUMPRODUCT(($AZ14&gt;=INDEX('Methodology &amp; Sources'!$B$219:$J$223,0,7))*INDEX('Methodology &amp; Sources'!$B$219:$J$223,0,7+2))),IF($AN14="WV",IF($AU14="Married",SUMPRODUCT(($AZ14&gt;=INDEX('Methodology &amp; Sources'!$B$237:$J$241,0,7))*INDEX('Methodology &amp; Sources'!$B$237:$J$241,0,7+2)),SUMPRODUCT(($AZ14&gt;=INDEX('Methodology &amp; Sources'!$B$228:$J$232,0,7))*INDEX('Methodology &amp; Sources'!$B$228:$J$232,0,7+2))),IF($AN14="IN",(0.0295+Inputs!$C$76),"")))))))))))))</f>
      </c>
      <c r="CC14" s="24">
        <f>IF($B14="","",IF($AN14="AR",SUMPRODUCT(($AZ14&gt;=INDEX('Methodology &amp; Sources'!$B$82:$J$86,0,7))*INDEX('Methodology &amp; Sources'!$B$82:$J$86,0,7+2)),IF($AN14="DE",SUMPRODUCT(($AZ14&gt;=INDEX('Methodology &amp; Sources'!$B$91:$J$98,0,1))*INDEX('Methodology &amp; Sources'!$B$91:$J$98,0,1+2)),IF($AN14="VA",SUMPRODUCT(($AZ14&gt;=INDEX('Methodology &amp; Sources'!$B$219:$J$223,0,4))*INDEX('Methodology &amp; Sources'!$B$219:$J$223,0,4+2)),IF($AN14="WI",SUMPRODUCT(($AZ14&gt;=INDEX('Methodology &amp; Sources'!$B$228:$J$232,0,4))*INDEX('Methodology &amp; Sources'!$B$228:$J$232,0,4+2)),IF($AN14="AZ",Inputs!$C$82,IF($AN14="CO",IF($AY14&gt;IF($AU14="Married",10000,5000),0.044,0),IF($AN14="IA",IF($AY14&gt;IF($AU14="Head of household",19500,IF($AU14="Married",26000,13000)),0.038,0),IF($AN14="ID",IF($AY14&gt;IF($AU14="Married",32000,16094),0.053,0),IF($AN14="IL",IF($AY14&gt;(2925*$AS14+1000*$AT14),0.0495,0),IF($AN14="KY",IF($AI14&gt;3360,0.035,0),IF($AN14="LA",0.0309,IF($AN14="MA",IF(MAX(0,$AY14-MIN(($BD13+$Q14+$R14+$S14),2000)-IF($AS14=0,0,IF($AS14=1,4400,1000*$AS14+3400)))&gt;=1107750,0.09,0.05),IF($AN14="MS",IF($AI14-IF($AU14="Head of household",3400,IF($AU14="Married",4600,2300))-Inputs!$C$85&gt;10000,0.04,0),IF($AN14="PA",0.0307,"")))))))))))))))</f>
      </c>
      <c r="CD14" s="21">
        <f>IF(YEAR(IF(Inputs!$C$7="Weekly",Inputs!$C$90+7*(($BE13+1)-1),IF(Inputs!$C$7="Biweekly",Inputs!$C$90+14*(($BE13+1)-1),IF(Inputs!$C$7="Semimonthly",DATE(YEAR(Inputs!$C$9),MONTH(Inputs!$C$9)+INT((($BE13+1)-1+'Rest of 2026'!$C$2)/2),MIN(DAY(Inputs!$C$9),DAY(EOMONTH(DATE(YEAR(Inputs!$C$9),MONTH(Inputs!$C$9)+INT((($BE13+1)-1+'Rest of 2026'!$C$2)/2),1),0))))+IF(MOD(($BE13+1)-1+'Rest of 2026'!$C$2,2)=1,15,0),EDATE(Inputs!$C$90,($BE13+1)-1)))))&lt;&gt;Inputs!$C$10,"",IF(Inputs!$C$7="Weekly",Inputs!$C$90+7*(($BE13+1)-1),IF(Inputs!$C$7="Biweekly",Inputs!$C$90+14*(($BE13+1)-1),IF(Inputs!$C$7="Semimonthly",DATE(YEAR(Inputs!$C$9),MONTH(Inputs!$C$9)+INT((($BE13+1)-1+'Rest of 2026'!$C$2)/2),MIN(DAY(Inputs!$C$9),DAY(EOMONTH(DATE(YEAR(Inputs!$C$9),MONTH(Inputs!$C$9)+INT((($BE13+1)-1+'Rest of 2026'!$C$2)/2),1),0))))+IF(MOD(($BE13+1)-1+'Rest of 2026'!$C$2,2)=1,15,0),EDATE(Inputs!$C$90,($BE13+1)-1)))))</f>
      </c>
      <c r="CE14" s="21">
        <f>IF(SUMPRODUCT(MIN(IF((Inputs!$C$58:$C$67&gt;MAX($B$6:$B13))*(Inputs!$C$58:$C$67&gt;=DATE(Inputs!$C$10,1,1))*(Inputs!$C$58:$C$67&lt;=DATE(Inputs!$C$10,12,31)),Inputs!$C$58:$C$67,999999)))=999999,"",SUMPRODUCT(MIN(IF((Inputs!$C$58:$C$67&gt;MAX($B$6:$B13))*(Inputs!$C$58:$C$67&gt;=DATE(Inputs!$C$10,1,1))*(Inputs!$C$58:$C$67&lt;=DATE(Inputs!$C$10,12,31)),Inputs!$C$58:$C$67,999999))))</f>
      </c>
    </row>
    <row r="15">
      <c r="A15" t="n">
        <v>10</v>
      </c>
      <c r="B15" s="21">
        <f>IF(AND($CD15="",$CE15=""),"",IF($CE15="",$CD15,IF($CD15="",$CE15,MIN($CD15,$CE15))))</f>
      </c>
      <c r="C15" s="7">
        <f>IF($B15="","",IF($BF15=0,0,IF(Inputs!$C$4="Annual salary",ROUND($AK15/IF(AND(Inputs!$C$88="Actual paydays",MONTH(Inputs!$C$90)=1),MAX(1,MAX($BE$6:$BE$68)),Inputs!$C$8),2),$AK15)))</f>
      </c>
      <c r="D15" s="7">
        <f>IF($B15="","",SUMIF(Inputs!$C$58:$C$67,$B15,Inputs!$D$58:$D$67))</f>
      </c>
      <c r="E15" s="7">
        <f>IF($B15="","",ROUND(MAX(0,MIN(IF($AL15="Percent",$AM15*($C15+$D15),$AM15),MAX(0,Inputs!$C$34-$AC14))),2))</f>
      </c>
      <c r="F15" s="7">
        <f>IF($B15="","",ROUND(MAX(0,MIN(IF(Inputs!$C$32="Percent",Inputs!$D$32*($C15+$D15),Inputs!$D$32),MAX(0,Inputs!$C$34-$AC14-$E15))),2))</f>
      </c>
      <c r="G15" s="7">
        <f>IF($B15="","",IF($BF15=0,0,ROUND(MAX(0,MIN($BL15,Inputs!$C$37-Inputs!$C$99-$BI14)),2)))</f>
      </c>
      <c r="H15" s="7">
        <f>IF($B15="","",IF(OR($BF15=0,$BQ15=1),0,ROUND(MAX(0,MIN(IF($BS15=1,ROUND(MAX(0,MIN($BJ15,'Methodology &amp; Sources'!$C$13)-$BG14)/MAX(1,MAX($BE$6:$BE$68)-($BE14)),2),ROUND(MIN($BJ15,'Methodology &amp; Sources'!$C$13)/Inputs!$C$8,2)),MIN($BJ15,'Methodology &amp; Sources'!$C$13)-$BG14)),2)))</f>
      </c>
      <c r="I15" s="7">
        <f>IF($B15="","",IF(OR($BF15=0,$BR15=1),0,ROUND(MAX(0,MIN(IF($BT15=1,ROUND(MAX(0,MIN($BK15,IF(Inputs!$C$12="MFJ",'Methodology &amp; Sources'!$C$14,'Methodology &amp; Sources'!$C$15))-$BH14)/MAX(1,MAX($BE$6:$BE$68)-($BE14)),2),ROUND(MIN($BK15,IF(Inputs!$C$12="MFJ",'Methodology &amp; Sources'!$C$14,'Methodology &amp; Sources'!$C$15))/Inputs!$C$8,2)),MIN($BK15,IF(Inputs!$C$12="MFJ",'Methodology &amp; Sources'!$C$14,'Methodology &amp; Sources'!$C$15))-$BH14)),2)))</f>
      </c>
      <c r="J15" s="7">
        <f>IF($B15="","",IF($BF15=0,0,$BM15))</f>
      </c>
      <c r="K15" s="7">
        <f>IF($B15="","",IF($BF15=0,0,$BN15+$BO15))</f>
      </c>
      <c r="L15" s="7">
        <f>IF($B15="","",IF($BF15=0,0,Inputs!$D$46))</f>
      </c>
      <c r="M15" s="7">
        <f>IF($B15="","",$C15+$D15+$L15-$E15-$G15-$H15-$I15-$J15-$K15)</f>
      </c>
      <c r="N15" s="7">
        <f>IF($B15="","",$C15+$D15+$L15-$G15-$H15-$I15-$J15-$K15)</f>
      </c>
      <c r="O15" s="7">
        <f>IF($B15="","",$C15+$D15+$L15-$E15-$H15-$I15-$J15-$K15-IF(OR($AN15="CA",$AN15="NJ"),0,$G15))</f>
      </c>
      <c r="P15" s="7">
        <f>IF($B15="","",IF(Inputs!$C$18,0,ROUND(MAX(0,IF(Inputs!$C$13,SUMPRODUCT(($AH15&gt;INDEX('Methodology &amp; Sources'!$B$29:$J$36,0,IF(Inputs!$C$12="MFJ",1,IF(Inputs!$C$12="HoH",7,4))))*($AH15-INDEX('Methodology &amp; Sources'!$B$29:$J$36,0,IF(Inputs!$C$12="MFJ",1,IF(Inputs!$C$12="HoH",7,4))))*INDEX('Methodology &amp; Sources'!$B$29:$J$36,0,IF(Inputs!$C$12="MFJ",1,IF(Inputs!$C$12="HoH",7,4))+2)),SUMPRODUCT(($AH15&gt;INDEX('Methodology &amp; Sources'!$B$19:$J$26,0,IF(Inputs!$C$12="MFJ",1,IF(Inputs!$C$12="HoH",7,4))))*($AH15-INDEX('Methodology &amp; Sources'!$B$19:$J$26,0,IF(Inputs!$C$12="MFJ",1,IF(Inputs!$C$12="HoH",7,4))))*INDEX('Methodology &amp; Sources'!$B$19:$J$26,0,IF(Inputs!$C$12="MFJ",1,IF(Inputs!$C$12="HoH",7,4))+2)))/Inputs!$C$8-$AO15/Inputs!$C$8)+$AR15+IF(Inputs!$C$89="Aggregate",MAX(0,IF(Inputs!$C$13,SUMPRODUCT((($AH15+$D15)&gt;INDEX('Methodology &amp; Sources'!$B$29:$J$36,0,IF(Inputs!$C$12="MFJ",1,IF(Inputs!$C$12="HoH",7,4))))*(($AH15+$D15)-INDEX('Methodology &amp; Sources'!$B$29:$J$36,0,IF(Inputs!$C$12="MFJ",1,IF(Inputs!$C$12="HoH",7,4))))*INDEX('Methodology &amp; Sources'!$B$29:$J$36,0,IF(Inputs!$C$12="MFJ",1,IF(Inputs!$C$12="HoH",7,4))+2)),SUMPRODUCT((($AH15+$D15)&gt;INDEX('Methodology &amp; Sources'!$B$19:$J$26,0,IF(Inputs!$C$12="MFJ",1,IF(Inputs!$C$12="HoH",7,4))))*(($AH15+$D15)-INDEX('Methodology &amp; Sources'!$B$19:$J$26,0,IF(Inputs!$C$12="MFJ",1,IF(Inputs!$C$12="HoH",7,4))))*INDEX('Methodology &amp; Sources'!$B$19:$J$26,0,IF(Inputs!$C$12="MFJ",1,IF(Inputs!$C$12="HoH",7,4))+2)))-IF(Inputs!$C$13,SUMPRODUCT(($AH15&gt;INDEX('Methodology &amp; Sources'!$B$29:$J$36,0,IF(Inputs!$C$12="MFJ",1,IF(Inputs!$C$12="HoH",7,4))))*($AH15-INDEX('Methodology &amp; Sources'!$B$29:$J$36,0,IF(Inputs!$C$12="MFJ",1,IF(Inputs!$C$12="HoH",7,4))))*INDEX('Methodology &amp; Sources'!$B$29:$J$36,0,IF(Inputs!$C$12="MFJ",1,IF(Inputs!$C$12="HoH",7,4))+2)),SUMPRODUCT(($AH15&gt;INDEX('Methodology &amp; Sources'!$B$19:$J$26,0,IF(Inputs!$C$12="MFJ",1,IF(Inputs!$C$12="HoH",7,4))))*($AH15-INDEX('Methodology &amp; Sources'!$B$19:$J$26,0,IF(Inputs!$C$12="MFJ",1,IF(Inputs!$C$12="HoH",7,4))))*INDEX('Methodology &amp; Sources'!$B$19:$J$26,0,IF(Inputs!$C$12="MFJ",1,IF(Inputs!$C$12="HoH",7,4))+2)))),'Methodology &amp; Sources'!$C$10*$D15),2)))</f>
      </c>
      <c r="Q15" s="7">
        <f>IF($B15="","",ROUND('Methodology &amp; Sources'!$C$4*MIN($N15,MAX(0,'Methodology &amp; Sources'!$C$3-($AX15+$AB14-$AW15))),2))</f>
      </c>
      <c r="R15" s="7">
        <f>IF($B15="","",ROUND('Methodology &amp; Sources'!$C$5*$N15,2))</f>
      </c>
      <c r="S15" s="7">
        <f>IF($B15="","",ROUND('Methodology &amp; Sources'!$C$6*MAX(0,MIN($N15,$AG14+$N15-'Methodology &amp; Sources'!$C$7)),2))</f>
      </c>
      <c r="T15" s="7">
        <f>IF($B15="","",IF(Inputs!$C$26,0,IF($AN15="CA",ROUND(IF($AI15&lt;=IF(($AS15+$AT15)&gt;=2,VLOOKUP($AN15,StateTables!$A$6:$AB$56,10,FALSE),VLOOKUP($AN15,StateTables!$A$6:$AB$56,9,FALSE)),0,MAX(0,SUMPRODUCT(($AJ15&gt;INDEX('Methodology &amp; Sources'!$B$39:$J$48,0,IF($AU15="Married",4,IF($AU15="Head of household",7,1))))*($AJ15-INDEX('Methodology &amp; Sources'!$B$39:$J$48,0,IF($AU15="Married",4,IF($AU15="Head of household",7,1))))*INDEX('Methodology &amp; Sources'!$B$39:$J$48,0,IF($AU15="Married",4,IF($AU15="Head of household",7,1))+2))-VLOOKUP($AN15,StateTables!$A$6:$AB$56,11,FALSE)*$AS15)/Inputs!$C$8)+Inputs!$C$25+VLOOKUP($AN15,StateTables!$A$6:$AB$56,13,FALSE)*$D15,2),IF(VLOOKUP($AN15,StateTables!$A$6:$AB$56,4,FALSE)="None",0,IF(ISNUMBER(SEARCH("MANUAL",VLOOKUP($AN15,StateTables!$A$6:$AB$56,5,FALSE))),Inputs!$C$28,ROUND(MAX(0,$BA15+$BB15)/Inputs!$C$8+Inputs!$C$25+$BC15,2))))))</f>
      </c>
      <c r="U15" s="7">
        <f>IF($B15="","",IF(VLOOKUP($AN15,StateTables!$A$6:$AB$56,24,FALSE)="flatq",IF(OR(MONTH($B15)=1,MONTH($B15)=4,MONTH($B15)=7,MONTH($B15)=10),VLOOKUP($AN15,StateTables!$A$6:$AB$56,25,FALSE),0),IF(VLOOKUP($AN15,StateTables!$A$6:$AB$56,24,FALSE)="dbl",MIN(ROUND(0.005*$N15,2),ROUND(0.6*52/Inputs!$C$8,2)),IF(OR(VLOOKUP($AN15,StateTables!$A$6:$AB$56,15,FALSE)="",VLOOKUP($AN15,StateTables!$A$6:$AB$56,15,FALSE)=0),0,ROUND(VLOOKUP($AN15,StateTables!$A$6:$AB$56,15,FALSE)*IF(OR(VLOOKUP($AN15,StateTables!$A$6:$AB$56,16,FALSE)="",VLOOKUP($AN15,StateTables!$A$6:$AB$56,16,FALSE)=0),$N15,MIN($N15,MAX(0,VLOOKUP($AN15,StateTables!$A$6:$AB$56,16,FALSE)-($AX15+$AB14-$AW15)))),2))))+IF(VLOOKUP($AN15,StateTables!$A$6:$AB$56,27,FALSE)="flatq",IF(OR(MONTH($B15)=1,MONTH($B15)=4,MONTH($B15)=7,MONTH($B15)=10),VLOOKUP($AN15,StateTables!$A$6:$AB$56,28,FALSE),0),IF(VLOOKUP($AN15,StateTables!$A$6:$AB$56,27,FALSE)="dbl",MIN(ROUND(0.005*$N15,2),ROUND(0.6*52/Inputs!$C$8,2)),IF(OR(VLOOKUP($AN15,StateTables!$A$6:$AB$56,18,FALSE)="",VLOOKUP($AN15,StateTables!$A$6:$AB$56,18,FALSE)=0),0,ROUND(VLOOKUP($AN15,StateTables!$A$6:$AB$56,18,FALSE)*IF(OR(VLOOKUP($AN15,StateTables!$A$6:$AB$56,19,FALSE)="",VLOOKUP($AN15,StateTables!$A$6:$AB$56,19,FALSE)=0),$N15,MIN($N15,MAX(0,VLOOKUP($AN15,StateTables!$A$6:$AB$56,19,FALSE)-($AX15+$AB14-$AW15)))),2)))))</f>
      </c>
      <c r="V15" s="7">
        <f>IF($B15="","",IF($AN15="NY",IF(Inputs!$C$78,ROUND(SUMPRODUCT((MAX(0,($O15-$D15)*Inputs!$C$8-(IF($AU15="Married",5500,5000)+1000*$AS15))&gt;INDEX('Methodology &amp; Sources'!$B$184:$J$198,0,4))*(MAX(0,($O15-$D15)*Inputs!$C$8-(IF($AU15="Married",5500,5000)+1000*$AS15))-INDEX('Methodology &amp; Sources'!$B$184:$J$198,0,4))*INDEX('Methodology &amp; Sources'!$B$184:$J$198,0,4+2))/Inputs!$C$8+0.0425*$D15,2),0)+IF(Inputs!$C$79="Resident",ROUND(0.1675*$T15,2),IF(Inputs!$C$79="Nonresident",ROUND(0.005*MAX(0,($O15-$D15)-(IF($AU15="Married",7950,7400)+1000*$AS15)/Inputs!$C$8),2),0)),IF($AN15="PA",IF(Inputs!$C$80="None",Inputs!$C$27+ROUND(Inputs!$C$81*($C15+$D15),2),ROUND(IF(Inputs!$C$80="Resident",IF($B15&lt;DATE(2027,7,1),0.03735,0.03735),IF($B15&lt;DATE(2027,7,1),0.03425,0.03425))*($C15+$D15),2)),IF($BF15=0,ROUND(Inputs!$C$81*($C15+$D15),2),Inputs!$C$27+ROUND(Inputs!$C$81*($C15+$D15),2)))))</f>
      </c>
      <c r="W15" s="7">
        <f>IF($B15="","",IF($BF15=0,0,$BP15))</f>
      </c>
      <c r="X15" s="7">
        <f>IF($B15="","",SUM($E15:$K15)+$P15+$Q15+$R15+$S15+$T15+$U15+$V15+$W15)</f>
      </c>
      <c r="Y15" s="22">
        <f>IF($B15="","",$C15+$D15-$X15)</f>
      </c>
      <c r="Z15" s="7">
        <f>IF($B15="","",$Z14+$C15+$D15)</f>
      </c>
      <c r="AA15" s="7">
        <f>IF($B15="","",$AA14+$Y15)</f>
      </c>
      <c r="AB15" s="7">
        <f>IF($B15="","",$AB14+MIN($N15,MAX(0,'Methodology &amp; Sources'!$C$3-($AX15+$AB14-$AW15))))</f>
      </c>
      <c r="AC15" s="7">
        <f>IF($B15="","",$AC14+$E15+$F15)</f>
      </c>
      <c r="AD15" s="3">
        <f>IF($B15="","",IF(AND($AB14&lt;'Methodology &amp; Sources'!$C$3,$AB15&gt;='Methodology &amp; Sources'!$C$3),"★ Social Security maxed on this check — from the next check your net rises by about $"&amp;TEXT(ROUND('Methodology &amp; Sources'!$C$4*$N15,2),"#,##0.00")&amp;". ","")&amp;IF(AND($AC14&lt;Inputs!$C$34,$AC15&gt;=Inputs!$C$34),"★ 401(k) reaches the $"&amp;TEXT(Inputs!$C$34,"#,##0")&amp;" cap on this check — deferrals stop and net pay rises. ","")&amp;IF(AND($AG14&lt;'Methodology &amp; Sources'!$C$7,$AG15&gt;='Methodology &amp; Sources'!$C$7),"★ Wages pass $200,000 — the 0.9% Additional Medicare Tax starts here. ","")&amp;IF(AND($BJ15&gt;0,$H15&gt;0,$BG14&lt;MIN($BJ15,'Methodology &amp; Sources'!$C$13),$BG14+$H15&gt;=MIN($BJ15,'Methodology &amp; Sources'!$C$13)),"★ Health FSA election is now fully deferred for the year. ",""))</f>
      </c>
      <c r="AE15" s="41" t="n"/>
      <c r="AF15" s="7">
        <f>IF(OR($B15="",$AE15=""),"",$AE15-$Y15)</f>
      </c>
      <c r="AG15" s="7">
        <f>IF($B15="","",$AG14+$N15)</f>
      </c>
      <c r="AH15" s="7">
        <f>IF($B15="","",MAX(0,($M15-$D15)*Inputs!$C$8+$AP15-$AQ15-IF(Inputs!$C$13,0,IF(Inputs!$C$12="MFJ",'Methodology &amp; Sources'!$C$8,'Methodology &amp; Sources'!$C$9))))</f>
      </c>
      <c r="AI15" s="7">
        <f>IF($B15="","",$O15*Inputs!$C$8)</f>
      </c>
      <c r="AJ15" s="7">
        <f>IF($B15="","",MAX(0,$AI15-VLOOKUP($AN15,StateTables!$A$6:$AB$56,12,FALSE)*$AT15-IF(($AS15+$AT15)&gt;=2,VLOOKUP($AN15,StateTables!$A$6:$AB$56,8,FALSE),VLOOKUP($AN15,StateTables!$A$6:$AB$56,7,FALSE))))</f>
      </c>
      <c r="AK15" s="7">
        <f>IF($B15="","",IFERROR(LOOKUP(2,1/((Events!$C$6:$C$17="Salary change")*(Events!$B$6:$B$17&lt;=$B15)*(Events!$B$6:$B$17&lt;&gt;"")),Events!$D$6:$D$17),IF(Inputs!$C$4="Annual salary",Inputs!$C$5,Inputs!$C$6)))</f>
      </c>
      <c r="AL15">
        <f>IF($B15="","",IFERROR(LOOKUP(2,1/((Events!$C$6:$C$17="401(k) change")*(Events!$B$6:$B$17&lt;=$B15)*(Events!$B$6:$B$17&lt;&gt;"")),Events!$D$6:$D$17),Inputs!$C$30))</f>
      </c>
      <c r="AM15" s="7">
        <f>IF($B15="","",IFERROR(LOOKUP(2,1/((Events!$C$6:$C$17="401(k) change")*(Events!$B$6:$B$17&lt;=$B15)*(Events!$B$6:$B$17&lt;&gt;"")),Events!$E$6:$E$17),Inputs!$D$30))</f>
      </c>
      <c r="AN15">
        <f>IF($B15="","",IFERROR(LOOKUP(2,1/((Events!$C$6:$C$17="State move")*(Events!$B$6:$B$17&lt;=$B15)*(Events!$B$6:$B$17&lt;&gt;"")),Events!$D$6:$D$17),Inputs!$C$21))</f>
      </c>
      <c r="AO15" s="7">
        <f>IF($B15="","",IFERROR(LOOKUP(2,1/((Events!$C$6:$C$17="W-4 change")*(Events!$B$6:$B$17&lt;=$B15)*(Events!$B$6:$B$17&lt;&gt;"")),Events!$D$6:$D$17),Inputs!$C$14))</f>
      </c>
      <c r="AP15" s="7">
        <f>IF($B15="","",IFERROR(LOOKUP(2,1/((Events!$C$6:$C$17="W-4 change")*(Events!$B$6:$B$17&lt;=$B15)*(Events!$B$6:$B$17&lt;&gt;"")),Events!$E$6:$E$17),Inputs!$C$15))</f>
      </c>
      <c r="AQ15" s="7">
        <f>IF($B15="","",IFERROR(LOOKUP(2,1/((Events!$C$6:$C$17="W-4 change")*(Events!$B$6:$B$17&lt;=$B15)*(Events!$B$6:$B$17&lt;&gt;"")),Events!$F$6:$F$17),Inputs!$C$16))</f>
      </c>
      <c r="AR15" s="7">
        <f>IF($B15="","",IFERROR(LOOKUP(2,1/((Events!$C$6:$C$17="W-4 change")*(Events!$B$6:$B$17&lt;=$B15)*(Events!$B$6:$B$17&lt;&gt;"")),Events!$G$6:$G$17),Inputs!$C$17))</f>
      </c>
      <c r="AS15" s="6">
        <f>IF($B15="","",IFERROR(LOOKUP(2,1/(((Events!$C$6:$C$17="State move")+(Events!$C$6:$C$17="State cert change"))*(Events!$B$6:$B$17&lt;=$B15)*(Events!$B$6:$B$17&lt;&gt;"")),Events!$F$6:$F$17),Inputs!$C$23))</f>
      </c>
      <c r="AT15" s="6">
        <f>IF($B15="","",IFERROR(LOOKUP(2,1/(((Events!$C$6:$C$17="State move")+(Events!$C$6:$C$17="State cert change"))*(Events!$B$6:$B$17&lt;=$B15)*(Events!$B$6:$B$17&lt;&gt;"")),Events!$G$6:$G$17),Inputs!$C$24))</f>
      </c>
      <c r="AU15">
        <f>IF($B15="","",IFERROR(LOOKUP(2,1/((Events!$C$6:$C$17="State move")*(Events!$B$6:$B$17&lt;=$B15)*(Events!$B$6:$B$17&lt;&gt;"")),Events!$E$6:$E$17),Inputs!$C$22))</f>
      </c>
      <c r="AV15" s="6">
        <f>IF($B15="","",1+COUNTIFS(Events!$C$6:$C$17,"Employer change",Events!$B$6:$B$17,"&lt;="&amp;$B15,Events!$B$6:$B$17,"&lt;&gt;"))</f>
      </c>
      <c r="AW15" s="7">
        <f>IF($B15="","",IF($AV15=1,Inputs!$C$94,IF(IFERROR(MATCH(IFERROR(LOOKUP(2,1/((Events!$C$6:$C$17="Employer change")*(Events!$B$6:$B$17&lt;=$B15)*(Events!$B$6:$B$17&lt;&gt;"")),Events!$B$6:$B$17),""),$B$6:$B$68,1),1)&lt;=1,Inputs!$C$94,INDEX($AB$6:$AB$68,MATCH(IFERROR(LOOKUP(2,1/((Events!$C$6:$C$17="Employer change")*(Events!$B$6:$B$17&lt;=$B15)*(Events!$B$6:$B$17&lt;&gt;"")),Events!$B$6:$B$17),""),$B$6:$B$68,1)-1))))</f>
      </c>
      <c r="AX15" s="7">
        <f>IF($B15="","",IF($AV15=1,Inputs!$C$94,IFERROR(LOOKUP(2,1/((Events!$C$6:$C$17="Employer change")*(Events!$B$6:$B$17&lt;=$B15)*(Events!$B$6:$B$17&lt;&gt;"")),Events!$D$6:$D$17),0)))</f>
      </c>
      <c r="AY15" s="7">
        <f>IF($B15="","",($O15-$D15)*Inputs!$C$8)</f>
      </c>
      <c r="AZ15" s="7">
        <f>IF($B15="","",IF($AN15="AL",MAX(0,$AY15-IF($AU15="Married",IF($AY15&lt;=25999,8500,MAX(5000,8500-175*CEILING(($AY15-25999)/500,1))),IF($AU15="Head of household",IF($AY15&lt;=25999,5200,MAX(2500,5200-135*CEILING(($AY15-25999)/500,1))),IF($AY15&lt;=25999,3000,MAX(2500,3000-25*CEILING(($AY15-25999)/500,1)))))-($P15-'Methodology &amp; Sources'!$C$10*$D15)*Inputs!$C$8-IF(OR($AU15="Married",$AU15="Head of household"),3000,1500)-$AT15*IF($AY15&lt;=50000,1000,IF($AY15&lt;=100000,500,300))),IF($AN15="AR",IF(MAX(0,$AY15-2470)&lt;97701,INT(MAX(0,$AY15-2470)/100)*100+50,MAX(0,$AY15-2470)),IF($AN15="DE",MAX(0,$AI15-3250),IF($AN15="HI",MAX(0,$AI15-1144*$AS15-4350),IF($AN15="KS",MAX(0,$AI15-(9160*IF($AU15="Married",2,1)+2320*$AT15+IF($AU15="Head of household",2320,0))),IF($AN15="MD",MAX(0,$AI15-3400-3200*$AS15),IF($AN15="MN",MAX(0,$AY15-5300*$AS15),IF($AN15="MO",MAX(0,$AI15-IF($AU15="Head of household",24150,IF($AU15="Married",IF(Inputs!$C$83,16100,32200),16100))),IF($AN15="MT",$AY15,IF($AN15="ND",($C15+$L15)*Inputs!$C$8,IF($AN15="NE",MAX(0,$AY15-2440*$AS15),IF($AN15="NJ",MAX(0,$AY15-1000*$AS15),IF($AN15="NY",MAX(0,$AY15-(IF($AU15="Married",7950,7400)+1000*$AS15)),IF($AN15="OH",MAX(0,$AY15-650*$AS15),IF($AN15="OK",MAX(0,$AY15-1000*$AS15),IF($AN15="RI",MAX(0,$AI15-1000*$AS15),IF($AN15="SC",MAX(0,$AI15-5000*$AS15-IF($AS15=0,0,MIN(0.1*$AI15,7500))),IF($AN15="VA",MAX(0,$AI15-IF($AU15="Married",17500,8750)-930*$AS15-800*$AT15),IF($AN15="VT",MAX(0,$AI15-5400*$AS15),IF($AN15="WI",MAX(0,$AI15-MAX(0,IF($AU15="Married",9461-0.2*MAX(0,$AI15-25727),6702-0.12*MAX(0,$AI15-17780)))-400*$AS15),IF($AN15="WV",MAX(0,$AI15-2000*$AS15),$AI15))))))))))))))))))))))</f>
      </c>
      <c r="BA15" s="7">
        <f>IF($B15="","",IF($BW15&lt;&gt;"",$BW15,IF($BX15&lt;&gt;"",$BX15,IF($BY15&lt;&gt;"",$BY15,0))))</f>
      </c>
      <c r="BB15" s="7">
        <f>IF($B15="","",IF($AN15="AR",-29*$AS15,IF($AN15="DE",-110*$AS15,IF($AN15="MD",$AZ15*Inputs!$C$74,IF($AN15="AZ",Inputs!$C$82*($M15-$D15)*Inputs!$C$8,IF($AN15="CO",0.044*MAX(0,$AY15-IF($AU15="Married",10000,5000)),IF($AN15="IA",MAX(0,0.038*MAX(0,$AY15-IF($AU15="Head of household",19500,IF($AU15="Married",26000,13000)))-40*$AS15),IF($AN15="ID",0.053*MAX(0,$AY15-IF($AU15="Married",32000,16094)),IF($AN15="IL",0.0495*MAX(0,$AY15-(2925*$AS15+1000*$AT15)),IF($AN15="IN",(0.0295+Inputs!$C$76)*MAX(0,$AY15-(1000*$AS15+1500*$AT15+3000*Inputs!$C$86)),IF($AN15="KY",0.035*MAX(0,$AI15-3360),IF($AN15="LA",IF(Inputs!$C$84="0",0.0309*$AI15,0.0309*MAX(0,$AI15-IF(Inputs!$C$84="2",25750,12875))),IF($AN15="MA",0.05*MIN(MAX(0,$AY15-MIN(($BD14+$Q15+$R15+$S15),2000)-IF($AS15=0,0,IF($AS15=1,4400,1000*$AS15+3400))),1107750)+0.09*MAX(0,MAX(0,$AY15-MIN(($BD14+$Q15+$R15+$S15),2000)-IF($AS15=0,0,IF($AS15=1,4400,1000*$AS15+3400)))-1107750)-IF($AU15="Head of household",120,0)-110*Inputs!$C$75,IF($AN15="MI",0.0425*MAX(0,$AY15-5900*$AS15),IF($AN15="MS",0.04*MAX(0,$AI15-IF($AU15="Head of household",3400,IF($AU15="Married",4600,2300))-Inputs!$C$85-10000),IF($AN15="OR",IF(OR($AU15="Married",AND($AU15="Single",$AS15&gt;=3)),SUMPRODUCT((MAX(0,$AY15-MIN(($P15-'Methodology &amp; Sources'!$C$10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Sources'!$B$211:$J$214,0,4))*(MAX(0,$AY15-MIN(($P15-'Methodology &amp; Sources'!$C$10*$D15)*Inputs!$C$8,IF(OR($AU15="Married",AND($AU15="Single",$AS15&gt;=3)),IF($AY15&lt;250000,8750,IF($AY15&lt;260000,7000,IF($AY15&lt;270000,5250,IF($AY15&lt;280000,3500,IF($AY15&lt;290000,1750,0))))),IF($AY15&lt;125000,8750,IF($AY15&lt;130000,7000,IF($AY15&lt;135000,5250,IF($AY15&lt;140000,3500,IF($AY15&lt;145000,1750,0)))))))-IF(OR($AU15="Married",AND($AU15="Single",$AS15&gt;=3)),5820,2910))-INDEX('Methodology &amp; Sources'!$B$211:$J$214,0,4))*INDEX('Methodology &amp; Sources'!$B$211:$J$214,0,4+2)),SUMPRODUCT((MAX(0,$AY15-MIN(($P15-'Methodology &amp; Sources'!$C$10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Sources'!$B$211:$J$214,0,1))*(MAX(0,$AY15-MIN(($P15-'Methodology &amp; Sources'!$C$10*$D15)*Inputs!$C$8,IF(OR($AU15="Married",AND($AU15="Single",$AS15&gt;=3)),IF($AY15&lt;250000,8750,IF($AY15&lt;260000,7000,IF($AY15&lt;270000,5250,IF($AY15&lt;280000,3500,IF($AY15&lt;290000,1750,0))))),IF($AY15&lt;125000,8750,IF($AY15&lt;130000,7000,IF($AY15&lt;135000,5250,IF($AY15&lt;140000,3500,IF($AY15&lt;145000,1750,0)))))))-IF(OR($AU15="Married",AND($AU15="Single",$AS15&gt;=3)),5820,2910))-INDEX('Methodology &amp; Sources'!$B$211:$J$214,0,1))*INDEX('Methodology &amp; Sources'!$B$211:$J$214,0,1+2)))+263-263*IF(IF($AU15="Married",$AY15&gt;200000,$AY15&gt;100000),0,$AS15),IF($AN15="PA",0.0307*(($O15+$E15+$G15)*Inputs!$C$8),IF($AN15="NY",IF($AU15="Married",IF($AZ15&gt;=2155350,0,IF($AZ15&gt;=1077550,0.48,IF($AZ15&gt;=373200,1.21,IF($AZ15&gt;=323200,0.21,IF($AZ15&gt;=211550,-0.19,IF($AZ15&gt;=157650,-2.8,IF($AZ15&gt;=107650,-0.8,IF($AZ15&gt;=96800,0.05,IF($AZ15&gt;=80650,-0.1,IF($AZ15&gt;=13900,0.4,IF($AZ15&gt;=11700,-0.3,IF($AZ15&gt;=8500,0.5,0)))))))))))),IF($AZ15&gt;=1077550,0,IF($AZ15&gt;=265400,4.29,IF($AZ15&gt;=215400,2.29,IF($AZ15&gt;=157650,2.29,IF($AZ15&gt;=107650,0.29,IF($AZ15&gt;=96800,0.05,IF($AZ15&gt;=80650,-0.1,IF($AZ15&gt;=13900,0.4,IF($AZ15&gt;=11700,-0.3,IF($AZ15&gt;=8500,0.5,0))))))))))),0))))))))))))))))))</f>
      </c>
      <c r="BC15" s="7">
        <f>IF($B15="","",IF($AN15="AL",0.05*$D15,IF($AN15="AR",0.039*$D15,IF($AN15="ID",0.053*$D15,IF($AN15="IN",(0.0295+Inputs!$C$76)*$D15,IF($AN15="KS",0.05*$D15,IF($AN15="MA",0.09*MIN($D15,MAX(0,MAX(0,$AY15-MIN(($BD14+$Q15+$R15+$S15),2000)-IF($AS15=0,0,IF($AS15=1,4400,1000*$AS15+3400)))+$D15-1107750))+0.05*($D15-MIN($D15,MAX(0,MAX(0,$AY15-MIN(($BD14+$Q15+$R15+$S15),2000)-IF($AS15=0,0,IF($AS15=1,4400,1000*$AS15+3400)))+$D15-1107750))),IF($AN15="MD",(0.065+Inputs!$C$74)*$D15,IF($AN15="MI",0.0425*$D15,IF($AN15="MN",0.0625*$D15,IF($AN15="MO",0.047*$D15,IF($AN15="MT",0.05*$D15,IF($AN15="ND",0.015*$D15,IF($AN15="NE",0.035*$D15,IF($AN15="NJ",IF(Inputs!$C$77="B",SUMPRODUCT(($D15*Inputs!$C$8&gt;INDEX('Methodology &amp; Sources'!$B$155:$J$162,0,4))*($D15*Inputs!$C$8-INDEX('Methodology &amp; Sources'!$B$155:$J$162,0,4))*INDEX('Methodology &amp; Sources'!$B$155:$J$162,0,4+2)),IF(Inputs!$C$77="C",SUMPRODUCT(($D15*Inputs!$C$8&gt;INDEX('Methodology &amp; Sources'!$B$155:$J$162,0,7))*($D15*Inputs!$C$8-INDEX('Methodology &amp; Sources'!$B$155:$J$162,0,7))*INDEX('Methodology &amp; Sources'!$B$155:$J$162,0,7+2)),IF(Inputs!$C$77="D",SUMPRODUCT(($D15*Inputs!$C$8&gt;INDEX('Methodology &amp; Sources'!$B$167:$J$179,0,1))*($D15*Inputs!$C$8-INDEX('Methodology &amp; Sources'!$B$167:$J$179,0,1))*INDEX('Methodology &amp; Sources'!$B$167:$J$179,0,1+2)),IF(Inputs!$C$77="E",SUMPRODUCT(($D15*Inputs!$C$8&gt;INDEX('Methodology &amp; Sources'!$B$167:$J$179,0,4))*($D15*Inputs!$C$8-INDEX('Methodology &amp; Sources'!$B$167:$J$179,0,4))*INDEX('Methodology &amp; Sources'!$B$167:$J$179,0,4+2)),SUMPRODUCT(($D15*Inputs!$C$8&gt;INDEX('Methodology &amp; Sources'!$B$155:$J$162,0,1))*($D15*Inputs!$C$8-INDEX('Methodology &amp; Sources'!$B$155:$J$162,0,1))*INDEX('Methodology &amp; Sources'!$B$155:$J$162,0,1+2))))))/Inputs!$C$8,IF($AN15="NY",0.117*$D15,IF($AN15="OH",0.0275*$D15,IF($AN15="OK",0.045*$D15,IF($AN15="OR",0.08*$D15,IF($AN15="WI",IF($AY15&lt;12760,0.0354,IF($AY15&lt;25520,0.0465,IF($AY15&lt;280950,0.053,0.0765)))*$D15,0))))))))))))))))))))</f>
      </c>
      <c r="BD15" s="7">
        <f>IF($B15="","",$BD14+$Q15+$R15+$S15)</f>
      </c>
      <c r="BE15" s="6">
        <f>IF($B15="",$BE14,$BE14+$BF15)</f>
      </c>
      <c r="BF15" s="6">
        <f>IF($B15="","",IF(AND(IF(YEAR(IF(Inputs!$C$7="Weekly",Inputs!$C$90+7*(($BE14+1)-1),IF(Inputs!$C$7="Biweekly",Inputs!$C$90+14*(($BE14+1)-1),IF(Inputs!$C$7="Semimonthly",DATE(YEAR(Inputs!$C$9),MONTH(Inputs!$C$9)+INT((($BE14+1)-1+'Rest of 2026'!$C$2)/2),MIN(DAY(Inputs!$C$9),DAY(EOMONTH(DATE(YEAR(Inputs!$C$9),MONTH(Inputs!$C$9)+INT((($BE14+1)-1+'Rest of 2026'!$C$2)/2),1),0))))+IF(MOD(($BE14+1)-1+'Rest of 2026'!$C$2,2)=1,15,0),EDATE(Inputs!$C$90,($BE14+1)-1)))))&lt;&gt;Inputs!$C$10,"",IF(Inputs!$C$7="Weekly",Inputs!$C$90+7*(($BE14+1)-1),IF(Inputs!$C$7="Biweekly",Inputs!$C$90+14*(($BE14+1)-1),IF(Inputs!$C$7="Semimonthly",DATE(YEAR(Inputs!$C$9),MONTH(Inputs!$C$9)+INT((($BE14+1)-1+'Rest of 2026'!$C$2)/2),MIN(DAY(Inputs!$C$9),DAY(EOMONTH(DATE(YEAR(Inputs!$C$9),MONTH(Inputs!$C$9)+INT((($BE14+1)-1+'Rest of 2026'!$C$2)/2),1),0))))+IF(MOD(($BE14+1)-1+'Rest of 2026'!$C$2,2)=1,15,0),EDATE(Inputs!$C$90,($BE14+1)-1)))))&lt;&gt;"",$B15=IF(YEAR(IF(Inputs!$C$7="Weekly",Inputs!$C$90+7*(($BE14+1)-1),IF(Inputs!$C$7="Biweekly",Inputs!$C$90+14*(($BE14+1)-1),IF(Inputs!$C$7="Semimonthly",DATE(YEAR(Inputs!$C$9),MONTH(Inputs!$C$9)+INT((($BE14+1)-1+'Rest of 2026'!$C$2)/2),MIN(DAY(Inputs!$C$9),DAY(EOMONTH(DATE(YEAR(Inputs!$C$9),MONTH(Inputs!$C$9)+INT((($BE14+1)-1+'Rest of 2026'!$C$2)/2),1),0))))+IF(MOD(($BE14+1)-1+'Rest of 2026'!$C$2,2)=1,15,0),EDATE(Inputs!$C$90,($BE14+1)-1)))))&lt;&gt;Inputs!$C$10,"",IF(Inputs!$C$7="Weekly",Inputs!$C$90+7*(($BE14+1)-1),IF(Inputs!$C$7="Biweekly",Inputs!$C$90+14*(($BE14+1)-1),IF(Inputs!$C$7="Semimonthly",DATE(YEAR(Inputs!$C$9),MONTH(Inputs!$C$9)+INT((($BE14+1)-1+'Rest of 2026'!$C$2)/2),MIN(DAY(Inputs!$C$9),DAY(EOMONTH(DATE(YEAR(Inputs!$C$9),MONTH(Inputs!$C$9)+INT((($BE14+1)-1+'Rest of 2026'!$C$2)/2),1),0))))+IF(MOD(($BE14+1)-1+'Rest of 2026'!$C$2,2)=1,15,0),EDATE(Inputs!$C$90,($BE14+1)-1)))))),1,0))</f>
      </c>
      <c r="BG15" s="7">
        <f>IF($B15="","",$BG14+$H15)</f>
      </c>
      <c r="BH15" s="7">
        <f>IF($B15="","",$BH14+$I15)</f>
      </c>
      <c r="BI15" s="7">
        <f>IF($B15="","",$BI14+$G15)</f>
      </c>
      <c r="BJ15" s="7">
        <f>IF($B15="","",IFERROR(LOOKUP(2,1/((((Events!$C$6:$C$17="Deduction start"))*(Events!$D$6:$D$17="Health FSA"))*(Events!$B$6:$B$17&lt;=$B15)*(Events!$B$6:$B$17&lt;&gt;"")),Events!$E$6:$E$17),Inputs!$D$38))</f>
      </c>
      <c r="BK15" s="7">
        <f>IF($B15="","",IFERROR(LOOKUP(2,1/((((Events!$C$6:$C$17="Deduction start"))*(Events!$D$6:$D$17="Dependent-care FSA"))*(Events!$B$6:$B$17&lt;=$B15)*(Events!$B$6:$B$17&lt;&gt;"")),Events!$E$6:$E$17),Inputs!$D$39))</f>
      </c>
      <c r="BL15" s="7">
        <f>IF($B15="","",IFERROR(LOOKUP(2,1/((((Events!$C$6:$C$17="Deduction start")+(Events!$C$6:$C$17="Deduction stop"))*(Events!$D$6:$D$17="HSA"))*(Events!$B$6:$B$17&lt;=$B15)*(Events!$B$6:$B$17&lt;&gt;"")),Events!$I$6:$I$17),Inputs!$D$35))</f>
      </c>
      <c r="BM15" s="7">
        <f>IF($B15="","",IFERROR(LOOKUP(2,1/((((Events!$C$6:$C$17="Deduction start")+(Events!$C$6:$C$17="Deduction stop"))*(Events!$D$6:$D$17="Premiums"))*(Events!$B$6:$B$17&lt;=$B15)*(Events!$B$6:$B$17&lt;&gt;"")),Events!$I$6:$I$17),Inputs!$D$40+Inputs!$D$41+Inputs!$D$42))</f>
      </c>
      <c r="BN15" s="7">
        <f>IF($B15="","",IFERROR(LOOKUP(2,1/((((Events!$C$6:$C$17="Deduction start")+(Events!$C$6:$C$17="Deduction stop"))*(Events!$D$6:$D$17="Commuter"))*(Events!$B$6:$B$17&lt;=$B15)*(Events!$B$6:$B$17&lt;&gt;"")),Events!$I$6:$I$17),Inputs!$D$43))</f>
      </c>
      <c r="BO15" s="7">
        <f>IF($B15="","",IFERROR(LOOKUP(2,1/((((Events!$C$6:$C$17="Deduction start")+(Events!$C$6:$C$17="Deduction stop"))*(Events!$D$6:$D$17="Other pre-tax"))*(Events!$B$6:$B$17&lt;=$B15)*(Events!$B$6:$B$17&lt;&gt;"")),Events!$I$6:$I$17),Inputs!$D$44))</f>
      </c>
      <c r="BP15" s="7">
        <f>IF($B15="","",IFERROR(LOOKUP(2,1/((((Events!$C$6:$C$17="Deduction start")+(Events!$C$6:$C$17="Deduction stop"))*(Events!$D$6:$D$17="Other post-tax"))*(Events!$B$6:$B$17&lt;=$B15)*(Events!$B$6:$B$17&lt;&gt;"")),Events!$I$6:$I$17),Inputs!$D$45))</f>
      </c>
      <c r="BQ15" s="6">
        <f>IF($B15="","",IFERROR(LOOKUP(2,1/((((Events!$C$6:$C$17="Deduction start")+(Events!$C$6:$C$17="Deduction stop"))*(Events!$D$6:$D$17="Health FSA"))*(Events!$B$6:$B$17&lt;=$B15)*(Events!$B$6:$B$17&lt;&gt;"")),Events!$J$6:$J$17),0))</f>
      </c>
      <c r="BR15" s="6">
        <f>IF($B15="","",IFERROR(LOOKUP(2,1/((((Events!$C$6:$C$17="Deduction start")+(Events!$C$6:$C$17="Deduction stop"))*(Events!$D$6:$D$17="Dependent-care FSA"))*(Events!$B$6:$B$17&lt;=$B15)*(Events!$B$6:$B$17&lt;&gt;"")),Events!$J$6:$J$17),0))</f>
      </c>
      <c r="BS15" s="6">
        <f>IF($B15="","",IF(SUMPRODUCT((Events!$C$6:$C$17="Deduction start")*(Events!$B$6:$B$17&lt;=$B15)*(Events!$B$6:$B$17&lt;&gt;"")*(Events!$D$6:$D$17="Health FSA"))&gt;0,1,0))</f>
      </c>
      <c r="BT15" s="6">
        <f>IF($B15="","",IF(SUMPRODUCT((Events!$C$6:$C$17="Deduction start")*(Events!$B$6:$B$17&lt;=$B15)*(Events!$B$6:$B$17&lt;&gt;"")*(Events!$D$6:$D$17="Dependent-care FSA"))&gt;0,1,0))</f>
      </c>
      <c r="BU15" s="24">
        <f>IF($B15="","",IF(Inputs!$C$13,SUMPRODUCT(($AH15&gt;=INDEX('Methodology &amp; Sources'!$B$29:$J$36,0,IF(Inputs!$C$12="MFJ",1,IF(Inputs!$C$12="HoH",7,4))))*INDEX('Methodology &amp; Sources'!$B$29:$J$36,0,IF(Inputs!$C$12="MFJ",1,IF(Inputs!$C$12="HoH",7,4))+2)),SUMPRODUCT(($AH15&gt;=INDEX('Methodology &amp; Sources'!$B$19:$J$26,0,IF(Inputs!$C$12="MFJ",1,IF(Inputs!$C$12="HoH",7,4))))*INDEX('Methodology &amp; Sources'!$B$19:$J$26,0,IF(Inputs!$C$12="MFJ",1,IF(Inputs!$C$12="HoH",7,4))+2))))</f>
      </c>
      <c r="BV15" s="24">
        <f>IF($B15="","",IF($BZ15&lt;&gt;"",$BZ15,IF($CA15&lt;&gt;"",$CA15,IF($CB15&lt;&gt;"",$CB15,IF($CC15&lt;&gt;"",$CC15,0)))))</f>
      </c>
      <c r="BW15" s="7">
        <f>IF($B15="","",IF($AN15="MD",IF(OR($AU15="Married",$AU15="Head of household"),SUMPRODUCT(($AZ15&gt;INDEX('Methodology &amp; Sources'!$B$114:$J$120,0,1))*($AZ15-INDEX('Methodology &amp; Sources'!$B$114:$J$120,0,1))*INDEX('Methodology &amp; Sources'!$B$114:$J$120,0,1+2)),SUMPRODUCT(($AZ15&gt;INDEX('Methodology &amp; Sources'!$B$103:$J$109,0,7))*($AZ15-INDEX('Methodology &amp; Sources'!$B$103:$J$109,0,7))*INDEX('Methodology &amp; Sources'!$B$103:$J$109,0,7+2))),IF($AN15="MO",SUMPRODUCT(($AZ15&gt;INDEX('Methodology &amp; Sources'!$B$125:$J$132,0,1))*($AZ15-INDEX('Methodology &amp; Sources'!$B$125:$J$132,0,1))*INDEX('Methodology &amp; Sources'!$B$125:$J$132,0,1+2)),IF($AN15="MT",IF($AU15="Head of household",SUMPRODUCT(($AZ15&gt;INDEX('Methodology &amp; Sources'!$B$137:$J$139,0,1))*($AZ15-INDEX('Methodology &amp; Sources'!$B$137:$J$139,0,1))*INDEX('Methodology &amp; Sources'!$B$137:$J$139,0,1+2)),IF($AU15="Married",SUMPRODUCT(($AZ15&gt;INDEX('Methodology &amp; Sources'!$B$125:$J$132,0,7))*($AZ15-INDEX('Methodology &amp; Sources'!$B$125:$J$132,0,7))*INDEX('Methodology &amp; Sources'!$B$125:$J$132,0,7+2)),SUMPRODUCT(($AZ15&gt;INDEX('Methodology &amp; Sources'!$B$125:$J$132,0,4))*($AZ15-INDEX('Methodology &amp; Sources'!$B$125:$J$132,0,4))*INDEX('Methodology &amp; Sources'!$B$125:$J$132,0,4+2)))),IF($AN15="ND",IF($AU15="Head of household",SUMPRODUCT(($AZ15&gt;INDEX('Methodology &amp; Sources'!$B$144:$J$150,0,1))*($AZ15-INDEX('Methodology &amp; Sources'!$B$144:$J$150,0,1))*INDEX('Methodology &amp; Sources'!$B$144:$J$150,0,1+2)),IF($AU15="Married",SUMPRODUCT(($AZ15&gt;INDEX('Methodology &amp; Sources'!$B$137:$J$139,0,7))*($AZ15-INDEX('Methodology &amp; Sources'!$B$137:$J$139,0,7))*INDEX('Methodology &amp; Sources'!$B$137:$J$139,0,7+2)),SUMPRODUCT(($AZ15&gt;INDEX('Methodology &amp; Sources'!$B$137:$J$139,0,4))*($AZ15-INDEX('Methodology &amp; Sources'!$B$137:$J$139,0,4))*INDEX('Methodology &amp; Sources'!$B$137:$J$139,0,4+2)))),IF($AN15="NJ",IF(Inputs!$C$77="B",SUMPRODUCT(($AZ15&gt;INDEX('Methodology &amp; Sources'!$B$155:$J$162,0,4))*($AZ15-INDEX('Methodology &amp; Sources'!$B$155:$J$162,0,4))*INDEX('Methodology &amp; Sources'!$B$155:$J$162,0,4+2)),IF(Inputs!$C$77="C",SUMPRODUCT(($AZ15&gt;INDEX('Methodology &amp; Sources'!$B$155:$J$162,0,7))*($AZ15-INDEX('Methodology &amp; Sources'!$B$155:$J$162,0,7))*INDEX('Methodology &amp; Sources'!$B$155:$J$162,0,7+2)),IF(Inputs!$C$77="D",SUMPRODUCT(($AZ15&gt;INDEX('Methodology &amp; Sources'!$B$167:$J$179,0,1))*($AZ15-INDEX('Methodology &amp; Sources'!$B$167:$J$179,0,1))*INDEX('Methodology &amp; Sources'!$B$167:$J$179,0,1+2)),IF(Inputs!$C$77="E",SUMPRODUCT(($AZ15&gt;INDEX('Methodology &amp; Sources'!$B$167:$J$179,0,4))*($AZ15-INDEX('Methodology &amp; Sources'!$B$167:$J$179,0,4))*INDEX('Methodology &amp; Sources'!$B$167:$J$179,0,4+2)),SUMPRODUCT(($AZ15&gt;INDEX('Methodology &amp; Sources'!$B$155:$J$162,0,1))*($AZ15-INDEX('Methodology &amp; Sources'!$B$155:$J$162,0,1))*INDEX('Methodology &amp; Sources'!$B$155:$J$162,0,1+2)))))),IF($AN15="NY",IF($AU15="Married",IF($AZ15&gt;=2155350,$AZ15*IF($AZ15&gt;25000000,0.117,IF($AZ15&gt;5000000,0.111,0.1045)),SUMPRODUCT(($AZ15&gt;INDEX('Methodology &amp; Sources'!$B$184:$J$198,0,1))*($AZ15-INDEX('Methodology &amp; Sources'!$B$184:$J$198,0,1))*INDEX('Methodology &amp; Sources'!$B$184:$J$198,0,1+2))),IF($AZ15&gt;=1077550,$AZ15*IF($AZ15&gt;25000000,0.117,IF($AZ15&gt;5000000,0.111,0.1045)),SUMPRODUCT(($AZ15&gt;INDEX('Methodology &amp; Sources'!$B$167:$J$179,0,7))*($AZ15-INDEX('Methodology &amp; Sources'!$B$167:$J$179,0,7))*INDEX('Methodology &amp; Sources'!$B$167:$J$179,0,7+2)))),"")))))))</f>
      </c>
      <c r="BX15" s="7">
        <f>IF($B15="","",IF($AN15="AL",IF(OR($AU15="Married",$AU15="Head of household"),SUMPRODUCT(($AZ15&gt;INDEX('Methodology &amp; Sources'!$B$82:$J$86,0,4))*($AZ15-INDEX('Methodology &amp; Sources'!$B$82:$J$86,0,4))*INDEX('Methodology &amp; Sources'!$B$82:$J$86,0,4+2)),SUMPRODUCT(($AZ15&gt;INDEX('Methodology &amp; Sources'!$B$82:$J$86,0,1))*($AZ15-INDEX('Methodology &amp; Sources'!$B$82:$J$86,0,1))*INDEX('Methodology &amp; Sources'!$B$82:$J$86,0,1+2))),IF($AN15="KS",IF($AU15="Married",SUMPRODUCT(($AZ15&gt;INDEX('Methodology &amp; Sources'!$B$103:$J$109,0,4))*($AZ15-INDEX('Methodology &amp; Sources'!$B$103:$J$109,0,4))*INDEX('Methodology &amp; Sources'!$B$103:$J$109,0,4+2)),SUMPRODUCT(($AZ15&gt;INDEX('Methodology &amp; Sources'!$B$103:$J$109,0,1))*($AZ15-INDEX('Methodology &amp; Sources'!$B$103:$J$109,0,1))*INDEX('Methodology &amp; Sources'!$B$103:$J$109,0,1+2))),IF($AN15="MN",IF($AU15="Married",SUMPRODUCT(($AZ15&gt;INDEX('Methodology &amp; Sources'!$B$114:$J$120,0,7))*($AZ15-INDEX('Methodology &amp; Sources'!$B$114:$J$120,0,7))*INDEX('Methodology &amp; Sources'!$B$114:$J$120,0,7+2)),SUMPRODUCT(($AZ15&gt;INDEX('Methodology &amp; Sources'!$B$114:$J$120,0,4))*($AZ15-INDEX('Methodology &amp; Sources'!$B$114:$J$120,0,4))*INDEX('Methodology &amp; Sources'!$B$114:$J$120,0,4+2))),IF($AN15="NE",MAX(IF($AU15="Married",SUMPRODUCT(($AZ15&gt;INDEX('Methodology &amp; Sources'!$B$144:$J$150,0,7))*($AZ15-INDEX('Methodology &amp; Sources'!$B$144:$J$150,0,7))*INDEX('Methodology &amp; Sources'!$B$144:$J$150,0,7+2)),SUMPRODUCT(($AZ15&gt;INDEX('Methodology &amp; Sources'!$B$144:$J$150,0,4))*($AZ15-INDEX('Methodology &amp; Sources'!$B$144:$J$150,0,4))*INDEX('Methodology &amp; Sources'!$B$144:$J$150,0,4+2))),0.015*$AZ15),IF($AN15="OH",IF($B15&gt;=DATE(2027,8,1),SUMPRODUCT(($AZ15&gt;INDEX('Methodology &amp; Sources'!$B$203:$J$206,0,1))*($AZ15-INDEX('Methodology &amp; Sources'!$B$203:$J$206,0,1))*INDEX('Methodology &amp; Sources'!$B$203:$J$206,0,1+2)),SUMPRODUCT(($AZ15&gt;INDEX('Methodology &amp; Sources'!$B$184:$J$198,0,7))*($AZ15-INDEX('Methodology &amp; Sources'!$B$184:$J$198,0,7))*INDEX('Methodology &amp; Sources'!$B$184:$J$198,0,7+2))),IF($AN15="OK",IF($AU15="Married",SUMPRODUCT(($AZ15&gt;INDEX('Methodology &amp; Sources'!$B$203:$J$206,0,7))*($AZ15-INDEX('Methodology &amp; Sources'!$B$203:$J$206,0,7))*INDEX('Methodology &amp; Sources'!$B$203:$J$206,0,7+2)),SUMPRODUCT(($AZ15&gt;INDEX('Methodology &amp; Sources'!$B$203:$J$206,0,4))*($AZ15-INDEX('Methodology &amp; Sources'!$B$203:$J$206,0,4))*INDEX('Methodology &amp; Sources'!$B$203:$J$206,0,4+2))),IF($AN15="RI",SUMPRODUCT(($AZ15&gt;INDEX('Methodology &amp; Sources'!$B$211:$J$214,0,7))*($AZ15-INDEX('Methodology &amp; Sources'!$B$211:$J$214,0,7))*INDEX('Methodology &amp; Sources'!$B$211:$J$214,0,7+2)),IF($AN15="VT",IF($AU15="Married",SUMPRODUCT(($AZ15&gt;INDEX('Methodology &amp; Sources'!$B$228:$J$232,0,1))*($AZ15-INDEX('Methodology &amp; Sources'!$B$228:$J$232,0,1))*INDEX('Methodology &amp; Sources'!$B$228:$J$232,0,1+2)),SUMPRODUCT(($AZ15&gt;INDEX('Methodology &amp; Sources'!$B$219:$J$223,0,7))*($AZ15-INDEX('Methodology &amp; Sources'!$B$219:$J$223,0,7))*INDEX('Methodology &amp; Sources'!$B$219:$J$223,0,7+2))),IF($AN15="WV",IF($AU15="Married",SUMPRODUCT(($AZ15&gt;INDEX('Methodology &amp; Sources'!$B$237:$J$241,0,7))*($AZ15-INDEX('Methodology &amp; Sources'!$B$237:$J$241,0,7))*INDEX('Methodology &amp; Sources'!$B$237:$J$241,0,7+2)),SUMPRODUCT(($AZ15&gt;INDEX('Methodology &amp; Sources'!$B$228:$J$232,0,7))*($AZ15-INDEX('Methodology &amp; Sources'!$B$228:$J$232,0,7))*INDEX('Methodology &amp; Sources'!$B$228:$J$232,0,7+2))),""))))))))))</f>
      </c>
      <c r="BY15" s="7">
        <f>IF($B15="","",IF($AN15="AR",SUMPRODUCT(($AZ15&gt;INDEX('Methodology &amp; Sources'!$B$82:$J$86,0,7))*($AZ15-INDEX('Methodology &amp; Sources'!$B$82:$J$86,0,7))*INDEX('Methodology &amp; Sources'!$B$82:$J$86,0,7+2)),IF($AN15="DE",SUMPRODUCT(($AZ15&gt;INDEX('Methodology &amp; Sources'!$B$91:$J$98,0,1))*($AZ15-INDEX('Methodology &amp; Sources'!$B$91:$J$98,0,1))*INDEX('Methodology &amp; Sources'!$B$91:$J$98,0,1+2)),IF($AN15="HI",IF($AU15="Married",SUMPRODUCT(($AZ15&gt;INDEX('Methodology &amp; Sources'!$B$91:$J$98,0,7))*($AZ15-INDEX('Methodology &amp; Sources'!$B$91:$J$98,0,7))*INDEX('Methodology &amp; Sources'!$B$91:$J$98,0,7+2)),SUMPRODUCT(($AZ15&gt;INDEX('Methodology &amp; Sources'!$B$91:$J$98,0,4))*($AZ15-INDEX('Methodology &amp; Sources'!$B$91:$J$98,0,4))*INDEX('Methodology &amp; Sources'!$B$91:$J$98,0,4+2))),IF($AN15="SC",SUMPRODUCT(($AZ15&gt;INDEX('Methodology &amp; Sources'!$B$219:$J$223,0,1))*($AZ15-INDEX('Methodology &amp; Sources'!$B$219:$J$223,0,1))*INDEX('Methodology &amp; Sources'!$B$219:$J$223,0,1+2)),IF($AN15="VA",SUMPRODUCT(($AZ15&gt;INDEX('Methodology &amp; Sources'!$B$219:$J$223,0,4))*($AZ15-INDEX('Methodology &amp; Sources'!$B$219:$J$223,0,4))*INDEX('Methodology &amp; Sources'!$B$219:$J$223,0,4+2)),IF($AN15="WI",SUMPRODUCT(($AZ15&gt;INDEX('Methodology &amp; Sources'!$B$228:$J$232,0,4))*($AZ15-INDEX('Methodology &amp; Sources'!$B$228:$J$232,0,4))*INDEX('Methodology &amp; Sources'!$B$228:$J$232,0,4+2)),"")))))))</f>
      </c>
      <c r="BZ15" s="24">
        <f>IF($B15="","",IF($AN15="NJ",IF(Inputs!$C$77="B",SUMPRODUCT(($AZ15&gt;=INDEX('Methodology &amp; Sources'!$B$155:$J$162,0,4))*INDEX('Methodology &amp; Sources'!$B$155:$J$162,0,4+2)),IF(Inputs!$C$77="C",SUMPRODUCT(($AZ15&gt;=INDEX('Methodology &amp; Sources'!$B$155:$J$162,0,7))*INDEX('Methodology &amp; Sources'!$B$155:$J$162,0,7+2)),IF(Inputs!$C$77="D",SUMPRODUCT(($AZ15&gt;=INDEX('Methodology &amp; Sources'!$B$167:$J$179,0,1))*INDEX('Methodology &amp; Sources'!$B$167:$J$179,0,1+2)),IF(Inputs!$C$77="E",SUMPRODUCT(($AZ15&gt;=INDEX('Methodology &amp; Sources'!$B$167:$J$179,0,4))*INDEX('Methodology &amp; Sources'!$B$167:$J$179,0,4+2)),SUMPRODUCT(($AZ15&gt;=INDEX('Methodology &amp; Sources'!$B$155:$J$162,0,1))*INDEX('Methodology &amp; Sources'!$B$155:$J$162,0,1+2)))))),IF($AN15="OR",IF(OR($AU15="Married",AND($AU15="Single",$AS15&gt;=3)),SUMPRODUCT((MAX(0,$AY15-MIN(($P15-'Methodology &amp; Sources'!$C$10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Sources'!$B$211:$J$214,0,4))*INDEX('Methodology &amp; Sources'!$B$211:$J$214,0,4+2)),SUMPRODUCT((MAX(0,$AY15-MIN(($P15-'Methodology &amp; Sources'!$C$10*$D15)*Inputs!$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Sources'!$B$211:$J$214,0,1))*INDEX('Methodology &amp; Sources'!$B$211:$J$214,0,1+2)))*IF(($P15-'Methodology &amp; Sources'!$C$10*$D15)*Inputs!$C$8&gt;=IF(OR($AU15="Married",AND($AU15="Single",$AS15&gt;=3)),IF($AY15&lt;250000,8750,IF($AY15&lt;260000,7000,IF($AY15&lt;270000,5250,IF($AY15&lt;280000,3500,IF($AY15&lt;290000,1750,0))))),IF($AY15&lt;125000,8750,IF($AY15&lt;130000,7000,IF($AY15&lt;135000,5250,IF($AY15&lt;140000,3500,IF($AY15&lt;145000,1750,0)))))),1,1-IF(Inputs!$C$13,SUMPRODUCT(($AH15&gt;=INDEX('Methodology &amp; Sources'!$B$29:$J$36,0,IF(Inputs!$C$12="MFJ",1,IF(Inputs!$C$12="HoH",7,4))))*INDEX('Methodology &amp; Sources'!$B$29:$J$36,0,IF(Inputs!$C$12="MFJ",1,IF(Inputs!$C$12="HoH",7,4))+2)),SUMPRODUCT(($AH15&gt;=INDEX('Methodology &amp; Sources'!$B$19:$J$26,0,IF(Inputs!$C$12="MFJ",1,IF(Inputs!$C$12="HoH",7,4))))*INDEX('Methodology &amp; Sources'!$B$19:$J$26,0,IF(Inputs!$C$12="MFJ",1,IF(Inputs!$C$12="HoH",7,4))+2)))),IF($AN15="MI",IF($AY15&gt;5900*$AS15,0.0425,0),""))))</f>
      </c>
      <c r="CA15" s="24">
        <f>IF($B15="","",IF($AN15="AL",IF(OR($AU15="Married",$AU15="Head of household"),SUMPRODUCT(($AZ15&gt;=INDEX('Methodology &amp; Sources'!$B$82:$J$86,0,4))*INDEX('Methodology &amp; Sources'!$B$82:$J$86,0,4+2)),SUMPRODUCT(($AZ15&gt;=INDEX('Methodology &amp; Sources'!$B$82:$J$86,0,1))*INDEX('Methodology &amp; Sources'!$B$82:$J$86,0,1+2)))*(1-IF(Inputs!$C$13,SUMPRODUCT(($AH15&gt;=INDEX('Methodology &amp; Sources'!$B$29:$J$36,0,IF(Inputs!$C$12="MFJ",1,IF(Inputs!$C$12="HoH",7,4))))*INDEX('Methodology &amp; Sources'!$B$29:$J$36,0,IF(Inputs!$C$12="MFJ",1,IF(Inputs!$C$12="HoH",7,4))+2)),SUMPRODUCT(($AH15&gt;=INDEX('Methodology &amp; Sources'!$B$19:$J$26,0,IF(Inputs!$C$12="MFJ",1,IF(Inputs!$C$12="HoH",7,4))))*INDEX('Methodology &amp; Sources'!$B$19:$J$26,0,IF(Inputs!$C$12="MFJ",1,IF(Inputs!$C$12="HoH",7,4))+2)))),IF($AN15="KS",IF($AU15="Married",SUMPRODUCT(($AZ15&gt;=INDEX('Methodology &amp; Sources'!$B$103:$J$109,0,4))*INDEX('Methodology &amp; Sources'!$B$103:$J$109,0,4+2)),SUMPRODUCT(($AZ15&gt;=INDEX('Methodology &amp; Sources'!$B$103:$J$109,0,1))*INDEX('Methodology &amp; Sources'!$B$103:$J$109,0,1+2))),IF($AN15="MD",IF(OR($AU15="Married",$AU15="Head of household"),SUMPRODUCT(($AZ15&gt;=INDEX('Methodology &amp; Sources'!$B$114:$J$120,0,1))*INDEX('Methodology &amp; Sources'!$B$114:$J$120,0,1+2)),SUMPRODUCT(($AZ15&gt;=INDEX('Methodology &amp; Sources'!$B$103:$J$109,0,7))*INDEX('Methodology &amp; Sources'!$B$103:$J$109,0,7+2)))+Inputs!$C$74,IF($AN15="MT",IF($AU15="Head of household",SUMPRODUCT(($AZ15&gt;=INDEX('Methodology &amp; Sources'!$B$137:$J$139,0,1))*INDEX('Methodology &amp; Sources'!$B$137:$J$139,0,1+2)),IF($AU15="Married",SUMPRODUCT(($AZ15&gt;=INDEX('Methodology &amp; Sources'!$B$125:$J$132,0,7))*INDEX('Methodology &amp; Sources'!$B$125:$J$132,0,7+2)),SUMPRODUCT(($AZ15&gt;=INDEX('Methodology &amp; Sources'!$B$125:$J$132,0,4))*INDEX('Methodology &amp; Sources'!$B$125:$J$132,0,4+2)))),IF($AN15="ND",IF($AU15="Head of household",SUMPRODUCT(($AZ15&gt;=INDEX('Methodology &amp; Sources'!$B$144:$J$150,0,1))*INDEX('Methodology &amp; Sources'!$B$144:$J$150,0,1+2)),IF($AU15="Married",SUMPRODUCT(($AZ15&gt;=INDEX('Methodology &amp; Sources'!$B$137:$J$139,0,7))*INDEX('Methodology &amp; Sources'!$B$137:$J$139,0,7+2)),SUMPRODUCT(($AZ15&gt;=INDEX('Methodology &amp; Sources'!$B$137:$J$139,0,4))*INDEX('Methodology &amp; Sources'!$B$137:$J$139,0,4+2)))),IF($AN15="NY",IF($AU15="Married",IF($AZ15&gt;=2155350,IF($AZ15&gt;25000000,0.117,IF($AZ15&gt;5000000,0.111,0.1045)),SUMPRODUCT(($AZ15&gt;=INDEX('Methodology &amp; Sources'!$B$184:$J$198,0,1))*INDEX('Methodology &amp; Sources'!$B$184:$J$198,0,1+2))),IF($AZ15&gt;=1077550,IF($AZ15&gt;25000000,0.117,IF($AZ15&gt;5000000,0.111,0.1045)),SUMPRODUCT(($AZ15&gt;=INDEX('Methodology &amp; Sources'!$B$167:$J$179,0,7))*INDEX('Methodology &amp; Sources'!$B$167:$J$179,0,7+2)))),"")))))))</f>
      </c>
      <c r="CB15" s="24">
        <f>IF($B15="","",IF($AN15="CA",SUMPRODUCT(($AJ15&gt;=INDEX('Methodology &amp; Sources'!$B$39:$J$48,0,IF($AU15="Married",4,IF($AU15="Head of household",7,1))))*INDEX('Methodology &amp; Sources'!$B$39:$J$48,0,IF($AU15="Married",4,IF($AU15="Head of household",7,1))+2)),IF($AN15="HI",IF($AU15="Married",SUMPRODUCT(($AZ15&gt;=INDEX('Methodology &amp; Sources'!$B$91:$J$98,0,7))*INDEX('Methodology &amp; Sources'!$B$91:$J$98,0,7+2)),SUMPRODUCT(($AZ15&gt;=INDEX('Methodology &amp; Sources'!$B$91:$J$98,0,4))*INDEX('Methodology &amp; Sources'!$B$91:$J$98,0,4+2))),IF($AN15="MN",IF($AU15="Married",SUMPRODUCT(($AZ15&gt;=INDEX('Methodology &amp; Sources'!$B$114:$J$120,0,7))*INDEX('Methodology &amp; Sources'!$B$114:$J$120,0,7+2)),SUMPRODUCT(($AZ15&gt;=INDEX('Methodology &amp; Sources'!$B$114:$J$120,0,4))*INDEX('Methodology &amp; Sources'!$B$114:$J$120,0,4+2))),IF($AN15="MO",SUMPRODUCT(($AZ15&gt;=INDEX('Methodology &amp; Sources'!$B$125:$J$132,0,1))*INDEX('Methodology &amp; Sources'!$B$125:$J$132,0,1+2)),IF($AN15="NE",MAX(IF($AU15="Married",SUMPRODUCT(($AZ15&gt;=INDEX('Methodology &amp; Sources'!$B$144:$J$150,0,7))*INDEX('Methodology &amp; Sources'!$B$144:$J$150,0,7+2)),SUMPRODUCT(($AZ15&gt;=INDEX('Methodology &amp; Sources'!$B$144:$J$150,0,4))*INDEX('Methodology &amp; Sources'!$B$144:$J$150,0,4+2))),0.015),IF($AN15="OH",IF($B15&gt;=DATE(2027,8,1),SUMPRODUCT(($AZ15&gt;=INDEX('Methodology &amp; Sources'!$B$203:$J$206,0,1))*INDEX('Methodology &amp; Sources'!$B$203:$J$206,0,1+2)),SUMPRODUCT(($AZ15&gt;=INDEX('Methodology &amp; Sources'!$B$184:$J$198,0,7))*INDEX('Methodology &amp; Sources'!$B$184:$J$198,0,7+2))),IF($AN15="OK",IF($AU15="Married",SUMPRODUCT(($AZ15&gt;=INDEX('Methodology &amp; Sources'!$B$203:$J$206,0,7))*INDEX('Methodology &amp; Sources'!$B$203:$J$206,0,7+2)),SUMPRODUCT(($AZ15&gt;=INDEX('Methodology &amp; Sources'!$B$203:$J$206,0,4))*INDEX('Methodology &amp; Sources'!$B$203:$J$206,0,4+2))),IF($AN15="RI",SUMPRODUCT(($AZ15&gt;=INDEX('Methodology &amp; Sources'!$B$211:$J$214,0,7))*INDEX('Methodology &amp; Sources'!$B$211:$J$214,0,7+2)),IF($AN15="SC",SUMPRODUCT(($AZ15&gt;=INDEX('Methodology &amp; Sources'!$B$219:$J$223,0,1))*INDEX('Methodology &amp; Sources'!$B$219:$J$223,0,1+2)),IF($AN15="VT",IF($AU15="Married",SUMPRODUCT(($AZ15&gt;=INDEX('Methodology &amp; Sources'!$B$228:$J$232,0,1))*INDEX('Methodology &amp; Sources'!$B$228:$J$232,0,1+2)),SUMPRODUCT(($AZ15&gt;=INDEX('Methodology &amp; Sources'!$B$219:$J$223,0,7))*INDEX('Methodology &amp; Sources'!$B$219:$J$223,0,7+2))),IF($AN15="WV",IF($AU15="Married",SUMPRODUCT(($AZ15&gt;=INDEX('Methodology &amp; Sources'!$B$237:$J$241,0,7))*INDEX('Methodology &amp; Sources'!$B$237:$J$241,0,7+2)),SUMPRODUCT(($AZ15&gt;=INDEX('Methodology &amp; Sources'!$B$228:$J$232,0,7))*INDEX('Methodology &amp; Sources'!$B$228:$J$232,0,7+2))),IF($AN15="IN",(0.0295+Inputs!$C$76),"")))))))))))))</f>
      </c>
      <c r="CC15" s="24">
        <f>IF($B15="","",IF($AN15="AR",SUMPRODUCT(($AZ15&gt;=INDEX('Methodology &amp; Sources'!$B$82:$J$86,0,7))*INDEX('Methodology &amp; Sources'!$B$82:$J$86,0,7+2)),IF($AN15="DE",SUMPRODUCT(($AZ15&gt;=INDEX('Methodology &amp; Sources'!$B$91:$J$98,0,1))*INDEX('Methodology &amp; Sources'!$B$91:$J$98,0,1+2)),IF($AN15="VA",SUMPRODUCT(($AZ15&gt;=INDEX('Methodology &amp; Sources'!$B$219:$J$223,0,4))*INDEX('Methodology &amp; Sources'!$B$219:$J$223,0,4+2)),IF($AN15="WI",SUMPRODUCT(($AZ15&gt;=INDEX('Methodology &amp; Sources'!$B$228:$J$232,0,4))*INDEX('Methodology &amp; Sources'!$B$228:$J$232,0,4+2)),IF($AN15="AZ",Inputs!$C$82,IF($AN15="CO",IF($AY15&gt;IF($AU15="Married",10000,5000),0.044,0),IF($AN15="IA",IF($AY15&gt;IF($AU15="Head of household",19500,IF($AU15="Married",26000,13000)),0.038,0),IF($AN15="ID",IF($AY15&gt;IF($AU15="Married",32000,16094),0.053,0),IF($AN15="IL",IF($AY15&gt;(2925*$AS15+1000*$AT15),0.0495,0),IF($AN15="KY",IF($AI15&gt;3360,0.035,0),IF($AN15="LA",0.0309,IF($AN15="MA",IF(MAX(0,$AY15-MIN(($BD14+$Q15+$R15+$S15),2000)-IF($AS15=0,0,IF($AS15=1,4400,1000*$AS15+3400)))&gt;=1107750,0.09,0.05),IF($AN15="MS",IF($AI15-IF($AU15="Head of household",3400,IF($AU15="Married",4600,2300))-Inputs!$C$85&gt;10000,0.04,0),IF($AN15="PA",0.0307,"")))))))))))))))</f>
      </c>
      <c r="CD15" s="21">
        <f>IF(YEAR(IF(Inputs!$C$7="Weekly",Inputs!$C$90+7*(($BE14+1)-1),IF(Inputs!$C$7="Biweekly",Inputs!$C$90+14*(($BE14+1)-1),IF(Inputs!$C$7="Semimonthly",DATE(YEAR(Inputs!$C$9),MONTH(Inputs!$C$9)+INT((($BE14+1)-1+'Rest of 2026'!$C$2)/2),MIN(DAY(Inputs!$C$9),DAY(EOMONTH(DATE(YEAR(Inputs!$C$9),MONTH(Inputs!$C$9)+INT((($BE14+1)-1+'Rest of 2026'!$C$2)/2),1),0))))+IF(MOD(($BE14+1)-1+'Rest of 2026'!$C$2,2)=1,15,0),EDATE(Inputs!$C$90,($BE14+1)-1)))))&lt;&gt;Inputs!$C$10,"",IF(Inputs!$C$7="Weekly",Inputs!$C$90+7*(($BE14+1)-1),IF(Inputs!$C$7="Biweekly",Inputs!$C$90+14*(($BE14+1)-1),IF(Inputs!$C$7="Semimonthly",DATE(YEAR(Inputs!$C$9),MONTH(Inputs!$C$9)+INT((($BE14+1)-1+'Rest of 2026'!$C$2)/2),MIN(DAY(Inputs!$C$9),DAY(EOMONTH(DATE(YEAR(Inputs!$C$9),MONTH(Inputs!$C$9)+INT((($BE14+1)-1+'Rest of 2026'!$C$2)/2),1),0))))+IF(MOD(($BE14+1)-1+'Rest of 2026'!$C$2,2)=1,15,0),EDATE(Inputs!$C$90,($BE14+1)-1)))))</f>
      </c>
      <c r="CE15" s="21">
        <f>IF(SUMPRODUCT(MIN(IF((Inputs!$C$58:$C$67&gt;MAX($B$6:$B14))*(Inputs!$C$58:$C$67&gt;=DATE(Inputs!$C$10,1,1))*(Inputs!$C$58:$C$67&lt;=DATE(Inputs!$C$10,12,31)),Inputs!$C$58:$C$67,999999)))=999999,"",SUMPRODUCT(MIN(IF((Inputs!$C$58:$C$67&gt;MAX($B$6:$B14))*(Inputs!$C$58:$C$67&gt;=DATE(Inputs!$C$10,1,1))*(Inputs!$C$58:$C$67&lt;=DATE(Inputs!$C$10,12,31)),Inputs!$C$58:$C$67,999999))))</f>
      </c>
    </row>
    <row r="16">
      <c r="A16" t="n">
        <v>11</v>
      </c>
      <c r="B16" s="21">
        <f>IF(AND($CD16="",$CE16=""),"",IF($CE16="",$CD16,IF($CD16="",$CE16,MIN($CD16,$CE16))))</f>
      </c>
      <c r="C16" s="7">
        <f>IF($B16="","",IF($BF16=0,0,IF(Inputs!$C$4="Annual salary",ROUND($AK16/IF(AND(Inputs!$C$88="Actual paydays",MONTH(Inputs!$C$90)=1),MAX(1,MAX($BE$6:$BE$68)),Inputs!$C$8),2),$AK16)))</f>
      </c>
      <c r="D16" s="7">
        <f>IF($B16="","",SUMIF(Inputs!$C$58:$C$67,$B16,Inputs!$D$58:$D$67))</f>
      </c>
      <c r="E16" s="7">
        <f>IF($B16="","",ROUND(MAX(0,MIN(IF($AL16="Percent",$AM16*($C16+$D16),$AM16),MAX(0,Inputs!$C$34-$AC15))),2))</f>
      </c>
      <c r="F16" s="7">
        <f>IF($B16="","",ROUND(MAX(0,MIN(IF(Inputs!$C$32="Percent",Inputs!$D$32*($C16+$D16),Inputs!$D$32),MAX(0,Inputs!$C$34-$AC15-$E16))),2))</f>
      </c>
      <c r="G16" s="7">
        <f>IF($B16="","",IF($BF16=0,0,ROUND(MAX(0,MIN($BL16,Inputs!$C$37-Inputs!$C$99-$BI15)),2)))</f>
      </c>
      <c r="H16" s="7">
        <f>IF($B16="","",IF(OR($BF16=0,$BQ16=1),0,ROUND(MAX(0,MIN(IF($BS16=1,ROUND(MAX(0,MIN($BJ16,'Methodology &amp; Sources'!$C$13)-$BG15)/MAX(1,MAX($BE$6:$BE$68)-($BE15)),2),ROUND(MIN($BJ16,'Methodology &amp; Sources'!$C$13)/Inputs!$C$8,2)),MIN($BJ16,'Methodology &amp; Sources'!$C$13)-$BG15)),2)))</f>
      </c>
      <c r="I16" s="7">
        <f>IF($B16="","",IF(OR($BF16=0,$BR16=1),0,ROUND(MAX(0,MIN(IF($BT16=1,ROUND(MAX(0,MIN($BK16,IF(Inputs!$C$12="MFJ",'Methodology &amp; Sources'!$C$14,'Methodology &amp; Sources'!$C$15))-$BH15)/MAX(1,MAX($BE$6:$BE$68)-($BE15)),2),ROUND(MIN($BK16,IF(Inputs!$C$12="MFJ",'Methodology &amp; Sources'!$C$14,'Methodology &amp; Sources'!$C$15))/Inputs!$C$8,2)),MIN($BK16,IF(Inputs!$C$12="MFJ",'Methodology &amp; Sources'!$C$14,'Methodology &amp; Sources'!$C$15))-$BH15)),2)))</f>
      </c>
      <c r="J16" s="7">
        <f>IF($B16="","",IF($BF16=0,0,$BM16))</f>
      </c>
      <c r="K16" s="7">
        <f>IF($B16="","",IF($BF16=0,0,$BN16+$BO16))</f>
      </c>
      <c r="L16" s="7">
        <f>IF($B16="","",IF($BF16=0,0,Inputs!$D$46))</f>
      </c>
      <c r="M16" s="7">
        <f>IF($B16="","",$C16+$D16+$L16-$E16-$G16-$H16-$I16-$J16-$K16)</f>
      </c>
      <c r="N16" s="7">
        <f>IF($B16="","",$C16+$D16+$L16-$G16-$H16-$I16-$J16-$K16)</f>
      </c>
      <c r="O16" s="7">
        <f>IF($B16="","",$C16+$D16+$L16-$E16-$H16-$I16-$J16-$K16-IF(OR($AN16="CA",$AN16="NJ"),0,$G16))</f>
      </c>
      <c r="P16" s="7">
        <f>IF($B16="","",IF(Inputs!$C$18,0,ROUND(MAX(0,IF(Inputs!$C$13,SUMPRODUCT(($AH16&gt;INDEX('Methodology &amp; Sources'!$B$29:$J$36,0,IF(Inputs!$C$12="MFJ",1,IF(Inputs!$C$12="HoH",7,4))))*($AH16-INDEX('Methodology &amp; Sources'!$B$29:$J$36,0,IF(Inputs!$C$12="MFJ",1,IF(Inputs!$C$12="HoH",7,4))))*INDEX('Methodology &amp; Sources'!$B$29:$J$36,0,IF(Inputs!$C$12="MFJ",1,IF(Inputs!$C$12="HoH",7,4))+2)),SUMPRODUCT(($AH16&gt;INDEX('Methodology &amp; Sources'!$B$19:$J$26,0,IF(Inputs!$C$12="MFJ",1,IF(Inputs!$C$12="HoH",7,4))))*($AH16-INDEX('Methodology &amp; Sources'!$B$19:$J$26,0,IF(Inputs!$C$12="MFJ",1,IF(Inputs!$C$12="HoH",7,4))))*INDEX('Methodology &amp; Sources'!$B$19:$J$26,0,IF(Inputs!$C$12="MFJ",1,IF(Inputs!$C$12="HoH",7,4))+2)))/Inputs!$C$8-$AO16/Inputs!$C$8)+$AR16+IF(Inputs!$C$89="Aggregate",MAX(0,IF(Inputs!$C$13,SUMPRODUCT((($AH16+$D16)&gt;INDEX('Methodology &amp; Sources'!$B$29:$J$36,0,IF(Inputs!$C$12="MFJ",1,IF(Inputs!$C$12="HoH",7,4))))*(($AH16+$D16)-INDEX('Methodology &amp; Sources'!$B$29:$J$36,0,IF(Inputs!$C$12="MFJ",1,IF(Inputs!$C$12="HoH",7,4))))*INDEX('Methodology &amp; Sources'!$B$29:$J$36,0,IF(Inputs!$C$12="MFJ",1,IF(Inputs!$C$12="HoH",7,4))+2)),SUMPRODUCT((($AH16+$D16)&gt;INDEX('Methodology &amp; Sources'!$B$19:$J$26,0,IF(Inputs!$C$12="MFJ",1,IF(Inputs!$C$12="HoH",7,4))))*(($AH16+$D16)-INDEX('Methodology &amp; Sources'!$B$19:$J$26,0,IF(Inputs!$C$12="MFJ",1,IF(Inputs!$C$12="HoH",7,4))))*INDEX('Methodology &amp; Sources'!$B$19:$J$26,0,IF(Inputs!$C$12="MFJ",1,IF(Inputs!$C$12="HoH",7,4))+2)))-IF(Inputs!$C$13,SUMPRODUCT(($AH16&gt;INDEX('Methodology &amp; Sources'!$B$29:$J$36,0,IF(Inputs!$C$12="MFJ",1,IF(Inputs!$C$12="HoH",7,4))))*($AH16-INDEX('Methodology &amp; Sources'!$B$29:$J$36,0,IF(Inputs!$C$12="MFJ",1,IF(Inputs!$C$12="HoH",7,4))))*INDEX('Methodology &amp; Sources'!$B$29:$J$36,0,IF(Inputs!$C$12="MFJ",1,IF(Inputs!$C$12="HoH",7,4))+2)),SUMPRODUCT(($AH16&gt;INDEX('Methodology &amp; Sources'!$B$19:$J$26,0,IF(Inputs!$C$12="MFJ",1,IF(Inputs!$C$12="HoH",7,4))))*($AH16-INDEX('Methodology &amp; Sources'!$B$19:$J$26,0,IF(Inputs!$C$12="MFJ",1,IF(Inputs!$C$12="HoH",7,4))))*INDEX('Methodology &amp; Sources'!$B$19:$J$26,0,IF(Inputs!$C$12="MFJ",1,IF(Inputs!$C$12="HoH",7,4))+2)))),'Methodology &amp; Sources'!$C$10*$D16),2)))</f>
      </c>
      <c r="Q16" s="7">
        <f>IF($B16="","",ROUND('Methodology &amp; Sources'!$C$4*MIN($N16,MAX(0,'Methodology &amp; Sources'!$C$3-($AX16+$AB15-$AW16))),2))</f>
      </c>
      <c r="R16" s="7">
        <f>IF($B16="","",ROUND('Methodology &amp; Sources'!$C$5*$N16,2))</f>
      </c>
      <c r="S16" s="7">
        <f>IF($B16="","",ROUND('Methodology &amp; Sources'!$C$6*MAX(0,MIN($N16,$AG15+$N16-'Methodology &amp; Sources'!$C$7)),2))</f>
      </c>
      <c r="T16" s="7">
        <f>IF($B16="","",IF(Inputs!$C$26,0,IF($AN16="CA",ROUND(IF($AI16&lt;=IF(($AS16+$AT16)&gt;=2,VLOOKUP($AN16,StateTables!$A$6:$AB$56,10,FALSE),VLOOKUP($AN16,StateTables!$A$6:$AB$56,9,FALSE)),0,MAX(0,SUMPRODUCT(($AJ16&gt;INDEX('Methodology &amp; Sources'!$B$39:$J$48,0,IF($AU16="Married",4,IF($AU16="Head of household",7,1))))*($AJ16-INDEX('Methodology &amp; Sources'!$B$39:$J$48,0,IF($AU16="Married",4,IF($AU16="Head of household",7,1))))*INDEX('Methodology &amp; Sources'!$B$39:$J$48,0,IF($AU16="Married",4,IF($AU16="Head of household",7,1))+2))-VLOOKUP($AN16,StateTables!$A$6:$AB$56,11,FALSE)*$AS16)/Inputs!$C$8)+Inputs!$C$25+VLOOKUP($AN16,StateTables!$A$6:$AB$56,13,FALSE)*$D16,2),IF(VLOOKUP($AN16,StateTables!$A$6:$AB$56,4,FALSE)="None",0,IF(ISNUMBER(SEARCH("MANUAL",VLOOKUP($AN16,StateTables!$A$6:$AB$56,5,FALSE))),Inputs!$C$28,ROUND(MAX(0,$BA16+$BB16)/Inputs!$C$8+Inputs!$C$25+$BC16,2))))))</f>
      </c>
      <c r="U16" s="7">
        <f>IF($B16="","",IF(VLOOKUP($AN16,StateTables!$A$6:$AB$56,24,FALSE)="flatq",IF(OR(MONTH($B16)=1,MONTH($B16)=4,MONTH($B16)=7,MONTH($B16)=10),VLOOKUP($AN16,StateTables!$A$6:$AB$56,25,FALSE),0),IF(VLOOKUP($AN16,StateTables!$A$6:$AB$56,24,FALSE)="dbl",MIN(ROUND(0.005*$N16,2),ROUND(0.6*52/Inputs!$C$8,2)),IF(OR(VLOOKUP($AN16,StateTables!$A$6:$AB$56,15,FALSE)="",VLOOKUP($AN16,StateTables!$A$6:$AB$56,15,FALSE)=0),0,ROUND(VLOOKUP($AN16,StateTables!$A$6:$AB$56,15,FALSE)*IF(OR(VLOOKUP($AN16,StateTables!$A$6:$AB$56,16,FALSE)="",VLOOKUP($AN16,StateTables!$A$6:$AB$56,16,FALSE)=0),$N16,MIN($N16,MAX(0,VLOOKUP($AN16,StateTables!$A$6:$AB$56,16,FALSE)-($AX16+$AB15-$AW16)))),2))))+IF(VLOOKUP($AN16,StateTables!$A$6:$AB$56,27,FALSE)="flatq",IF(OR(MONTH($B16)=1,MONTH($B16)=4,MONTH($B16)=7,MONTH($B16)=10),VLOOKUP($AN16,StateTables!$A$6:$AB$56,28,FALSE),0),IF(VLOOKUP($AN16,StateTables!$A$6:$AB$56,27,FALSE)="dbl",MIN(ROUND(0.005*$N16,2),ROUND(0.6*52/Inputs!$C$8,2)),IF(OR(VLOOKUP($AN16,StateTables!$A$6:$AB$56,18,FALSE)="",VLOOKUP($AN16,StateTables!$A$6:$AB$56,18,FALSE)=0),0,ROUND(VLOOKUP($AN16,StateTables!$A$6:$AB$56,18,FALSE)*IF(OR(VLOOKUP($AN16,StateTables!$A$6:$AB$56,19,FALSE)="",VLOOKUP($AN16,StateTables!$A$6:$AB$56,19,FALSE)=0),$N16,MIN($N16,MAX(0,VLOOKUP($AN16,StateTables!$A$6:$AB$56,19,FALSE)-($AX16+$AB15-$AW16)))),2)))))</f>
      </c>
      <c r="V16" s="7">
        <f>IF($B16="","",IF($AN16="NY",IF(Inputs!$C$78,ROUND(SUMPRODUCT((MAX(0,($O16-$D16)*Inputs!$C$8-(IF($AU16="Married",5500,5000)+1000*$AS16))&gt;INDEX('Methodology &amp; Sources'!$B$184:$J$198,0,4))*(MAX(0,($O16-$D16)*Inputs!$C$8-(IF($AU16="Married",5500,5000)+1000*$AS16))-INDEX('Methodology &amp; Sources'!$B$184:$J$198,0,4))*INDEX('Methodology &amp; Sources'!$B$184:$J$198,0,4+2))/Inputs!$C$8+0.0425*$D16,2),0)+IF(Inputs!$C$79="Resident",ROUND(0.1675*$T16,2),IF(Inputs!$C$79="Nonresident",ROUND(0.005*MAX(0,($O16-$D16)-(IF($AU16="Married",7950,7400)+1000*$AS16)/Inputs!$C$8),2),0)),IF($AN16="PA",IF(Inputs!$C$80="None",Inputs!$C$27+ROUND(Inputs!$C$81*($C16+$D16),2),ROUND(IF(Inputs!$C$80="Resident",IF($B16&lt;DATE(2027,7,1),0.03735,0.03735),IF($B16&lt;DATE(2027,7,1),0.03425,0.03425))*($C16+$D16),2)),IF($BF16=0,ROUND(Inputs!$C$81*($C16+$D16),2),Inputs!$C$27+ROUND(Inputs!$C$81*($C16+$D16),2)))))</f>
      </c>
      <c r="W16" s="7">
        <f>IF($B16="","",IF($BF16=0,0,$BP16))</f>
      </c>
      <c r="X16" s="7">
        <f>IF($B16="","",SUM($E16:$K16)+$P16+$Q16+$R16+$S16+$T16+$U16+$V16+$W16)</f>
      </c>
      <c r="Y16" s="22">
        <f>IF($B16="","",$C16+$D16-$X16)</f>
      </c>
      <c r="Z16" s="7">
        <f>IF($B16="","",$Z15+$C16+$D16)</f>
      </c>
      <c r="AA16" s="7">
        <f>IF($B16="","",$AA15+$Y16)</f>
      </c>
      <c r="AB16" s="7">
        <f>IF($B16="","",$AB15+MIN($N16,MAX(0,'Methodology &amp; Sources'!$C$3-($AX16+$AB15-$AW16))))</f>
      </c>
      <c r="AC16" s="7">
        <f>IF($B16="","",$AC15+$E16+$F16)</f>
      </c>
      <c r="AD16" s="3">
        <f>IF($B16="","",IF(AND($AB15&lt;'Methodology &amp; Sources'!$C$3,$AB16&gt;='Methodology &amp; Sources'!$C$3),"★ Social Security maxed on this check — from the next check your net rises by about $"&amp;TEXT(ROUND('Methodology &amp; Sources'!$C$4*$N16,2),"#,##0.00")&amp;". ","")&amp;IF(AND($AC15&lt;Inputs!$C$34,$AC16&gt;=Inputs!$C$34),"★ 401(k) reaches the $"&amp;TEXT(Inputs!$C$34,"#,##0")&amp;" cap on this check — deferrals stop and net pay rises. ","")&amp;IF(AND($AG15&lt;'Methodology &amp; Sources'!$C$7,$AG16&gt;='Methodology &amp; Sources'!$C$7),"★ Wages pass $200,000 — the 0.9% Additional Medicare Tax starts here. ","")&amp;IF(AND($BJ16&gt;0,$H16&gt;0,$BG15&lt;MIN($BJ16,'Methodology &amp; Sources'!$C$13),$BG15+$H16&gt;=MIN($BJ16,'Methodology &amp; Sources'!$C$13)),"★ Health FSA election is now fully deferred for the year. ",""))</f>
      </c>
      <c r="AE16" s="41" t="n"/>
      <c r="AF16" s="7">
        <f>IF(OR($B16="",$AE16=""),"",$AE16-$Y16)</f>
      </c>
      <c r="AG16" s="7">
        <f>IF($B16="","",$AG15+$N16)</f>
      </c>
      <c r="AH16" s="7">
        <f>IF($B16="","",MAX(0,($M16-$D16)*Inputs!$C$8+$AP16-$AQ16-IF(Inputs!$C$13,0,IF(Inputs!$C$12="MFJ",'Methodology &amp; Sources'!$C$8,'Methodology &amp; Sources'!$C$9))))</f>
      </c>
      <c r="AI16" s="7">
        <f>IF($B16="","",$O16*Inputs!$C$8)</f>
      </c>
      <c r="AJ16" s="7">
        <f>IF($B16="","",MAX(0,$AI16-VLOOKUP($AN16,StateTables!$A$6:$AB$56,12,FALSE)*$AT16-IF(($AS16+$AT16)&gt;=2,VLOOKUP($AN16,StateTables!$A$6:$AB$56,8,FALSE),VLOOKUP($AN16,StateTables!$A$6:$AB$56,7,FALSE))))</f>
      </c>
      <c r="AK16" s="7">
        <f>IF($B16="","",IFERROR(LOOKUP(2,1/((Events!$C$6:$C$17="Salary change")*(Events!$B$6:$B$17&lt;=$B16)*(Events!$B$6:$B$17&lt;&gt;"")),Events!$D$6:$D$17),IF(Inputs!$C$4="Annual salary",Inputs!$C$5,Inputs!$C$6)))</f>
      </c>
      <c r="AL16">
        <f>IF($B16="","",IFERROR(LOOKUP(2,1/((Events!$C$6:$C$17="401(k) change")*(Events!$B$6:$B$17&lt;=$B16)*(Events!$B$6:$B$17&lt;&gt;"")),Events!$D$6:$D$17),Inputs!$C$30))</f>
      </c>
      <c r="AM16" s="7">
        <f>IF($B16="","",IFERROR(LOOKUP(2,1/((Events!$C$6:$C$17="401(k) change")*(Events!$B$6:$B$17&lt;=$B16)*(Events!$B$6:$B$17&lt;&gt;"")),Events!$E$6:$E$17),Inputs!$D$30))</f>
      </c>
      <c r="AN16">
        <f>IF($B16="","",IFERROR(LOOKUP(2,1/((Events!$C$6:$C$17="State move")*(Events!$B$6:$B$17&lt;=$B16)*(Events!$B$6:$B$17&lt;&gt;"")),Events!$D$6:$D$17),Inputs!$C$21))</f>
      </c>
      <c r="AO16" s="7">
        <f>IF($B16="","",IFERROR(LOOKUP(2,1/((Events!$C$6:$C$17="W-4 change")*(Events!$B$6:$B$17&lt;=$B16)*(Events!$B$6:$B$17&lt;&gt;"")),Events!$D$6:$D$17),Inputs!$C$14))</f>
      </c>
      <c r="AP16" s="7">
        <f>IF($B16="","",IFERROR(LOOKUP(2,1/((Events!$C$6:$C$17="W-4 change")*(Events!$B$6:$B$17&lt;=$B16)*(Events!$B$6:$B$17&lt;&gt;"")),Events!$E$6:$E$17),Inputs!$C$15))</f>
      </c>
      <c r="AQ16" s="7">
        <f>IF($B16="","",IFERROR(LOOKUP(2,1/((Events!$C$6:$C$17="W-4 change")*(Events!$B$6:$B$17&lt;=$B16)*(Events!$B$6:$B$17&lt;&gt;"")),Events!$F$6:$F$17),Inputs!$C$16))</f>
      </c>
      <c r="AR16" s="7">
        <f>IF($B16="","",IFERROR(LOOKUP(2,1/((Events!$C$6:$C$17="W-4 change")*(Events!$B$6:$B$17&lt;=$B16)*(Events!$B$6:$B$17&lt;&gt;"")),Events!$G$6:$G$17),Inputs!$C$17))</f>
      </c>
      <c r="AS16" s="6">
        <f>IF($B16="","",IFERROR(LOOKUP(2,1/(((Events!$C$6:$C$17="State move")+(Events!$C$6:$C$17="State cert change"))*(Events!$B$6:$B$17&lt;=$B16)*(Events!$B$6:$B$17&lt;&gt;"")),Events!$F$6:$F$17),Inputs!$C$23))</f>
      </c>
      <c r="AT16" s="6">
        <f>IF($B16="","",IFERROR(LOOKUP(2,1/(((Events!$C$6:$C$17="State move")+(Events!$C$6:$C$17="State cert change"))*(Events!$B$6:$B$17&lt;=$B16)*(Events!$B$6:$B$17&lt;&gt;"")),Events!$G$6:$G$17),Inputs!$C$24))</f>
      </c>
      <c r="AU16">
        <f>IF($B16="","",IFERROR(LOOKUP(2,1/((Events!$C$6:$C$17="State move")*(Events!$B$6:$B$17&lt;=$B16)*(Events!$B$6:$B$17&lt;&gt;"")),Events!$E$6:$E$17),Inputs!$C$22))</f>
      </c>
      <c r="AV16" s="6">
        <f>IF($B16="","",1+COUNTIFS(Events!$C$6:$C$17,"Employer change",Events!$B$6:$B$17,"&lt;="&amp;$B16,Events!$B$6:$B$17,"&lt;&gt;"))</f>
      </c>
      <c r="AW16" s="7">
        <f>IF($B16="","",IF($AV16=1,Inputs!$C$94,IF(IFERROR(MATCH(IFERROR(LOOKUP(2,1/((Events!$C$6:$C$17="Employer change")*(Events!$B$6:$B$17&lt;=$B16)*(Events!$B$6:$B$17&lt;&gt;"")),Events!$B$6:$B$17),""),$B$6:$B$68,1),1)&lt;=1,Inputs!$C$94,INDEX($AB$6:$AB$68,MATCH(IFERROR(LOOKUP(2,1/((Events!$C$6:$C$17="Employer change")*(Events!$B$6:$B$17&lt;=$B16)*(Events!$B$6:$B$17&lt;&gt;"")),Events!$B$6:$B$17),""),$B$6:$B$68,1)-1))))</f>
      </c>
      <c r="AX16" s="7">
        <f>IF($B16="","",IF($AV16=1,Inputs!$C$94,IFERROR(LOOKUP(2,1/((Events!$C$6:$C$17="Employer change")*(Events!$B$6:$B$17&lt;=$B16)*(Events!$B$6:$B$17&lt;&gt;"")),Events!$D$6:$D$17),0)))</f>
      </c>
      <c r="AY16" s="7">
        <f>IF($B16="","",($O16-$D16)*Inputs!$C$8)</f>
      </c>
      <c r="AZ16" s="7">
        <f>IF($B16="","",IF($AN16="AL",MAX(0,$AY16-IF($AU16="Married",IF($AY16&lt;=25999,8500,MAX(5000,8500-175*CEILING(($AY16-25999)/500,1))),IF($AU16="Head of household",IF($AY16&lt;=25999,5200,MAX(2500,5200-135*CEILING(($AY16-25999)/500,1))),IF($AY16&lt;=25999,3000,MAX(2500,3000-25*CEILING(($AY16-25999)/500,1)))))-($P16-'Methodology &amp; Sources'!$C$10*$D16)*Inputs!$C$8-IF(OR($AU16="Married",$AU16="Head of household"),3000,1500)-$AT16*IF($AY16&lt;=50000,1000,IF($AY16&lt;=100000,500,300))),IF($AN16="AR",IF(MAX(0,$AY16-2470)&lt;97701,INT(MAX(0,$AY16-2470)/100)*100+50,MAX(0,$AY16-2470)),IF($AN16="DE",MAX(0,$AI16-3250),IF($AN16="HI",MAX(0,$AI16-1144*$AS16-4350),IF($AN16="KS",MAX(0,$AI16-(9160*IF($AU16="Married",2,1)+2320*$AT16+IF($AU16="Head of household",2320,0))),IF($AN16="MD",MAX(0,$AI16-3400-3200*$AS16),IF($AN16="MN",MAX(0,$AY16-5300*$AS16),IF($AN16="MO",MAX(0,$AI16-IF($AU16="Head of household",24150,IF($AU16="Married",IF(Inputs!$C$83,16100,32200),16100))),IF($AN16="MT",$AY16,IF($AN16="ND",($C16+$L16)*Inputs!$C$8,IF($AN16="NE",MAX(0,$AY16-2440*$AS16),IF($AN16="NJ",MAX(0,$AY16-1000*$AS16),IF($AN16="NY",MAX(0,$AY16-(IF($AU16="Married",7950,7400)+1000*$AS16)),IF($AN16="OH",MAX(0,$AY16-650*$AS16),IF($AN16="OK",MAX(0,$AY16-1000*$AS16),IF($AN16="RI",MAX(0,$AI16-1000*$AS16),IF($AN16="SC",MAX(0,$AI16-5000*$AS16-IF($AS16=0,0,MIN(0.1*$AI16,7500))),IF($AN16="VA",MAX(0,$AI16-IF($AU16="Married",17500,8750)-930*$AS16-800*$AT16),IF($AN16="VT",MAX(0,$AI16-5400*$AS16),IF($AN16="WI",MAX(0,$AI16-MAX(0,IF($AU16="Married",9461-0.2*MAX(0,$AI16-25727),6702-0.12*MAX(0,$AI16-17780)))-400*$AS16),IF($AN16="WV",MAX(0,$AI16-2000*$AS16),$AI16))))))))))))))))))))))</f>
      </c>
      <c r="BA16" s="7">
        <f>IF($B16="","",IF($BW16&lt;&gt;"",$BW16,IF($BX16&lt;&gt;"",$BX16,IF($BY16&lt;&gt;"",$BY16,0))))</f>
      </c>
      <c r="BB16" s="7">
        <f>IF($B16="","",IF($AN16="AR",-29*$AS16,IF($AN16="DE",-110*$AS16,IF($AN16="MD",$AZ16*Inputs!$C$74,IF($AN16="AZ",Inputs!$C$82*($M16-$D16)*Inputs!$C$8,IF($AN16="CO",0.044*MAX(0,$AY16-IF($AU16="Married",10000,5000)),IF($AN16="IA",MAX(0,0.038*MAX(0,$AY16-IF($AU16="Head of household",19500,IF($AU16="Married",26000,13000)))-40*$AS16),IF($AN16="ID",0.053*MAX(0,$AY16-IF($AU16="Married",32000,16094)),IF($AN16="IL",0.0495*MAX(0,$AY16-(2925*$AS16+1000*$AT16)),IF($AN16="IN",(0.0295+Inputs!$C$76)*MAX(0,$AY16-(1000*$AS16+1500*$AT16+3000*Inputs!$C$86)),IF($AN16="KY",0.035*MAX(0,$AI16-3360),IF($AN16="LA",IF(Inputs!$C$84="0",0.0309*$AI16,0.0309*MAX(0,$AI16-IF(Inputs!$C$84="2",25750,12875))),IF($AN16="MA",0.05*MIN(MAX(0,$AY16-MIN(($BD15+$Q16+$R16+$S16),2000)-IF($AS16=0,0,IF($AS16=1,4400,1000*$AS16+3400))),1107750)+0.09*MAX(0,MAX(0,$AY16-MIN(($BD15+$Q16+$R16+$S16),2000)-IF($AS16=0,0,IF($AS16=1,4400,1000*$AS16+3400)))-1107750)-IF($AU16="Head of household",120,0)-110*Inputs!$C$75,IF($AN16="MI",0.0425*MAX(0,$AY16-5900*$AS16),IF($AN16="MS",0.04*MAX(0,$AI16-IF($AU16="Head of household",3400,IF($AU16="Married",4600,2300))-Inputs!$C$85-10000),IF($AN16="OR",IF(OR($AU16="Married",AND($AU16="Single",$AS16&gt;=3)),SUMPRODUCT((MAX(0,$AY16-MIN(($P16-'Methodology &amp; Sources'!$C$10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Sources'!$B$211:$J$214,0,4))*(MAX(0,$AY16-MIN(($P16-'Methodology &amp; Sources'!$C$10*$D16)*Inputs!$C$8,IF(OR($AU16="Married",AND($AU16="Single",$AS16&gt;=3)),IF($AY16&lt;250000,8750,IF($AY16&lt;260000,7000,IF($AY16&lt;270000,5250,IF($AY16&lt;280000,3500,IF($AY16&lt;290000,1750,0))))),IF($AY16&lt;125000,8750,IF($AY16&lt;130000,7000,IF($AY16&lt;135000,5250,IF($AY16&lt;140000,3500,IF($AY16&lt;145000,1750,0)))))))-IF(OR($AU16="Married",AND($AU16="Single",$AS16&gt;=3)),5820,2910))-INDEX('Methodology &amp; Sources'!$B$211:$J$214,0,4))*INDEX('Methodology &amp; Sources'!$B$211:$J$214,0,4+2)),SUMPRODUCT((MAX(0,$AY16-MIN(($P16-'Methodology &amp; Sources'!$C$10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Sources'!$B$211:$J$214,0,1))*(MAX(0,$AY16-MIN(($P16-'Methodology &amp; Sources'!$C$10*$D16)*Inputs!$C$8,IF(OR($AU16="Married",AND($AU16="Single",$AS16&gt;=3)),IF($AY16&lt;250000,8750,IF($AY16&lt;260000,7000,IF($AY16&lt;270000,5250,IF($AY16&lt;280000,3500,IF($AY16&lt;290000,1750,0))))),IF($AY16&lt;125000,8750,IF($AY16&lt;130000,7000,IF($AY16&lt;135000,5250,IF($AY16&lt;140000,3500,IF($AY16&lt;145000,1750,0)))))))-IF(OR($AU16="Married",AND($AU16="Single",$AS16&gt;=3)),5820,2910))-INDEX('Methodology &amp; Sources'!$B$211:$J$214,0,1))*INDEX('Methodology &amp; Sources'!$B$211:$J$214,0,1+2)))+263-263*IF(IF($AU16="Married",$AY16&gt;200000,$AY16&gt;100000),0,$AS16),IF($AN16="PA",0.0307*(($O16+$E16+$G16)*Inputs!$C$8),IF($AN16="NY",IF($AU16="Married",IF($AZ16&gt;=2155350,0,IF($AZ16&gt;=1077550,0.48,IF($AZ16&gt;=373200,1.21,IF($AZ16&gt;=323200,0.21,IF($AZ16&gt;=211550,-0.19,IF($AZ16&gt;=157650,-2.8,IF($AZ16&gt;=107650,-0.8,IF($AZ16&gt;=96800,0.05,IF($AZ16&gt;=80650,-0.1,IF($AZ16&gt;=13900,0.4,IF($AZ16&gt;=11700,-0.3,IF($AZ16&gt;=8500,0.5,0)))))))))))),IF($AZ16&gt;=1077550,0,IF($AZ16&gt;=265400,4.29,IF($AZ16&gt;=215400,2.29,IF($AZ16&gt;=157650,2.29,IF($AZ16&gt;=107650,0.29,IF($AZ16&gt;=96800,0.05,IF($AZ16&gt;=80650,-0.1,IF($AZ16&gt;=13900,0.4,IF($AZ16&gt;=11700,-0.3,IF($AZ16&gt;=8500,0.5,0))))))))))),0))))))))))))))))))</f>
      </c>
      <c r="BC16" s="7">
        <f>IF($B16="","",IF($AN16="AL",0.05*$D16,IF($AN16="AR",0.039*$D16,IF($AN16="ID",0.053*$D16,IF($AN16="IN",(0.0295+Inputs!$C$76)*$D16,IF($AN16="KS",0.05*$D16,IF($AN16="MA",0.09*MIN($D16,MAX(0,MAX(0,$AY16-MIN(($BD15+$Q16+$R16+$S16),2000)-IF($AS16=0,0,IF($AS16=1,4400,1000*$AS16+3400)))+$D16-1107750))+0.05*($D16-MIN($D16,MAX(0,MAX(0,$AY16-MIN(($BD15+$Q16+$R16+$S16),2000)-IF($AS16=0,0,IF($AS16=1,4400,1000*$AS16+3400)))+$D16-1107750))),IF($AN16="MD",(0.065+Inputs!$C$74)*$D16,IF($AN16="MI",0.0425*$D16,IF($AN16="MN",0.0625*$D16,IF($AN16="MO",0.047*$D16,IF($AN16="MT",0.05*$D16,IF($AN16="ND",0.015*$D16,IF($AN16="NE",0.035*$D16,IF($AN16="NJ",IF(Inputs!$C$77="B",SUMPRODUCT(($D16*Inputs!$C$8&gt;INDEX('Methodology &amp; Sources'!$B$155:$J$162,0,4))*($D16*Inputs!$C$8-INDEX('Methodology &amp; Sources'!$B$155:$J$162,0,4))*INDEX('Methodology &amp; Sources'!$B$155:$J$162,0,4+2)),IF(Inputs!$C$77="C",SUMPRODUCT(($D16*Inputs!$C$8&gt;INDEX('Methodology &amp; Sources'!$B$155:$J$162,0,7))*($D16*Inputs!$C$8-INDEX('Methodology &amp; Sources'!$B$155:$J$162,0,7))*INDEX('Methodology &amp; Sources'!$B$155:$J$162,0,7+2)),IF(Inputs!$C$77="D",SUMPRODUCT(($D16*Inputs!$C$8&gt;INDEX('Methodology &amp; Sources'!$B$167:$J$179,0,1))*($D16*Inputs!$C$8-INDEX('Methodology &amp; Sources'!$B$167:$J$179,0,1))*INDEX('Methodology &amp; Sources'!$B$167:$J$179,0,1+2)),IF(Inputs!$C$77="E",SUMPRODUCT(($D16*Inputs!$C$8&gt;INDEX('Methodology &amp; Sources'!$B$167:$J$179,0,4))*($D16*Inputs!$C$8-INDEX('Methodology &amp; Sources'!$B$167:$J$179,0,4))*INDEX('Methodology &amp; Sources'!$B$167:$J$179,0,4+2)),SUMPRODUCT(($D16*Inputs!$C$8&gt;INDEX('Methodology &amp; Sources'!$B$155:$J$162,0,1))*($D16*Inputs!$C$8-INDEX('Methodology &amp; Sources'!$B$155:$J$162,0,1))*INDEX('Methodology &amp; Sources'!$B$155:$J$162,0,1+2))))))/Inputs!$C$8,IF($AN16="NY",0.117*$D16,IF($AN16="OH",0.0275*$D16,IF($AN16="OK",0.045*$D16,IF($AN16="OR",0.08*$D16,IF($AN16="WI",IF($AY16&lt;12760,0.0354,IF($AY16&lt;25520,0.0465,IF($AY16&lt;280950,0.053,0.0765)))*$D16,0))))))))))))))))))))</f>
      </c>
      <c r="BD16" s="7">
        <f>IF($B16="","",$BD15+$Q16+$R16+$S16)</f>
      </c>
      <c r="BE16" s="6">
        <f>IF($B16="",$BE15,$BE15+$BF16)</f>
      </c>
      <c r="BF16" s="6">
        <f>IF($B16="","",IF(AND(IF(YEAR(IF(Inputs!$C$7="Weekly",Inputs!$C$90+7*(($BE15+1)-1),IF(Inputs!$C$7="Biweekly",Inputs!$C$90+14*(($BE15+1)-1),IF(Inputs!$C$7="Semimonthly",DATE(YEAR(Inputs!$C$9),MONTH(Inputs!$C$9)+INT((($BE15+1)-1+'Rest of 2026'!$C$2)/2),MIN(DAY(Inputs!$C$9),DAY(EOMONTH(DATE(YEAR(Inputs!$C$9),MONTH(Inputs!$C$9)+INT((($BE15+1)-1+'Rest of 2026'!$C$2)/2),1),0))))+IF(MOD(($BE15+1)-1+'Rest of 2026'!$C$2,2)=1,15,0),EDATE(Inputs!$C$90,($BE15+1)-1)))))&lt;&gt;Inputs!$C$10,"",IF(Inputs!$C$7="Weekly",Inputs!$C$90+7*(($BE15+1)-1),IF(Inputs!$C$7="Biweekly",Inputs!$C$90+14*(($BE15+1)-1),IF(Inputs!$C$7="Semimonthly",DATE(YEAR(Inputs!$C$9),MONTH(Inputs!$C$9)+INT((($BE15+1)-1+'Rest of 2026'!$C$2)/2),MIN(DAY(Inputs!$C$9),DAY(EOMONTH(DATE(YEAR(Inputs!$C$9),MONTH(Inputs!$C$9)+INT((($BE15+1)-1+'Rest of 2026'!$C$2)/2),1),0))))+IF(MOD(($BE15+1)-1+'Rest of 2026'!$C$2,2)=1,15,0),EDATE(Inputs!$C$90,($BE15+1)-1)))))&lt;&gt;"",$B16=IF(YEAR(IF(Inputs!$C$7="Weekly",Inputs!$C$90+7*(($BE15+1)-1),IF(Inputs!$C$7="Biweekly",Inputs!$C$90+14*(($BE15+1)-1),IF(Inputs!$C$7="Semimonthly",DATE(YEAR(Inputs!$C$9),MONTH(Inputs!$C$9)+INT((($BE15+1)-1+'Rest of 2026'!$C$2)/2),MIN(DAY(Inputs!$C$9),DAY(EOMONTH(DATE(YEAR(Inputs!$C$9),MONTH(Inputs!$C$9)+INT((($BE15+1)-1+'Rest of 2026'!$C$2)/2),1),0))))+IF(MOD(($BE15+1)-1+'Rest of 2026'!$C$2,2)=1,15,0),EDATE(Inputs!$C$90,($BE15+1)-1)))))&lt;&gt;Inputs!$C$10,"",IF(Inputs!$C$7="Weekly",Inputs!$C$90+7*(($BE15+1)-1),IF(Inputs!$C$7="Biweekly",Inputs!$C$90+14*(($BE15+1)-1),IF(Inputs!$C$7="Semimonthly",DATE(YEAR(Inputs!$C$9),MONTH(Inputs!$C$9)+INT((($BE15+1)-1+'Rest of 2026'!$C$2)/2),MIN(DAY(Inputs!$C$9),DAY(EOMONTH(DATE(YEAR(Inputs!$C$9),MONTH(Inputs!$C$9)+INT((($BE15+1)-1+'Rest of 2026'!$C$2)/2),1),0))))+IF(MOD(($BE15+1)-1+'Rest of 2026'!$C$2,2)=1,15,0),EDATE(Inputs!$C$90,($BE15+1)-1)))))),1,0))</f>
      </c>
      <c r="BG16" s="7">
        <f>IF($B16="","",$BG15+$H16)</f>
      </c>
      <c r="BH16" s="7">
        <f>IF($B16="","",$BH15+$I16)</f>
      </c>
      <c r="BI16" s="7">
        <f>IF($B16="","",$BI15+$G16)</f>
      </c>
      <c r="BJ16" s="7">
        <f>IF($B16="","",IFERROR(LOOKUP(2,1/((((Events!$C$6:$C$17="Deduction start"))*(Events!$D$6:$D$17="Health FSA"))*(Events!$B$6:$B$17&lt;=$B16)*(Events!$B$6:$B$17&lt;&gt;"")),Events!$E$6:$E$17),Inputs!$D$38))</f>
      </c>
      <c r="BK16" s="7">
        <f>IF($B16="","",IFERROR(LOOKUP(2,1/((((Events!$C$6:$C$17="Deduction start"))*(Events!$D$6:$D$17="Dependent-care FSA"))*(Events!$B$6:$B$17&lt;=$B16)*(Events!$B$6:$B$17&lt;&gt;"")),Events!$E$6:$E$17),Inputs!$D$39))</f>
      </c>
      <c r="BL16" s="7">
        <f>IF($B16="","",IFERROR(LOOKUP(2,1/((((Events!$C$6:$C$17="Deduction start")+(Events!$C$6:$C$17="Deduction stop"))*(Events!$D$6:$D$17="HSA"))*(Events!$B$6:$B$17&lt;=$B16)*(Events!$B$6:$B$17&lt;&gt;"")),Events!$I$6:$I$17),Inputs!$D$35))</f>
      </c>
      <c r="BM16" s="7">
        <f>IF($B16="","",IFERROR(LOOKUP(2,1/((((Events!$C$6:$C$17="Deduction start")+(Events!$C$6:$C$17="Deduction stop"))*(Events!$D$6:$D$17="Premiums"))*(Events!$B$6:$B$17&lt;=$B16)*(Events!$B$6:$B$17&lt;&gt;"")),Events!$I$6:$I$17),Inputs!$D$40+Inputs!$D$41+Inputs!$D$42))</f>
      </c>
      <c r="BN16" s="7">
        <f>IF($B16="","",IFERROR(LOOKUP(2,1/((((Events!$C$6:$C$17="Deduction start")+(Events!$C$6:$C$17="Deduction stop"))*(Events!$D$6:$D$17="Commuter"))*(Events!$B$6:$B$17&lt;=$B16)*(Events!$B$6:$B$17&lt;&gt;"")),Events!$I$6:$I$17),Inputs!$D$43))</f>
      </c>
      <c r="BO16" s="7">
        <f>IF($B16="","",IFERROR(LOOKUP(2,1/((((Events!$C$6:$C$17="Deduction start")+(Events!$C$6:$C$17="Deduction stop"))*(Events!$D$6:$D$17="Other pre-tax"))*(Events!$B$6:$B$17&lt;=$B16)*(Events!$B$6:$B$17&lt;&gt;"")),Events!$I$6:$I$17),Inputs!$D$44))</f>
      </c>
      <c r="BP16" s="7">
        <f>IF($B16="","",IFERROR(LOOKUP(2,1/((((Events!$C$6:$C$17="Deduction start")+(Events!$C$6:$C$17="Deduction stop"))*(Events!$D$6:$D$17="Other post-tax"))*(Events!$B$6:$B$17&lt;=$B16)*(Events!$B$6:$B$17&lt;&gt;"")),Events!$I$6:$I$17),Inputs!$D$45))</f>
      </c>
      <c r="BQ16" s="6">
        <f>IF($B16="","",IFERROR(LOOKUP(2,1/((((Events!$C$6:$C$17="Deduction start")+(Events!$C$6:$C$17="Deduction stop"))*(Events!$D$6:$D$17="Health FSA"))*(Events!$B$6:$B$17&lt;=$B16)*(Events!$B$6:$B$17&lt;&gt;"")),Events!$J$6:$J$17),0))</f>
      </c>
      <c r="BR16" s="6">
        <f>IF($B16="","",IFERROR(LOOKUP(2,1/((((Events!$C$6:$C$17="Deduction start")+(Events!$C$6:$C$17="Deduction stop"))*(Events!$D$6:$D$17="Dependent-care FSA"))*(Events!$B$6:$B$17&lt;=$B16)*(Events!$B$6:$B$17&lt;&gt;"")),Events!$J$6:$J$17),0))</f>
      </c>
      <c r="BS16" s="6">
        <f>IF($B16="","",IF(SUMPRODUCT((Events!$C$6:$C$17="Deduction start")*(Events!$B$6:$B$17&lt;=$B16)*(Events!$B$6:$B$17&lt;&gt;"")*(Events!$D$6:$D$17="Health FSA"))&gt;0,1,0))</f>
      </c>
      <c r="BT16" s="6">
        <f>IF($B16="","",IF(SUMPRODUCT((Events!$C$6:$C$17="Deduction start")*(Events!$B$6:$B$17&lt;=$B16)*(Events!$B$6:$B$17&lt;&gt;"")*(Events!$D$6:$D$17="Dependent-care FSA"))&gt;0,1,0))</f>
      </c>
      <c r="BU16" s="24">
        <f>IF($B16="","",IF(Inputs!$C$13,SUMPRODUCT(($AH16&gt;=INDEX('Methodology &amp; Sources'!$B$29:$J$36,0,IF(Inputs!$C$12="MFJ",1,IF(Inputs!$C$12="HoH",7,4))))*INDEX('Methodology &amp; Sources'!$B$29:$J$36,0,IF(Inputs!$C$12="MFJ",1,IF(Inputs!$C$12="HoH",7,4))+2)),SUMPRODUCT(($AH16&gt;=INDEX('Methodology &amp; Sources'!$B$19:$J$26,0,IF(Inputs!$C$12="MFJ",1,IF(Inputs!$C$12="HoH",7,4))))*INDEX('Methodology &amp; Sources'!$B$19:$J$26,0,IF(Inputs!$C$12="MFJ",1,IF(Inputs!$C$12="HoH",7,4))+2))))</f>
      </c>
      <c r="BV16" s="24">
        <f>IF($B16="","",IF($BZ16&lt;&gt;"",$BZ16,IF($CA16&lt;&gt;"",$CA16,IF($CB16&lt;&gt;"",$CB16,IF($CC16&lt;&gt;"",$CC16,0)))))</f>
      </c>
      <c r="BW16" s="7">
        <f>IF($B16="","",IF($AN16="MD",IF(OR($AU16="Married",$AU16="Head of household"),SUMPRODUCT(($AZ16&gt;INDEX('Methodology &amp; Sources'!$B$114:$J$120,0,1))*($AZ16-INDEX('Methodology &amp; Sources'!$B$114:$J$120,0,1))*INDEX('Methodology &amp; Sources'!$B$114:$J$120,0,1+2)),SUMPRODUCT(($AZ16&gt;INDEX('Methodology &amp; Sources'!$B$103:$J$109,0,7))*($AZ16-INDEX('Methodology &amp; Sources'!$B$103:$J$109,0,7))*INDEX('Methodology &amp; Sources'!$B$103:$J$109,0,7+2))),IF($AN16="MO",SUMPRODUCT(($AZ16&gt;INDEX('Methodology &amp; Sources'!$B$125:$J$132,0,1))*($AZ16-INDEX('Methodology &amp; Sources'!$B$125:$J$132,0,1))*INDEX('Methodology &amp; Sources'!$B$125:$J$132,0,1+2)),IF($AN16="MT",IF($AU16="Head of household",SUMPRODUCT(($AZ16&gt;INDEX('Methodology &amp; Sources'!$B$137:$J$139,0,1))*($AZ16-INDEX('Methodology &amp; Sources'!$B$137:$J$139,0,1))*INDEX('Methodology &amp; Sources'!$B$137:$J$139,0,1+2)),IF($AU16="Married",SUMPRODUCT(($AZ16&gt;INDEX('Methodology &amp; Sources'!$B$125:$J$132,0,7))*($AZ16-INDEX('Methodology &amp; Sources'!$B$125:$J$132,0,7))*INDEX('Methodology &amp; Sources'!$B$125:$J$132,0,7+2)),SUMPRODUCT(($AZ16&gt;INDEX('Methodology &amp; Sources'!$B$125:$J$132,0,4))*($AZ16-INDEX('Methodology &amp; Sources'!$B$125:$J$132,0,4))*INDEX('Methodology &amp; Sources'!$B$125:$J$132,0,4+2)))),IF($AN16="ND",IF($AU16="Head of household",SUMPRODUCT(($AZ16&gt;INDEX('Methodology &amp; Sources'!$B$144:$J$150,0,1))*($AZ16-INDEX('Methodology &amp; Sources'!$B$144:$J$150,0,1))*INDEX('Methodology &amp; Sources'!$B$144:$J$150,0,1+2)),IF($AU16="Married",SUMPRODUCT(($AZ16&gt;INDEX('Methodology &amp; Sources'!$B$137:$J$139,0,7))*($AZ16-INDEX('Methodology &amp; Sources'!$B$137:$J$139,0,7))*INDEX('Methodology &amp; Sources'!$B$137:$J$139,0,7+2)),SUMPRODUCT(($AZ16&gt;INDEX('Methodology &amp; Sources'!$B$137:$J$139,0,4))*($AZ16-INDEX('Methodology &amp; Sources'!$B$137:$J$139,0,4))*INDEX('Methodology &amp; Sources'!$B$137:$J$139,0,4+2)))),IF($AN16="NJ",IF(Inputs!$C$77="B",SUMPRODUCT(($AZ16&gt;INDEX('Methodology &amp; Sources'!$B$155:$J$162,0,4))*($AZ16-INDEX('Methodology &amp; Sources'!$B$155:$J$162,0,4))*INDEX('Methodology &amp; Sources'!$B$155:$J$162,0,4+2)),IF(Inputs!$C$77="C",SUMPRODUCT(($AZ16&gt;INDEX('Methodology &amp; Sources'!$B$155:$J$162,0,7))*($AZ16-INDEX('Methodology &amp; Sources'!$B$155:$J$162,0,7))*INDEX('Methodology &amp; Sources'!$B$155:$J$162,0,7+2)),IF(Inputs!$C$77="D",SUMPRODUCT(($AZ16&gt;INDEX('Methodology &amp; Sources'!$B$167:$J$179,0,1))*($AZ16-INDEX('Methodology &amp; Sources'!$B$167:$J$179,0,1))*INDEX('Methodology &amp; Sources'!$B$167:$J$179,0,1+2)),IF(Inputs!$C$77="E",SUMPRODUCT(($AZ16&gt;INDEX('Methodology &amp; Sources'!$B$167:$J$179,0,4))*($AZ16-INDEX('Methodology &amp; Sources'!$B$167:$J$179,0,4))*INDEX('Methodology &amp; Sources'!$B$167:$J$179,0,4+2)),SUMPRODUCT(($AZ16&gt;INDEX('Methodology &amp; Sources'!$B$155:$J$162,0,1))*($AZ16-INDEX('Methodology &amp; Sources'!$B$155:$J$162,0,1))*INDEX('Methodology &amp; Sources'!$B$155:$J$162,0,1+2)))))),IF($AN16="NY",IF($AU16="Married",IF($AZ16&gt;=2155350,$AZ16*IF($AZ16&gt;25000000,0.117,IF($AZ16&gt;5000000,0.111,0.1045)),SUMPRODUCT(($AZ16&gt;INDEX('Methodology &amp; Sources'!$B$184:$J$198,0,1))*($AZ16-INDEX('Methodology &amp; Sources'!$B$184:$J$198,0,1))*INDEX('Methodology &amp; Sources'!$B$184:$J$198,0,1+2))),IF($AZ16&gt;=1077550,$AZ16*IF($AZ16&gt;25000000,0.117,IF($AZ16&gt;5000000,0.111,0.1045)),SUMPRODUCT(($AZ16&gt;INDEX('Methodology &amp; Sources'!$B$167:$J$179,0,7))*($AZ16-INDEX('Methodology &amp; Sources'!$B$167:$J$179,0,7))*INDEX('Methodology &amp; Sources'!$B$167:$J$179,0,7+2)))),"")))))))</f>
      </c>
      <c r="BX16" s="7">
        <f>IF($B16="","",IF($AN16="AL",IF(OR($AU16="Married",$AU16="Head of household"),SUMPRODUCT(($AZ16&gt;INDEX('Methodology &amp; Sources'!$B$82:$J$86,0,4))*($AZ16-INDEX('Methodology &amp; Sources'!$B$82:$J$86,0,4))*INDEX('Methodology &amp; Sources'!$B$82:$J$86,0,4+2)),SUMPRODUCT(($AZ16&gt;INDEX('Methodology &amp; Sources'!$B$82:$J$86,0,1))*($AZ16-INDEX('Methodology &amp; Sources'!$B$82:$J$86,0,1))*INDEX('Methodology &amp; Sources'!$B$82:$J$86,0,1+2))),IF($AN16="KS",IF($AU16="Married",SUMPRODUCT(($AZ16&gt;INDEX('Methodology &amp; Sources'!$B$103:$J$109,0,4))*($AZ16-INDEX('Methodology &amp; Sources'!$B$103:$J$109,0,4))*INDEX('Methodology &amp; Sources'!$B$103:$J$109,0,4+2)),SUMPRODUCT(($AZ16&gt;INDEX('Methodology &amp; Sources'!$B$103:$J$109,0,1))*($AZ16-INDEX('Methodology &amp; Sources'!$B$103:$J$109,0,1))*INDEX('Methodology &amp; Sources'!$B$103:$J$109,0,1+2))),IF($AN16="MN",IF($AU16="Married",SUMPRODUCT(($AZ16&gt;INDEX('Methodology &amp; Sources'!$B$114:$J$120,0,7))*($AZ16-INDEX('Methodology &amp; Sources'!$B$114:$J$120,0,7))*INDEX('Methodology &amp; Sources'!$B$114:$J$120,0,7+2)),SUMPRODUCT(($AZ16&gt;INDEX('Methodology &amp; Sources'!$B$114:$J$120,0,4))*($AZ16-INDEX('Methodology &amp; Sources'!$B$114:$J$120,0,4))*INDEX('Methodology &amp; Sources'!$B$114:$J$120,0,4+2))),IF($AN16="NE",MAX(IF($AU16="Married",SUMPRODUCT(($AZ16&gt;INDEX('Methodology &amp; Sources'!$B$144:$J$150,0,7))*($AZ16-INDEX('Methodology &amp; Sources'!$B$144:$J$150,0,7))*INDEX('Methodology &amp; Sources'!$B$144:$J$150,0,7+2)),SUMPRODUCT(($AZ16&gt;INDEX('Methodology &amp; Sources'!$B$144:$J$150,0,4))*($AZ16-INDEX('Methodology &amp; Sources'!$B$144:$J$150,0,4))*INDEX('Methodology &amp; Sources'!$B$144:$J$150,0,4+2))),0.015*$AZ16),IF($AN16="OH",IF($B16&gt;=DATE(2027,8,1),SUMPRODUCT(($AZ16&gt;INDEX('Methodology &amp; Sources'!$B$203:$J$206,0,1))*($AZ16-INDEX('Methodology &amp; Sources'!$B$203:$J$206,0,1))*INDEX('Methodology &amp; Sources'!$B$203:$J$206,0,1+2)),SUMPRODUCT(($AZ16&gt;INDEX('Methodology &amp; Sources'!$B$184:$J$198,0,7))*($AZ16-INDEX('Methodology &amp; Sources'!$B$184:$J$198,0,7))*INDEX('Methodology &amp; Sources'!$B$184:$J$198,0,7+2))),IF($AN16="OK",IF($AU16="Married",SUMPRODUCT(($AZ16&gt;INDEX('Methodology &amp; Sources'!$B$203:$J$206,0,7))*($AZ16-INDEX('Methodology &amp; Sources'!$B$203:$J$206,0,7))*INDEX('Methodology &amp; Sources'!$B$203:$J$206,0,7+2)),SUMPRODUCT(($AZ16&gt;INDEX('Methodology &amp; Sources'!$B$203:$J$206,0,4))*($AZ16-INDEX('Methodology &amp; Sources'!$B$203:$J$206,0,4))*INDEX('Methodology &amp; Sources'!$B$203:$J$206,0,4+2))),IF($AN16="RI",SUMPRODUCT(($AZ16&gt;INDEX('Methodology &amp; Sources'!$B$211:$J$214,0,7))*($AZ16-INDEX('Methodology &amp; Sources'!$B$211:$J$214,0,7))*INDEX('Methodology &amp; Sources'!$B$211:$J$214,0,7+2)),IF($AN16="VT",IF($AU16="Married",SUMPRODUCT(($AZ16&gt;INDEX('Methodology &amp; Sources'!$B$228:$J$232,0,1))*($AZ16-INDEX('Methodology &amp; Sources'!$B$228:$J$232,0,1))*INDEX('Methodology &amp; Sources'!$B$228:$J$232,0,1+2)),SUMPRODUCT(($AZ16&gt;INDEX('Methodology &amp; Sources'!$B$219:$J$223,0,7))*($AZ16-INDEX('Methodology &amp; Sources'!$B$219:$J$223,0,7))*INDEX('Methodology &amp; Sources'!$B$219:$J$223,0,7+2))),IF($AN16="WV",IF($AU16="Married",SUMPRODUCT(($AZ16&gt;INDEX('Methodology &amp; Sources'!$B$237:$J$241,0,7))*($AZ16-INDEX('Methodology &amp; Sources'!$B$237:$J$241,0,7))*INDEX('Methodology &amp; Sources'!$B$237:$J$241,0,7+2)),SUMPRODUCT(($AZ16&gt;INDEX('Methodology &amp; Sources'!$B$228:$J$232,0,7))*($AZ16-INDEX('Methodology &amp; Sources'!$B$228:$J$232,0,7))*INDEX('Methodology &amp; Sources'!$B$228:$J$232,0,7+2))),""))))))))))</f>
      </c>
      <c r="BY16" s="7">
        <f>IF($B16="","",IF($AN16="AR",SUMPRODUCT(($AZ16&gt;INDEX('Methodology &amp; Sources'!$B$82:$J$86,0,7))*($AZ16-INDEX('Methodology &amp; Sources'!$B$82:$J$86,0,7))*INDEX('Methodology &amp; Sources'!$B$82:$J$86,0,7+2)),IF($AN16="DE",SUMPRODUCT(($AZ16&gt;INDEX('Methodology &amp; Sources'!$B$91:$J$98,0,1))*($AZ16-INDEX('Methodology &amp; Sources'!$B$91:$J$98,0,1))*INDEX('Methodology &amp; Sources'!$B$91:$J$98,0,1+2)),IF($AN16="HI",IF($AU16="Married",SUMPRODUCT(($AZ16&gt;INDEX('Methodology &amp; Sources'!$B$91:$J$98,0,7))*($AZ16-INDEX('Methodology &amp; Sources'!$B$91:$J$98,0,7))*INDEX('Methodology &amp; Sources'!$B$91:$J$98,0,7+2)),SUMPRODUCT(($AZ16&gt;INDEX('Methodology &amp; Sources'!$B$91:$J$98,0,4))*($AZ16-INDEX('Methodology &amp; Sources'!$B$91:$J$98,0,4))*INDEX('Methodology &amp; Sources'!$B$91:$J$98,0,4+2))),IF($AN16="SC",SUMPRODUCT(($AZ16&gt;INDEX('Methodology &amp; Sources'!$B$219:$J$223,0,1))*($AZ16-INDEX('Methodology &amp; Sources'!$B$219:$J$223,0,1))*INDEX('Methodology &amp; Sources'!$B$219:$J$223,0,1+2)),IF($AN16="VA",SUMPRODUCT(($AZ16&gt;INDEX('Methodology &amp; Sources'!$B$219:$J$223,0,4))*($AZ16-INDEX('Methodology &amp; Sources'!$B$219:$J$223,0,4))*INDEX('Methodology &amp; Sources'!$B$219:$J$223,0,4+2)),IF($AN16="WI",SUMPRODUCT(($AZ16&gt;INDEX('Methodology &amp; Sources'!$B$228:$J$232,0,4))*($AZ16-INDEX('Methodology &amp; Sources'!$B$228:$J$232,0,4))*INDEX('Methodology &amp; Sources'!$B$228:$J$232,0,4+2)),"")))))))</f>
      </c>
      <c r="BZ16" s="24">
        <f>IF($B16="","",IF($AN16="NJ",IF(Inputs!$C$77="B",SUMPRODUCT(($AZ16&gt;=INDEX('Methodology &amp; Sources'!$B$155:$J$162,0,4))*INDEX('Methodology &amp; Sources'!$B$155:$J$162,0,4+2)),IF(Inputs!$C$77="C",SUMPRODUCT(($AZ16&gt;=INDEX('Methodology &amp; Sources'!$B$155:$J$162,0,7))*INDEX('Methodology &amp; Sources'!$B$155:$J$162,0,7+2)),IF(Inputs!$C$77="D",SUMPRODUCT(($AZ16&gt;=INDEX('Methodology &amp; Sources'!$B$167:$J$179,0,1))*INDEX('Methodology &amp; Sources'!$B$167:$J$179,0,1+2)),IF(Inputs!$C$77="E",SUMPRODUCT(($AZ16&gt;=INDEX('Methodology &amp; Sources'!$B$167:$J$179,0,4))*INDEX('Methodology &amp; Sources'!$B$167:$J$179,0,4+2)),SUMPRODUCT(($AZ16&gt;=INDEX('Methodology &amp; Sources'!$B$155:$J$162,0,1))*INDEX('Methodology &amp; Sources'!$B$155:$J$162,0,1+2)))))),IF($AN16="OR",IF(OR($AU16="Married",AND($AU16="Single",$AS16&gt;=3)),SUMPRODUCT((MAX(0,$AY16-MIN(($P16-'Methodology &amp; Sources'!$C$10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Sources'!$B$211:$J$214,0,4))*INDEX('Methodology &amp; Sources'!$B$211:$J$214,0,4+2)),SUMPRODUCT((MAX(0,$AY16-MIN(($P16-'Methodology &amp; Sources'!$C$10*$D16)*Inputs!$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Sources'!$B$211:$J$214,0,1))*INDEX('Methodology &amp; Sources'!$B$211:$J$214,0,1+2)))*IF(($P16-'Methodology &amp; Sources'!$C$10*$D16)*Inputs!$C$8&gt;=IF(OR($AU16="Married",AND($AU16="Single",$AS16&gt;=3)),IF($AY16&lt;250000,8750,IF($AY16&lt;260000,7000,IF($AY16&lt;270000,5250,IF($AY16&lt;280000,3500,IF($AY16&lt;290000,1750,0))))),IF($AY16&lt;125000,8750,IF($AY16&lt;130000,7000,IF($AY16&lt;135000,5250,IF($AY16&lt;140000,3500,IF($AY16&lt;145000,1750,0)))))),1,1-IF(Inputs!$C$13,SUMPRODUCT(($AH16&gt;=INDEX('Methodology &amp; Sources'!$B$29:$J$36,0,IF(Inputs!$C$12="MFJ",1,IF(Inputs!$C$12="HoH",7,4))))*INDEX('Methodology &amp; Sources'!$B$29:$J$36,0,IF(Inputs!$C$12="MFJ",1,IF(Inputs!$C$12="HoH",7,4))+2)),SUMPRODUCT(($AH16&gt;=INDEX('Methodology &amp; Sources'!$B$19:$J$26,0,IF(Inputs!$C$12="MFJ",1,IF(Inputs!$C$12="HoH",7,4))))*INDEX('Methodology &amp; Sources'!$B$19:$J$26,0,IF(Inputs!$C$12="MFJ",1,IF(Inputs!$C$12="HoH",7,4))+2)))),IF($AN16="MI",IF($AY16&gt;5900*$AS16,0.0425,0),""))))</f>
      </c>
      <c r="CA16" s="24">
        <f>IF($B16="","",IF($AN16="AL",IF(OR($AU16="Married",$AU16="Head of household"),SUMPRODUCT(($AZ16&gt;=INDEX('Methodology &amp; Sources'!$B$82:$J$86,0,4))*INDEX('Methodology &amp; Sources'!$B$82:$J$86,0,4+2)),SUMPRODUCT(($AZ16&gt;=INDEX('Methodology &amp; Sources'!$B$82:$J$86,0,1))*INDEX('Methodology &amp; Sources'!$B$82:$J$86,0,1+2)))*(1-IF(Inputs!$C$13,SUMPRODUCT(($AH16&gt;=INDEX('Methodology &amp; Sources'!$B$29:$J$36,0,IF(Inputs!$C$12="MFJ",1,IF(Inputs!$C$12="HoH",7,4))))*INDEX('Methodology &amp; Sources'!$B$29:$J$36,0,IF(Inputs!$C$12="MFJ",1,IF(Inputs!$C$12="HoH",7,4))+2)),SUMPRODUCT(($AH16&gt;=INDEX('Methodology &amp; Sources'!$B$19:$J$26,0,IF(Inputs!$C$12="MFJ",1,IF(Inputs!$C$12="HoH",7,4))))*INDEX('Methodology &amp; Sources'!$B$19:$J$26,0,IF(Inputs!$C$12="MFJ",1,IF(Inputs!$C$12="HoH",7,4))+2)))),IF($AN16="KS",IF($AU16="Married",SUMPRODUCT(($AZ16&gt;=INDEX('Methodology &amp; Sources'!$B$103:$J$109,0,4))*INDEX('Methodology &amp; Sources'!$B$103:$J$109,0,4+2)),SUMPRODUCT(($AZ16&gt;=INDEX('Methodology &amp; Sources'!$B$103:$J$109,0,1))*INDEX('Methodology &amp; Sources'!$B$103:$J$109,0,1+2))),IF($AN16="MD",IF(OR($AU16="Married",$AU16="Head of household"),SUMPRODUCT(($AZ16&gt;=INDEX('Methodology &amp; Sources'!$B$114:$J$120,0,1))*INDEX('Methodology &amp; Sources'!$B$114:$J$120,0,1+2)),SUMPRODUCT(($AZ16&gt;=INDEX('Methodology &amp; Sources'!$B$103:$J$109,0,7))*INDEX('Methodology &amp; Sources'!$B$103:$J$109,0,7+2)))+Inputs!$C$74,IF($AN16="MT",IF($AU16="Head of household",SUMPRODUCT(($AZ16&gt;=INDEX('Methodology &amp; Sources'!$B$137:$J$139,0,1))*INDEX('Methodology &amp; Sources'!$B$137:$J$139,0,1+2)),IF($AU16="Married",SUMPRODUCT(($AZ16&gt;=INDEX('Methodology &amp; Sources'!$B$125:$J$132,0,7))*INDEX('Methodology &amp; Sources'!$B$125:$J$132,0,7+2)),SUMPRODUCT(($AZ16&gt;=INDEX('Methodology &amp; Sources'!$B$125:$J$132,0,4))*INDEX('Methodology &amp; Sources'!$B$125:$J$132,0,4+2)))),IF($AN16="ND",IF($AU16="Head of household",SUMPRODUCT(($AZ16&gt;=INDEX('Methodology &amp; Sources'!$B$144:$J$150,0,1))*INDEX('Methodology &amp; Sources'!$B$144:$J$150,0,1+2)),IF($AU16="Married",SUMPRODUCT(($AZ16&gt;=INDEX('Methodology &amp; Sources'!$B$137:$J$139,0,7))*INDEX('Methodology &amp; Sources'!$B$137:$J$139,0,7+2)),SUMPRODUCT(($AZ16&gt;=INDEX('Methodology &amp; Sources'!$B$137:$J$139,0,4))*INDEX('Methodology &amp; Sources'!$B$137:$J$139,0,4+2)))),IF($AN16="NY",IF($AU16="Married",IF($AZ16&gt;=2155350,IF($AZ16&gt;25000000,0.117,IF($AZ16&gt;5000000,0.111,0.1045)),SUMPRODUCT(($AZ16&gt;=INDEX('Methodology &amp; Sources'!$B$184:$J$198,0,1))*INDEX('Methodology &amp; Sources'!$B$184:$J$198,0,1+2))),IF($AZ16&gt;=1077550,IF($AZ16&gt;25000000,0.117,IF($AZ16&gt;5000000,0.111,0.1045)),SUMPRODUCT(($AZ16&gt;=INDEX('Methodology &amp; Sources'!$B$167:$J$179,0,7))*INDEX('Methodology &amp; Sources'!$B$167:$J$179,0,7+2)))),"")))))))</f>
      </c>
      <c r="CB16" s="24">
        <f>IF($B16="","",IF($AN16="CA",SUMPRODUCT(($AJ16&gt;=INDEX('Methodology &amp; Sources'!$B$39:$J$48,0,IF($AU16="Married",4,IF($AU16="Head of household",7,1))))*INDEX('Methodology &amp; Sources'!$B$39:$J$48,0,IF($AU16="Married",4,IF($AU16="Head of household",7,1))+2)),IF($AN16="HI",IF($AU16="Married",SUMPRODUCT(($AZ16&gt;=INDEX('Methodology &amp; Sources'!$B$91:$J$98,0,7))*INDEX('Methodology &amp; Sources'!$B$91:$J$98,0,7+2)),SUMPRODUCT(($AZ16&gt;=INDEX('Methodology &amp; Sources'!$B$91:$J$98,0,4))*INDEX('Methodology &amp; Sources'!$B$91:$J$98,0,4+2))),IF($AN16="MN",IF($AU16="Married",SUMPRODUCT(($AZ16&gt;=INDEX('Methodology &amp; Sources'!$B$114:$J$120,0,7))*INDEX('Methodology &amp; Sources'!$B$114:$J$120,0,7+2)),SUMPRODUCT(($AZ16&gt;=INDEX('Methodology &amp; Sources'!$B$114:$J$120,0,4))*INDEX('Methodology &amp; Sources'!$B$114:$J$120,0,4+2))),IF($AN16="MO",SUMPRODUCT(($AZ16&gt;=INDEX('Methodology &amp; Sources'!$B$125:$J$132,0,1))*INDEX('Methodology &amp; Sources'!$B$125:$J$132,0,1+2)),IF($AN16="NE",MAX(IF($AU16="Married",SUMPRODUCT(($AZ16&gt;=INDEX('Methodology &amp; Sources'!$B$144:$J$150,0,7))*INDEX('Methodology &amp; Sources'!$B$144:$J$150,0,7+2)),SUMPRODUCT(($AZ16&gt;=INDEX('Methodology &amp; Sources'!$B$144:$J$150,0,4))*INDEX('Methodology &amp; Sources'!$B$144:$J$150,0,4+2))),0.015),IF($AN16="OH",IF($B16&gt;=DATE(2027,8,1),SUMPRODUCT(($AZ16&gt;=INDEX('Methodology &amp; Sources'!$B$203:$J$206,0,1))*INDEX('Methodology &amp; Sources'!$B$203:$J$206,0,1+2)),SUMPRODUCT(($AZ16&gt;=INDEX('Methodology &amp; Sources'!$B$184:$J$198,0,7))*INDEX('Methodology &amp; Sources'!$B$184:$J$198,0,7+2))),IF($AN16="OK",IF($AU16="Married",SUMPRODUCT(($AZ16&gt;=INDEX('Methodology &amp; Sources'!$B$203:$J$206,0,7))*INDEX('Methodology &amp; Sources'!$B$203:$J$206,0,7+2)),SUMPRODUCT(($AZ16&gt;=INDEX('Methodology &amp; Sources'!$B$203:$J$206,0,4))*INDEX('Methodology &amp; Sources'!$B$203:$J$206,0,4+2))),IF($AN16="RI",SUMPRODUCT(($AZ16&gt;=INDEX('Methodology &amp; Sources'!$B$211:$J$214,0,7))*INDEX('Methodology &amp; Sources'!$B$211:$J$214,0,7+2)),IF($AN16="SC",SUMPRODUCT(($AZ16&gt;=INDEX('Methodology &amp; Sources'!$B$219:$J$223,0,1))*INDEX('Methodology &amp; Sources'!$B$219:$J$223,0,1+2)),IF($AN16="VT",IF($AU16="Married",SUMPRODUCT(($AZ16&gt;=INDEX('Methodology &amp; Sources'!$B$228:$J$232,0,1))*INDEX('Methodology &amp; Sources'!$B$228:$J$232,0,1+2)),SUMPRODUCT(($AZ16&gt;=INDEX('Methodology &amp; Sources'!$B$219:$J$223,0,7))*INDEX('Methodology &amp; Sources'!$B$219:$J$223,0,7+2))),IF($AN16="WV",IF($AU16="Married",SUMPRODUCT(($AZ16&gt;=INDEX('Methodology &amp; Sources'!$B$237:$J$241,0,7))*INDEX('Methodology &amp; Sources'!$B$237:$J$241,0,7+2)),SUMPRODUCT(($AZ16&gt;=INDEX('Methodology &amp; Sources'!$B$228:$J$232,0,7))*INDEX('Methodology &amp; Sources'!$B$228:$J$232,0,7+2))),IF($AN16="IN",(0.0295+Inputs!$C$76),"")))))))))))))</f>
      </c>
      <c r="CC16" s="24">
        <f>IF($B16="","",IF($AN16="AR",SUMPRODUCT(($AZ16&gt;=INDEX('Methodology &amp; Sources'!$B$82:$J$86,0,7))*INDEX('Methodology &amp; Sources'!$B$82:$J$86,0,7+2)),IF($AN16="DE",SUMPRODUCT(($AZ16&gt;=INDEX('Methodology &amp; Sources'!$B$91:$J$98,0,1))*INDEX('Methodology &amp; Sources'!$B$91:$J$98,0,1+2)),IF($AN16="VA",SUMPRODUCT(($AZ16&gt;=INDEX('Methodology &amp; Sources'!$B$219:$J$223,0,4))*INDEX('Methodology &amp; Sources'!$B$219:$J$223,0,4+2)),IF($AN16="WI",SUMPRODUCT(($AZ16&gt;=INDEX('Methodology &amp; Sources'!$B$228:$J$232,0,4))*INDEX('Methodology &amp; Sources'!$B$228:$J$232,0,4+2)),IF($AN16="AZ",Inputs!$C$82,IF($AN16="CO",IF($AY16&gt;IF($AU16="Married",10000,5000),0.044,0),IF($AN16="IA",IF($AY16&gt;IF($AU16="Head of household",19500,IF($AU16="Married",26000,13000)),0.038,0),IF($AN16="ID",IF($AY16&gt;IF($AU16="Married",32000,16094),0.053,0),IF($AN16="IL",IF($AY16&gt;(2925*$AS16+1000*$AT16),0.0495,0),IF($AN16="KY",IF($AI16&gt;3360,0.035,0),IF($AN16="LA",0.0309,IF($AN16="MA",IF(MAX(0,$AY16-MIN(($BD15+$Q16+$R16+$S16),2000)-IF($AS16=0,0,IF($AS16=1,4400,1000*$AS16+3400)))&gt;=1107750,0.09,0.05),IF($AN16="MS",IF($AI16-IF($AU16="Head of household",3400,IF($AU16="Married",4600,2300))-Inputs!$C$85&gt;10000,0.04,0),IF($AN16="PA",0.0307,"")))))))))))))))</f>
      </c>
      <c r="CD16" s="21">
        <f>IF(YEAR(IF(Inputs!$C$7="Weekly",Inputs!$C$90+7*(($BE15+1)-1),IF(Inputs!$C$7="Biweekly",Inputs!$C$90+14*(($BE15+1)-1),IF(Inputs!$C$7="Semimonthly",DATE(YEAR(Inputs!$C$9),MONTH(Inputs!$C$9)+INT((($BE15+1)-1+'Rest of 2026'!$C$2)/2),MIN(DAY(Inputs!$C$9),DAY(EOMONTH(DATE(YEAR(Inputs!$C$9),MONTH(Inputs!$C$9)+INT((($BE15+1)-1+'Rest of 2026'!$C$2)/2),1),0))))+IF(MOD(($BE15+1)-1+'Rest of 2026'!$C$2,2)=1,15,0),EDATE(Inputs!$C$90,($BE15+1)-1)))))&lt;&gt;Inputs!$C$10,"",IF(Inputs!$C$7="Weekly",Inputs!$C$90+7*(($BE15+1)-1),IF(Inputs!$C$7="Biweekly",Inputs!$C$90+14*(($BE15+1)-1),IF(Inputs!$C$7="Semimonthly",DATE(YEAR(Inputs!$C$9),MONTH(Inputs!$C$9)+INT((($BE15+1)-1+'Rest of 2026'!$C$2)/2),MIN(DAY(Inputs!$C$9),DAY(EOMONTH(DATE(YEAR(Inputs!$C$9),MONTH(Inputs!$C$9)+INT((($BE15+1)-1+'Rest of 2026'!$C$2)/2),1),0))))+IF(MOD(($BE15+1)-1+'Rest of 2026'!$C$2,2)=1,15,0),EDATE(Inputs!$C$90,($BE15+1)-1)))))</f>
      </c>
      <c r="CE16" s="21">
        <f>IF(SUMPRODUCT(MIN(IF((Inputs!$C$58:$C$67&gt;MAX($B$6:$B15))*(Inputs!$C$58:$C$67&gt;=DATE(Inputs!$C$10,1,1))*(Inputs!$C$58:$C$67&lt;=DATE(Inputs!$C$10,12,31)),Inputs!$C$58:$C$67,999999)))=999999,"",SUMPRODUCT(MIN(IF((Inputs!$C$58:$C$67&gt;MAX($B$6:$B15))*(Inputs!$C$58:$C$67&gt;=DATE(Inputs!$C$10,1,1))*(Inputs!$C$58:$C$67&lt;=DATE(Inputs!$C$10,12,31)),Inputs!$C$58:$C$67,999999))))</f>
      </c>
    </row>
    <row r="17">
      <c r="A17" t="n">
        <v>12</v>
      </c>
      <c r="B17" s="21">
        <f>IF(AND($CD17="",$CE17=""),"",IF($CE17="",$CD17,IF($CD17="",$CE17,MIN($CD17,$CE17))))</f>
      </c>
      <c r="C17" s="7">
        <f>IF($B17="","",IF($BF17=0,0,IF(Inputs!$C$4="Annual salary",ROUND($AK17/IF(AND(Inputs!$C$88="Actual paydays",MONTH(Inputs!$C$90)=1),MAX(1,MAX($BE$6:$BE$68)),Inputs!$C$8),2),$AK17)))</f>
      </c>
      <c r="D17" s="7">
        <f>IF($B17="","",SUMIF(Inputs!$C$58:$C$67,$B17,Inputs!$D$58:$D$67))</f>
      </c>
      <c r="E17" s="7">
        <f>IF($B17="","",ROUND(MAX(0,MIN(IF($AL17="Percent",$AM17*($C17+$D17),$AM17),MAX(0,Inputs!$C$34-$AC16))),2))</f>
      </c>
      <c r="F17" s="7">
        <f>IF($B17="","",ROUND(MAX(0,MIN(IF(Inputs!$C$32="Percent",Inputs!$D$32*($C17+$D17),Inputs!$D$32),MAX(0,Inputs!$C$34-$AC16-$E17))),2))</f>
      </c>
      <c r="G17" s="7">
        <f>IF($B17="","",IF($BF17=0,0,ROUND(MAX(0,MIN($BL17,Inputs!$C$37-Inputs!$C$99-$BI16)),2)))</f>
      </c>
      <c r="H17" s="7">
        <f>IF($B17="","",IF(OR($BF17=0,$BQ17=1),0,ROUND(MAX(0,MIN(IF($BS17=1,ROUND(MAX(0,MIN($BJ17,'Methodology &amp; Sources'!$C$13)-$BG16)/MAX(1,MAX($BE$6:$BE$68)-($BE16)),2),ROUND(MIN($BJ17,'Methodology &amp; Sources'!$C$13)/Inputs!$C$8,2)),MIN($BJ17,'Methodology &amp; Sources'!$C$13)-$BG16)),2)))</f>
      </c>
      <c r="I17" s="7">
        <f>IF($B17="","",IF(OR($BF17=0,$BR17=1),0,ROUND(MAX(0,MIN(IF($BT17=1,ROUND(MAX(0,MIN($BK17,IF(Inputs!$C$12="MFJ",'Methodology &amp; Sources'!$C$14,'Methodology &amp; Sources'!$C$15))-$BH16)/MAX(1,MAX($BE$6:$BE$68)-($BE16)),2),ROUND(MIN($BK17,IF(Inputs!$C$12="MFJ",'Methodology &amp; Sources'!$C$14,'Methodology &amp; Sources'!$C$15))/Inputs!$C$8,2)),MIN($BK17,IF(Inputs!$C$12="MFJ",'Methodology &amp; Sources'!$C$14,'Methodology &amp; Sources'!$C$15))-$BH16)),2)))</f>
      </c>
      <c r="J17" s="7">
        <f>IF($B17="","",IF($BF17=0,0,$BM17))</f>
      </c>
      <c r="K17" s="7">
        <f>IF($B17="","",IF($BF17=0,0,$BN17+$BO17))</f>
      </c>
      <c r="L17" s="7">
        <f>IF($B17="","",IF($BF17=0,0,Inputs!$D$46))</f>
      </c>
      <c r="M17" s="7">
        <f>IF($B17="","",$C17+$D17+$L17-$E17-$G17-$H17-$I17-$J17-$K17)</f>
      </c>
      <c r="N17" s="7">
        <f>IF($B17="","",$C17+$D17+$L17-$G17-$H17-$I17-$J17-$K17)</f>
      </c>
      <c r="O17" s="7">
        <f>IF($B17="","",$C17+$D17+$L17-$E17-$H17-$I17-$J17-$K17-IF(OR($AN17="CA",$AN17="NJ"),0,$G17))</f>
      </c>
      <c r="P17" s="7">
        <f>IF($B17="","",IF(Inputs!$C$18,0,ROUND(MAX(0,IF(Inputs!$C$13,SUMPRODUCT(($AH17&gt;INDEX('Methodology &amp; Sources'!$B$29:$J$36,0,IF(Inputs!$C$12="MFJ",1,IF(Inputs!$C$12="HoH",7,4))))*($AH17-INDEX('Methodology &amp; Sources'!$B$29:$J$36,0,IF(Inputs!$C$12="MFJ",1,IF(Inputs!$C$12="HoH",7,4))))*INDEX('Methodology &amp; Sources'!$B$29:$J$36,0,IF(Inputs!$C$12="MFJ",1,IF(Inputs!$C$12="HoH",7,4))+2)),SUMPRODUCT(($AH17&gt;INDEX('Methodology &amp; Sources'!$B$19:$J$26,0,IF(Inputs!$C$12="MFJ",1,IF(Inputs!$C$12="HoH",7,4))))*($AH17-INDEX('Methodology &amp; Sources'!$B$19:$J$26,0,IF(Inputs!$C$12="MFJ",1,IF(Inputs!$C$12="HoH",7,4))))*INDEX('Methodology &amp; Sources'!$B$19:$J$26,0,IF(Inputs!$C$12="MFJ",1,IF(Inputs!$C$12="HoH",7,4))+2)))/Inputs!$C$8-$AO17/Inputs!$C$8)+$AR17+IF(Inputs!$C$89="Aggregate",MAX(0,IF(Inputs!$C$13,SUMPRODUCT((($AH17+$D17)&gt;INDEX('Methodology &amp; Sources'!$B$29:$J$36,0,IF(Inputs!$C$12="MFJ",1,IF(Inputs!$C$12="HoH",7,4))))*(($AH17+$D17)-INDEX('Methodology &amp; Sources'!$B$29:$J$36,0,IF(Inputs!$C$12="MFJ",1,IF(Inputs!$C$12="HoH",7,4))))*INDEX('Methodology &amp; Sources'!$B$29:$J$36,0,IF(Inputs!$C$12="MFJ",1,IF(Inputs!$C$12="HoH",7,4))+2)),SUMPRODUCT((($AH17+$D17)&gt;INDEX('Methodology &amp; Sources'!$B$19:$J$26,0,IF(Inputs!$C$12="MFJ",1,IF(Inputs!$C$12="HoH",7,4))))*(($AH17+$D17)-INDEX('Methodology &amp; Sources'!$B$19:$J$26,0,IF(Inputs!$C$12="MFJ",1,IF(Inputs!$C$12="HoH",7,4))))*INDEX('Methodology &amp; Sources'!$B$19:$J$26,0,IF(Inputs!$C$12="MFJ",1,IF(Inputs!$C$12="HoH",7,4))+2)))-IF(Inputs!$C$13,SUMPRODUCT(($AH17&gt;INDEX('Methodology &amp; Sources'!$B$29:$J$36,0,IF(Inputs!$C$12="MFJ",1,IF(Inputs!$C$12="HoH",7,4))))*($AH17-INDEX('Methodology &amp; Sources'!$B$29:$J$36,0,IF(Inputs!$C$12="MFJ",1,IF(Inputs!$C$12="HoH",7,4))))*INDEX('Methodology &amp; Sources'!$B$29:$J$36,0,IF(Inputs!$C$12="MFJ",1,IF(Inputs!$C$12="HoH",7,4))+2)),SUMPRODUCT(($AH17&gt;INDEX('Methodology &amp; Sources'!$B$19:$J$26,0,IF(Inputs!$C$12="MFJ",1,IF(Inputs!$C$12="HoH",7,4))))*($AH17-INDEX('Methodology &amp; Sources'!$B$19:$J$26,0,IF(Inputs!$C$12="MFJ",1,IF(Inputs!$C$12="HoH",7,4))))*INDEX('Methodology &amp; Sources'!$B$19:$J$26,0,IF(Inputs!$C$12="MFJ",1,IF(Inputs!$C$12="HoH",7,4))+2)))),'Methodology &amp; Sources'!$C$10*$D17),2)))</f>
      </c>
      <c r="Q17" s="7">
        <f>IF($B17="","",ROUND('Methodology &amp; Sources'!$C$4*MIN($N17,MAX(0,'Methodology &amp; Sources'!$C$3-($AX17+$AB16-$AW17))),2))</f>
      </c>
      <c r="R17" s="7">
        <f>IF($B17="","",ROUND('Methodology &amp; Sources'!$C$5*$N17,2))</f>
      </c>
      <c r="S17" s="7">
        <f>IF($B17="","",ROUND('Methodology &amp; Sources'!$C$6*MAX(0,MIN($N17,$AG16+$N17-'Methodology &amp; Sources'!$C$7)),2))</f>
      </c>
      <c r="T17" s="7">
        <f>IF($B17="","",IF(Inputs!$C$26,0,IF($AN17="CA",ROUND(IF($AI17&lt;=IF(($AS17+$AT17)&gt;=2,VLOOKUP($AN17,StateTables!$A$6:$AB$56,10,FALSE),VLOOKUP($AN17,StateTables!$A$6:$AB$56,9,FALSE)),0,MAX(0,SUMPRODUCT(($AJ17&gt;INDEX('Methodology &amp; Sources'!$B$39:$J$48,0,IF($AU17="Married",4,IF($AU17="Head of household",7,1))))*($AJ17-INDEX('Methodology &amp; Sources'!$B$39:$J$48,0,IF($AU17="Married",4,IF($AU17="Head of household",7,1))))*INDEX('Methodology &amp; Sources'!$B$39:$J$48,0,IF($AU17="Married",4,IF($AU17="Head of household",7,1))+2))-VLOOKUP($AN17,StateTables!$A$6:$AB$56,11,FALSE)*$AS17)/Inputs!$C$8)+Inputs!$C$25+VLOOKUP($AN17,StateTables!$A$6:$AB$56,13,FALSE)*$D17,2),IF(VLOOKUP($AN17,StateTables!$A$6:$AB$56,4,FALSE)="None",0,IF(ISNUMBER(SEARCH("MANUAL",VLOOKUP($AN17,StateTables!$A$6:$AB$56,5,FALSE))),Inputs!$C$28,ROUND(MAX(0,$BA17+$BB17)/Inputs!$C$8+Inputs!$C$25+$BC17,2))))))</f>
      </c>
      <c r="U17" s="7">
        <f>IF($B17="","",IF(VLOOKUP($AN17,StateTables!$A$6:$AB$56,24,FALSE)="flatq",IF(OR(MONTH($B17)=1,MONTH($B17)=4,MONTH($B17)=7,MONTH($B17)=10),VLOOKUP($AN17,StateTables!$A$6:$AB$56,25,FALSE),0),IF(VLOOKUP($AN17,StateTables!$A$6:$AB$56,24,FALSE)="dbl",MIN(ROUND(0.005*$N17,2),ROUND(0.6*52/Inputs!$C$8,2)),IF(OR(VLOOKUP($AN17,StateTables!$A$6:$AB$56,15,FALSE)="",VLOOKUP($AN17,StateTables!$A$6:$AB$56,15,FALSE)=0),0,ROUND(VLOOKUP($AN17,StateTables!$A$6:$AB$56,15,FALSE)*IF(OR(VLOOKUP($AN17,StateTables!$A$6:$AB$56,16,FALSE)="",VLOOKUP($AN17,StateTables!$A$6:$AB$56,16,FALSE)=0),$N17,MIN($N17,MAX(0,VLOOKUP($AN17,StateTables!$A$6:$AB$56,16,FALSE)-($AX17+$AB16-$AW17)))),2))))+IF(VLOOKUP($AN17,StateTables!$A$6:$AB$56,27,FALSE)="flatq",IF(OR(MONTH($B17)=1,MONTH($B17)=4,MONTH($B17)=7,MONTH($B17)=10),VLOOKUP($AN17,StateTables!$A$6:$AB$56,28,FALSE),0),IF(VLOOKUP($AN17,StateTables!$A$6:$AB$56,27,FALSE)="dbl",MIN(ROUND(0.005*$N17,2),ROUND(0.6*52/Inputs!$C$8,2)),IF(OR(VLOOKUP($AN17,StateTables!$A$6:$AB$56,18,FALSE)="",VLOOKUP($AN17,StateTables!$A$6:$AB$56,18,FALSE)=0),0,ROUND(VLOOKUP($AN17,StateTables!$A$6:$AB$56,18,FALSE)*IF(OR(VLOOKUP($AN17,StateTables!$A$6:$AB$56,19,FALSE)="",VLOOKUP($AN17,StateTables!$A$6:$AB$56,19,FALSE)=0),$N17,MIN($N17,MAX(0,VLOOKUP($AN17,StateTables!$A$6:$AB$56,19,FALSE)-($AX17+$AB16-$AW17)))),2)))))</f>
      </c>
      <c r="V17" s="7">
        <f>IF($B17="","",IF($AN17="NY",IF(Inputs!$C$78,ROUND(SUMPRODUCT((MAX(0,($O17-$D17)*Inputs!$C$8-(IF($AU17="Married",5500,5000)+1000*$AS17))&gt;INDEX('Methodology &amp; Sources'!$B$184:$J$198,0,4))*(MAX(0,($O17-$D17)*Inputs!$C$8-(IF($AU17="Married",5500,5000)+1000*$AS17))-INDEX('Methodology &amp; Sources'!$B$184:$J$198,0,4))*INDEX('Methodology &amp; Sources'!$B$184:$J$198,0,4+2))/Inputs!$C$8+0.0425*$D17,2),0)+IF(Inputs!$C$79="Resident",ROUND(0.1675*$T17,2),IF(Inputs!$C$79="Nonresident",ROUND(0.005*MAX(0,($O17-$D17)-(IF($AU17="Married",7950,7400)+1000*$AS17)/Inputs!$C$8),2),0)),IF($AN17="PA",IF(Inputs!$C$80="None",Inputs!$C$27+ROUND(Inputs!$C$81*($C17+$D17),2),ROUND(IF(Inputs!$C$80="Resident",IF($B17&lt;DATE(2027,7,1),0.03735,0.03735),IF($B17&lt;DATE(2027,7,1),0.03425,0.03425))*($C17+$D17),2)),IF($BF17=0,ROUND(Inputs!$C$81*($C17+$D17),2),Inputs!$C$27+ROUND(Inputs!$C$81*($C17+$D17),2)))))</f>
      </c>
      <c r="W17" s="7">
        <f>IF($B17="","",IF($BF17=0,0,$BP17))</f>
      </c>
      <c r="X17" s="7">
        <f>IF($B17="","",SUM($E17:$K17)+$P17+$Q17+$R17+$S17+$T17+$U17+$V17+$W17)</f>
      </c>
      <c r="Y17" s="22">
        <f>IF($B17="","",$C17+$D17-$X17)</f>
      </c>
      <c r="Z17" s="7">
        <f>IF($B17="","",$Z16+$C17+$D17)</f>
      </c>
      <c r="AA17" s="7">
        <f>IF($B17="","",$AA16+$Y17)</f>
      </c>
      <c r="AB17" s="7">
        <f>IF($B17="","",$AB16+MIN($N17,MAX(0,'Methodology &amp; Sources'!$C$3-($AX17+$AB16-$AW17))))</f>
      </c>
      <c r="AC17" s="7">
        <f>IF($B17="","",$AC16+$E17+$F17)</f>
      </c>
      <c r="AD17" s="3">
        <f>IF($B17="","",IF(AND($AB16&lt;'Methodology &amp; Sources'!$C$3,$AB17&gt;='Methodology &amp; Sources'!$C$3),"★ Social Security maxed on this check — from the next check your net rises by about $"&amp;TEXT(ROUND('Methodology &amp; Sources'!$C$4*$N17,2),"#,##0.00")&amp;". ","")&amp;IF(AND($AC16&lt;Inputs!$C$34,$AC17&gt;=Inputs!$C$34),"★ 401(k) reaches the $"&amp;TEXT(Inputs!$C$34,"#,##0")&amp;" cap on this check — deferrals stop and net pay rises. ","")&amp;IF(AND($AG16&lt;'Methodology &amp; Sources'!$C$7,$AG17&gt;='Methodology &amp; Sources'!$C$7),"★ Wages pass $200,000 — the 0.9% Additional Medicare Tax starts here. ","")&amp;IF(AND($BJ17&gt;0,$H17&gt;0,$BG16&lt;MIN($BJ17,'Methodology &amp; Sources'!$C$13),$BG16+$H17&gt;=MIN($BJ17,'Methodology &amp; Sources'!$C$13)),"★ Health FSA election is now fully deferred for the year. ",""))</f>
      </c>
      <c r="AE17" s="41" t="n"/>
      <c r="AF17" s="7">
        <f>IF(OR($B17="",$AE17=""),"",$AE17-$Y17)</f>
      </c>
      <c r="AG17" s="7">
        <f>IF($B17="","",$AG16+$N17)</f>
      </c>
      <c r="AH17" s="7">
        <f>IF($B17="","",MAX(0,($M17-$D17)*Inputs!$C$8+$AP17-$AQ17-IF(Inputs!$C$13,0,IF(Inputs!$C$12="MFJ",'Methodology &amp; Sources'!$C$8,'Methodology &amp; Sources'!$C$9))))</f>
      </c>
      <c r="AI17" s="7">
        <f>IF($B17="","",$O17*Inputs!$C$8)</f>
      </c>
      <c r="AJ17" s="7">
        <f>IF($B17="","",MAX(0,$AI17-VLOOKUP($AN17,StateTables!$A$6:$AB$56,12,FALSE)*$AT17-IF(($AS17+$AT17)&gt;=2,VLOOKUP($AN17,StateTables!$A$6:$AB$56,8,FALSE),VLOOKUP($AN17,StateTables!$A$6:$AB$56,7,FALSE))))</f>
      </c>
      <c r="AK17" s="7">
        <f>IF($B17="","",IFERROR(LOOKUP(2,1/((Events!$C$6:$C$17="Salary change")*(Events!$B$6:$B$17&lt;=$B17)*(Events!$B$6:$B$17&lt;&gt;"")),Events!$D$6:$D$17),IF(Inputs!$C$4="Annual salary",Inputs!$C$5,Inputs!$C$6)))</f>
      </c>
      <c r="AL17">
        <f>IF($B17="","",IFERROR(LOOKUP(2,1/((Events!$C$6:$C$17="401(k) change")*(Events!$B$6:$B$17&lt;=$B17)*(Events!$B$6:$B$17&lt;&gt;"")),Events!$D$6:$D$17),Inputs!$C$30))</f>
      </c>
      <c r="AM17" s="7">
        <f>IF($B17="","",IFERROR(LOOKUP(2,1/((Events!$C$6:$C$17="401(k) change")*(Events!$B$6:$B$17&lt;=$B17)*(Events!$B$6:$B$17&lt;&gt;"")),Events!$E$6:$E$17),Inputs!$D$30))</f>
      </c>
      <c r="AN17">
        <f>IF($B17="","",IFERROR(LOOKUP(2,1/((Events!$C$6:$C$17="State move")*(Events!$B$6:$B$17&lt;=$B17)*(Events!$B$6:$B$17&lt;&gt;"")),Events!$D$6:$D$17),Inputs!$C$21))</f>
      </c>
      <c r="AO17" s="7">
        <f>IF($B17="","",IFERROR(LOOKUP(2,1/((Events!$C$6:$C$17="W-4 change")*(Events!$B$6:$B$17&lt;=$B17)*(Events!$B$6:$B$17&lt;&gt;"")),Events!$D$6:$D$17),Inputs!$C$14))</f>
      </c>
      <c r="AP17" s="7">
        <f>IF($B17="","",IFERROR(LOOKUP(2,1/((Events!$C$6:$C$17="W-4 change")*(Events!$B$6:$B$17&lt;=$B17)*(Events!$B$6:$B$17&lt;&gt;"")),Events!$E$6:$E$17),Inputs!$C$15))</f>
      </c>
      <c r="AQ17" s="7">
        <f>IF($B17="","",IFERROR(LOOKUP(2,1/((Events!$C$6:$C$17="W-4 change")*(Events!$B$6:$B$17&lt;=$B17)*(Events!$B$6:$B$17&lt;&gt;"")),Events!$F$6:$F$17),Inputs!$C$16))</f>
      </c>
      <c r="AR17" s="7">
        <f>IF($B17="","",IFERROR(LOOKUP(2,1/((Events!$C$6:$C$17="W-4 change")*(Events!$B$6:$B$17&lt;=$B17)*(Events!$B$6:$B$17&lt;&gt;"")),Events!$G$6:$G$17),Inputs!$C$17))</f>
      </c>
      <c r="AS17" s="6">
        <f>IF($B17="","",IFERROR(LOOKUP(2,1/(((Events!$C$6:$C$17="State move")+(Events!$C$6:$C$17="State cert change"))*(Events!$B$6:$B$17&lt;=$B17)*(Events!$B$6:$B$17&lt;&gt;"")),Events!$F$6:$F$17),Inputs!$C$23))</f>
      </c>
      <c r="AT17" s="6">
        <f>IF($B17="","",IFERROR(LOOKUP(2,1/(((Events!$C$6:$C$17="State move")+(Events!$C$6:$C$17="State cert change"))*(Events!$B$6:$B$17&lt;=$B17)*(Events!$B$6:$B$17&lt;&gt;"")),Events!$G$6:$G$17),Inputs!$C$24))</f>
      </c>
      <c r="AU17">
        <f>IF($B17="","",IFERROR(LOOKUP(2,1/((Events!$C$6:$C$17="State move")*(Events!$B$6:$B$17&lt;=$B17)*(Events!$B$6:$B$17&lt;&gt;"")),Events!$E$6:$E$17),Inputs!$C$22))</f>
      </c>
      <c r="AV17" s="6">
        <f>IF($B17="","",1+COUNTIFS(Events!$C$6:$C$17,"Employer change",Events!$B$6:$B$17,"&lt;="&amp;$B17,Events!$B$6:$B$17,"&lt;&gt;"))</f>
      </c>
      <c r="AW17" s="7">
        <f>IF($B17="","",IF($AV17=1,Inputs!$C$94,IF(IFERROR(MATCH(IFERROR(LOOKUP(2,1/((Events!$C$6:$C$17="Employer change")*(Events!$B$6:$B$17&lt;=$B17)*(Events!$B$6:$B$17&lt;&gt;"")),Events!$B$6:$B$17),""),$B$6:$B$68,1),1)&lt;=1,Inputs!$C$94,INDEX($AB$6:$AB$68,MATCH(IFERROR(LOOKUP(2,1/((Events!$C$6:$C$17="Employer change")*(Events!$B$6:$B$17&lt;=$B17)*(Events!$B$6:$B$17&lt;&gt;"")),Events!$B$6:$B$17),""),$B$6:$B$68,1)-1))))</f>
      </c>
      <c r="AX17" s="7">
        <f>IF($B17="","",IF($AV17=1,Inputs!$C$94,IFERROR(LOOKUP(2,1/((Events!$C$6:$C$17="Employer change")*(Events!$B$6:$B$17&lt;=$B17)*(Events!$B$6:$B$17&lt;&gt;"")),Events!$D$6:$D$17),0)))</f>
      </c>
      <c r="AY17" s="7">
        <f>IF($B17="","",($O17-$D17)*Inputs!$C$8)</f>
      </c>
      <c r="AZ17" s="7">
        <f>IF($B17="","",IF($AN17="AL",MAX(0,$AY17-IF($AU17="Married",IF($AY17&lt;=25999,8500,MAX(5000,8500-175*CEILING(($AY17-25999)/500,1))),IF($AU17="Head of household",IF($AY17&lt;=25999,5200,MAX(2500,5200-135*CEILING(($AY17-25999)/500,1))),IF($AY17&lt;=25999,3000,MAX(2500,3000-25*CEILING(($AY17-25999)/500,1)))))-($P17-'Methodology &amp; Sources'!$C$10*$D17)*Inputs!$C$8-IF(OR($AU17="Married",$AU17="Head of household"),3000,1500)-$AT17*IF($AY17&lt;=50000,1000,IF($AY17&lt;=100000,500,300))),IF($AN17="AR",IF(MAX(0,$AY17-2470)&lt;97701,INT(MAX(0,$AY17-2470)/100)*100+50,MAX(0,$AY17-2470)),IF($AN17="DE",MAX(0,$AI17-3250),IF($AN17="HI",MAX(0,$AI17-1144*$AS17-4350),IF($AN17="KS",MAX(0,$AI17-(9160*IF($AU17="Married",2,1)+2320*$AT17+IF($AU17="Head of household",2320,0))),IF($AN17="MD",MAX(0,$AI17-3400-3200*$AS17),IF($AN17="MN",MAX(0,$AY17-5300*$AS17),IF($AN17="MO",MAX(0,$AI17-IF($AU17="Head of household",24150,IF($AU17="Married",IF(Inputs!$C$83,16100,32200),16100))),IF($AN17="MT",$AY17,IF($AN17="ND",($C17+$L17)*Inputs!$C$8,IF($AN17="NE",MAX(0,$AY17-2440*$AS17),IF($AN17="NJ",MAX(0,$AY17-1000*$AS17),IF($AN17="NY",MAX(0,$AY17-(IF($AU17="Married",7950,7400)+1000*$AS17)),IF($AN17="OH",MAX(0,$AY17-650*$AS17),IF($AN17="OK",MAX(0,$AY17-1000*$AS17),IF($AN17="RI",MAX(0,$AI17-1000*$AS17),IF($AN17="SC",MAX(0,$AI17-5000*$AS17-IF($AS17=0,0,MIN(0.1*$AI17,7500))),IF($AN17="VA",MAX(0,$AI17-IF($AU17="Married",17500,8750)-930*$AS17-800*$AT17),IF($AN17="VT",MAX(0,$AI17-5400*$AS17),IF($AN17="WI",MAX(0,$AI17-MAX(0,IF($AU17="Married",9461-0.2*MAX(0,$AI17-25727),6702-0.12*MAX(0,$AI17-17780)))-400*$AS17),IF($AN17="WV",MAX(0,$AI17-2000*$AS17),$AI17))))))))))))))))))))))</f>
      </c>
      <c r="BA17" s="7">
        <f>IF($B17="","",IF($BW17&lt;&gt;"",$BW17,IF($BX17&lt;&gt;"",$BX17,IF($BY17&lt;&gt;"",$BY17,0))))</f>
      </c>
      <c r="BB17" s="7">
        <f>IF($B17="","",IF($AN17="AR",-29*$AS17,IF($AN17="DE",-110*$AS17,IF($AN17="MD",$AZ17*Inputs!$C$74,IF($AN17="AZ",Inputs!$C$82*($M17-$D17)*Inputs!$C$8,IF($AN17="CO",0.044*MAX(0,$AY17-IF($AU17="Married",10000,5000)),IF($AN17="IA",MAX(0,0.038*MAX(0,$AY17-IF($AU17="Head of household",19500,IF($AU17="Married",26000,13000)))-40*$AS17),IF($AN17="ID",0.053*MAX(0,$AY17-IF($AU17="Married",32000,16094)),IF($AN17="IL",0.0495*MAX(0,$AY17-(2925*$AS17+1000*$AT17)),IF($AN17="IN",(0.0295+Inputs!$C$76)*MAX(0,$AY17-(1000*$AS17+1500*$AT17+3000*Inputs!$C$86)),IF($AN17="KY",0.035*MAX(0,$AI17-3360),IF($AN17="LA",IF(Inputs!$C$84="0",0.0309*$AI17,0.0309*MAX(0,$AI17-IF(Inputs!$C$84="2",25750,12875))),IF($AN17="MA",0.05*MIN(MAX(0,$AY17-MIN(($BD16+$Q17+$R17+$S17),2000)-IF($AS17=0,0,IF($AS17=1,4400,1000*$AS17+3400))),1107750)+0.09*MAX(0,MAX(0,$AY17-MIN(($BD16+$Q17+$R17+$S17),2000)-IF($AS17=0,0,IF($AS17=1,4400,1000*$AS17+3400)))-1107750)-IF($AU17="Head of household",120,0)-110*Inputs!$C$75,IF($AN17="MI",0.0425*MAX(0,$AY17-5900*$AS17),IF($AN17="MS",0.04*MAX(0,$AI17-IF($AU17="Head of household",3400,IF($AU17="Married",4600,2300))-Inputs!$C$85-10000),IF($AN17="OR",IF(OR($AU17="Married",AND($AU17="Single",$AS17&gt;=3)),SUMPRODUCT((MAX(0,$AY17-MIN(($P17-'Methodology &amp; Sources'!$C$10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Sources'!$B$211:$J$214,0,4))*(MAX(0,$AY17-MIN(($P17-'Methodology &amp; Sources'!$C$10*$D17)*Inputs!$C$8,IF(OR($AU17="Married",AND($AU17="Single",$AS17&gt;=3)),IF($AY17&lt;250000,8750,IF($AY17&lt;260000,7000,IF($AY17&lt;270000,5250,IF($AY17&lt;280000,3500,IF($AY17&lt;290000,1750,0))))),IF($AY17&lt;125000,8750,IF($AY17&lt;130000,7000,IF($AY17&lt;135000,5250,IF($AY17&lt;140000,3500,IF($AY17&lt;145000,1750,0)))))))-IF(OR($AU17="Married",AND($AU17="Single",$AS17&gt;=3)),5820,2910))-INDEX('Methodology &amp; Sources'!$B$211:$J$214,0,4))*INDEX('Methodology &amp; Sources'!$B$211:$J$214,0,4+2)),SUMPRODUCT((MAX(0,$AY17-MIN(($P17-'Methodology &amp; Sources'!$C$10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Sources'!$B$211:$J$214,0,1))*(MAX(0,$AY17-MIN(($P17-'Methodology &amp; Sources'!$C$10*$D17)*Inputs!$C$8,IF(OR($AU17="Married",AND($AU17="Single",$AS17&gt;=3)),IF($AY17&lt;250000,8750,IF($AY17&lt;260000,7000,IF($AY17&lt;270000,5250,IF($AY17&lt;280000,3500,IF($AY17&lt;290000,1750,0))))),IF($AY17&lt;125000,8750,IF($AY17&lt;130000,7000,IF($AY17&lt;135000,5250,IF($AY17&lt;140000,3500,IF($AY17&lt;145000,1750,0)))))))-IF(OR($AU17="Married",AND($AU17="Single",$AS17&gt;=3)),5820,2910))-INDEX('Methodology &amp; Sources'!$B$211:$J$214,0,1))*INDEX('Methodology &amp; Sources'!$B$211:$J$214,0,1+2)))+263-263*IF(IF($AU17="Married",$AY17&gt;200000,$AY17&gt;100000),0,$AS17),IF($AN17="PA",0.0307*(($O17+$E17+$G17)*Inputs!$C$8),IF($AN17="NY",IF($AU17="Married",IF($AZ17&gt;=2155350,0,IF($AZ17&gt;=1077550,0.48,IF($AZ17&gt;=373200,1.21,IF($AZ17&gt;=323200,0.21,IF($AZ17&gt;=211550,-0.19,IF($AZ17&gt;=157650,-2.8,IF($AZ17&gt;=107650,-0.8,IF($AZ17&gt;=96800,0.05,IF($AZ17&gt;=80650,-0.1,IF($AZ17&gt;=13900,0.4,IF($AZ17&gt;=11700,-0.3,IF($AZ17&gt;=8500,0.5,0)))))))))))),IF($AZ17&gt;=1077550,0,IF($AZ17&gt;=265400,4.29,IF($AZ17&gt;=215400,2.29,IF($AZ17&gt;=157650,2.29,IF($AZ17&gt;=107650,0.29,IF($AZ17&gt;=96800,0.05,IF($AZ17&gt;=80650,-0.1,IF($AZ17&gt;=13900,0.4,IF($AZ17&gt;=11700,-0.3,IF($AZ17&gt;=8500,0.5,0))))))))))),0))))))))))))))))))</f>
      </c>
      <c r="BC17" s="7">
        <f>IF($B17="","",IF($AN17="AL",0.05*$D17,IF($AN17="AR",0.039*$D17,IF($AN17="ID",0.053*$D17,IF($AN17="IN",(0.0295+Inputs!$C$76)*$D17,IF($AN17="KS",0.05*$D17,IF($AN17="MA",0.09*MIN($D17,MAX(0,MAX(0,$AY17-MIN(($BD16+$Q17+$R17+$S17),2000)-IF($AS17=0,0,IF($AS17=1,4400,1000*$AS17+3400)))+$D17-1107750))+0.05*($D17-MIN($D17,MAX(0,MAX(0,$AY17-MIN(($BD16+$Q17+$R17+$S17),2000)-IF($AS17=0,0,IF($AS17=1,4400,1000*$AS17+3400)))+$D17-1107750))),IF($AN17="MD",(0.065+Inputs!$C$74)*$D17,IF($AN17="MI",0.0425*$D17,IF($AN17="MN",0.0625*$D17,IF($AN17="MO",0.047*$D17,IF($AN17="MT",0.05*$D17,IF($AN17="ND",0.015*$D17,IF($AN17="NE",0.035*$D17,IF($AN17="NJ",IF(Inputs!$C$77="B",SUMPRODUCT(($D17*Inputs!$C$8&gt;INDEX('Methodology &amp; Sources'!$B$155:$J$162,0,4))*($D17*Inputs!$C$8-INDEX('Methodology &amp; Sources'!$B$155:$J$162,0,4))*INDEX('Methodology &amp; Sources'!$B$155:$J$162,0,4+2)),IF(Inputs!$C$77="C",SUMPRODUCT(($D17*Inputs!$C$8&gt;INDEX('Methodology &amp; Sources'!$B$155:$J$162,0,7))*($D17*Inputs!$C$8-INDEX('Methodology &amp; Sources'!$B$155:$J$162,0,7))*INDEX('Methodology &amp; Sources'!$B$155:$J$162,0,7+2)),IF(Inputs!$C$77="D",SUMPRODUCT(($D17*Inputs!$C$8&gt;INDEX('Methodology &amp; Sources'!$B$167:$J$179,0,1))*($D17*Inputs!$C$8-INDEX('Methodology &amp; Sources'!$B$167:$J$179,0,1))*INDEX('Methodology &amp; Sources'!$B$167:$J$179,0,1+2)),IF(Inputs!$C$77="E",SUMPRODUCT(($D17*Inputs!$C$8&gt;INDEX('Methodology &amp; Sources'!$B$167:$J$179,0,4))*($D17*Inputs!$C$8-INDEX('Methodology &amp; Sources'!$B$167:$J$179,0,4))*INDEX('Methodology &amp; Sources'!$B$167:$J$179,0,4+2)),SUMPRODUCT(($D17*Inputs!$C$8&gt;INDEX('Methodology &amp; Sources'!$B$155:$J$162,0,1))*($D17*Inputs!$C$8-INDEX('Methodology &amp; Sources'!$B$155:$J$162,0,1))*INDEX('Methodology &amp; Sources'!$B$155:$J$162,0,1+2))))))/Inputs!$C$8,IF($AN17="NY",0.117*$D17,IF($AN17="OH",0.0275*$D17,IF($AN17="OK",0.045*$D17,IF($AN17="OR",0.08*$D17,IF($AN17="WI",IF($AY17&lt;12760,0.0354,IF($AY17&lt;25520,0.0465,IF($AY17&lt;280950,0.053,0.0765)))*$D17,0))))))))))))))))))))</f>
      </c>
      <c r="BD17" s="7">
        <f>IF($B17="","",$BD16+$Q17+$R17+$S17)</f>
      </c>
      <c r="BE17" s="6">
        <f>IF($B17="",$BE16,$BE16+$BF17)</f>
      </c>
      <c r="BF17" s="6">
        <f>IF($B17="","",IF(AND(IF(YEAR(IF(Inputs!$C$7="Weekly",Inputs!$C$90+7*(($BE16+1)-1),IF(Inputs!$C$7="Biweekly",Inputs!$C$90+14*(($BE16+1)-1),IF(Inputs!$C$7="Semimonthly",DATE(YEAR(Inputs!$C$9),MONTH(Inputs!$C$9)+INT((($BE16+1)-1+'Rest of 2026'!$C$2)/2),MIN(DAY(Inputs!$C$9),DAY(EOMONTH(DATE(YEAR(Inputs!$C$9),MONTH(Inputs!$C$9)+INT((($BE16+1)-1+'Rest of 2026'!$C$2)/2),1),0))))+IF(MOD(($BE16+1)-1+'Rest of 2026'!$C$2,2)=1,15,0),EDATE(Inputs!$C$90,($BE16+1)-1)))))&lt;&gt;Inputs!$C$10,"",IF(Inputs!$C$7="Weekly",Inputs!$C$90+7*(($BE16+1)-1),IF(Inputs!$C$7="Biweekly",Inputs!$C$90+14*(($BE16+1)-1),IF(Inputs!$C$7="Semimonthly",DATE(YEAR(Inputs!$C$9),MONTH(Inputs!$C$9)+INT((($BE16+1)-1+'Rest of 2026'!$C$2)/2),MIN(DAY(Inputs!$C$9),DAY(EOMONTH(DATE(YEAR(Inputs!$C$9),MONTH(Inputs!$C$9)+INT((($BE16+1)-1+'Rest of 2026'!$C$2)/2),1),0))))+IF(MOD(($BE16+1)-1+'Rest of 2026'!$C$2,2)=1,15,0),EDATE(Inputs!$C$90,($BE16+1)-1)))))&lt;&gt;"",$B17=IF(YEAR(IF(Inputs!$C$7="Weekly",Inputs!$C$90+7*(($BE16+1)-1),IF(Inputs!$C$7="Biweekly",Inputs!$C$90+14*(($BE16+1)-1),IF(Inputs!$C$7="Semimonthly",DATE(YEAR(Inputs!$C$9),MONTH(Inputs!$C$9)+INT((($BE16+1)-1+'Rest of 2026'!$C$2)/2),MIN(DAY(Inputs!$C$9),DAY(EOMONTH(DATE(YEAR(Inputs!$C$9),MONTH(Inputs!$C$9)+INT((($BE16+1)-1+'Rest of 2026'!$C$2)/2),1),0))))+IF(MOD(($BE16+1)-1+'Rest of 2026'!$C$2,2)=1,15,0),EDATE(Inputs!$C$90,($BE16+1)-1)))))&lt;&gt;Inputs!$C$10,"",IF(Inputs!$C$7="Weekly",Inputs!$C$90+7*(($BE16+1)-1),IF(Inputs!$C$7="Biweekly",Inputs!$C$90+14*(($BE16+1)-1),IF(Inputs!$C$7="Semimonthly",DATE(YEAR(Inputs!$C$9),MONTH(Inputs!$C$9)+INT((($BE16+1)-1+'Rest of 2026'!$C$2)/2),MIN(DAY(Inputs!$C$9),DAY(EOMONTH(DATE(YEAR(Inputs!$C$9),MONTH(Inputs!$C$9)+INT((($BE16+1)-1+'Rest of 2026'!$C$2)/2),1),0))))+IF(MOD(($BE16+1)-1+'Rest of 2026'!$C$2,2)=1,15,0),EDATE(Inputs!$C$90,($BE16+1)-1)))))),1,0))</f>
      </c>
      <c r="BG17" s="7">
        <f>IF($B17="","",$BG16+$H17)</f>
      </c>
      <c r="BH17" s="7">
        <f>IF($B17="","",$BH16+$I17)</f>
      </c>
      <c r="BI17" s="7">
        <f>IF($B17="","",$BI16+$G17)</f>
      </c>
      <c r="BJ17" s="7">
        <f>IF($B17="","",IFERROR(LOOKUP(2,1/((((Events!$C$6:$C$17="Deduction start"))*(Events!$D$6:$D$17="Health FSA"))*(Events!$B$6:$B$17&lt;=$B17)*(Events!$B$6:$B$17&lt;&gt;"")),Events!$E$6:$E$17),Inputs!$D$38))</f>
      </c>
      <c r="BK17" s="7">
        <f>IF($B17="","",IFERROR(LOOKUP(2,1/((((Events!$C$6:$C$17="Deduction start"))*(Events!$D$6:$D$17="Dependent-care FSA"))*(Events!$B$6:$B$17&lt;=$B17)*(Events!$B$6:$B$17&lt;&gt;"")),Events!$E$6:$E$17),Inputs!$D$39))</f>
      </c>
      <c r="BL17" s="7">
        <f>IF($B17="","",IFERROR(LOOKUP(2,1/((((Events!$C$6:$C$17="Deduction start")+(Events!$C$6:$C$17="Deduction stop"))*(Events!$D$6:$D$17="HSA"))*(Events!$B$6:$B$17&lt;=$B17)*(Events!$B$6:$B$17&lt;&gt;"")),Events!$I$6:$I$17),Inputs!$D$35))</f>
      </c>
      <c r="BM17" s="7">
        <f>IF($B17="","",IFERROR(LOOKUP(2,1/((((Events!$C$6:$C$17="Deduction start")+(Events!$C$6:$C$17="Deduction stop"))*(Events!$D$6:$D$17="Premiums"))*(Events!$B$6:$B$17&lt;=$B17)*(Events!$B$6:$B$17&lt;&gt;"")),Events!$I$6:$I$17),Inputs!$D$40+Inputs!$D$41+Inputs!$D$42))</f>
      </c>
      <c r="BN17" s="7">
        <f>IF($B17="","",IFERROR(LOOKUP(2,1/((((Events!$C$6:$C$17="Deduction start")+(Events!$C$6:$C$17="Deduction stop"))*(Events!$D$6:$D$17="Commuter"))*(Events!$B$6:$B$17&lt;=$B17)*(Events!$B$6:$B$17&lt;&gt;"")),Events!$I$6:$I$17),Inputs!$D$43))</f>
      </c>
      <c r="BO17" s="7">
        <f>IF($B17="","",IFERROR(LOOKUP(2,1/((((Events!$C$6:$C$17="Deduction start")+(Events!$C$6:$C$17="Deduction stop"))*(Events!$D$6:$D$17="Other pre-tax"))*(Events!$B$6:$B$17&lt;=$B17)*(Events!$B$6:$B$17&lt;&gt;"")),Events!$I$6:$I$17),Inputs!$D$44))</f>
      </c>
      <c r="BP17" s="7">
        <f>IF($B17="","",IFERROR(LOOKUP(2,1/((((Events!$C$6:$C$17="Deduction start")+(Events!$C$6:$C$17="Deduction stop"))*(Events!$D$6:$D$17="Other post-tax"))*(Events!$B$6:$B$17&lt;=$B17)*(Events!$B$6:$B$17&lt;&gt;"")),Events!$I$6:$I$17),Inputs!$D$45))</f>
      </c>
      <c r="BQ17" s="6">
        <f>IF($B17="","",IFERROR(LOOKUP(2,1/((((Events!$C$6:$C$17="Deduction start")+(Events!$C$6:$C$17="Deduction stop"))*(Events!$D$6:$D$17="Health FSA"))*(Events!$B$6:$B$17&lt;=$B17)*(Events!$B$6:$B$17&lt;&gt;"")),Events!$J$6:$J$17),0))</f>
      </c>
      <c r="BR17" s="6">
        <f>IF($B17="","",IFERROR(LOOKUP(2,1/((((Events!$C$6:$C$17="Deduction start")+(Events!$C$6:$C$17="Deduction stop"))*(Events!$D$6:$D$17="Dependent-care FSA"))*(Events!$B$6:$B$17&lt;=$B17)*(Events!$B$6:$B$17&lt;&gt;"")),Events!$J$6:$J$17),0))</f>
      </c>
      <c r="BS17" s="6">
        <f>IF($B17="","",IF(SUMPRODUCT((Events!$C$6:$C$17="Deduction start")*(Events!$B$6:$B$17&lt;=$B17)*(Events!$B$6:$B$17&lt;&gt;"")*(Events!$D$6:$D$17="Health FSA"))&gt;0,1,0))</f>
      </c>
      <c r="BT17" s="6">
        <f>IF($B17="","",IF(SUMPRODUCT((Events!$C$6:$C$17="Deduction start")*(Events!$B$6:$B$17&lt;=$B17)*(Events!$B$6:$B$17&lt;&gt;"")*(Events!$D$6:$D$17="Dependent-care FSA"))&gt;0,1,0))</f>
      </c>
      <c r="BU17" s="24">
        <f>IF($B17="","",IF(Inputs!$C$13,SUMPRODUCT(($AH17&gt;=INDEX('Methodology &amp; Sources'!$B$29:$J$36,0,IF(Inputs!$C$12="MFJ",1,IF(Inputs!$C$12="HoH",7,4))))*INDEX('Methodology &amp; Sources'!$B$29:$J$36,0,IF(Inputs!$C$12="MFJ",1,IF(Inputs!$C$12="HoH",7,4))+2)),SUMPRODUCT(($AH17&gt;=INDEX('Methodology &amp; Sources'!$B$19:$J$26,0,IF(Inputs!$C$12="MFJ",1,IF(Inputs!$C$12="HoH",7,4))))*INDEX('Methodology &amp; Sources'!$B$19:$J$26,0,IF(Inputs!$C$12="MFJ",1,IF(Inputs!$C$12="HoH",7,4))+2))))</f>
      </c>
      <c r="BV17" s="24">
        <f>IF($B17="","",IF($BZ17&lt;&gt;"",$BZ17,IF($CA17&lt;&gt;"",$CA17,IF($CB17&lt;&gt;"",$CB17,IF($CC17&lt;&gt;"",$CC17,0)))))</f>
      </c>
      <c r="BW17" s="7">
        <f>IF($B17="","",IF($AN17="MD",IF(OR($AU17="Married",$AU17="Head of household"),SUMPRODUCT(($AZ17&gt;INDEX('Methodology &amp; Sources'!$B$114:$J$120,0,1))*($AZ17-INDEX('Methodology &amp; Sources'!$B$114:$J$120,0,1))*INDEX('Methodology &amp; Sources'!$B$114:$J$120,0,1+2)),SUMPRODUCT(($AZ17&gt;INDEX('Methodology &amp; Sources'!$B$103:$J$109,0,7))*($AZ17-INDEX('Methodology &amp; Sources'!$B$103:$J$109,0,7))*INDEX('Methodology &amp; Sources'!$B$103:$J$109,0,7+2))),IF($AN17="MO",SUMPRODUCT(($AZ17&gt;INDEX('Methodology &amp; Sources'!$B$125:$J$132,0,1))*($AZ17-INDEX('Methodology &amp; Sources'!$B$125:$J$132,0,1))*INDEX('Methodology &amp; Sources'!$B$125:$J$132,0,1+2)),IF($AN17="MT",IF($AU17="Head of household",SUMPRODUCT(($AZ17&gt;INDEX('Methodology &amp; Sources'!$B$137:$J$139,0,1))*($AZ17-INDEX('Methodology &amp; Sources'!$B$137:$J$139,0,1))*INDEX('Methodology &amp; Sources'!$B$137:$J$139,0,1+2)),IF($AU17="Married",SUMPRODUCT(($AZ17&gt;INDEX('Methodology &amp; Sources'!$B$125:$J$132,0,7))*($AZ17-INDEX('Methodology &amp; Sources'!$B$125:$J$132,0,7))*INDEX('Methodology &amp; Sources'!$B$125:$J$132,0,7+2)),SUMPRODUCT(($AZ17&gt;INDEX('Methodology &amp; Sources'!$B$125:$J$132,0,4))*($AZ17-INDEX('Methodology &amp; Sources'!$B$125:$J$132,0,4))*INDEX('Methodology &amp; Sources'!$B$125:$J$132,0,4+2)))),IF($AN17="ND",IF($AU17="Head of household",SUMPRODUCT(($AZ17&gt;INDEX('Methodology &amp; Sources'!$B$144:$J$150,0,1))*($AZ17-INDEX('Methodology &amp; Sources'!$B$144:$J$150,0,1))*INDEX('Methodology &amp; Sources'!$B$144:$J$150,0,1+2)),IF($AU17="Married",SUMPRODUCT(($AZ17&gt;INDEX('Methodology &amp; Sources'!$B$137:$J$139,0,7))*($AZ17-INDEX('Methodology &amp; Sources'!$B$137:$J$139,0,7))*INDEX('Methodology &amp; Sources'!$B$137:$J$139,0,7+2)),SUMPRODUCT(($AZ17&gt;INDEX('Methodology &amp; Sources'!$B$137:$J$139,0,4))*($AZ17-INDEX('Methodology &amp; Sources'!$B$137:$J$139,0,4))*INDEX('Methodology &amp; Sources'!$B$137:$J$139,0,4+2)))),IF($AN17="NJ",IF(Inputs!$C$77="B",SUMPRODUCT(($AZ17&gt;INDEX('Methodology &amp; Sources'!$B$155:$J$162,0,4))*($AZ17-INDEX('Methodology &amp; Sources'!$B$155:$J$162,0,4))*INDEX('Methodology &amp; Sources'!$B$155:$J$162,0,4+2)),IF(Inputs!$C$77="C",SUMPRODUCT(($AZ17&gt;INDEX('Methodology &amp; Sources'!$B$155:$J$162,0,7))*($AZ17-INDEX('Methodology &amp; Sources'!$B$155:$J$162,0,7))*INDEX('Methodology &amp; Sources'!$B$155:$J$162,0,7+2)),IF(Inputs!$C$77="D",SUMPRODUCT(($AZ17&gt;INDEX('Methodology &amp; Sources'!$B$167:$J$179,0,1))*($AZ17-INDEX('Methodology &amp; Sources'!$B$167:$J$179,0,1))*INDEX('Methodology &amp; Sources'!$B$167:$J$179,0,1+2)),IF(Inputs!$C$77="E",SUMPRODUCT(($AZ17&gt;INDEX('Methodology &amp; Sources'!$B$167:$J$179,0,4))*($AZ17-INDEX('Methodology &amp; Sources'!$B$167:$J$179,0,4))*INDEX('Methodology &amp; Sources'!$B$167:$J$179,0,4+2)),SUMPRODUCT(($AZ17&gt;INDEX('Methodology &amp; Sources'!$B$155:$J$162,0,1))*($AZ17-INDEX('Methodology &amp; Sources'!$B$155:$J$162,0,1))*INDEX('Methodology &amp; Sources'!$B$155:$J$162,0,1+2)))))),IF($AN17="NY",IF($AU17="Married",IF($AZ17&gt;=2155350,$AZ17*IF($AZ17&gt;25000000,0.117,IF($AZ17&gt;5000000,0.111,0.1045)),SUMPRODUCT(($AZ17&gt;INDEX('Methodology &amp; Sources'!$B$184:$J$198,0,1))*($AZ17-INDEX('Methodology &amp; Sources'!$B$184:$J$198,0,1))*INDEX('Methodology &amp; Sources'!$B$184:$J$198,0,1+2))),IF($AZ17&gt;=1077550,$AZ17*IF($AZ17&gt;25000000,0.117,IF($AZ17&gt;5000000,0.111,0.1045)),SUMPRODUCT(($AZ17&gt;INDEX('Methodology &amp; Sources'!$B$167:$J$179,0,7))*($AZ17-INDEX('Methodology &amp; Sources'!$B$167:$J$179,0,7))*INDEX('Methodology &amp; Sources'!$B$167:$J$179,0,7+2)))),"")))))))</f>
      </c>
      <c r="BX17" s="7">
        <f>IF($B17="","",IF($AN17="AL",IF(OR($AU17="Married",$AU17="Head of household"),SUMPRODUCT(($AZ17&gt;INDEX('Methodology &amp; Sources'!$B$82:$J$86,0,4))*($AZ17-INDEX('Methodology &amp; Sources'!$B$82:$J$86,0,4))*INDEX('Methodology &amp; Sources'!$B$82:$J$86,0,4+2)),SUMPRODUCT(($AZ17&gt;INDEX('Methodology &amp; Sources'!$B$82:$J$86,0,1))*($AZ17-INDEX('Methodology &amp; Sources'!$B$82:$J$86,0,1))*INDEX('Methodology &amp; Sources'!$B$82:$J$86,0,1+2))),IF($AN17="KS",IF($AU17="Married",SUMPRODUCT(($AZ17&gt;INDEX('Methodology &amp; Sources'!$B$103:$J$109,0,4))*($AZ17-INDEX('Methodology &amp; Sources'!$B$103:$J$109,0,4))*INDEX('Methodology &amp; Sources'!$B$103:$J$109,0,4+2)),SUMPRODUCT(($AZ17&gt;INDEX('Methodology &amp; Sources'!$B$103:$J$109,0,1))*($AZ17-INDEX('Methodology &amp; Sources'!$B$103:$J$109,0,1))*INDEX('Methodology &amp; Sources'!$B$103:$J$109,0,1+2))),IF($AN17="MN",IF($AU17="Married",SUMPRODUCT(($AZ17&gt;INDEX('Methodology &amp; Sources'!$B$114:$J$120,0,7))*($AZ17-INDEX('Methodology &amp; Sources'!$B$114:$J$120,0,7))*INDEX('Methodology &amp; Sources'!$B$114:$J$120,0,7+2)),SUMPRODUCT(($AZ17&gt;INDEX('Methodology &amp; Sources'!$B$114:$J$120,0,4))*($AZ17-INDEX('Methodology &amp; Sources'!$B$114:$J$120,0,4))*INDEX('Methodology &amp; Sources'!$B$114:$J$120,0,4+2))),IF($AN17="NE",MAX(IF($AU17="Married",SUMPRODUCT(($AZ17&gt;INDEX('Methodology &amp; Sources'!$B$144:$J$150,0,7))*($AZ17-INDEX('Methodology &amp; Sources'!$B$144:$J$150,0,7))*INDEX('Methodology &amp; Sources'!$B$144:$J$150,0,7+2)),SUMPRODUCT(($AZ17&gt;INDEX('Methodology &amp; Sources'!$B$144:$J$150,0,4))*($AZ17-INDEX('Methodology &amp; Sources'!$B$144:$J$150,0,4))*INDEX('Methodology &amp; Sources'!$B$144:$J$150,0,4+2))),0.015*$AZ17),IF($AN17="OH",IF($B17&gt;=DATE(2027,8,1),SUMPRODUCT(($AZ17&gt;INDEX('Methodology &amp; Sources'!$B$203:$J$206,0,1))*($AZ17-INDEX('Methodology &amp; Sources'!$B$203:$J$206,0,1))*INDEX('Methodology &amp; Sources'!$B$203:$J$206,0,1+2)),SUMPRODUCT(($AZ17&gt;INDEX('Methodology &amp; Sources'!$B$184:$J$198,0,7))*($AZ17-INDEX('Methodology &amp; Sources'!$B$184:$J$198,0,7))*INDEX('Methodology &amp; Sources'!$B$184:$J$198,0,7+2))),IF($AN17="OK",IF($AU17="Married",SUMPRODUCT(($AZ17&gt;INDEX('Methodology &amp; Sources'!$B$203:$J$206,0,7))*($AZ17-INDEX('Methodology &amp; Sources'!$B$203:$J$206,0,7))*INDEX('Methodology &amp; Sources'!$B$203:$J$206,0,7+2)),SUMPRODUCT(($AZ17&gt;INDEX('Methodology &amp; Sources'!$B$203:$J$206,0,4))*($AZ17-INDEX('Methodology &amp; Sources'!$B$203:$J$206,0,4))*INDEX('Methodology &amp; Sources'!$B$203:$J$206,0,4+2))),IF($AN17="RI",SUMPRODUCT(($AZ17&gt;INDEX('Methodology &amp; Sources'!$B$211:$J$214,0,7))*($AZ17-INDEX('Methodology &amp; Sources'!$B$211:$J$214,0,7))*INDEX('Methodology &amp; Sources'!$B$211:$J$214,0,7+2)),IF($AN17="VT",IF($AU17="Married",SUMPRODUCT(($AZ17&gt;INDEX('Methodology &amp; Sources'!$B$228:$J$232,0,1))*($AZ17-INDEX('Methodology &amp; Sources'!$B$228:$J$232,0,1))*INDEX('Methodology &amp; Sources'!$B$228:$J$232,0,1+2)),SUMPRODUCT(($AZ17&gt;INDEX('Methodology &amp; Sources'!$B$219:$J$223,0,7))*($AZ17-INDEX('Methodology &amp; Sources'!$B$219:$J$223,0,7))*INDEX('Methodology &amp; Sources'!$B$219:$J$223,0,7+2))),IF($AN17="WV",IF($AU17="Married",SUMPRODUCT(($AZ17&gt;INDEX('Methodology &amp; Sources'!$B$237:$J$241,0,7))*($AZ17-INDEX('Methodology &amp; Sources'!$B$237:$J$241,0,7))*INDEX('Methodology &amp; Sources'!$B$237:$J$241,0,7+2)),SUMPRODUCT(($AZ17&gt;INDEX('Methodology &amp; Sources'!$B$228:$J$232,0,7))*($AZ17-INDEX('Methodology &amp; Sources'!$B$228:$J$232,0,7))*INDEX('Methodology &amp; Sources'!$B$228:$J$232,0,7+2))),""))))))))))</f>
      </c>
      <c r="BY17" s="7">
        <f>IF($B17="","",IF($AN17="AR",SUMPRODUCT(($AZ17&gt;INDEX('Methodology &amp; Sources'!$B$82:$J$86,0,7))*($AZ17-INDEX('Methodology &amp; Sources'!$B$82:$J$86,0,7))*INDEX('Methodology &amp; Sources'!$B$82:$J$86,0,7+2)),IF($AN17="DE",SUMPRODUCT(($AZ17&gt;INDEX('Methodology &amp; Sources'!$B$91:$J$98,0,1))*($AZ17-INDEX('Methodology &amp; Sources'!$B$91:$J$98,0,1))*INDEX('Methodology &amp; Sources'!$B$91:$J$98,0,1+2)),IF($AN17="HI",IF($AU17="Married",SUMPRODUCT(($AZ17&gt;INDEX('Methodology &amp; Sources'!$B$91:$J$98,0,7))*($AZ17-INDEX('Methodology &amp; Sources'!$B$91:$J$98,0,7))*INDEX('Methodology &amp; Sources'!$B$91:$J$98,0,7+2)),SUMPRODUCT(($AZ17&gt;INDEX('Methodology &amp; Sources'!$B$91:$J$98,0,4))*($AZ17-INDEX('Methodology &amp; Sources'!$B$91:$J$98,0,4))*INDEX('Methodology &amp; Sources'!$B$91:$J$98,0,4+2))),IF($AN17="SC",SUMPRODUCT(($AZ17&gt;INDEX('Methodology &amp; Sources'!$B$219:$J$223,0,1))*($AZ17-INDEX('Methodology &amp; Sources'!$B$219:$J$223,0,1))*INDEX('Methodology &amp; Sources'!$B$219:$J$223,0,1+2)),IF($AN17="VA",SUMPRODUCT(($AZ17&gt;INDEX('Methodology &amp; Sources'!$B$219:$J$223,0,4))*($AZ17-INDEX('Methodology &amp; Sources'!$B$219:$J$223,0,4))*INDEX('Methodology &amp; Sources'!$B$219:$J$223,0,4+2)),IF($AN17="WI",SUMPRODUCT(($AZ17&gt;INDEX('Methodology &amp; Sources'!$B$228:$J$232,0,4))*($AZ17-INDEX('Methodology &amp; Sources'!$B$228:$J$232,0,4))*INDEX('Methodology &amp; Sources'!$B$228:$J$232,0,4+2)),"")))))))</f>
      </c>
      <c r="BZ17" s="24">
        <f>IF($B17="","",IF($AN17="NJ",IF(Inputs!$C$77="B",SUMPRODUCT(($AZ17&gt;=INDEX('Methodology &amp; Sources'!$B$155:$J$162,0,4))*INDEX('Methodology &amp; Sources'!$B$155:$J$162,0,4+2)),IF(Inputs!$C$77="C",SUMPRODUCT(($AZ17&gt;=INDEX('Methodology &amp; Sources'!$B$155:$J$162,0,7))*INDEX('Methodology &amp; Sources'!$B$155:$J$162,0,7+2)),IF(Inputs!$C$77="D",SUMPRODUCT(($AZ17&gt;=INDEX('Methodology &amp; Sources'!$B$167:$J$179,0,1))*INDEX('Methodology &amp; Sources'!$B$167:$J$179,0,1+2)),IF(Inputs!$C$77="E",SUMPRODUCT(($AZ17&gt;=INDEX('Methodology &amp; Sources'!$B$167:$J$179,0,4))*INDEX('Methodology &amp; Sources'!$B$167:$J$179,0,4+2)),SUMPRODUCT(($AZ17&gt;=INDEX('Methodology &amp; Sources'!$B$155:$J$162,0,1))*INDEX('Methodology &amp; Sources'!$B$155:$J$162,0,1+2)))))),IF($AN17="OR",IF(OR($AU17="Married",AND($AU17="Single",$AS17&gt;=3)),SUMPRODUCT((MAX(0,$AY17-MIN(($P17-'Methodology &amp; Sources'!$C$10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Sources'!$B$211:$J$214,0,4))*INDEX('Methodology &amp; Sources'!$B$211:$J$214,0,4+2)),SUMPRODUCT((MAX(0,$AY17-MIN(($P17-'Methodology &amp; Sources'!$C$10*$D17)*Inputs!$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Sources'!$B$211:$J$214,0,1))*INDEX('Methodology &amp; Sources'!$B$211:$J$214,0,1+2)))*IF(($P17-'Methodology &amp; Sources'!$C$10*$D17)*Inputs!$C$8&gt;=IF(OR($AU17="Married",AND($AU17="Single",$AS17&gt;=3)),IF($AY17&lt;250000,8750,IF($AY17&lt;260000,7000,IF($AY17&lt;270000,5250,IF($AY17&lt;280000,3500,IF($AY17&lt;290000,1750,0))))),IF($AY17&lt;125000,8750,IF($AY17&lt;130000,7000,IF($AY17&lt;135000,5250,IF($AY17&lt;140000,3500,IF($AY17&lt;145000,1750,0)))))),1,1-IF(Inputs!$C$13,SUMPRODUCT(($AH17&gt;=INDEX('Methodology &amp; Sources'!$B$29:$J$36,0,IF(Inputs!$C$12="MFJ",1,IF(Inputs!$C$12="HoH",7,4))))*INDEX('Methodology &amp; Sources'!$B$29:$J$36,0,IF(Inputs!$C$12="MFJ",1,IF(Inputs!$C$12="HoH",7,4))+2)),SUMPRODUCT(($AH17&gt;=INDEX('Methodology &amp; Sources'!$B$19:$J$26,0,IF(Inputs!$C$12="MFJ",1,IF(Inputs!$C$12="HoH",7,4))))*INDEX('Methodology &amp; Sources'!$B$19:$J$26,0,IF(Inputs!$C$12="MFJ",1,IF(Inputs!$C$12="HoH",7,4))+2)))),IF($AN17="MI",IF($AY17&gt;5900*$AS17,0.0425,0),""))))</f>
      </c>
      <c r="CA17" s="24">
        <f>IF($B17="","",IF($AN17="AL",IF(OR($AU17="Married",$AU17="Head of household"),SUMPRODUCT(($AZ17&gt;=INDEX('Methodology &amp; Sources'!$B$82:$J$86,0,4))*INDEX('Methodology &amp; Sources'!$B$82:$J$86,0,4+2)),SUMPRODUCT(($AZ17&gt;=INDEX('Methodology &amp; Sources'!$B$82:$J$86,0,1))*INDEX('Methodology &amp; Sources'!$B$82:$J$86,0,1+2)))*(1-IF(Inputs!$C$13,SUMPRODUCT(($AH17&gt;=INDEX('Methodology &amp; Sources'!$B$29:$J$36,0,IF(Inputs!$C$12="MFJ",1,IF(Inputs!$C$12="HoH",7,4))))*INDEX('Methodology &amp; Sources'!$B$29:$J$36,0,IF(Inputs!$C$12="MFJ",1,IF(Inputs!$C$12="HoH",7,4))+2)),SUMPRODUCT(($AH17&gt;=INDEX('Methodology &amp; Sources'!$B$19:$J$26,0,IF(Inputs!$C$12="MFJ",1,IF(Inputs!$C$12="HoH",7,4))))*INDEX('Methodology &amp; Sources'!$B$19:$J$26,0,IF(Inputs!$C$12="MFJ",1,IF(Inputs!$C$12="HoH",7,4))+2)))),IF($AN17="KS",IF($AU17="Married",SUMPRODUCT(($AZ17&gt;=INDEX('Methodology &amp; Sources'!$B$103:$J$109,0,4))*INDEX('Methodology &amp; Sources'!$B$103:$J$109,0,4+2)),SUMPRODUCT(($AZ17&gt;=INDEX('Methodology &amp; Sources'!$B$103:$J$109,0,1))*INDEX('Methodology &amp; Sources'!$B$103:$J$109,0,1+2))),IF($AN17="MD",IF(OR($AU17="Married",$AU17="Head of household"),SUMPRODUCT(($AZ17&gt;=INDEX('Methodology &amp; Sources'!$B$114:$J$120,0,1))*INDEX('Methodology &amp; Sources'!$B$114:$J$120,0,1+2)),SUMPRODUCT(($AZ17&gt;=INDEX('Methodology &amp; Sources'!$B$103:$J$109,0,7))*INDEX('Methodology &amp; Sources'!$B$103:$J$109,0,7+2)))+Inputs!$C$74,IF($AN17="MT",IF($AU17="Head of household",SUMPRODUCT(($AZ17&gt;=INDEX('Methodology &amp; Sources'!$B$137:$J$139,0,1))*INDEX('Methodology &amp; Sources'!$B$137:$J$139,0,1+2)),IF($AU17="Married",SUMPRODUCT(($AZ17&gt;=INDEX('Methodology &amp; Sources'!$B$125:$J$132,0,7))*INDEX('Methodology &amp; Sources'!$B$125:$J$132,0,7+2)),SUMPRODUCT(($AZ17&gt;=INDEX('Methodology &amp; Sources'!$B$125:$J$132,0,4))*INDEX('Methodology &amp; Sources'!$B$125:$J$132,0,4+2)))),IF($AN17="ND",IF($AU17="Head of household",SUMPRODUCT(($AZ17&gt;=INDEX('Methodology &amp; Sources'!$B$144:$J$150,0,1))*INDEX('Methodology &amp; Sources'!$B$144:$J$150,0,1+2)),IF($AU17="Married",SUMPRODUCT(($AZ17&gt;=INDEX('Methodology &amp; Sources'!$B$137:$J$139,0,7))*INDEX('Methodology &amp; Sources'!$B$137:$J$139,0,7+2)),SUMPRODUCT(($AZ17&gt;=INDEX('Methodology &amp; Sources'!$B$137:$J$139,0,4))*INDEX('Methodology &amp; Sources'!$B$137:$J$139,0,4+2)))),IF($AN17="NY",IF($AU17="Married",IF($AZ17&gt;=2155350,IF($AZ17&gt;25000000,0.117,IF($AZ17&gt;5000000,0.111,0.1045)),SUMPRODUCT(($AZ17&gt;=INDEX('Methodology &amp; Sources'!$B$184:$J$198,0,1))*INDEX('Methodology &amp; Sources'!$B$184:$J$198,0,1+2))),IF($AZ17&gt;=1077550,IF($AZ17&gt;25000000,0.117,IF($AZ17&gt;5000000,0.111,0.1045)),SUMPRODUCT(($AZ17&gt;=INDEX('Methodology &amp; Sources'!$B$167:$J$179,0,7))*INDEX('Methodology &amp; Sources'!$B$167:$J$179,0,7+2)))),"")))))))</f>
      </c>
      <c r="CB17" s="24">
        <f>IF($B17="","",IF($AN17="CA",SUMPRODUCT(($AJ17&gt;=INDEX('Methodology &amp; Sources'!$B$39:$J$48,0,IF($AU17="Married",4,IF($AU17="Head of household",7,1))))*INDEX('Methodology &amp; Sources'!$B$39:$J$48,0,IF($AU17="Married",4,IF($AU17="Head of household",7,1))+2)),IF($AN17="HI",IF($AU17="Married",SUMPRODUCT(($AZ17&gt;=INDEX('Methodology &amp; Sources'!$B$91:$J$98,0,7))*INDEX('Methodology &amp; Sources'!$B$91:$J$98,0,7+2)),SUMPRODUCT(($AZ17&gt;=INDEX('Methodology &amp; Sources'!$B$91:$J$98,0,4))*INDEX('Methodology &amp; Sources'!$B$91:$J$98,0,4+2))),IF($AN17="MN",IF($AU17="Married",SUMPRODUCT(($AZ17&gt;=INDEX('Methodology &amp; Sources'!$B$114:$J$120,0,7))*INDEX('Methodology &amp; Sources'!$B$114:$J$120,0,7+2)),SUMPRODUCT(($AZ17&gt;=INDEX('Methodology &amp; Sources'!$B$114:$J$120,0,4))*INDEX('Methodology &amp; Sources'!$B$114:$J$120,0,4+2))),IF($AN17="MO",SUMPRODUCT(($AZ17&gt;=INDEX('Methodology &amp; Sources'!$B$125:$J$132,0,1))*INDEX('Methodology &amp; Sources'!$B$125:$J$132,0,1+2)),IF($AN17="NE",MAX(IF($AU17="Married",SUMPRODUCT(($AZ17&gt;=INDEX('Methodology &amp; Sources'!$B$144:$J$150,0,7))*INDEX('Methodology &amp; Sources'!$B$144:$J$150,0,7+2)),SUMPRODUCT(($AZ17&gt;=INDEX('Methodology &amp; Sources'!$B$144:$J$150,0,4))*INDEX('Methodology &amp; Sources'!$B$144:$J$150,0,4+2))),0.015),IF($AN17="OH",IF($B17&gt;=DATE(2027,8,1),SUMPRODUCT(($AZ17&gt;=INDEX('Methodology &amp; Sources'!$B$203:$J$206,0,1))*INDEX('Methodology &amp; Sources'!$B$203:$J$206,0,1+2)),SUMPRODUCT(($AZ17&gt;=INDEX('Methodology &amp; Sources'!$B$184:$J$198,0,7))*INDEX('Methodology &amp; Sources'!$B$184:$J$198,0,7+2))),IF($AN17="OK",IF($AU17="Married",SUMPRODUCT(($AZ17&gt;=INDEX('Methodology &amp; Sources'!$B$203:$J$206,0,7))*INDEX('Methodology &amp; Sources'!$B$203:$J$206,0,7+2)),SUMPRODUCT(($AZ17&gt;=INDEX('Methodology &amp; Sources'!$B$203:$J$206,0,4))*INDEX('Methodology &amp; Sources'!$B$203:$J$206,0,4+2))),IF($AN17="RI",SUMPRODUCT(($AZ17&gt;=INDEX('Methodology &amp; Sources'!$B$211:$J$214,0,7))*INDEX('Methodology &amp; Sources'!$B$211:$J$214,0,7+2)),IF($AN17="SC",SUMPRODUCT(($AZ17&gt;=INDEX('Methodology &amp; Sources'!$B$219:$J$223,0,1))*INDEX('Methodology &amp; Sources'!$B$219:$J$223,0,1+2)),IF($AN17="VT",IF($AU17="Married",SUMPRODUCT(($AZ17&gt;=INDEX('Methodology &amp; Sources'!$B$228:$J$232,0,1))*INDEX('Methodology &amp; Sources'!$B$228:$J$232,0,1+2)),SUMPRODUCT(($AZ17&gt;=INDEX('Methodology &amp; Sources'!$B$219:$J$223,0,7))*INDEX('Methodology &amp; Sources'!$B$219:$J$223,0,7+2))),IF($AN17="WV",IF($AU17="Married",SUMPRODUCT(($AZ17&gt;=INDEX('Methodology &amp; Sources'!$B$237:$J$241,0,7))*INDEX('Methodology &amp; Sources'!$B$237:$J$241,0,7+2)),SUMPRODUCT(($AZ17&gt;=INDEX('Methodology &amp; Sources'!$B$228:$J$232,0,7))*INDEX('Methodology &amp; Sources'!$B$228:$J$232,0,7+2))),IF($AN17="IN",(0.0295+Inputs!$C$76),"")))))))))))))</f>
      </c>
      <c r="CC17" s="24">
        <f>IF($B17="","",IF($AN17="AR",SUMPRODUCT(($AZ17&gt;=INDEX('Methodology &amp; Sources'!$B$82:$J$86,0,7))*INDEX('Methodology &amp; Sources'!$B$82:$J$86,0,7+2)),IF($AN17="DE",SUMPRODUCT(($AZ17&gt;=INDEX('Methodology &amp; Sources'!$B$91:$J$98,0,1))*INDEX('Methodology &amp; Sources'!$B$91:$J$98,0,1+2)),IF($AN17="VA",SUMPRODUCT(($AZ17&gt;=INDEX('Methodology &amp; Sources'!$B$219:$J$223,0,4))*INDEX('Methodology &amp; Sources'!$B$219:$J$223,0,4+2)),IF($AN17="WI",SUMPRODUCT(($AZ17&gt;=INDEX('Methodology &amp; Sources'!$B$228:$J$232,0,4))*INDEX('Methodology &amp; Sources'!$B$228:$J$232,0,4+2)),IF($AN17="AZ",Inputs!$C$82,IF($AN17="CO",IF($AY17&gt;IF($AU17="Married",10000,5000),0.044,0),IF($AN17="IA",IF($AY17&gt;IF($AU17="Head of household",19500,IF($AU17="Married",26000,13000)),0.038,0),IF($AN17="ID",IF($AY17&gt;IF($AU17="Married",32000,16094),0.053,0),IF($AN17="IL",IF($AY17&gt;(2925*$AS17+1000*$AT17),0.0495,0),IF($AN17="KY",IF($AI17&gt;3360,0.035,0),IF($AN17="LA",0.0309,IF($AN17="MA",IF(MAX(0,$AY17-MIN(($BD16+$Q17+$R17+$S17),2000)-IF($AS17=0,0,IF($AS17=1,4400,1000*$AS17+3400)))&gt;=1107750,0.09,0.05),IF($AN17="MS",IF($AI17-IF($AU17="Head of household",3400,IF($AU17="Married",4600,2300))-Inputs!$C$85&gt;10000,0.04,0),IF($AN17="PA",0.0307,"")))))))))))))))</f>
      </c>
      <c r="CD17" s="21">
        <f>IF(YEAR(IF(Inputs!$C$7="Weekly",Inputs!$C$90+7*(($BE16+1)-1),IF(Inputs!$C$7="Biweekly",Inputs!$C$90+14*(($BE16+1)-1),IF(Inputs!$C$7="Semimonthly",DATE(YEAR(Inputs!$C$9),MONTH(Inputs!$C$9)+INT((($BE16+1)-1+'Rest of 2026'!$C$2)/2),MIN(DAY(Inputs!$C$9),DAY(EOMONTH(DATE(YEAR(Inputs!$C$9),MONTH(Inputs!$C$9)+INT((($BE16+1)-1+'Rest of 2026'!$C$2)/2),1),0))))+IF(MOD(($BE16+1)-1+'Rest of 2026'!$C$2,2)=1,15,0),EDATE(Inputs!$C$90,($BE16+1)-1)))))&lt;&gt;Inputs!$C$10,"",IF(Inputs!$C$7="Weekly",Inputs!$C$90+7*(($BE16+1)-1),IF(Inputs!$C$7="Biweekly",Inputs!$C$90+14*(($BE16+1)-1),IF(Inputs!$C$7="Semimonthly",DATE(YEAR(Inputs!$C$9),MONTH(Inputs!$C$9)+INT((($BE16+1)-1+'Rest of 2026'!$C$2)/2),MIN(DAY(Inputs!$C$9),DAY(EOMONTH(DATE(YEAR(Inputs!$C$9),MONTH(Inputs!$C$9)+INT((($BE16+1)-1+'Rest of 2026'!$C$2)/2),1),0))))+IF(MOD(($BE16+1)-1+'Rest of 2026'!$C$2,2)=1,15,0),EDATE(Inputs!$C$90,($BE16+1)-1)))))</f>
      </c>
      <c r="CE17" s="21">
        <f>IF(SUMPRODUCT(MIN(IF((Inputs!$C$58:$C$67&gt;MAX($B$6:$B16))*(Inputs!$C$58:$C$67&gt;=DATE(Inputs!$C$10,1,1))*(Inputs!$C$58:$C$67&lt;=DATE(Inputs!$C$10,12,31)),Inputs!$C$58:$C$67,999999)))=999999,"",SUMPRODUCT(MIN(IF((Inputs!$C$58:$C$67&gt;MAX($B$6:$B16))*(Inputs!$C$58:$C$67&gt;=DATE(Inputs!$C$10,1,1))*(Inputs!$C$58:$C$67&lt;=DATE(Inputs!$C$10,12,31)),Inputs!$C$58:$C$67,999999))))</f>
      </c>
    </row>
    <row r="18">
      <c r="A18" t="n">
        <v>13</v>
      </c>
      <c r="B18" s="21">
        <f>IF(AND($CD18="",$CE18=""),"",IF($CE18="",$CD18,IF($CD18="",$CE18,MIN($CD18,$CE18))))</f>
      </c>
      <c r="C18" s="7">
        <f>IF($B18="","",IF($BF18=0,0,IF(Inputs!$C$4="Annual salary",ROUND($AK18/IF(AND(Inputs!$C$88="Actual paydays",MONTH(Inputs!$C$90)=1),MAX(1,MAX($BE$6:$BE$68)),Inputs!$C$8),2),$AK18)))</f>
      </c>
      <c r="D18" s="7">
        <f>IF($B18="","",SUMIF(Inputs!$C$58:$C$67,$B18,Inputs!$D$58:$D$67))</f>
      </c>
      <c r="E18" s="7">
        <f>IF($B18="","",ROUND(MAX(0,MIN(IF($AL18="Percent",$AM18*($C18+$D18),$AM18),MAX(0,Inputs!$C$34-$AC17))),2))</f>
      </c>
      <c r="F18" s="7">
        <f>IF($B18="","",ROUND(MAX(0,MIN(IF(Inputs!$C$32="Percent",Inputs!$D$32*($C18+$D18),Inputs!$D$32),MAX(0,Inputs!$C$34-$AC17-$E18))),2))</f>
      </c>
      <c r="G18" s="7">
        <f>IF($B18="","",IF($BF18=0,0,ROUND(MAX(0,MIN($BL18,Inputs!$C$37-Inputs!$C$99-$BI17)),2)))</f>
      </c>
      <c r="H18" s="7">
        <f>IF($B18="","",IF(OR($BF18=0,$BQ18=1),0,ROUND(MAX(0,MIN(IF($BS18=1,ROUND(MAX(0,MIN($BJ18,'Methodology &amp; Sources'!$C$13)-$BG17)/MAX(1,MAX($BE$6:$BE$68)-($BE17)),2),ROUND(MIN($BJ18,'Methodology &amp; Sources'!$C$13)/Inputs!$C$8,2)),MIN($BJ18,'Methodology &amp; Sources'!$C$13)-$BG17)),2)))</f>
      </c>
      <c r="I18" s="7">
        <f>IF($B18="","",IF(OR($BF18=0,$BR18=1),0,ROUND(MAX(0,MIN(IF($BT18=1,ROUND(MAX(0,MIN($BK18,IF(Inputs!$C$12="MFJ",'Methodology &amp; Sources'!$C$14,'Methodology &amp; Sources'!$C$15))-$BH17)/MAX(1,MAX($BE$6:$BE$68)-($BE17)),2),ROUND(MIN($BK18,IF(Inputs!$C$12="MFJ",'Methodology &amp; Sources'!$C$14,'Methodology &amp; Sources'!$C$15))/Inputs!$C$8,2)),MIN($BK18,IF(Inputs!$C$12="MFJ",'Methodology &amp; Sources'!$C$14,'Methodology &amp; Sources'!$C$15))-$BH17)),2)))</f>
      </c>
      <c r="J18" s="7">
        <f>IF($B18="","",IF($BF18=0,0,$BM18))</f>
      </c>
      <c r="K18" s="7">
        <f>IF($B18="","",IF($BF18=0,0,$BN18+$BO18))</f>
      </c>
      <c r="L18" s="7">
        <f>IF($B18="","",IF($BF18=0,0,Inputs!$D$46))</f>
      </c>
      <c r="M18" s="7">
        <f>IF($B18="","",$C18+$D18+$L18-$E18-$G18-$H18-$I18-$J18-$K18)</f>
      </c>
      <c r="N18" s="7">
        <f>IF($B18="","",$C18+$D18+$L18-$G18-$H18-$I18-$J18-$K18)</f>
      </c>
      <c r="O18" s="7">
        <f>IF($B18="","",$C18+$D18+$L18-$E18-$H18-$I18-$J18-$K18-IF(OR($AN18="CA",$AN18="NJ"),0,$G18))</f>
      </c>
      <c r="P18" s="7">
        <f>IF($B18="","",IF(Inputs!$C$18,0,ROUND(MAX(0,IF(Inputs!$C$13,SUMPRODUCT(($AH18&gt;INDEX('Methodology &amp; Sources'!$B$29:$J$36,0,IF(Inputs!$C$12="MFJ",1,IF(Inputs!$C$12="HoH",7,4))))*($AH18-INDEX('Methodology &amp; Sources'!$B$29:$J$36,0,IF(Inputs!$C$12="MFJ",1,IF(Inputs!$C$12="HoH",7,4))))*INDEX('Methodology &amp; Sources'!$B$29:$J$36,0,IF(Inputs!$C$12="MFJ",1,IF(Inputs!$C$12="HoH",7,4))+2)),SUMPRODUCT(($AH18&gt;INDEX('Methodology &amp; Sources'!$B$19:$J$26,0,IF(Inputs!$C$12="MFJ",1,IF(Inputs!$C$12="HoH",7,4))))*($AH18-INDEX('Methodology &amp; Sources'!$B$19:$J$26,0,IF(Inputs!$C$12="MFJ",1,IF(Inputs!$C$12="HoH",7,4))))*INDEX('Methodology &amp; Sources'!$B$19:$J$26,0,IF(Inputs!$C$12="MFJ",1,IF(Inputs!$C$12="HoH",7,4))+2)))/Inputs!$C$8-$AO18/Inputs!$C$8)+$AR18+IF(Inputs!$C$89="Aggregate",MAX(0,IF(Inputs!$C$13,SUMPRODUCT((($AH18+$D18)&gt;INDEX('Methodology &amp; Sources'!$B$29:$J$36,0,IF(Inputs!$C$12="MFJ",1,IF(Inputs!$C$12="HoH",7,4))))*(($AH18+$D18)-INDEX('Methodology &amp; Sources'!$B$29:$J$36,0,IF(Inputs!$C$12="MFJ",1,IF(Inputs!$C$12="HoH",7,4))))*INDEX('Methodology &amp; Sources'!$B$29:$J$36,0,IF(Inputs!$C$12="MFJ",1,IF(Inputs!$C$12="HoH",7,4))+2)),SUMPRODUCT((($AH18+$D18)&gt;INDEX('Methodology &amp; Sources'!$B$19:$J$26,0,IF(Inputs!$C$12="MFJ",1,IF(Inputs!$C$12="HoH",7,4))))*(($AH18+$D18)-INDEX('Methodology &amp; Sources'!$B$19:$J$26,0,IF(Inputs!$C$12="MFJ",1,IF(Inputs!$C$12="HoH",7,4))))*INDEX('Methodology &amp; Sources'!$B$19:$J$26,0,IF(Inputs!$C$12="MFJ",1,IF(Inputs!$C$12="HoH",7,4))+2)))-IF(Inputs!$C$13,SUMPRODUCT(($AH18&gt;INDEX('Methodology &amp; Sources'!$B$29:$J$36,0,IF(Inputs!$C$12="MFJ",1,IF(Inputs!$C$12="HoH",7,4))))*($AH18-INDEX('Methodology &amp; Sources'!$B$29:$J$36,0,IF(Inputs!$C$12="MFJ",1,IF(Inputs!$C$12="HoH",7,4))))*INDEX('Methodology &amp; Sources'!$B$29:$J$36,0,IF(Inputs!$C$12="MFJ",1,IF(Inputs!$C$12="HoH",7,4))+2)),SUMPRODUCT(($AH18&gt;INDEX('Methodology &amp; Sources'!$B$19:$J$26,0,IF(Inputs!$C$12="MFJ",1,IF(Inputs!$C$12="HoH",7,4))))*($AH18-INDEX('Methodology &amp; Sources'!$B$19:$J$26,0,IF(Inputs!$C$12="MFJ",1,IF(Inputs!$C$12="HoH",7,4))))*INDEX('Methodology &amp; Sources'!$B$19:$J$26,0,IF(Inputs!$C$12="MFJ",1,IF(Inputs!$C$12="HoH",7,4))+2)))),'Methodology &amp; Sources'!$C$10*$D18),2)))</f>
      </c>
      <c r="Q18" s="7">
        <f>IF($B18="","",ROUND('Methodology &amp; Sources'!$C$4*MIN($N18,MAX(0,'Methodology &amp; Sources'!$C$3-($AX18+$AB17-$AW18))),2))</f>
      </c>
      <c r="R18" s="7">
        <f>IF($B18="","",ROUND('Methodology &amp; Sources'!$C$5*$N18,2))</f>
      </c>
      <c r="S18" s="7">
        <f>IF($B18="","",ROUND('Methodology &amp; Sources'!$C$6*MAX(0,MIN($N18,$AG17+$N18-'Methodology &amp; Sources'!$C$7)),2))</f>
      </c>
      <c r="T18" s="7">
        <f>IF($B18="","",IF(Inputs!$C$26,0,IF($AN18="CA",ROUND(IF($AI18&lt;=IF(($AS18+$AT18)&gt;=2,VLOOKUP($AN18,StateTables!$A$6:$AB$56,10,FALSE),VLOOKUP($AN18,StateTables!$A$6:$AB$56,9,FALSE)),0,MAX(0,SUMPRODUCT(($AJ18&gt;INDEX('Methodology &amp; Sources'!$B$39:$J$48,0,IF($AU18="Married",4,IF($AU18="Head of household",7,1))))*($AJ18-INDEX('Methodology &amp; Sources'!$B$39:$J$48,0,IF($AU18="Married",4,IF($AU18="Head of household",7,1))))*INDEX('Methodology &amp; Sources'!$B$39:$J$48,0,IF($AU18="Married",4,IF($AU18="Head of household",7,1))+2))-VLOOKUP($AN18,StateTables!$A$6:$AB$56,11,FALSE)*$AS18)/Inputs!$C$8)+Inputs!$C$25+VLOOKUP($AN18,StateTables!$A$6:$AB$56,13,FALSE)*$D18,2),IF(VLOOKUP($AN18,StateTables!$A$6:$AB$56,4,FALSE)="None",0,IF(ISNUMBER(SEARCH("MANUAL",VLOOKUP($AN18,StateTables!$A$6:$AB$56,5,FALSE))),Inputs!$C$28,ROUND(MAX(0,$BA18+$BB18)/Inputs!$C$8+Inputs!$C$25+$BC18,2))))))</f>
      </c>
      <c r="U18" s="7">
        <f>IF($B18="","",IF(VLOOKUP($AN18,StateTables!$A$6:$AB$56,24,FALSE)="flatq",IF(OR(MONTH($B18)=1,MONTH($B18)=4,MONTH($B18)=7,MONTH($B18)=10),VLOOKUP($AN18,StateTables!$A$6:$AB$56,25,FALSE),0),IF(VLOOKUP($AN18,StateTables!$A$6:$AB$56,24,FALSE)="dbl",MIN(ROUND(0.005*$N18,2),ROUND(0.6*52/Inputs!$C$8,2)),IF(OR(VLOOKUP($AN18,StateTables!$A$6:$AB$56,15,FALSE)="",VLOOKUP($AN18,StateTables!$A$6:$AB$56,15,FALSE)=0),0,ROUND(VLOOKUP($AN18,StateTables!$A$6:$AB$56,15,FALSE)*IF(OR(VLOOKUP($AN18,StateTables!$A$6:$AB$56,16,FALSE)="",VLOOKUP($AN18,StateTables!$A$6:$AB$56,16,FALSE)=0),$N18,MIN($N18,MAX(0,VLOOKUP($AN18,StateTables!$A$6:$AB$56,16,FALSE)-($AX18+$AB17-$AW18)))),2))))+IF(VLOOKUP($AN18,StateTables!$A$6:$AB$56,27,FALSE)="flatq",IF(OR(MONTH($B18)=1,MONTH($B18)=4,MONTH($B18)=7,MONTH($B18)=10),VLOOKUP($AN18,StateTables!$A$6:$AB$56,28,FALSE),0),IF(VLOOKUP($AN18,StateTables!$A$6:$AB$56,27,FALSE)="dbl",MIN(ROUND(0.005*$N18,2),ROUND(0.6*52/Inputs!$C$8,2)),IF(OR(VLOOKUP($AN18,StateTables!$A$6:$AB$56,18,FALSE)="",VLOOKUP($AN18,StateTables!$A$6:$AB$56,18,FALSE)=0),0,ROUND(VLOOKUP($AN18,StateTables!$A$6:$AB$56,18,FALSE)*IF(OR(VLOOKUP($AN18,StateTables!$A$6:$AB$56,19,FALSE)="",VLOOKUP($AN18,StateTables!$A$6:$AB$56,19,FALSE)=0),$N18,MIN($N18,MAX(0,VLOOKUP($AN18,StateTables!$A$6:$AB$56,19,FALSE)-($AX18+$AB17-$AW18)))),2)))))</f>
      </c>
      <c r="V18" s="7">
        <f>IF($B18="","",IF($AN18="NY",IF(Inputs!$C$78,ROUND(SUMPRODUCT((MAX(0,($O18-$D18)*Inputs!$C$8-(IF($AU18="Married",5500,5000)+1000*$AS18))&gt;INDEX('Methodology &amp; Sources'!$B$184:$J$198,0,4))*(MAX(0,($O18-$D18)*Inputs!$C$8-(IF($AU18="Married",5500,5000)+1000*$AS18))-INDEX('Methodology &amp; Sources'!$B$184:$J$198,0,4))*INDEX('Methodology &amp; Sources'!$B$184:$J$198,0,4+2))/Inputs!$C$8+0.0425*$D18,2),0)+IF(Inputs!$C$79="Resident",ROUND(0.1675*$T18,2),IF(Inputs!$C$79="Nonresident",ROUND(0.005*MAX(0,($O18-$D18)-(IF($AU18="Married",7950,7400)+1000*$AS18)/Inputs!$C$8),2),0)),IF($AN18="PA",IF(Inputs!$C$80="None",Inputs!$C$27+ROUND(Inputs!$C$81*($C18+$D18),2),ROUND(IF(Inputs!$C$80="Resident",IF($B18&lt;DATE(2027,7,1),0.03735,0.03735),IF($B18&lt;DATE(2027,7,1),0.03425,0.03425))*($C18+$D18),2)),IF($BF18=0,ROUND(Inputs!$C$81*($C18+$D18),2),Inputs!$C$27+ROUND(Inputs!$C$81*($C18+$D18),2)))))</f>
      </c>
      <c r="W18" s="7">
        <f>IF($B18="","",IF($BF18=0,0,$BP18))</f>
      </c>
      <c r="X18" s="7">
        <f>IF($B18="","",SUM($E18:$K18)+$P18+$Q18+$R18+$S18+$T18+$U18+$V18+$W18)</f>
      </c>
      <c r="Y18" s="22">
        <f>IF($B18="","",$C18+$D18-$X18)</f>
      </c>
      <c r="Z18" s="7">
        <f>IF($B18="","",$Z17+$C18+$D18)</f>
      </c>
      <c r="AA18" s="7">
        <f>IF($B18="","",$AA17+$Y18)</f>
      </c>
      <c r="AB18" s="7">
        <f>IF($B18="","",$AB17+MIN($N18,MAX(0,'Methodology &amp; Sources'!$C$3-($AX18+$AB17-$AW18))))</f>
      </c>
      <c r="AC18" s="7">
        <f>IF($B18="","",$AC17+$E18+$F18)</f>
      </c>
      <c r="AD18" s="3">
        <f>IF($B18="","",IF(AND($AB17&lt;'Methodology &amp; Sources'!$C$3,$AB18&gt;='Methodology &amp; Sources'!$C$3),"★ Social Security maxed on this check — from the next check your net rises by about $"&amp;TEXT(ROUND('Methodology &amp; Sources'!$C$4*$N18,2),"#,##0.00")&amp;". ","")&amp;IF(AND($AC17&lt;Inputs!$C$34,$AC18&gt;=Inputs!$C$34),"★ 401(k) reaches the $"&amp;TEXT(Inputs!$C$34,"#,##0")&amp;" cap on this check — deferrals stop and net pay rises. ","")&amp;IF(AND($AG17&lt;'Methodology &amp; Sources'!$C$7,$AG18&gt;='Methodology &amp; Sources'!$C$7),"★ Wages pass $200,000 — the 0.9% Additional Medicare Tax starts here. ","")&amp;IF(AND($BJ18&gt;0,$H18&gt;0,$BG17&lt;MIN($BJ18,'Methodology &amp; Sources'!$C$13),$BG17+$H18&gt;=MIN($BJ18,'Methodology &amp; Sources'!$C$13)),"★ Health FSA election is now fully deferred for the year. ",""))</f>
      </c>
      <c r="AE18" s="41" t="n"/>
      <c r="AF18" s="7">
        <f>IF(OR($B18="",$AE18=""),"",$AE18-$Y18)</f>
      </c>
      <c r="AG18" s="7">
        <f>IF($B18="","",$AG17+$N18)</f>
      </c>
      <c r="AH18" s="7">
        <f>IF($B18="","",MAX(0,($M18-$D18)*Inputs!$C$8+$AP18-$AQ18-IF(Inputs!$C$13,0,IF(Inputs!$C$12="MFJ",'Methodology &amp; Sources'!$C$8,'Methodology &amp; Sources'!$C$9))))</f>
      </c>
      <c r="AI18" s="7">
        <f>IF($B18="","",$O18*Inputs!$C$8)</f>
      </c>
      <c r="AJ18" s="7">
        <f>IF($B18="","",MAX(0,$AI18-VLOOKUP($AN18,StateTables!$A$6:$AB$56,12,FALSE)*$AT18-IF(($AS18+$AT18)&gt;=2,VLOOKUP($AN18,StateTables!$A$6:$AB$56,8,FALSE),VLOOKUP($AN18,StateTables!$A$6:$AB$56,7,FALSE))))</f>
      </c>
      <c r="AK18" s="7">
        <f>IF($B18="","",IFERROR(LOOKUP(2,1/((Events!$C$6:$C$17="Salary change")*(Events!$B$6:$B$17&lt;=$B18)*(Events!$B$6:$B$17&lt;&gt;"")),Events!$D$6:$D$17),IF(Inputs!$C$4="Annual salary",Inputs!$C$5,Inputs!$C$6)))</f>
      </c>
      <c r="AL18">
        <f>IF($B18="","",IFERROR(LOOKUP(2,1/((Events!$C$6:$C$17="401(k) change")*(Events!$B$6:$B$17&lt;=$B18)*(Events!$B$6:$B$17&lt;&gt;"")),Events!$D$6:$D$17),Inputs!$C$30))</f>
      </c>
      <c r="AM18" s="7">
        <f>IF($B18="","",IFERROR(LOOKUP(2,1/((Events!$C$6:$C$17="401(k) change")*(Events!$B$6:$B$17&lt;=$B18)*(Events!$B$6:$B$17&lt;&gt;"")),Events!$E$6:$E$17),Inputs!$D$30))</f>
      </c>
      <c r="AN18">
        <f>IF($B18="","",IFERROR(LOOKUP(2,1/((Events!$C$6:$C$17="State move")*(Events!$B$6:$B$17&lt;=$B18)*(Events!$B$6:$B$17&lt;&gt;"")),Events!$D$6:$D$17),Inputs!$C$21))</f>
      </c>
      <c r="AO18" s="7">
        <f>IF($B18="","",IFERROR(LOOKUP(2,1/((Events!$C$6:$C$17="W-4 change")*(Events!$B$6:$B$17&lt;=$B18)*(Events!$B$6:$B$17&lt;&gt;"")),Events!$D$6:$D$17),Inputs!$C$14))</f>
      </c>
      <c r="AP18" s="7">
        <f>IF($B18="","",IFERROR(LOOKUP(2,1/((Events!$C$6:$C$17="W-4 change")*(Events!$B$6:$B$17&lt;=$B18)*(Events!$B$6:$B$17&lt;&gt;"")),Events!$E$6:$E$17),Inputs!$C$15))</f>
      </c>
      <c r="AQ18" s="7">
        <f>IF($B18="","",IFERROR(LOOKUP(2,1/((Events!$C$6:$C$17="W-4 change")*(Events!$B$6:$B$17&lt;=$B18)*(Events!$B$6:$B$17&lt;&gt;"")),Events!$F$6:$F$17),Inputs!$C$16))</f>
      </c>
      <c r="AR18" s="7">
        <f>IF($B18="","",IFERROR(LOOKUP(2,1/((Events!$C$6:$C$17="W-4 change")*(Events!$B$6:$B$17&lt;=$B18)*(Events!$B$6:$B$17&lt;&gt;"")),Events!$G$6:$G$17),Inputs!$C$17))</f>
      </c>
      <c r="AS18" s="6">
        <f>IF($B18="","",IFERROR(LOOKUP(2,1/(((Events!$C$6:$C$17="State move")+(Events!$C$6:$C$17="State cert change"))*(Events!$B$6:$B$17&lt;=$B18)*(Events!$B$6:$B$17&lt;&gt;"")),Events!$F$6:$F$17),Inputs!$C$23))</f>
      </c>
      <c r="AT18" s="6">
        <f>IF($B18="","",IFERROR(LOOKUP(2,1/(((Events!$C$6:$C$17="State move")+(Events!$C$6:$C$17="State cert change"))*(Events!$B$6:$B$17&lt;=$B18)*(Events!$B$6:$B$17&lt;&gt;"")),Events!$G$6:$G$17),Inputs!$C$24))</f>
      </c>
      <c r="AU18">
        <f>IF($B18="","",IFERROR(LOOKUP(2,1/((Events!$C$6:$C$17="State move")*(Events!$B$6:$B$17&lt;=$B18)*(Events!$B$6:$B$17&lt;&gt;"")),Events!$E$6:$E$17),Inputs!$C$22))</f>
      </c>
      <c r="AV18" s="6">
        <f>IF($B18="","",1+COUNTIFS(Events!$C$6:$C$17,"Employer change",Events!$B$6:$B$17,"&lt;="&amp;$B18,Events!$B$6:$B$17,"&lt;&gt;"))</f>
      </c>
      <c r="AW18" s="7">
        <f>IF($B18="","",IF($AV18=1,Inputs!$C$94,IF(IFERROR(MATCH(IFERROR(LOOKUP(2,1/((Events!$C$6:$C$17="Employer change")*(Events!$B$6:$B$17&lt;=$B18)*(Events!$B$6:$B$17&lt;&gt;"")),Events!$B$6:$B$17),""),$B$6:$B$68,1),1)&lt;=1,Inputs!$C$94,INDEX($AB$6:$AB$68,MATCH(IFERROR(LOOKUP(2,1/((Events!$C$6:$C$17="Employer change")*(Events!$B$6:$B$17&lt;=$B18)*(Events!$B$6:$B$17&lt;&gt;"")),Events!$B$6:$B$17),""),$B$6:$B$68,1)-1))))</f>
      </c>
      <c r="AX18" s="7">
        <f>IF($B18="","",IF($AV18=1,Inputs!$C$94,IFERROR(LOOKUP(2,1/((Events!$C$6:$C$17="Employer change")*(Events!$B$6:$B$17&lt;=$B18)*(Events!$B$6:$B$17&lt;&gt;"")),Events!$D$6:$D$17),0)))</f>
      </c>
      <c r="AY18" s="7">
        <f>IF($B18="","",($O18-$D18)*Inputs!$C$8)</f>
      </c>
      <c r="AZ18" s="7">
        <f>IF($B18="","",IF($AN18="AL",MAX(0,$AY18-IF($AU18="Married",IF($AY18&lt;=25999,8500,MAX(5000,8500-175*CEILING(($AY18-25999)/500,1))),IF($AU18="Head of household",IF($AY18&lt;=25999,5200,MAX(2500,5200-135*CEILING(($AY18-25999)/500,1))),IF($AY18&lt;=25999,3000,MAX(2500,3000-25*CEILING(($AY18-25999)/500,1)))))-($P18-'Methodology &amp; Sources'!$C$10*$D18)*Inputs!$C$8-IF(OR($AU18="Married",$AU18="Head of household"),3000,1500)-$AT18*IF($AY18&lt;=50000,1000,IF($AY18&lt;=100000,500,300))),IF($AN18="AR",IF(MAX(0,$AY18-2470)&lt;97701,INT(MAX(0,$AY18-2470)/100)*100+50,MAX(0,$AY18-2470)),IF($AN18="DE",MAX(0,$AI18-3250),IF($AN18="HI",MAX(0,$AI18-1144*$AS18-4350),IF($AN18="KS",MAX(0,$AI18-(9160*IF($AU18="Married",2,1)+2320*$AT18+IF($AU18="Head of household",2320,0))),IF($AN18="MD",MAX(0,$AI18-3400-3200*$AS18),IF($AN18="MN",MAX(0,$AY18-5300*$AS18),IF($AN18="MO",MAX(0,$AI18-IF($AU18="Head of household",24150,IF($AU18="Married",IF(Inputs!$C$83,16100,32200),16100))),IF($AN18="MT",$AY18,IF($AN18="ND",($C18+$L18)*Inputs!$C$8,IF($AN18="NE",MAX(0,$AY18-2440*$AS18),IF($AN18="NJ",MAX(0,$AY18-1000*$AS18),IF($AN18="NY",MAX(0,$AY18-(IF($AU18="Married",7950,7400)+1000*$AS18)),IF($AN18="OH",MAX(0,$AY18-650*$AS18),IF($AN18="OK",MAX(0,$AY18-1000*$AS18),IF($AN18="RI",MAX(0,$AI18-1000*$AS18),IF($AN18="SC",MAX(0,$AI18-5000*$AS18-IF($AS18=0,0,MIN(0.1*$AI18,7500))),IF($AN18="VA",MAX(0,$AI18-IF($AU18="Married",17500,8750)-930*$AS18-800*$AT18),IF($AN18="VT",MAX(0,$AI18-5400*$AS18),IF($AN18="WI",MAX(0,$AI18-MAX(0,IF($AU18="Married",9461-0.2*MAX(0,$AI18-25727),6702-0.12*MAX(0,$AI18-17780)))-400*$AS18),IF($AN18="WV",MAX(0,$AI18-2000*$AS18),$AI18))))))))))))))))))))))</f>
      </c>
      <c r="BA18" s="7">
        <f>IF($B18="","",IF($BW18&lt;&gt;"",$BW18,IF($BX18&lt;&gt;"",$BX18,IF($BY18&lt;&gt;"",$BY18,0))))</f>
      </c>
      <c r="BB18" s="7">
        <f>IF($B18="","",IF($AN18="AR",-29*$AS18,IF($AN18="DE",-110*$AS18,IF($AN18="MD",$AZ18*Inputs!$C$74,IF($AN18="AZ",Inputs!$C$82*($M18-$D18)*Inputs!$C$8,IF($AN18="CO",0.044*MAX(0,$AY18-IF($AU18="Married",10000,5000)),IF($AN18="IA",MAX(0,0.038*MAX(0,$AY18-IF($AU18="Head of household",19500,IF($AU18="Married",26000,13000)))-40*$AS18),IF($AN18="ID",0.053*MAX(0,$AY18-IF($AU18="Married",32000,16094)),IF($AN18="IL",0.0495*MAX(0,$AY18-(2925*$AS18+1000*$AT18)),IF($AN18="IN",(0.0295+Inputs!$C$76)*MAX(0,$AY18-(1000*$AS18+1500*$AT18+3000*Inputs!$C$86)),IF($AN18="KY",0.035*MAX(0,$AI18-3360),IF($AN18="LA",IF(Inputs!$C$84="0",0.0309*$AI18,0.0309*MAX(0,$AI18-IF(Inputs!$C$84="2",25750,12875))),IF($AN18="MA",0.05*MIN(MAX(0,$AY18-MIN(($BD17+$Q18+$R18+$S18),2000)-IF($AS18=0,0,IF($AS18=1,4400,1000*$AS18+3400))),1107750)+0.09*MAX(0,MAX(0,$AY18-MIN(($BD17+$Q18+$R18+$S18),2000)-IF($AS18=0,0,IF($AS18=1,4400,1000*$AS18+3400)))-1107750)-IF($AU18="Head of household",120,0)-110*Inputs!$C$75,IF($AN18="MI",0.0425*MAX(0,$AY18-5900*$AS18),IF($AN18="MS",0.04*MAX(0,$AI18-IF($AU18="Head of household",3400,IF($AU18="Married",4600,2300))-Inputs!$C$85-10000),IF($AN18="OR",IF(OR($AU18="Married",AND($AU18="Single",$AS18&gt;=3)),SUMPRODUCT((MAX(0,$AY18-MIN(($P18-'Methodology &amp; Sources'!$C$10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Sources'!$B$211:$J$214,0,4))*(MAX(0,$AY18-MIN(($P18-'Methodology &amp; Sources'!$C$10*$D18)*Inputs!$C$8,IF(OR($AU18="Married",AND($AU18="Single",$AS18&gt;=3)),IF($AY18&lt;250000,8750,IF($AY18&lt;260000,7000,IF($AY18&lt;270000,5250,IF($AY18&lt;280000,3500,IF($AY18&lt;290000,1750,0))))),IF($AY18&lt;125000,8750,IF($AY18&lt;130000,7000,IF($AY18&lt;135000,5250,IF($AY18&lt;140000,3500,IF($AY18&lt;145000,1750,0)))))))-IF(OR($AU18="Married",AND($AU18="Single",$AS18&gt;=3)),5820,2910))-INDEX('Methodology &amp; Sources'!$B$211:$J$214,0,4))*INDEX('Methodology &amp; Sources'!$B$211:$J$214,0,4+2)),SUMPRODUCT((MAX(0,$AY18-MIN(($P18-'Methodology &amp; Sources'!$C$10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Sources'!$B$211:$J$214,0,1))*(MAX(0,$AY18-MIN(($P18-'Methodology &amp; Sources'!$C$10*$D18)*Inputs!$C$8,IF(OR($AU18="Married",AND($AU18="Single",$AS18&gt;=3)),IF($AY18&lt;250000,8750,IF($AY18&lt;260000,7000,IF($AY18&lt;270000,5250,IF($AY18&lt;280000,3500,IF($AY18&lt;290000,1750,0))))),IF($AY18&lt;125000,8750,IF($AY18&lt;130000,7000,IF($AY18&lt;135000,5250,IF($AY18&lt;140000,3500,IF($AY18&lt;145000,1750,0)))))))-IF(OR($AU18="Married",AND($AU18="Single",$AS18&gt;=3)),5820,2910))-INDEX('Methodology &amp; Sources'!$B$211:$J$214,0,1))*INDEX('Methodology &amp; Sources'!$B$211:$J$214,0,1+2)))+263-263*IF(IF($AU18="Married",$AY18&gt;200000,$AY18&gt;100000),0,$AS18),IF($AN18="PA",0.0307*(($O18+$E18+$G18)*Inputs!$C$8),IF($AN18="NY",IF($AU18="Married",IF($AZ18&gt;=2155350,0,IF($AZ18&gt;=1077550,0.48,IF($AZ18&gt;=373200,1.21,IF($AZ18&gt;=323200,0.21,IF($AZ18&gt;=211550,-0.19,IF($AZ18&gt;=157650,-2.8,IF($AZ18&gt;=107650,-0.8,IF($AZ18&gt;=96800,0.05,IF($AZ18&gt;=80650,-0.1,IF($AZ18&gt;=13900,0.4,IF($AZ18&gt;=11700,-0.3,IF($AZ18&gt;=8500,0.5,0)))))))))))),IF($AZ18&gt;=1077550,0,IF($AZ18&gt;=265400,4.29,IF($AZ18&gt;=215400,2.29,IF($AZ18&gt;=157650,2.29,IF($AZ18&gt;=107650,0.29,IF($AZ18&gt;=96800,0.05,IF($AZ18&gt;=80650,-0.1,IF($AZ18&gt;=13900,0.4,IF($AZ18&gt;=11700,-0.3,IF($AZ18&gt;=8500,0.5,0))))))))))),0))))))))))))))))))</f>
      </c>
      <c r="BC18" s="7">
        <f>IF($B18="","",IF($AN18="AL",0.05*$D18,IF($AN18="AR",0.039*$D18,IF($AN18="ID",0.053*$D18,IF($AN18="IN",(0.0295+Inputs!$C$76)*$D18,IF($AN18="KS",0.05*$D18,IF($AN18="MA",0.09*MIN($D18,MAX(0,MAX(0,$AY18-MIN(($BD17+$Q18+$R18+$S18),2000)-IF($AS18=0,0,IF($AS18=1,4400,1000*$AS18+3400)))+$D18-1107750))+0.05*($D18-MIN($D18,MAX(0,MAX(0,$AY18-MIN(($BD17+$Q18+$R18+$S18),2000)-IF($AS18=0,0,IF($AS18=1,4400,1000*$AS18+3400)))+$D18-1107750))),IF($AN18="MD",(0.065+Inputs!$C$74)*$D18,IF($AN18="MI",0.0425*$D18,IF($AN18="MN",0.0625*$D18,IF($AN18="MO",0.047*$D18,IF($AN18="MT",0.05*$D18,IF($AN18="ND",0.015*$D18,IF($AN18="NE",0.035*$D18,IF($AN18="NJ",IF(Inputs!$C$77="B",SUMPRODUCT(($D18*Inputs!$C$8&gt;INDEX('Methodology &amp; Sources'!$B$155:$J$162,0,4))*($D18*Inputs!$C$8-INDEX('Methodology &amp; Sources'!$B$155:$J$162,0,4))*INDEX('Methodology &amp; Sources'!$B$155:$J$162,0,4+2)),IF(Inputs!$C$77="C",SUMPRODUCT(($D18*Inputs!$C$8&gt;INDEX('Methodology &amp; Sources'!$B$155:$J$162,0,7))*($D18*Inputs!$C$8-INDEX('Methodology &amp; Sources'!$B$155:$J$162,0,7))*INDEX('Methodology &amp; Sources'!$B$155:$J$162,0,7+2)),IF(Inputs!$C$77="D",SUMPRODUCT(($D18*Inputs!$C$8&gt;INDEX('Methodology &amp; Sources'!$B$167:$J$179,0,1))*($D18*Inputs!$C$8-INDEX('Methodology &amp; Sources'!$B$167:$J$179,0,1))*INDEX('Methodology &amp; Sources'!$B$167:$J$179,0,1+2)),IF(Inputs!$C$77="E",SUMPRODUCT(($D18*Inputs!$C$8&gt;INDEX('Methodology &amp; Sources'!$B$167:$J$179,0,4))*($D18*Inputs!$C$8-INDEX('Methodology &amp; Sources'!$B$167:$J$179,0,4))*INDEX('Methodology &amp; Sources'!$B$167:$J$179,0,4+2)),SUMPRODUCT(($D18*Inputs!$C$8&gt;INDEX('Methodology &amp; Sources'!$B$155:$J$162,0,1))*($D18*Inputs!$C$8-INDEX('Methodology &amp; Sources'!$B$155:$J$162,0,1))*INDEX('Methodology &amp; Sources'!$B$155:$J$162,0,1+2))))))/Inputs!$C$8,IF($AN18="NY",0.117*$D18,IF($AN18="OH",0.0275*$D18,IF($AN18="OK",0.045*$D18,IF($AN18="OR",0.08*$D18,IF($AN18="WI",IF($AY18&lt;12760,0.0354,IF($AY18&lt;25520,0.0465,IF($AY18&lt;280950,0.053,0.0765)))*$D18,0))))))))))))))))))))</f>
      </c>
      <c r="BD18" s="7">
        <f>IF($B18="","",$BD17+$Q18+$R18+$S18)</f>
      </c>
      <c r="BE18" s="6">
        <f>IF($B18="",$BE17,$BE17+$BF18)</f>
      </c>
      <c r="BF18" s="6">
        <f>IF($B18="","",IF(AND(IF(YEAR(IF(Inputs!$C$7="Weekly",Inputs!$C$90+7*(($BE17+1)-1),IF(Inputs!$C$7="Biweekly",Inputs!$C$90+14*(($BE17+1)-1),IF(Inputs!$C$7="Semimonthly",DATE(YEAR(Inputs!$C$9),MONTH(Inputs!$C$9)+INT((($BE17+1)-1+'Rest of 2026'!$C$2)/2),MIN(DAY(Inputs!$C$9),DAY(EOMONTH(DATE(YEAR(Inputs!$C$9),MONTH(Inputs!$C$9)+INT((($BE17+1)-1+'Rest of 2026'!$C$2)/2),1),0))))+IF(MOD(($BE17+1)-1+'Rest of 2026'!$C$2,2)=1,15,0),EDATE(Inputs!$C$90,($BE17+1)-1)))))&lt;&gt;Inputs!$C$10,"",IF(Inputs!$C$7="Weekly",Inputs!$C$90+7*(($BE17+1)-1),IF(Inputs!$C$7="Biweekly",Inputs!$C$90+14*(($BE17+1)-1),IF(Inputs!$C$7="Semimonthly",DATE(YEAR(Inputs!$C$9),MONTH(Inputs!$C$9)+INT((($BE17+1)-1+'Rest of 2026'!$C$2)/2),MIN(DAY(Inputs!$C$9),DAY(EOMONTH(DATE(YEAR(Inputs!$C$9),MONTH(Inputs!$C$9)+INT((($BE17+1)-1+'Rest of 2026'!$C$2)/2),1),0))))+IF(MOD(($BE17+1)-1+'Rest of 2026'!$C$2,2)=1,15,0),EDATE(Inputs!$C$90,($BE17+1)-1)))))&lt;&gt;"",$B18=IF(YEAR(IF(Inputs!$C$7="Weekly",Inputs!$C$90+7*(($BE17+1)-1),IF(Inputs!$C$7="Biweekly",Inputs!$C$90+14*(($BE17+1)-1),IF(Inputs!$C$7="Semimonthly",DATE(YEAR(Inputs!$C$9),MONTH(Inputs!$C$9)+INT((($BE17+1)-1+'Rest of 2026'!$C$2)/2),MIN(DAY(Inputs!$C$9),DAY(EOMONTH(DATE(YEAR(Inputs!$C$9),MONTH(Inputs!$C$9)+INT((($BE17+1)-1+'Rest of 2026'!$C$2)/2),1),0))))+IF(MOD(($BE17+1)-1+'Rest of 2026'!$C$2,2)=1,15,0),EDATE(Inputs!$C$90,($BE17+1)-1)))))&lt;&gt;Inputs!$C$10,"",IF(Inputs!$C$7="Weekly",Inputs!$C$90+7*(($BE17+1)-1),IF(Inputs!$C$7="Biweekly",Inputs!$C$90+14*(($BE17+1)-1),IF(Inputs!$C$7="Semimonthly",DATE(YEAR(Inputs!$C$9),MONTH(Inputs!$C$9)+INT((($BE17+1)-1+'Rest of 2026'!$C$2)/2),MIN(DAY(Inputs!$C$9),DAY(EOMONTH(DATE(YEAR(Inputs!$C$9),MONTH(Inputs!$C$9)+INT((($BE17+1)-1+'Rest of 2026'!$C$2)/2),1),0))))+IF(MOD(($BE17+1)-1+'Rest of 2026'!$C$2,2)=1,15,0),EDATE(Inputs!$C$90,($BE17+1)-1)))))),1,0))</f>
      </c>
      <c r="BG18" s="7">
        <f>IF($B18="","",$BG17+$H18)</f>
      </c>
      <c r="BH18" s="7">
        <f>IF($B18="","",$BH17+$I18)</f>
      </c>
      <c r="BI18" s="7">
        <f>IF($B18="","",$BI17+$G18)</f>
      </c>
      <c r="BJ18" s="7">
        <f>IF($B18="","",IFERROR(LOOKUP(2,1/((((Events!$C$6:$C$17="Deduction start"))*(Events!$D$6:$D$17="Health FSA"))*(Events!$B$6:$B$17&lt;=$B18)*(Events!$B$6:$B$17&lt;&gt;"")),Events!$E$6:$E$17),Inputs!$D$38))</f>
      </c>
      <c r="BK18" s="7">
        <f>IF($B18="","",IFERROR(LOOKUP(2,1/((((Events!$C$6:$C$17="Deduction start"))*(Events!$D$6:$D$17="Dependent-care FSA"))*(Events!$B$6:$B$17&lt;=$B18)*(Events!$B$6:$B$17&lt;&gt;"")),Events!$E$6:$E$17),Inputs!$D$39))</f>
      </c>
      <c r="BL18" s="7">
        <f>IF($B18="","",IFERROR(LOOKUP(2,1/((((Events!$C$6:$C$17="Deduction start")+(Events!$C$6:$C$17="Deduction stop"))*(Events!$D$6:$D$17="HSA"))*(Events!$B$6:$B$17&lt;=$B18)*(Events!$B$6:$B$17&lt;&gt;"")),Events!$I$6:$I$17),Inputs!$D$35))</f>
      </c>
      <c r="BM18" s="7">
        <f>IF($B18="","",IFERROR(LOOKUP(2,1/((((Events!$C$6:$C$17="Deduction start")+(Events!$C$6:$C$17="Deduction stop"))*(Events!$D$6:$D$17="Premiums"))*(Events!$B$6:$B$17&lt;=$B18)*(Events!$B$6:$B$17&lt;&gt;"")),Events!$I$6:$I$17),Inputs!$D$40+Inputs!$D$41+Inputs!$D$42))</f>
      </c>
      <c r="BN18" s="7">
        <f>IF($B18="","",IFERROR(LOOKUP(2,1/((((Events!$C$6:$C$17="Deduction start")+(Events!$C$6:$C$17="Deduction stop"))*(Events!$D$6:$D$17="Commuter"))*(Events!$B$6:$B$17&lt;=$B18)*(Events!$B$6:$B$17&lt;&gt;"")),Events!$I$6:$I$17),Inputs!$D$43))</f>
      </c>
      <c r="BO18" s="7">
        <f>IF($B18="","",IFERROR(LOOKUP(2,1/((((Events!$C$6:$C$17="Deduction start")+(Events!$C$6:$C$17="Deduction stop"))*(Events!$D$6:$D$17="Other pre-tax"))*(Events!$B$6:$B$17&lt;=$B18)*(Events!$B$6:$B$17&lt;&gt;"")),Events!$I$6:$I$17),Inputs!$D$44))</f>
      </c>
      <c r="BP18" s="7">
        <f>IF($B18="","",IFERROR(LOOKUP(2,1/((((Events!$C$6:$C$17="Deduction start")+(Events!$C$6:$C$17="Deduction stop"))*(Events!$D$6:$D$17="Other post-tax"))*(Events!$B$6:$B$17&lt;=$B18)*(Events!$B$6:$B$17&lt;&gt;"")),Events!$I$6:$I$17),Inputs!$D$45))</f>
      </c>
      <c r="BQ18" s="6">
        <f>IF($B18="","",IFERROR(LOOKUP(2,1/((((Events!$C$6:$C$17="Deduction start")+(Events!$C$6:$C$17="Deduction stop"))*(Events!$D$6:$D$17="Health FSA"))*(Events!$B$6:$B$17&lt;=$B18)*(Events!$B$6:$B$17&lt;&gt;"")),Events!$J$6:$J$17),0))</f>
      </c>
      <c r="BR18" s="6">
        <f>IF($B18="","",IFERROR(LOOKUP(2,1/((((Events!$C$6:$C$17="Deduction start")+(Events!$C$6:$C$17="Deduction stop"))*(Events!$D$6:$D$17="Dependent-care FSA"))*(Events!$B$6:$B$17&lt;=$B18)*(Events!$B$6:$B$17&lt;&gt;"")),Events!$J$6:$J$17),0))</f>
      </c>
      <c r="BS18" s="6">
        <f>IF($B18="","",IF(SUMPRODUCT((Events!$C$6:$C$17="Deduction start")*(Events!$B$6:$B$17&lt;=$B18)*(Events!$B$6:$B$17&lt;&gt;"")*(Events!$D$6:$D$17="Health FSA"))&gt;0,1,0))</f>
      </c>
      <c r="BT18" s="6">
        <f>IF($B18="","",IF(SUMPRODUCT((Events!$C$6:$C$17="Deduction start")*(Events!$B$6:$B$17&lt;=$B18)*(Events!$B$6:$B$17&lt;&gt;"")*(Events!$D$6:$D$17="Dependent-care FSA"))&gt;0,1,0))</f>
      </c>
      <c r="BU18" s="24">
        <f>IF($B18="","",IF(Inputs!$C$13,SUMPRODUCT(($AH18&gt;=INDEX('Methodology &amp; Sources'!$B$29:$J$36,0,IF(Inputs!$C$12="MFJ",1,IF(Inputs!$C$12="HoH",7,4))))*INDEX('Methodology &amp; Sources'!$B$29:$J$36,0,IF(Inputs!$C$12="MFJ",1,IF(Inputs!$C$12="HoH",7,4))+2)),SUMPRODUCT(($AH18&gt;=INDEX('Methodology &amp; Sources'!$B$19:$J$26,0,IF(Inputs!$C$12="MFJ",1,IF(Inputs!$C$12="HoH",7,4))))*INDEX('Methodology &amp; Sources'!$B$19:$J$26,0,IF(Inputs!$C$12="MFJ",1,IF(Inputs!$C$12="HoH",7,4))+2))))</f>
      </c>
      <c r="BV18" s="24">
        <f>IF($B18="","",IF($BZ18&lt;&gt;"",$BZ18,IF($CA18&lt;&gt;"",$CA18,IF($CB18&lt;&gt;"",$CB18,IF($CC18&lt;&gt;"",$CC18,0)))))</f>
      </c>
      <c r="BW18" s="7">
        <f>IF($B18="","",IF($AN18="MD",IF(OR($AU18="Married",$AU18="Head of household"),SUMPRODUCT(($AZ18&gt;INDEX('Methodology &amp; Sources'!$B$114:$J$120,0,1))*($AZ18-INDEX('Methodology &amp; Sources'!$B$114:$J$120,0,1))*INDEX('Methodology &amp; Sources'!$B$114:$J$120,0,1+2)),SUMPRODUCT(($AZ18&gt;INDEX('Methodology &amp; Sources'!$B$103:$J$109,0,7))*($AZ18-INDEX('Methodology &amp; Sources'!$B$103:$J$109,0,7))*INDEX('Methodology &amp; Sources'!$B$103:$J$109,0,7+2))),IF($AN18="MO",SUMPRODUCT(($AZ18&gt;INDEX('Methodology &amp; Sources'!$B$125:$J$132,0,1))*($AZ18-INDEX('Methodology &amp; Sources'!$B$125:$J$132,0,1))*INDEX('Methodology &amp; Sources'!$B$125:$J$132,0,1+2)),IF($AN18="MT",IF($AU18="Head of household",SUMPRODUCT(($AZ18&gt;INDEX('Methodology &amp; Sources'!$B$137:$J$139,0,1))*($AZ18-INDEX('Methodology &amp; Sources'!$B$137:$J$139,0,1))*INDEX('Methodology &amp; Sources'!$B$137:$J$139,0,1+2)),IF($AU18="Married",SUMPRODUCT(($AZ18&gt;INDEX('Methodology &amp; Sources'!$B$125:$J$132,0,7))*($AZ18-INDEX('Methodology &amp; Sources'!$B$125:$J$132,0,7))*INDEX('Methodology &amp; Sources'!$B$125:$J$132,0,7+2)),SUMPRODUCT(($AZ18&gt;INDEX('Methodology &amp; Sources'!$B$125:$J$132,0,4))*($AZ18-INDEX('Methodology &amp; Sources'!$B$125:$J$132,0,4))*INDEX('Methodology &amp; Sources'!$B$125:$J$132,0,4+2)))),IF($AN18="ND",IF($AU18="Head of household",SUMPRODUCT(($AZ18&gt;INDEX('Methodology &amp; Sources'!$B$144:$J$150,0,1))*($AZ18-INDEX('Methodology &amp; Sources'!$B$144:$J$150,0,1))*INDEX('Methodology &amp; Sources'!$B$144:$J$150,0,1+2)),IF($AU18="Married",SUMPRODUCT(($AZ18&gt;INDEX('Methodology &amp; Sources'!$B$137:$J$139,0,7))*($AZ18-INDEX('Methodology &amp; Sources'!$B$137:$J$139,0,7))*INDEX('Methodology &amp; Sources'!$B$137:$J$139,0,7+2)),SUMPRODUCT(($AZ18&gt;INDEX('Methodology &amp; Sources'!$B$137:$J$139,0,4))*($AZ18-INDEX('Methodology &amp; Sources'!$B$137:$J$139,0,4))*INDEX('Methodology &amp; Sources'!$B$137:$J$139,0,4+2)))),IF($AN18="NJ",IF(Inputs!$C$77="B",SUMPRODUCT(($AZ18&gt;INDEX('Methodology &amp; Sources'!$B$155:$J$162,0,4))*($AZ18-INDEX('Methodology &amp; Sources'!$B$155:$J$162,0,4))*INDEX('Methodology &amp; Sources'!$B$155:$J$162,0,4+2)),IF(Inputs!$C$77="C",SUMPRODUCT(($AZ18&gt;INDEX('Methodology &amp; Sources'!$B$155:$J$162,0,7))*($AZ18-INDEX('Methodology &amp; Sources'!$B$155:$J$162,0,7))*INDEX('Methodology &amp; Sources'!$B$155:$J$162,0,7+2)),IF(Inputs!$C$77="D",SUMPRODUCT(($AZ18&gt;INDEX('Methodology &amp; Sources'!$B$167:$J$179,0,1))*($AZ18-INDEX('Methodology &amp; Sources'!$B$167:$J$179,0,1))*INDEX('Methodology &amp; Sources'!$B$167:$J$179,0,1+2)),IF(Inputs!$C$77="E",SUMPRODUCT(($AZ18&gt;INDEX('Methodology &amp; Sources'!$B$167:$J$179,0,4))*($AZ18-INDEX('Methodology &amp; Sources'!$B$167:$J$179,0,4))*INDEX('Methodology &amp; Sources'!$B$167:$J$179,0,4+2)),SUMPRODUCT(($AZ18&gt;INDEX('Methodology &amp; Sources'!$B$155:$J$162,0,1))*($AZ18-INDEX('Methodology &amp; Sources'!$B$155:$J$162,0,1))*INDEX('Methodology &amp; Sources'!$B$155:$J$162,0,1+2)))))),IF($AN18="NY",IF($AU18="Married",IF($AZ18&gt;=2155350,$AZ18*IF($AZ18&gt;25000000,0.117,IF($AZ18&gt;5000000,0.111,0.1045)),SUMPRODUCT(($AZ18&gt;INDEX('Methodology &amp; Sources'!$B$184:$J$198,0,1))*($AZ18-INDEX('Methodology &amp; Sources'!$B$184:$J$198,0,1))*INDEX('Methodology &amp; Sources'!$B$184:$J$198,0,1+2))),IF($AZ18&gt;=1077550,$AZ18*IF($AZ18&gt;25000000,0.117,IF($AZ18&gt;5000000,0.111,0.1045)),SUMPRODUCT(($AZ18&gt;INDEX('Methodology &amp; Sources'!$B$167:$J$179,0,7))*($AZ18-INDEX('Methodology &amp; Sources'!$B$167:$J$179,0,7))*INDEX('Methodology &amp; Sources'!$B$167:$J$179,0,7+2)))),"")))))))</f>
      </c>
      <c r="BX18" s="7">
        <f>IF($B18="","",IF($AN18="AL",IF(OR($AU18="Married",$AU18="Head of household"),SUMPRODUCT(($AZ18&gt;INDEX('Methodology &amp; Sources'!$B$82:$J$86,0,4))*($AZ18-INDEX('Methodology &amp; Sources'!$B$82:$J$86,0,4))*INDEX('Methodology &amp; Sources'!$B$82:$J$86,0,4+2)),SUMPRODUCT(($AZ18&gt;INDEX('Methodology &amp; Sources'!$B$82:$J$86,0,1))*($AZ18-INDEX('Methodology &amp; Sources'!$B$82:$J$86,0,1))*INDEX('Methodology &amp; Sources'!$B$82:$J$86,0,1+2))),IF($AN18="KS",IF($AU18="Married",SUMPRODUCT(($AZ18&gt;INDEX('Methodology &amp; Sources'!$B$103:$J$109,0,4))*($AZ18-INDEX('Methodology &amp; Sources'!$B$103:$J$109,0,4))*INDEX('Methodology &amp; Sources'!$B$103:$J$109,0,4+2)),SUMPRODUCT(($AZ18&gt;INDEX('Methodology &amp; Sources'!$B$103:$J$109,0,1))*($AZ18-INDEX('Methodology &amp; Sources'!$B$103:$J$109,0,1))*INDEX('Methodology &amp; Sources'!$B$103:$J$109,0,1+2))),IF($AN18="MN",IF($AU18="Married",SUMPRODUCT(($AZ18&gt;INDEX('Methodology &amp; Sources'!$B$114:$J$120,0,7))*($AZ18-INDEX('Methodology &amp; Sources'!$B$114:$J$120,0,7))*INDEX('Methodology &amp; Sources'!$B$114:$J$120,0,7+2)),SUMPRODUCT(($AZ18&gt;INDEX('Methodology &amp; Sources'!$B$114:$J$120,0,4))*($AZ18-INDEX('Methodology &amp; Sources'!$B$114:$J$120,0,4))*INDEX('Methodology &amp; Sources'!$B$114:$J$120,0,4+2))),IF($AN18="NE",MAX(IF($AU18="Married",SUMPRODUCT(($AZ18&gt;INDEX('Methodology &amp; Sources'!$B$144:$J$150,0,7))*($AZ18-INDEX('Methodology &amp; Sources'!$B$144:$J$150,0,7))*INDEX('Methodology &amp; Sources'!$B$144:$J$150,0,7+2)),SUMPRODUCT(($AZ18&gt;INDEX('Methodology &amp; Sources'!$B$144:$J$150,0,4))*($AZ18-INDEX('Methodology &amp; Sources'!$B$144:$J$150,0,4))*INDEX('Methodology &amp; Sources'!$B$144:$J$150,0,4+2))),0.015*$AZ18),IF($AN18="OH",IF($B18&gt;=DATE(2027,8,1),SUMPRODUCT(($AZ18&gt;INDEX('Methodology &amp; Sources'!$B$203:$J$206,0,1))*($AZ18-INDEX('Methodology &amp; Sources'!$B$203:$J$206,0,1))*INDEX('Methodology &amp; Sources'!$B$203:$J$206,0,1+2)),SUMPRODUCT(($AZ18&gt;INDEX('Methodology &amp; Sources'!$B$184:$J$198,0,7))*($AZ18-INDEX('Methodology &amp; Sources'!$B$184:$J$198,0,7))*INDEX('Methodology &amp; Sources'!$B$184:$J$198,0,7+2))),IF($AN18="OK",IF($AU18="Married",SUMPRODUCT(($AZ18&gt;INDEX('Methodology &amp; Sources'!$B$203:$J$206,0,7))*($AZ18-INDEX('Methodology &amp; Sources'!$B$203:$J$206,0,7))*INDEX('Methodology &amp; Sources'!$B$203:$J$206,0,7+2)),SUMPRODUCT(($AZ18&gt;INDEX('Methodology &amp; Sources'!$B$203:$J$206,0,4))*($AZ18-INDEX('Methodology &amp; Sources'!$B$203:$J$206,0,4))*INDEX('Methodology &amp; Sources'!$B$203:$J$206,0,4+2))),IF($AN18="RI",SUMPRODUCT(($AZ18&gt;INDEX('Methodology &amp; Sources'!$B$211:$J$214,0,7))*($AZ18-INDEX('Methodology &amp; Sources'!$B$211:$J$214,0,7))*INDEX('Methodology &amp; Sources'!$B$211:$J$214,0,7+2)),IF($AN18="VT",IF($AU18="Married",SUMPRODUCT(($AZ18&gt;INDEX('Methodology &amp; Sources'!$B$228:$J$232,0,1))*($AZ18-INDEX('Methodology &amp; Sources'!$B$228:$J$232,0,1))*INDEX('Methodology &amp; Sources'!$B$228:$J$232,0,1+2)),SUMPRODUCT(($AZ18&gt;INDEX('Methodology &amp; Sources'!$B$219:$J$223,0,7))*($AZ18-INDEX('Methodology &amp; Sources'!$B$219:$J$223,0,7))*INDEX('Methodology &amp; Sources'!$B$219:$J$223,0,7+2))),IF($AN18="WV",IF($AU18="Married",SUMPRODUCT(($AZ18&gt;INDEX('Methodology &amp; Sources'!$B$237:$J$241,0,7))*($AZ18-INDEX('Methodology &amp; Sources'!$B$237:$J$241,0,7))*INDEX('Methodology &amp; Sources'!$B$237:$J$241,0,7+2)),SUMPRODUCT(($AZ18&gt;INDEX('Methodology &amp; Sources'!$B$228:$J$232,0,7))*($AZ18-INDEX('Methodology &amp; Sources'!$B$228:$J$232,0,7))*INDEX('Methodology &amp; Sources'!$B$228:$J$232,0,7+2))),""))))))))))</f>
      </c>
      <c r="BY18" s="7">
        <f>IF($B18="","",IF($AN18="AR",SUMPRODUCT(($AZ18&gt;INDEX('Methodology &amp; Sources'!$B$82:$J$86,0,7))*($AZ18-INDEX('Methodology &amp; Sources'!$B$82:$J$86,0,7))*INDEX('Methodology &amp; Sources'!$B$82:$J$86,0,7+2)),IF($AN18="DE",SUMPRODUCT(($AZ18&gt;INDEX('Methodology &amp; Sources'!$B$91:$J$98,0,1))*($AZ18-INDEX('Methodology &amp; Sources'!$B$91:$J$98,0,1))*INDEX('Methodology &amp; Sources'!$B$91:$J$98,0,1+2)),IF($AN18="HI",IF($AU18="Married",SUMPRODUCT(($AZ18&gt;INDEX('Methodology &amp; Sources'!$B$91:$J$98,0,7))*($AZ18-INDEX('Methodology &amp; Sources'!$B$91:$J$98,0,7))*INDEX('Methodology &amp; Sources'!$B$91:$J$98,0,7+2)),SUMPRODUCT(($AZ18&gt;INDEX('Methodology &amp; Sources'!$B$91:$J$98,0,4))*($AZ18-INDEX('Methodology &amp; Sources'!$B$91:$J$98,0,4))*INDEX('Methodology &amp; Sources'!$B$91:$J$98,0,4+2))),IF($AN18="SC",SUMPRODUCT(($AZ18&gt;INDEX('Methodology &amp; Sources'!$B$219:$J$223,0,1))*($AZ18-INDEX('Methodology &amp; Sources'!$B$219:$J$223,0,1))*INDEX('Methodology &amp; Sources'!$B$219:$J$223,0,1+2)),IF($AN18="VA",SUMPRODUCT(($AZ18&gt;INDEX('Methodology &amp; Sources'!$B$219:$J$223,0,4))*($AZ18-INDEX('Methodology &amp; Sources'!$B$219:$J$223,0,4))*INDEX('Methodology &amp; Sources'!$B$219:$J$223,0,4+2)),IF($AN18="WI",SUMPRODUCT(($AZ18&gt;INDEX('Methodology &amp; Sources'!$B$228:$J$232,0,4))*($AZ18-INDEX('Methodology &amp; Sources'!$B$228:$J$232,0,4))*INDEX('Methodology &amp; Sources'!$B$228:$J$232,0,4+2)),"")))))))</f>
      </c>
      <c r="BZ18" s="24">
        <f>IF($B18="","",IF($AN18="NJ",IF(Inputs!$C$77="B",SUMPRODUCT(($AZ18&gt;=INDEX('Methodology &amp; Sources'!$B$155:$J$162,0,4))*INDEX('Methodology &amp; Sources'!$B$155:$J$162,0,4+2)),IF(Inputs!$C$77="C",SUMPRODUCT(($AZ18&gt;=INDEX('Methodology &amp; Sources'!$B$155:$J$162,0,7))*INDEX('Methodology &amp; Sources'!$B$155:$J$162,0,7+2)),IF(Inputs!$C$77="D",SUMPRODUCT(($AZ18&gt;=INDEX('Methodology &amp; Sources'!$B$167:$J$179,0,1))*INDEX('Methodology &amp; Sources'!$B$167:$J$179,0,1+2)),IF(Inputs!$C$77="E",SUMPRODUCT(($AZ18&gt;=INDEX('Methodology &amp; Sources'!$B$167:$J$179,0,4))*INDEX('Methodology &amp; Sources'!$B$167:$J$179,0,4+2)),SUMPRODUCT(($AZ18&gt;=INDEX('Methodology &amp; Sources'!$B$155:$J$162,0,1))*INDEX('Methodology &amp; Sources'!$B$155:$J$162,0,1+2)))))),IF($AN18="OR",IF(OR($AU18="Married",AND($AU18="Single",$AS18&gt;=3)),SUMPRODUCT((MAX(0,$AY18-MIN(($P18-'Methodology &amp; Sources'!$C$10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Sources'!$B$211:$J$214,0,4))*INDEX('Methodology &amp; Sources'!$B$211:$J$214,0,4+2)),SUMPRODUCT((MAX(0,$AY18-MIN(($P18-'Methodology &amp; Sources'!$C$10*$D18)*Inputs!$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Sources'!$B$211:$J$214,0,1))*INDEX('Methodology &amp; Sources'!$B$211:$J$214,0,1+2)))*IF(($P18-'Methodology &amp; Sources'!$C$10*$D18)*Inputs!$C$8&gt;=IF(OR($AU18="Married",AND($AU18="Single",$AS18&gt;=3)),IF($AY18&lt;250000,8750,IF($AY18&lt;260000,7000,IF($AY18&lt;270000,5250,IF($AY18&lt;280000,3500,IF($AY18&lt;290000,1750,0))))),IF($AY18&lt;125000,8750,IF($AY18&lt;130000,7000,IF($AY18&lt;135000,5250,IF($AY18&lt;140000,3500,IF($AY18&lt;145000,1750,0)))))),1,1-IF(Inputs!$C$13,SUMPRODUCT(($AH18&gt;=INDEX('Methodology &amp; Sources'!$B$29:$J$36,0,IF(Inputs!$C$12="MFJ",1,IF(Inputs!$C$12="HoH",7,4))))*INDEX('Methodology &amp; Sources'!$B$29:$J$36,0,IF(Inputs!$C$12="MFJ",1,IF(Inputs!$C$12="HoH",7,4))+2)),SUMPRODUCT(($AH18&gt;=INDEX('Methodology &amp; Sources'!$B$19:$J$26,0,IF(Inputs!$C$12="MFJ",1,IF(Inputs!$C$12="HoH",7,4))))*INDEX('Methodology &amp; Sources'!$B$19:$J$26,0,IF(Inputs!$C$12="MFJ",1,IF(Inputs!$C$12="HoH",7,4))+2)))),IF($AN18="MI",IF($AY18&gt;5900*$AS18,0.0425,0),""))))</f>
      </c>
      <c r="CA18" s="24">
        <f>IF($B18="","",IF($AN18="AL",IF(OR($AU18="Married",$AU18="Head of household"),SUMPRODUCT(($AZ18&gt;=INDEX('Methodology &amp; Sources'!$B$82:$J$86,0,4))*INDEX('Methodology &amp; Sources'!$B$82:$J$86,0,4+2)),SUMPRODUCT(($AZ18&gt;=INDEX('Methodology &amp; Sources'!$B$82:$J$86,0,1))*INDEX('Methodology &amp; Sources'!$B$82:$J$86,0,1+2)))*(1-IF(Inputs!$C$13,SUMPRODUCT(($AH18&gt;=INDEX('Methodology &amp; Sources'!$B$29:$J$36,0,IF(Inputs!$C$12="MFJ",1,IF(Inputs!$C$12="HoH",7,4))))*INDEX('Methodology &amp; Sources'!$B$29:$J$36,0,IF(Inputs!$C$12="MFJ",1,IF(Inputs!$C$12="HoH",7,4))+2)),SUMPRODUCT(($AH18&gt;=INDEX('Methodology &amp; Sources'!$B$19:$J$26,0,IF(Inputs!$C$12="MFJ",1,IF(Inputs!$C$12="HoH",7,4))))*INDEX('Methodology &amp; Sources'!$B$19:$J$26,0,IF(Inputs!$C$12="MFJ",1,IF(Inputs!$C$12="HoH",7,4))+2)))),IF($AN18="KS",IF($AU18="Married",SUMPRODUCT(($AZ18&gt;=INDEX('Methodology &amp; Sources'!$B$103:$J$109,0,4))*INDEX('Methodology &amp; Sources'!$B$103:$J$109,0,4+2)),SUMPRODUCT(($AZ18&gt;=INDEX('Methodology &amp; Sources'!$B$103:$J$109,0,1))*INDEX('Methodology &amp; Sources'!$B$103:$J$109,0,1+2))),IF($AN18="MD",IF(OR($AU18="Married",$AU18="Head of household"),SUMPRODUCT(($AZ18&gt;=INDEX('Methodology &amp; Sources'!$B$114:$J$120,0,1))*INDEX('Methodology &amp; Sources'!$B$114:$J$120,0,1+2)),SUMPRODUCT(($AZ18&gt;=INDEX('Methodology &amp; Sources'!$B$103:$J$109,0,7))*INDEX('Methodology &amp; Sources'!$B$103:$J$109,0,7+2)))+Inputs!$C$74,IF($AN18="MT",IF($AU18="Head of household",SUMPRODUCT(($AZ18&gt;=INDEX('Methodology &amp; Sources'!$B$137:$J$139,0,1))*INDEX('Methodology &amp; Sources'!$B$137:$J$139,0,1+2)),IF($AU18="Married",SUMPRODUCT(($AZ18&gt;=INDEX('Methodology &amp; Sources'!$B$125:$J$132,0,7))*INDEX('Methodology &amp; Sources'!$B$125:$J$132,0,7+2)),SUMPRODUCT(($AZ18&gt;=INDEX('Methodology &amp; Sources'!$B$125:$J$132,0,4))*INDEX('Methodology &amp; Sources'!$B$125:$J$132,0,4+2)))),IF($AN18="ND",IF($AU18="Head of household",SUMPRODUCT(($AZ18&gt;=INDEX('Methodology &amp; Sources'!$B$144:$J$150,0,1))*INDEX('Methodology &amp; Sources'!$B$144:$J$150,0,1+2)),IF($AU18="Married",SUMPRODUCT(($AZ18&gt;=INDEX('Methodology &amp; Sources'!$B$137:$J$139,0,7))*INDEX('Methodology &amp; Sources'!$B$137:$J$139,0,7+2)),SUMPRODUCT(($AZ18&gt;=INDEX('Methodology &amp; Sources'!$B$137:$J$139,0,4))*INDEX('Methodology &amp; Sources'!$B$137:$J$139,0,4+2)))),IF($AN18="NY",IF($AU18="Married",IF($AZ18&gt;=2155350,IF($AZ18&gt;25000000,0.117,IF($AZ18&gt;5000000,0.111,0.1045)),SUMPRODUCT(($AZ18&gt;=INDEX('Methodology &amp; Sources'!$B$184:$J$198,0,1))*INDEX('Methodology &amp; Sources'!$B$184:$J$198,0,1+2))),IF($AZ18&gt;=1077550,IF($AZ18&gt;25000000,0.117,IF($AZ18&gt;5000000,0.111,0.1045)),SUMPRODUCT(($AZ18&gt;=INDEX('Methodology &amp; Sources'!$B$167:$J$179,0,7))*INDEX('Methodology &amp; Sources'!$B$167:$J$179,0,7+2)))),"")))))))</f>
      </c>
      <c r="CB18" s="24">
        <f>IF($B18="","",IF($AN18="CA",SUMPRODUCT(($AJ18&gt;=INDEX('Methodology &amp; Sources'!$B$39:$J$48,0,IF($AU18="Married",4,IF($AU18="Head of household",7,1))))*INDEX('Methodology &amp; Sources'!$B$39:$J$48,0,IF($AU18="Married",4,IF($AU18="Head of household",7,1))+2)),IF($AN18="HI",IF($AU18="Married",SUMPRODUCT(($AZ18&gt;=INDEX('Methodology &amp; Sources'!$B$91:$J$98,0,7))*INDEX('Methodology &amp; Sources'!$B$91:$J$98,0,7+2)),SUMPRODUCT(($AZ18&gt;=INDEX('Methodology &amp; Sources'!$B$91:$J$98,0,4))*INDEX('Methodology &amp; Sources'!$B$91:$J$98,0,4+2))),IF($AN18="MN",IF($AU18="Married",SUMPRODUCT(($AZ18&gt;=INDEX('Methodology &amp; Sources'!$B$114:$J$120,0,7))*INDEX('Methodology &amp; Sources'!$B$114:$J$120,0,7+2)),SUMPRODUCT(($AZ18&gt;=INDEX('Methodology &amp; Sources'!$B$114:$J$120,0,4))*INDEX('Methodology &amp; Sources'!$B$114:$J$120,0,4+2))),IF($AN18="MO",SUMPRODUCT(($AZ18&gt;=INDEX('Methodology &amp; Sources'!$B$125:$J$132,0,1))*INDEX('Methodology &amp; Sources'!$B$125:$J$132,0,1+2)),IF($AN18="NE",MAX(IF($AU18="Married",SUMPRODUCT(($AZ18&gt;=INDEX('Methodology &amp; Sources'!$B$144:$J$150,0,7))*INDEX('Methodology &amp; Sources'!$B$144:$J$150,0,7+2)),SUMPRODUCT(($AZ18&gt;=INDEX('Methodology &amp; Sources'!$B$144:$J$150,0,4))*INDEX('Methodology &amp; Sources'!$B$144:$J$150,0,4+2))),0.015),IF($AN18="OH",IF($B18&gt;=DATE(2027,8,1),SUMPRODUCT(($AZ18&gt;=INDEX('Methodology &amp; Sources'!$B$203:$J$206,0,1))*INDEX('Methodology &amp; Sources'!$B$203:$J$206,0,1+2)),SUMPRODUCT(($AZ18&gt;=INDEX('Methodology &amp; Sources'!$B$184:$J$198,0,7))*INDEX('Methodology &amp; Sources'!$B$184:$J$198,0,7+2))),IF($AN18="OK",IF($AU18="Married",SUMPRODUCT(($AZ18&gt;=INDEX('Methodology &amp; Sources'!$B$203:$J$206,0,7))*INDEX('Methodology &amp; Sources'!$B$203:$J$206,0,7+2)),SUMPRODUCT(($AZ18&gt;=INDEX('Methodology &amp; Sources'!$B$203:$J$206,0,4))*INDEX('Methodology &amp; Sources'!$B$203:$J$206,0,4+2))),IF($AN18="RI",SUMPRODUCT(($AZ18&gt;=INDEX('Methodology &amp; Sources'!$B$211:$J$214,0,7))*INDEX('Methodology &amp; Sources'!$B$211:$J$214,0,7+2)),IF($AN18="SC",SUMPRODUCT(($AZ18&gt;=INDEX('Methodology &amp; Sources'!$B$219:$J$223,0,1))*INDEX('Methodology &amp; Sources'!$B$219:$J$223,0,1+2)),IF($AN18="VT",IF($AU18="Married",SUMPRODUCT(($AZ18&gt;=INDEX('Methodology &amp; Sources'!$B$228:$J$232,0,1))*INDEX('Methodology &amp; Sources'!$B$228:$J$232,0,1+2)),SUMPRODUCT(($AZ18&gt;=INDEX('Methodology &amp; Sources'!$B$219:$J$223,0,7))*INDEX('Methodology &amp; Sources'!$B$219:$J$223,0,7+2))),IF($AN18="WV",IF($AU18="Married",SUMPRODUCT(($AZ18&gt;=INDEX('Methodology &amp; Sources'!$B$237:$J$241,0,7))*INDEX('Methodology &amp; Sources'!$B$237:$J$241,0,7+2)),SUMPRODUCT(($AZ18&gt;=INDEX('Methodology &amp; Sources'!$B$228:$J$232,0,7))*INDEX('Methodology &amp; Sources'!$B$228:$J$232,0,7+2))),IF($AN18="IN",(0.0295+Inputs!$C$76),"")))))))))))))</f>
      </c>
      <c r="CC18" s="24">
        <f>IF($B18="","",IF($AN18="AR",SUMPRODUCT(($AZ18&gt;=INDEX('Methodology &amp; Sources'!$B$82:$J$86,0,7))*INDEX('Methodology &amp; Sources'!$B$82:$J$86,0,7+2)),IF($AN18="DE",SUMPRODUCT(($AZ18&gt;=INDEX('Methodology &amp; Sources'!$B$91:$J$98,0,1))*INDEX('Methodology &amp; Sources'!$B$91:$J$98,0,1+2)),IF($AN18="VA",SUMPRODUCT(($AZ18&gt;=INDEX('Methodology &amp; Sources'!$B$219:$J$223,0,4))*INDEX('Methodology &amp; Sources'!$B$219:$J$223,0,4+2)),IF($AN18="WI",SUMPRODUCT(($AZ18&gt;=INDEX('Methodology &amp; Sources'!$B$228:$J$232,0,4))*INDEX('Methodology &amp; Sources'!$B$228:$J$232,0,4+2)),IF($AN18="AZ",Inputs!$C$82,IF($AN18="CO",IF($AY18&gt;IF($AU18="Married",10000,5000),0.044,0),IF($AN18="IA",IF($AY18&gt;IF($AU18="Head of household",19500,IF($AU18="Married",26000,13000)),0.038,0),IF($AN18="ID",IF($AY18&gt;IF($AU18="Married",32000,16094),0.053,0),IF($AN18="IL",IF($AY18&gt;(2925*$AS18+1000*$AT18),0.0495,0),IF($AN18="KY",IF($AI18&gt;3360,0.035,0),IF($AN18="LA",0.0309,IF($AN18="MA",IF(MAX(0,$AY18-MIN(($BD17+$Q18+$R18+$S18),2000)-IF($AS18=0,0,IF($AS18=1,4400,1000*$AS18+3400)))&gt;=1107750,0.09,0.05),IF($AN18="MS",IF($AI18-IF($AU18="Head of household",3400,IF($AU18="Married",4600,2300))-Inputs!$C$85&gt;10000,0.04,0),IF($AN18="PA",0.0307,"")))))))))))))))</f>
      </c>
      <c r="CD18" s="21">
        <f>IF(YEAR(IF(Inputs!$C$7="Weekly",Inputs!$C$90+7*(($BE17+1)-1),IF(Inputs!$C$7="Biweekly",Inputs!$C$90+14*(($BE17+1)-1),IF(Inputs!$C$7="Semimonthly",DATE(YEAR(Inputs!$C$9),MONTH(Inputs!$C$9)+INT((($BE17+1)-1+'Rest of 2026'!$C$2)/2),MIN(DAY(Inputs!$C$9),DAY(EOMONTH(DATE(YEAR(Inputs!$C$9),MONTH(Inputs!$C$9)+INT((($BE17+1)-1+'Rest of 2026'!$C$2)/2),1),0))))+IF(MOD(($BE17+1)-1+'Rest of 2026'!$C$2,2)=1,15,0),EDATE(Inputs!$C$90,($BE17+1)-1)))))&lt;&gt;Inputs!$C$10,"",IF(Inputs!$C$7="Weekly",Inputs!$C$90+7*(($BE17+1)-1),IF(Inputs!$C$7="Biweekly",Inputs!$C$90+14*(($BE17+1)-1),IF(Inputs!$C$7="Semimonthly",DATE(YEAR(Inputs!$C$9),MONTH(Inputs!$C$9)+INT((($BE17+1)-1+'Rest of 2026'!$C$2)/2),MIN(DAY(Inputs!$C$9),DAY(EOMONTH(DATE(YEAR(Inputs!$C$9),MONTH(Inputs!$C$9)+INT((($BE17+1)-1+'Rest of 2026'!$C$2)/2),1),0))))+IF(MOD(($BE17+1)-1+'Rest of 2026'!$C$2,2)=1,15,0),EDATE(Inputs!$C$90,($BE17+1)-1)))))</f>
      </c>
      <c r="CE18" s="21">
        <f>IF(SUMPRODUCT(MIN(IF((Inputs!$C$58:$C$67&gt;MAX($B$6:$B17))*(Inputs!$C$58:$C$67&gt;=DATE(Inputs!$C$10,1,1))*(Inputs!$C$58:$C$67&lt;=DATE(Inputs!$C$10,12,31)),Inputs!$C$58:$C$67,999999)))=999999,"",SUMPRODUCT(MIN(IF((Inputs!$C$58:$C$67&gt;MAX($B$6:$B17))*(Inputs!$C$58:$C$67&gt;=DATE(Inputs!$C$10,1,1))*(Inputs!$C$58:$C$67&lt;=DATE(Inputs!$C$10,12,31)),Inputs!$C$58:$C$67,999999))))</f>
      </c>
    </row>
    <row r="19">
      <c r="A19" t="n">
        <v>14</v>
      </c>
      <c r="B19" s="21">
        <f>IF(AND($CD19="",$CE19=""),"",IF($CE19="",$CD19,IF($CD19="",$CE19,MIN($CD19,$CE19))))</f>
      </c>
      <c r="C19" s="7">
        <f>IF($B19="","",IF($BF19=0,0,IF(Inputs!$C$4="Annual salary",ROUND($AK19/IF(AND(Inputs!$C$88="Actual paydays",MONTH(Inputs!$C$90)=1),MAX(1,MAX($BE$6:$BE$68)),Inputs!$C$8),2),$AK19)))</f>
      </c>
      <c r="D19" s="7">
        <f>IF($B19="","",SUMIF(Inputs!$C$58:$C$67,$B19,Inputs!$D$58:$D$67))</f>
      </c>
      <c r="E19" s="7">
        <f>IF($B19="","",ROUND(MAX(0,MIN(IF($AL19="Percent",$AM19*($C19+$D19),$AM19),MAX(0,Inputs!$C$34-$AC18))),2))</f>
      </c>
      <c r="F19" s="7">
        <f>IF($B19="","",ROUND(MAX(0,MIN(IF(Inputs!$C$32="Percent",Inputs!$D$32*($C19+$D19),Inputs!$D$32),MAX(0,Inputs!$C$34-$AC18-$E19))),2))</f>
      </c>
      <c r="G19" s="7">
        <f>IF($B19="","",IF($BF19=0,0,ROUND(MAX(0,MIN($BL19,Inputs!$C$37-Inputs!$C$99-$BI18)),2)))</f>
      </c>
      <c r="H19" s="7">
        <f>IF($B19="","",IF(OR($BF19=0,$BQ19=1),0,ROUND(MAX(0,MIN(IF($BS19=1,ROUND(MAX(0,MIN($BJ19,'Methodology &amp; Sources'!$C$13)-$BG18)/MAX(1,MAX($BE$6:$BE$68)-($BE18)),2),ROUND(MIN($BJ19,'Methodology &amp; Sources'!$C$13)/Inputs!$C$8,2)),MIN($BJ19,'Methodology &amp; Sources'!$C$13)-$BG18)),2)))</f>
      </c>
      <c r="I19" s="7">
        <f>IF($B19="","",IF(OR($BF19=0,$BR19=1),0,ROUND(MAX(0,MIN(IF($BT19=1,ROUND(MAX(0,MIN($BK19,IF(Inputs!$C$12="MFJ",'Methodology &amp; Sources'!$C$14,'Methodology &amp; Sources'!$C$15))-$BH18)/MAX(1,MAX($BE$6:$BE$68)-($BE18)),2),ROUND(MIN($BK19,IF(Inputs!$C$12="MFJ",'Methodology &amp; Sources'!$C$14,'Methodology &amp; Sources'!$C$15))/Inputs!$C$8,2)),MIN($BK19,IF(Inputs!$C$12="MFJ",'Methodology &amp; Sources'!$C$14,'Methodology &amp; Sources'!$C$15))-$BH18)),2)))</f>
      </c>
      <c r="J19" s="7">
        <f>IF($B19="","",IF($BF19=0,0,$BM19))</f>
      </c>
      <c r="K19" s="7">
        <f>IF($B19="","",IF($BF19=0,0,$BN19+$BO19))</f>
      </c>
      <c r="L19" s="7">
        <f>IF($B19="","",IF($BF19=0,0,Inputs!$D$46))</f>
      </c>
      <c r="M19" s="7">
        <f>IF($B19="","",$C19+$D19+$L19-$E19-$G19-$H19-$I19-$J19-$K19)</f>
      </c>
      <c r="N19" s="7">
        <f>IF($B19="","",$C19+$D19+$L19-$G19-$H19-$I19-$J19-$K19)</f>
      </c>
      <c r="O19" s="7">
        <f>IF($B19="","",$C19+$D19+$L19-$E19-$H19-$I19-$J19-$K19-IF(OR($AN19="CA",$AN19="NJ"),0,$G19))</f>
      </c>
      <c r="P19" s="7">
        <f>IF($B19="","",IF(Inputs!$C$18,0,ROUND(MAX(0,IF(Inputs!$C$13,SUMPRODUCT(($AH19&gt;INDEX('Methodology &amp; Sources'!$B$29:$J$36,0,IF(Inputs!$C$12="MFJ",1,IF(Inputs!$C$12="HoH",7,4))))*($AH19-INDEX('Methodology &amp; Sources'!$B$29:$J$36,0,IF(Inputs!$C$12="MFJ",1,IF(Inputs!$C$12="HoH",7,4))))*INDEX('Methodology &amp; Sources'!$B$29:$J$36,0,IF(Inputs!$C$12="MFJ",1,IF(Inputs!$C$12="HoH",7,4))+2)),SUMPRODUCT(($AH19&gt;INDEX('Methodology &amp; Sources'!$B$19:$J$26,0,IF(Inputs!$C$12="MFJ",1,IF(Inputs!$C$12="HoH",7,4))))*($AH19-INDEX('Methodology &amp; Sources'!$B$19:$J$26,0,IF(Inputs!$C$12="MFJ",1,IF(Inputs!$C$12="HoH",7,4))))*INDEX('Methodology &amp; Sources'!$B$19:$J$26,0,IF(Inputs!$C$12="MFJ",1,IF(Inputs!$C$12="HoH",7,4))+2)))/Inputs!$C$8-$AO19/Inputs!$C$8)+$AR19+IF(Inputs!$C$89="Aggregate",MAX(0,IF(Inputs!$C$13,SUMPRODUCT((($AH19+$D19)&gt;INDEX('Methodology &amp; Sources'!$B$29:$J$36,0,IF(Inputs!$C$12="MFJ",1,IF(Inputs!$C$12="HoH",7,4))))*(($AH19+$D19)-INDEX('Methodology &amp; Sources'!$B$29:$J$36,0,IF(Inputs!$C$12="MFJ",1,IF(Inputs!$C$12="HoH",7,4))))*INDEX('Methodology &amp; Sources'!$B$29:$J$36,0,IF(Inputs!$C$12="MFJ",1,IF(Inputs!$C$12="HoH",7,4))+2)),SUMPRODUCT((($AH19+$D19)&gt;INDEX('Methodology &amp; Sources'!$B$19:$J$26,0,IF(Inputs!$C$12="MFJ",1,IF(Inputs!$C$12="HoH",7,4))))*(($AH19+$D19)-INDEX('Methodology &amp; Sources'!$B$19:$J$26,0,IF(Inputs!$C$12="MFJ",1,IF(Inputs!$C$12="HoH",7,4))))*INDEX('Methodology &amp; Sources'!$B$19:$J$26,0,IF(Inputs!$C$12="MFJ",1,IF(Inputs!$C$12="HoH",7,4))+2)))-IF(Inputs!$C$13,SUMPRODUCT(($AH19&gt;INDEX('Methodology &amp; Sources'!$B$29:$J$36,0,IF(Inputs!$C$12="MFJ",1,IF(Inputs!$C$12="HoH",7,4))))*($AH19-INDEX('Methodology &amp; Sources'!$B$29:$J$36,0,IF(Inputs!$C$12="MFJ",1,IF(Inputs!$C$12="HoH",7,4))))*INDEX('Methodology &amp; Sources'!$B$29:$J$36,0,IF(Inputs!$C$12="MFJ",1,IF(Inputs!$C$12="HoH",7,4))+2)),SUMPRODUCT(($AH19&gt;INDEX('Methodology &amp; Sources'!$B$19:$J$26,0,IF(Inputs!$C$12="MFJ",1,IF(Inputs!$C$12="HoH",7,4))))*($AH19-INDEX('Methodology &amp; Sources'!$B$19:$J$26,0,IF(Inputs!$C$12="MFJ",1,IF(Inputs!$C$12="HoH",7,4))))*INDEX('Methodology &amp; Sources'!$B$19:$J$26,0,IF(Inputs!$C$12="MFJ",1,IF(Inputs!$C$12="HoH",7,4))+2)))),'Methodology &amp; Sources'!$C$10*$D19),2)))</f>
      </c>
      <c r="Q19" s="7">
        <f>IF($B19="","",ROUND('Methodology &amp; Sources'!$C$4*MIN($N19,MAX(0,'Methodology &amp; Sources'!$C$3-($AX19+$AB18-$AW19))),2))</f>
      </c>
      <c r="R19" s="7">
        <f>IF($B19="","",ROUND('Methodology &amp; Sources'!$C$5*$N19,2))</f>
      </c>
      <c r="S19" s="7">
        <f>IF($B19="","",ROUND('Methodology &amp; Sources'!$C$6*MAX(0,MIN($N19,$AG18+$N19-'Methodology &amp; Sources'!$C$7)),2))</f>
      </c>
      <c r="T19" s="7">
        <f>IF($B19="","",IF(Inputs!$C$26,0,IF($AN19="CA",ROUND(IF($AI19&lt;=IF(($AS19+$AT19)&gt;=2,VLOOKUP($AN19,StateTables!$A$6:$AB$56,10,FALSE),VLOOKUP($AN19,StateTables!$A$6:$AB$56,9,FALSE)),0,MAX(0,SUMPRODUCT(($AJ19&gt;INDEX('Methodology &amp; Sources'!$B$39:$J$48,0,IF($AU19="Married",4,IF($AU19="Head of household",7,1))))*($AJ19-INDEX('Methodology &amp; Sources'!$B$39:$J$48,0,IF($AU19="Married",4,IF($AU19="Head of household",7,1))))*INDEX('Methodology &amp; Sources'!$B$39:$J$48,0,IF($AU19="Married",4,IF($AU19="Head of household",7,1))+2))-VLOOKUP($AN19,StateTables!$A$6:$AB$56,11,FALSE)*$AS19)/Inputs!$C$8)+Inputs!$C$25+VLOOKUP($AN19,StateTables!$A$6:$AB$56,13,FALSE)*$D19,2),IF(VLOOKUP($AN19,StateTables!$A$6:$AB$56,4,FALSE)="None",0,IF(ISNUMBER(SEARCH("MANUAL",VLOOKUP($AN19,StateTables!$A$6:$AB$56,5,FALSE))),Inputs!$C$28,ROUND(MAX(0,$BA19+$BB19)/Inputs!$C$8+Inputs!$C$25+$BC19,2))))))</f>
      </c>
      <c r="U19" s="7">
        <f>IF($B19="","",IF(VLOOKUP($AN19,StateTables!$A$6:$AB$56,24,FALSE)="flatq",IF(OR(MONTH($B19)=1,MONTH($B19)=4,MONTH($B19)=7,MONTH($B19)=10),VLOOKUP($AN19,StateTables!$A$6:$AB$56,25,FALSE),0),IF(VLOOKUP($AN19,StateTables!$A$6:$AB$56,24,FALSE)="dbl",MIN(ROUND(0.005*$N19,2),ROUND(0.6*52/Inputs!$C$8,2)),IF(OR(VLOOKUP($AN19,StateTables!$A$6:$AB$56,15,FALSE)="",VLOOKUP($AN19,StateTables!$A$6:$AB$56,15,FALSE)=0),0,ROUND(VLOOKUP($AN19,StateTables!$A$6:$AB$56,15,FALSE)*IF(OR(VLOOKUP($AN19,StateTables!$A$6:$AB$56,16,FALSE)="",VLOOKUP($AN19,StateTables!$A$6:$AB$56,16,FALSE)=0),$N19,MIN($N19,MAX(0,VLOOKUP($AN19,StateTables!$A$6:$AB$56,16,FALSE)-($AX19+$AB18-$AW19)))),2))))+IF(VLOOKUP($AN19,StateTables!$A$6:$AB$56,27,FALSE)="flatq",IF(OR(MONTH($B19)=1,MONTH($B19)=4,MONTH($B19)=7,MONTH($B19)=10),VLOOKUP($AN19,StateTables!$A$6:$AB$56,28,FALSE),0),IF(VLOOKUP($AN19,StateTables!$A$6:$AB$56,27,FALSE)="dbl",MIN(ROUND(0.005*$N19,2),ROUND(0.6*52/Inputs!$C$8,2)),IF(OR(VLOOKUP($AN19,StateTables!$A$6:$AB$56,18,FALSE)="",VLOOKUP($AN19,StateTables!$A$6:$AB$56,18,FALSE)=0),0,ROUND(VLOOKUP($AN19,StateTables!$A$6:$AB$56,18,FALSE)*IF(OR(VLOOKUP($AN19,StateTables!$A$6:$AB$56,19,FALSE)="",VLOOKUP($AN19,StateTables!$A$6:$AB$56,19,FALSE)=0),$N19,MIN($N19,MAX(0,VLOOKUP($AN19,StateTables!$A$6:$AB$56,19,FALSE)-($AX19+$AB18-$AW19)))),2)))))</f>
      </c>
      <c r="V19" s="7">
        <f>IF($B19="","",IF($AN19="NY",IF(Inputs!$C$78,ROUND(SUMPRODUCT((MAX(0,($O19-$D19)*Inputs!$C$8-(IF($AU19="Married",5500,5000)+1000*$AS19))&gt;INDEX('Methodology &amp; Sources'!$B$184:$J$198,0,4))*(MAX(0,($O19-$D19)*Inputs!$C$8-(IF($AU19="Married",5500,5000)+1000*$AS19))-INDEX('Methodology &amp; Sources'!$B$184:$J$198,0,4))*INDEX('Methodology &amp; Sources'!$B$184:$J$198,0,4+2))/Inputs!$C$8+0.0425*$D19,2),0)+IF(Inputs!$C$79="Resident",ROUND(0.1675*$T19,2),IF(Inputs!$C$79="Nonresident",ROUND(0.005*MAX(0,($O19-$D19)-(IF($AU19="Married",7950,7400)+1000*$AS19)/Inputs!$C$8),2),0)),IF($AN19="PA",IF(Inputs!$C$80="None",Inputs!$C$27+ROUND(Inputs!$C$81*($C19+$D19),2),ROUND(IF(Inputs!$C$80="Resident",IF($B19&lt;DATE(2027,7,1),0.03735,0.03735),IF($B19&lt;DATE(2027,7,1),0.03425,0.03425))*($C19+$D19),2)),IF($BF19=0,ROUND(Inputs!$C$81*($C19+$D19),2),Inputs!$C$27+ROUND(Inputs!$C$81*($C19+$D19),2)))))</f>
      </c>
      <c r="W19" s="7">
        <f>IF($B19="","",IF($BF19=0,0,$BP19))</f>
      </c>
      <c r="X19" s="7">
        <f>IF($B19="","",SUM($E19:$K19)+$P19+$Q19+$R19+$S19+$T19+$U19+$V19+$W19)</f>
      </c>
      <c r="Y19" s="22">
        <f>IF($B19="","",$C19+$D19-$X19)</f>
      </c>
      <c r="Z19" s="7">
        <f>IF($B19="","",$Z18+$C19+$D19)</f>
      </c>
      <c r="AA19" s="7">
        <f>IF($B19="","",$AA18+$Y19)</f>
      </c>
      <c r="AB19" s="7">
        <f>IF($B19="","",$AB18+MIN($N19,MAX(0,'Methodology &amp; Sources'!$C$3-($AX19+$AB18-$AW19))))</f>
      </c>
      <c r="AC19" s="7">
        <f>IF($B19="","",$AC18+$E19+$F19)</f>
      </c>
      <c r="AD19" s="3">
        <f>IF($B19="","",IF(AND($AB18&lt;'Methodology &amp; Sources'!$C$3,$AB19&gt;='Methodology &amp; Sources'!$C$3),"★ Social Security maxed on this check — from the next check your net rises by about $"&amp;TEXT(ROUND('Methodology &amp; Sources'!$C$4*$N19,2),"#,##0.00")&amp;". ","")&amp;IF(AND($AC18&lt;Inputs!$C$34,$AC19&gt;=Inputs!$C$34),"★ 401(k) reaches the $"&amp;TEXT(Inputs!$C$34,"#,##0")&amp;" cap on this check — deferrals stop and net pay rises. ","")&amp;IF(AND($AG18&lt;'Methodology &amp; Sources'!$C$7,$AG19&gt;='Methodology &amp; Sources'!$C$7),"★ Wages pass $200,000 — the 0.9% Additional Medicare Tax starts here. ","")&amp;IF(AND($BJ19&gt;0,$H19&gt;0,$BG18&lt;MIN($BJ19,'Methodology &amp; Sources'!$C$13),$BG18+$H19&gt;=MIN($BJ19,'Methodology &amp; Sources'!$C$13)),"★ Health FSA election is now fully deferred for the year. ",""))</f>
      </c>
      <c r="AE19" s="41" t="n"/>
      <c r="AF19" s="7">
        <f>IF(OR($B19="",$AE19=""),"",$AE19-$Y19)</f>
      </c>
      <c r="AG19" s="7">
        <f>IF($B19="","",$AG18+$N19)</f>
      </c>
      <c r="AH19" s="7">
        <f>IF($B19="","",MAX(0,($M19-$D19)*Inputs!$C$8+$AP19-$AQ19-IF(Inputs!$C$13,0,IF(Inputs!$C$12="MFJ",'Methodology &amp; Sources'!$C$8,'Methodology &amp; Sources'!$C$9))))</f>
      </c>
      <c r="AI19" s="7">
        <f>IF($B19="","",$O19*Inputs!$C$8)</f>
      </c>
      <c r="AJ19" s="7">
        <f>IF($B19="","",MAX(0,$AI19-VLOOKUP($AN19,StateTables!$A$6:$AB$56,12,FALSE)*$AT19-IF(($AS19+$AT19)&gt;=2,VLOOKUP($AN19,StateTables!$A$6:$AB$56,8,FALSE),VLOOKUP($AN19,StateTables!$A$6:$AB$56,7,FALSE))))</f>
      </c>
      <c r="AK19" s="7">
        <f>IF($B19="","",IFERROR(LOOKUP(2,1/((Events!$C$6:$C$17="Salary change")*(Events!$B$6:$B$17&lt;=$B19)*(Events!$B$6:$B$17&lt;&gt;"")),Events!$D$6:$D$17),IF(Inputs!$C$4="Annual salary",Inputs!$C$5,Inputs!$C$6)))</f>
      </c>
      <c r="AL19">
        <f>IF($B19="","",IFERROR(LOOKUP(2,1/((Events!$C$6:$C$17="401(k) change")*(Events!$B$6:$B$17&lt;=$B19)*(Events!$B$6:$B$17&lt;&gt;"")),Events!$D$6:$D$17),Inputs!$C$30))</f>
      </c>
      <c r="AM19" s="7">
        <f>IF($B19="","",IFERROR(LOOKUP(2,1/((Events!$C$6:$C$17="401(k) change")*(Events!$B$6:$B$17&lt;=$B19)*(Events!$B$6:$B$17&lt;&gt;"")),Events!$E$6:$E$17),Inputs!$D$30))</f>
      </c>
      <c r="AN19">
        <f>IF($B19="","",IFERROR(LOOKUP(2,1/((Events!$C$6:$C$17="State move")*(Events!$B$6:$B$17&lt;=$B19)*(Events!$B$6:$B$17&lt;&gt;"")),Events!$D$6:$D$17),Inputs!$C$21))</f>
      </c>
      <c r="AO19" s="7">
        <f>IF($B19="","",IFERROR(LOOKUP(2,1/((Events!$C$6:$C$17="W-4 change")*(Events!$B$6:$B$17&lt;=$B19)*(Events!$B$6:$B$17&lt;&gt;"")),Events!$D$6:$D$17),Inputs!$C$14))</f>
      </c>
      <c r="AP19" s="7">
        <f>IF($B19="","",IFERROR(LOOKUP(2,1/((Events!$C$6:$C$17="W-4 change")*(Events!$B$6:$B$17&lt;=$B19)*(Events!$B$6:$B$17&lt;&gt;"")),Events!$E$6:$E$17),Inputs!$C$15))</f>
      </c>
      <c r="AQ19" s="7">
        <f>IF($B19="","",IFERROR(LOOKUP(2,1/((Events!$C$6:$C$17="W-4 change")*(Events!$B$6:$B$17&lt;=$B19)*(Events!$B$6:$B$17&lt;&gt;"")),Events!$F$6:$F$17),Inputs!$C$16))</f>
      </c>
      <c r="AR19" s="7">
        <f>IF($B19="","",IFERROR(LOOKUP(2,1/((Events!$C$6:$C$17="W-4 change")*(Events!$B$6:$B$17&lt;=$B19)*(Events!$B$6:$B$17&lt;&gt;"")),Events!$G$6:$G$17),Inputs!$C$17))</f>
      </c>
      <c r="AS19" s="6">
        <f>IF($B19="","",IFERROR(LOOKUP(2,1/(((Events!$C$6:$C$17="State move")+(Events!$C$6:$C$17="State cert change"))*(Events!$B$6:$B$17&lt;=$B19)*(Events!$B$6:$B$17&lt;&gt;"")),Events!$F$6:$F$17),Inputs!$C$23))</f>
      </c>
      <c r="AT19" s="6">
        <f>IF($B19="","",IFERROR(LOOKUP(2,1/(((Events!$C$6:$C$17="State move")+(Events!$C$6:$C$17="State cert change"))*(Events!$B$6:$B$17&lt;=$B19)*(Events!$B$6:$B$17&lt;&gt;"")),Events!$G$6:$G$17),Inputs!$C$24))</f>
      </c>
      <c r="AU19">
        <f>IF($B19="","",IFERROR(LOOKUP(2,1/((Events!$C$6:$C$17="State move")*(Events!$B$6:$B$17&lt;=$B19)*(Events!$B$6:$B$17&lt;&gt;"")),Events!$E$6:$E$17),Inputs!$C$22))</f>
      </c>
      <c r="AV19" s="6">
        <f>IF($B19="","",1+COUNTIFS(Events!$C$6:$C$17,"Employer change",Events!$B$6:$B$17,"&lt;="&amp;$B19,Events!$B$6:$B$17,"&lt;&gt;"))</f>
      </c>
      <c r="AW19" s="7">
        <f>IF($B19="","",IF($AV19=1,Inputs!$C$94,IF(IFERROR(MATCH(IFERROR(LOOKUP(2,1/((Events!$C$6:$C$17="Employer change")*(Events!$B$6:$B$17&lt;=$B19)*(Events!$B$6:$B$17&lt;&gt;"")),Events!$B$6:$B$17),""),$B$6:$B$68,1),1)&lt;=1,Inputs!$C$94,INDEX($AB$6:$AB$68,MATCH(IFERROR(LOOKUP(2,1/((Events!$C$6:$C$17="Employer change")*(Events!$B$6:$B$17&lt;=$B19)*(Events!$B$6:$B$17&lt;&gt;"")),Events!$B$6:$B$17),""),$B$6:$B$68,1)-1))))</f>
      </c>
      <c r="AX19" s="7">
        <f>IF($B19="","",IF($AV19=1,Inputs!$C$94,IFERROR(LOOKUP(2,1/((Events!$C$6:$C$17="Employer change")*(Events!$B$6:$B$17&lt;=$B19)*(Events!$B$6:$B$17&lt;&gt;"")),Events!$D$6:$D$17),0)))</f>
      </c>
      <c r="AY19" s="7">
        <f>IF($B19="","",($O19-$D19)*Inputs!$C$8)</f>
      </c>
      <c r="AZ19" s="7">
        <f>IF($B19="","",IF($AN19="AL",MAX(0,$AY19-IF($AU19="Married",IF($AY19&lt;=25999,8500,MAX(5000,8500-175*CEILING(($AY19-25999)/500,1))),IF($AU19="Head of household",IF($AY19&lt;=25999,5200,MAX(2500,5200-135*CEILING(($AY19-25999)/500,1))),IF($AY19&lt;=25999,3000,MAX(2500,3000-25*CEILING(($AY19-25999)/500,1)))))-($P19-'Methodology &amp; Sources'!$C$10*$D19)*Inputs!$C$8-IF(OR($AU19="Married",$AU19="Head of household"),3000,1500)-$AT19*IF($AY19&lt;=50000,1000,IF($AY19&lt;=100000,500,300))),IF($AN19="AR",IF(MAX(0,$AY19-2470)&lt;97701,INT(MAX(0,$AY19-2470)/100)*100+50,MAX(0,$AY19-2470)),IF($AN19="DE",MAX(0,$AI19-3250),IF($AN19="HI",MAX(0,$AI19-1144*$AS19-4350),IF($AN19="KS",MAX(0,$AI19-(9160*IF($AU19="Married",2,1)+2320*$AT19+IF($AU19="Head of household",2320,0))),IF($AN19="MD",MAX(0,$AI19-3400-3200*$AS19),IF($AN19="MN",MAX(0,$AY19-5300*$AS19),IF($AN19="MO",MAX(0,$AI19-IF($AU19="Head of household",24150,IF($AU19="Married",IF(Inputs!$C$83,16100,32200),16100))),IF($AN19="MT",$AY19,IF($AN19="ND",($C19+$L19)*Inputs!$C$8,IF($AN19="NE",MAX(0,$AY19-2440*$AS19),IF($AN19="NJ",MAX(0,$AY19-1000*$AS19),IF($AN19="NY",MAX(0,$AY19-(IF($AU19="Married",7950,7400)+1000*$AS19)),IF($AN19="OH",MAX(0,$AY19-650*$AS19),IF($AN19="OK",MAX(0,$AY19-1000*$AS19),IF($AN19="RI",MAX(0,$AI19-1000*$AS19),IF($AN19="SC",MAX(0,$AI19-5000*$AS19-IF($AS19=0,0,MIN(0.1*$AI19,7500))),IF($AN19="VA",MAX(0,$AI19-IF($AU19="Married",17500,8750)-930*$AS19-800*$AT19),IF($AN19="VT",MAX(0,$AI19-5400*$AS19),IF($AN19="WI",MAX(0,$AI19-MAX(0,IF($AU19="Married",9461-0.2*MAX(0,$AI19-25727),6702-0.12*MAX(0,$AI19-17780)))-400*$AS19),IF($AN19="WV",MAX(0,$AI19-2000*$AS19),$AI19))))))))))))))))))))))</f>
      </c>
      <c r="BA19" s="7">
        <f>IF($B19="","",IF($BW19&lt;&gt;"",$BW19,IF($BX19&lt;&gt;"",$BX19,IF($BY19&lt;&gt;"",$BY19,0))))</f>
      </c>
      <c r="BB19" s="7">
        <f>IF($B19="","",IF($AN19="AR",-29*$AS19,IF($AN19="DE",-110*$AS19,IF($AN19="MD",$AZ19*Inputs!$C$74,IF($AN19="AZ",Inputs!$C$82*($M19-$D19)*Inputs!$C$8,IF($AN19="CO",0.044*MAX(0,$AY19-IF($AU19="Married",10000,5000)),IF($AN19="IA",MAX(0,0.038*MAX(0,$AY19-IF($AU19="Head of household",19500,IF($AU19="Married",26000,13000)))-40*$AS19),IF($AN19="ID",0.053*MAX(0,$AY19-IF($AU19="Married",32000,16094)),IF($AN19="IL",0.0495*MAX(0,$AY19-(2925*$AS19+1000*$AT19)),IF($AN19="IN",(0.0295+Inputs!$C$76)*MAX(0,$AY19-(1000*$AS19+1500*$AT19+3000*Inputs!$C$86)),IF($AN19="KY",0.035*MAX(0,$AI19-3360),IF($AN19="LA",IF(Inputs!$C$84="0",0.0309*$AI19,0.0309*MAX(0,$AI19-IF(Inputs!$C$84="2",25750,12875))),IF($AN19="MA",0.05*MIN(MAX(0,$AY19-MIN(($BD18+$Q19+$R19+$S19),2000)-IF($AS19=0,0,IF($AS19=1,4400,1000*$AS19+3400))),1107750)+0.09*MAX(0,MAX(0,$AY19-MIN(($BD18+$Q19+$R19+$S19),2000)-IF($AS19=0,0,IF($AS19=1,4400,1000*$AS19+3400)))-1107750)-IF($AU19="Head of household",120,0)-110*Inputs!$C$75,IF($AN19="MI",0.0425*MAX(0,$AY19-5900*$AS19),IF($AN19="MS",0.04*MAX(0,$AI19-IF($AU19="Head of household",3400,IF($AU19="Married",4600,2300))-Inputs!$C$85-10000),IF($AN19="OR",IF(OR($AU19="Married",AND($AU19="Single",$AS19&gt;=3)),SUMPRODUCT((MAX(0,$AY19-MIN(($P19-'Methodology &amp; Sources'!$C$10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Sources'!$B$211:$J$214,0,4))*(MAX(0,$AY19-MIN(($P19-'Methodology &amp; Sources'!$C$10*$D19)*Inputs!$C$8,IF(OR($AU19="Married",AND($AU19="Single",$AS19&gt;=3)),IF($AY19&lt;250000,8750,IF($AY19&lt;260000,7000,IF($AY19&lt;270000,5250,IF($AY19&lt;280000,3500,IF($AY19&lt;290000,1750,0))))),IF($AY19&lt;125000,8750,IF($AY19&lt;130000,7000,IF($AY19&lt;135000,5250,IF($AY19&lt;140000,3500,IF($AY19&lt;145000,1750,0)))))))-IF(OR($AU19="Married",AND($AU19="Single",$AS19&gt;=3)),5820,2910))-INDEX('Methodology &amp; Sources'!$B$211:$J$214,0,4))*INDEX('Methodology &amp; Sources'!$B$211:$J$214,0,4+2)),SUMPRODUCT((MAX(0,$AY19-MIN(($P19-'Methodology &amp; Sources'!$C$10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Sources'!$B$211:$J$214,0,1))*(MAX(0,$AY19-MIN(($P19-'Methodology &amp; Sources'!$C$10*$D19)*Inputs!$C$8,IF(OR($AU19="Married",AND($AU19="Single",$AS19&gt;=3)),IF($AY19&lt;250000,8750,IF($AY19&lt;260000,7000,IF($AY19&lt;270000,5250,IF($AY19&lt;280000,3500,IF($AY19&lt;290000,1750,0))))),IF($AY19&lt;125000,8750,IF($AY19&lt;130000,7000,IF($AY19&lt;135000,5250,IF($AY19&lt;140000,3500,IF($AY19&lt;145000,1750,0)))))))-IF(OR($AU19="Married",AND($AU19="Single",$AS19&gt;=3)),5820,2910))-INDEX('Methodology &amp; Sources'!$B$211:$J$214,0,1))*INDEX('Methodology &amp; Sources'!$B$211:$J$214,0,1+2)))+263-263*IF(IF($AU19="Married",$AY19&gt;200000,$AY19&gt;100000),0,$AS19),IF($AN19="PA",0.0307*(($O19+$E19+$G19)*Inputs!$C$8),IF($AN19="NY",IF($AU19="Married",IF($AZ19&gt;=2155350,0,IF($AZ19&gt;=1077550,0.48,IF($AZ19&gt;=373200,1.21,IF($AZ19&gt;=323200,0.21,IF($AZ19&gt;=211550,-0.19,IF($AZ19&gt;=157650,-2.8,IF($AZ19&gt;=107650,-0.8,IF($AZ19&gt;=96800,0.05,IF($AZ19&gt;=80650,-0.1,IF($AZ19&gt;=13900,0.4,IF($AZ19&gt;=11700,-0.3,IF($AZ19&gt;=8500,0.5,0)))))))))))),IF($AZ19&gt;=1077550,0,IF($AZ19&gt;=265400,4.29,IF($AZ19&gt;=215400,2.29,IF($AZ19&gt;=157650,2.29,IF($AZ19&gt;=107650,0.29,IF($AZ19&gt;=96800,0.05,IF($AZ19&gt;=80650,-0.1,IF($AZ19&gt;=13900,0.4,IF($AZ19&gt;=11700,-0.3,IF($AZ19&gt;=8500,0.5,0))))))))))),0))))))))))))))))))</f>
      </c>
      <c r="BC19" s="7">
        <f>IF($B19="","",IF($AN19="AL",0.05*$D19,IF($AN19="AR",0.039*$D19,IF($AN19="ID",0.053*$D19,IF($AN19="IN",(0.0295+Inputs!$C$76)*$D19,IF($AN19="KS",0.05*$D19,IF($AN19="MA",0.09*MIN($D19,MAX(0,MAX(0,$AY19-MIN(($BD18+$Q19+$R19+$S19),2000)-IF($AS19=0,0,IF($AS19=1,4400,1000*$AS19+3400)))+$D19-1107750))+0.05*($D19-MIN($D19,MAX(0,MAX(0,$AY19-MIN(($BD18+$Q19+$R19+$S19),2000)-IF($AS19=0,0,IF($AS19=1,4400,1000*$AS19+3400)))+$D19-1107750))),IF($AN19="MD",(0.065+Inputs!$C$74)*$D19,IF($AN19="MI",0.0425*$D19,IF($AN19="MN",0.0625*$D19,IF($AN19="MO",0.047*$D19,IF($AN19="MT",0.05*$D19,IF($AN19="ND",0.015*$D19,IF($AN19="NE",0.035*$D19,IF($AN19="NJ",IF(Inputs!$C$77="B",SUMPRODUCT(($D19*Inputs!$C$8&gt;INDEX('Methodology &amp; Sources'!$B$155:$J$162,0,4))*($D19*Inputs!$C$8-INDEX('Methodology &amp; Sources'!$B$155:$J$162,0,4))*INDEX('Methodology &amp; Sources'!$B$155:$J$162,0,4+2)),IF(Inputs!$C$77="C",SUMPRODUCT(($D19*Inputs!$C$8&gt;INDEX('Methodology &amp; Sources'!$B$155:$J$162,0,7))*($D19*Inputs!$C$8-INDEX('Methodology &amp; Sources'!$B$155:$J$162,0,7))*INDEX('Methodology &amp; Sources'!$B$155:$J$162,0,7+2)),IF(Inputs!$C$77="D",SUMPRODUCT(($D19*Inputs!$C$8&gt;INDEX('Methodology &amp; Sources'!$B$167:$J$179,0,1))*($D19*Inputs!$C$8-INDEX('Methodology &amp; Sources'!$B$167:$J$179,0,1))*INDEX('Methodology &amp; Sources'!$B$167:$J$179,0,1+2)),IF(Inputs!$C$77="E",SUMPRODUCT(($D19*Inputs!$C$8&gt;INDEX('Methodology &amp; Sources'!$B$167:$J$179,0,4))*($D19*Inputs!$C$8-INDEX('Methodology &amp; Sources'!$B$167:$J$179,0,4))*INDEX('Methodology &amp; Sources'!$B$167:$J$179,0,4+2)),SUMPRODUCT(($D19*Inputs!$C$8&gt;INDEX('Methodology &amp; Sources'!$B$155:$J$162,0,1))*($D19*Inputs!$C$8-INDEX('Methodology &amp; Sources'!$B$155:$J$162,0,1))*INDEX('Methodology &amp; Sources'!$B$155:$J$162,0,1+2))))))/Inputs!$C$8,IF($AN19="NY",0.117*$D19,IF($AN19="OH",0.0275*$D19,IF($AN19="OK",0.045*$D19,IF($AN19="OR",0.08*$D19,IF($AN19="WI",IF($AY19&lt;12760,0.0354,IF($AY19&lt;25520,0.0465,IF($AY19&lt;280950,0.053,0.0765)))*$D19,0))))))))))))))))))))</f>
      </c>
      <c r="BD19" s="7">
        <f>IF($B19="","",$BD18+$Q19+$R19+$S19)</f>
      </c>
      <c r="BE19" s="6">
        <f>IF($B19="",$BE18,$BE18+$BF19)</f>
      </c>
      <c r="BF19" s="6">
        <f>IF($B19="","",IF(AND(IF(YEAR(IF(Inputs!$C$7="Weekly",Inputs!$C$90+7*(($BE18+1)-1),IF(Inputs!$C$7="Biweekly",Inputs!$C$90+14*(($BE18+1)-1),IF(Inputs!$C$7="Semimonthly",DATE(YEAR(Inputs!$C$9),MONTH(Inputs!$C$9)+INT((($BE18+1)-1+'Rest of 2026'!$C$2)/2),MIN(DAY(Inputs!$C$9),DAY(EOMONTH(DATE(YEAR(Inputs!$C$9),MONTH(Inputs!$C$9)+INT((($BE18+1)-1+'Rest of 2026'!$C$2)/2),1),0))))+IF(MOD(($BE18+1)-1+'Rest of 2026'!$C$2,2)=1,15,0),EDATE(Inputs!$C$90,($BE18+1)-1)))))&lt;&gt;Inputs!$C$10,"",IF(Inputs!$C$7="Weekly",Inputs!$C$90+7*(($BE18+1)-1),IF(Inputs!$C$7="Biweekly",Inputs!$C$90+14*(($BE18+1)-1),IF(Inputs!$C$7="Semimonthly",DATE(YEAR(Inputs!$C$9),MONTH(Inputs!$C$9)+INT((($BE18+1)-1+'Rest of 2026'!$C$2)/2),MIN(DAY(Inputs!$C$9),DAY(EOMONTH(DATE(YEAR(Inputs!$C$9),MONTH(Inputs!$C$9)+INT((($BE18+1)-1+'Rest of 2026'!$C$2)/2),1),0))))+IF(MOD(($BE18+1)-1+'Rest of 2026'!$C$2,2)=1,15,0),EDATE(Inputs!$C$90,($BE18+1)-1)))))&lt;&gt;"",$B19=IF(YEAR(IF(Inputs!$C$7="Weekly",Inputs!$C$90+7*(($BE18+1)-1),IF(Inputs!$C$7="Biweekly",Inputs!$C$90+14*(($BE18+1)-1),IF(Inputs!$C$7="Semimonthly",DATE(YEAR(Inputs!$C$9),MONTH(Inputs!$C$9)+INT((($BE18+1)-1+'Rest of 2026'!$C$2)/2),MIN(DAY(Inputs!$C$9),DAY(EOMONTH(DATE(YEAR(Inputs!$C$9),MONTH(Inputs!$C$9)+INT((($BE18+1)-1+'Rest of 2026'!$C$2)/2),1),0))))+IF(MOD(($BE18+1)-1+'Rest of 2026'!$C$2,2)=1,15,0),EDATE(Inputs!$C$90,($BE18+1)-1)))))&lt;&gt;Inputs!$C$10,"",IF(Inputs!$C$7="Weekly",Inputs!$C$90+7*(($BE18+1)-1),IF(Inputs!$C$7="Biweekly",Inputs!$C$90+14*(($BE18+1)-1),IF(Inputs!$C$7="Semimonthly",DATE(YEAR(Inputs!$C$9),MONTH(Inputs!$C$9)+INT((($BE18+1)-1+'Rest of 2026'!$C$2)/2),MIN(DAY(Inputs!$C$9),DAY(EOMONTH(DATE(YEAR(Inputs!$C$9),MONTH(Inputs!$C$9)+INT((($BE18+1)-1+'Rest of 2026'!$C$2)/2),1),0))))+IF(MOD(($BE18+1)-1+'Rest of 2026'!$C$2,2)=1,15,0),EDATE(Inputs!$C$90,($BE18+1)-1)))))),1,0))</f>
      </c>
      <c r="BG19" s="7">
        <f>IF($B19="","",$BG18+$H19)</f>
      </c>
      <c r="BH19" s="7">
        <f>IF($B19="","",$BH18+$I19)</f>
      </c>
      <c r="BI19" s="7">
        <f>IF($B19="","",$BI18+$G19)</f>
      </c>
      <c r="BJ19" s="7">
        <f>IF($B19="","",IFERROR(LOOKUP(2,1/((((Events!$C$6:$C$17="Deduction start"))*(Events!$D$6:$D$17="Health FSA"))*(Events!$B$6:$B$17&lt;=$B19)*(Events!$B$6:$B$17&lt;&gt;"")),Events!$E$6:$E$17),Inputs!$D$38))</f>
      </c>
      <c r="BK19" s="7">
        <f>IF($B19="","",IFERROR(LOOKUP(2,1/((((Events!$C$6:$C$17="Deduction start"))*(Events!$D$6:$D$17="Dependent-care FSA"))*(Events!$B$6:$B$17&lt;=$B19)*(Events!$B$6:$B$17&lt;&gt;"")),Events!$E$6:$E$17),Inputs!$D$39))</f>
      </c>
      <c r="BL19" s="7">
        <f>IF($B19="","",IFERROR(LOOKUP(2,1/((((Events!$C$6:$C$17="Deduction start")+(Events!$C$6:$C$17="Deduction stop"))*(Events!$D$6:$D$17="HSA"))*(Events!$B$6:$B$17&lt;=$B19)*(Events!$B$6:$B$17&lt;&gt;"")),Events!$I$6:$I$17),Inputs!$D$35))</f>
      </c>
      <c r="BM19" s="7">
        <f>IF($B19="","",IFERROR(LOOKUP(2,1/((((Events!$C$6:$C$17="Deduction start")+(Events!$C$6:$C$17="Deduction stop"))*(Events!$D$6:$D$17="Premiums"))*(Events!$B$6:$B$17&lt;=$B19)*(Events!$B$6:$B$17&lt;&gt;"")),Events!$I$6:$I$17),Inputs!$D$40+Inputs!$D$41+Inputs!$D$42))</f>
      </c>
      <c r="BN19" s="7">
        <f>IF($B19="","",IFERROR(LOOKUP(2,1/((((Events!$C$6:$C$17="Deduction start")+(Events!$C$6:$C$17="Deduction stop"))*(Events!$D$6:$D$17="Commuter"))*(Events!$B$6:$B$17&lt;=$B19)*(Events!$B$6:$B$17&lt;&gt;"")),Events!$I$6:$I$17),Inputs!$D$43))</f>
      </c>
      <c r="BO19" s="7">
        <f>IF($B19="","",IFERROR(LOOKUP(2,1/((((Events!$C$6:$C$17="Deduction start")+(Events!$C$6:$C$17="Deduction stop"))*(Events!$D$6:$D$17="Other pre-tax"))*(Events!$B$6:$B$17&lt;=$B19)*(Events!$B$6:$B$17&lt;&gt;"")),Events!$I$6:$I$17),Inputs!$D$44))</f>
      </c>
      <c r="BP19" s="7">
        <f>IF($B19="","",IFERROR(LOOKUP(2,1/((((Events!$C$6:$C$17="Deduction start")+(Events!$C$6:$C$17="Deduction stop"))*(Events!$D$6:$D$17="Other post-tax"))*(Events!$B$6:$B$17&lt;=$B19)*(Events!$B$6:$B$17&lt;&gt;"")),Events!$I$6:$I$17),Inputs!$D$45))</f>
      </c>
      <c r="BQ19" s="6">
        <f>IF($B19="","",IFERROR(LOOKUP(2,1/((((Events!$C$6:$C$17="Deduction start")+(Events!$C$6:$C$17="Deduction stop"))*(Events!$D$6:$D$17="Health FSA"))*(Events!$B$6:$B$17&lt;=$B19)*(Events!$B$6:$B$17&lt;&gt;"")),Events!$J$6:$J$17),0))</f>
      </c>
      <c r="BR19" s="6">
        <f>IF($B19="","",IFERROR(LOOKUP(2,1/((((Events!$C$6:$C$17="Deduction start")+(Events!$C$6:$C$17="Deduction stop"))*(Events!$D$6:$D$17="Dependent-care FSA"))*(Events!$B$6:$B$17&lt;=$B19)*(Events!$B$6:$B$17&lt;&gt;"")),Events!$J$6:$J$17),0))</f>
      </c>
      <c r="BS19" s="6">
        <f>IF($B19="","",IF(SUMPRODUCT((Events!$C$6:$C$17="Deduction start")*(Events!$B$6:$B$17&lt;=$B19)*(Events!$B$6:$B$17&lt;&gt;"")*(Events!$D$6:$D$17="Health FSA"))&gt;0,1,0))</f>
      </c>
      <c r="BT19" s="6">
        <f>IF($B19="","",IF(SUMPRODUCT((Events!$C$6:$C$17="Deduction start")*(Events!$B$6:$B$17&lt;=$B19)*(Events!$B$6:$B$17&lt;&gt;"")*(Events!$D$6:$D$17="Dependent-care FSA"))&gt;0,1,0))</f>
      </c>
      <c r="BU19" s="24">
        <f>IF($B19="","",IF(Inputs!$C$13,SUMPRODUCT(($AH19&gt;=INDEX('Methodology &amp; Sources'!$B$29:$J$36,0,IF(Inputs!$C$12="MFJ",1,IF(Inputs!$C$12="HoH",7,4))))*INDEX('Methodology &amp; Sources'!$B$29:$J$36,0,IF(Inputs!$C$12="MFJ",1,IF(Inputs!$C$12="HoH",7,4))+2)),SUMPRODUCT(($AH19&gt;=INDEX('Methodology &amp; Sources'!$B$19:$J$26,0,IF(Inputs!$C$12="MFJ",1,IF(Inputs!$C$12="HoH",7,4))))*INDEX('Methodology &amp; Sources'!$B$19:$J$26,0,IF(Inputs!$C$12="MFJ",1,IF(Inputs!$C$12="HoH",7,4))+2))))</f>
      </c>
      <c r="BV19" s="24">
        <f>IF($B19="","",IF($BZ19&lt;&gt;"",$BZ19,IF($CA19&lt;&gt;"",$CA19,IF($CB19&lt;&gt;"",$CB19,IF($CC19&lt;&gt;"",$CC19,0)))))</f>
      </c>
      <c r="BW19" s="7">
        <f>IF($B19="","",IF($AN19="MD",IF(OR($AU19="Married",$AU19="Head of household"),SUMPRODUCT(($AZ19&gt;INDEX('Methodology &amp; Sources'!$B$114:$J$120,0,1))*($AZ19-INDEX('Methodology &amp; Sources'!$B$114:$J$120,0,1))*INDEX('Methodology &amp; Sources'!$B$114:$J$120,0,1+2)),SUMPRODUCT(($AZ19&gt;INDEX('Methodology &amp; Sources'!$B$103:$J$109,0,7))*($AZ19-INDEX('Methodology &amp; Sources'!$B$103:$J$109,0,7))*INDEX('Methodology &amp; Sources'!$B$103:$J$109,0,7+2))),IF($AN19="MO",SUMPRODUCT(($AZ19&gt;INDEX('Methodology &amp; Sources'!$B$125:$J$132,0,1))*($AZ19-INDEX('Methodology &amp; Sources'!$B$125:$J$132,0,1))*INDEX('Methodology &amp; Sources'!$B$125:$J$132,0,1+2)),IF($AN19="MT",IF($AU19="Head of household",SUMPRODUCT(($AZ19&gt;INDEX('Methodology &amp; Sources'!$B$137:$J$139,0,1))*($AZ19-INDEX('Methodology &amp; Sources'!$B$137:$J$139,0,1))*INDEX('Methodology &amp; Sources'!$B$137:$J$139,0,1+2)),IF($AU19="Married",SUMPRODUCT(($AZ19&gt;INDEX('Methodology &amp; Sources'!$B$125:$J$132,0,7))*($AZ19-INDEX('Methodology &amp; Sources'!$B$125:$J$132,0,7))*INDEX('Methodology &amp; Sources'!$B$125:$J$132,0,7+2)),SUMPRODUCT(($AZ19&gt;INDEX('Methodology &amp; Sources'!$B$125:$J$132,0,4))*($AZ19-INDEX('Methodology &amp; Sources'!$B$125:$J$132,0,4))*INDEX('Methodology &amp; Sources'!$B$125:$J$132,0,4+2)))),IF($AN19="ND",IF($AU19="Head of household",SUMPRODUCT(($AZ19&gt;INDEX('Methodology &amp; Sources'!$B$144:$J$150,0,1))*($AZ19-INDEX('Methodology &amp; Sources'!$B$144:$J$150,0,1))*INDEX('Methodology &amp; Sources'!$B$144:$J$150,0,1+2)),IF($AU19="Married",SUMPRODUCT(($AZ19&gt;INDEX('Methodology &amp; Sources'!$B$137:$J$139,0,7))*($AZ19-INDEX('Methodology &amp; Sources'!$B$137:$J$139,0,7))*INDEX('Methodology &amp; Sources'!$B$137:$J$139,0,7+2)),SUMPRODUCT(($AZ19&gt;INDEX('Methodology &amp; Sources'!$B$137:$J$139,0,4))*($AZ19-INDEX('Methodology &amp; Sources'!$B$137:$J$139,0,4))*INDEX('Methodology &amp; Sources'!$B$137:$J$139,0,4+2)))),IF($AN19="NJ",IF(Inputs!$C$77="B",SUMPRODUCT(($AZ19&gt;INDEX('Methodology &amp; Sources'!$B$155:$J$162,0,4))*($AZ19-INDEX('Methodology &amp; Sources'!$B$155:$J$162,0,4))*INDEX('Methodology &amp; Sources'!$B$155:$J$162,0,4+2)),IF(Inputs!$C$77="C",SUMPRODUCT(($AZ19&gt;INDEX('Methodology &amp; Sources'!$B$155:$J$162,0,7))*($AZ19-INDEX('Methodology &amp; Sources'!$B$155:$J$162,0,7))*INDEX('Methodology &amp; Sources'!$B$155:$J$162,0,7+2)),IF(Inputs!$C$77="D",SUMPRODUCT(($AZ19&gt;INDEX('Methodology &amp; Sources'!$B$167:$J$179,0,1))*($AZ19-INDEX('Methodology &amp; Sources'!$B$167:$J$179,0,1))*INDEX('Methodology &amp; Sources'!$B$167:$J$179,0,1+2)),IF(Inputs!$C$77="E",SUMPRODUCT(($AZ19&gt;INDEX('Methodology &amp; Sources'!$B$167:$J$179,0,4))*($AZ19-INDEX('Methodology &amp; Sources'!$B$167:$J$179,0,4))*INDEX('Methodology &amp; Sources'!$B$167:$J$179,0,4+2)),SUMPRODUCT(($AZ19&gt;INDEX('Methodology &amp; Sources'!$B$155:$J$162,0,1))*($AZ19-INDEX('Methodology &amp; Sources'!$B$155:$J$162,0,1))*INDEX('Methodology &amp; Sources'!$B$155:$J$162,0,1+2)))))),IF($AN19="NY",IF($AU19="Married",IF($AZ19&gt;=2155350,$AZ19*IF($AZ19&gt;25000000,0.117,IF($AZ19&gt;5000000,0.111,0.1045)),SUMPRODUCT(($AZ19&gt;INDEX('Methodology &amp; Sources'!$B$184:$J$198,0,1))*($AZ19-INDEX('Methodology &amp; Sources'!$B$184:$J$198,0,1))*INDEX('Methodology &amp; Sources'!$B$184:$J$198,0,1+2))),IF($AZ19&gt;=1077550,$AZ19*IF($AZ19&gt;25000000,0.117,IF($AZ19&gt;5000000,0.111,0.1045)),SUMPRODUCT(($AZ19&gt;INDEX('Methodology &amp; Sources'!$B$167:$J$179,0,7))*($AZ19-INDEX('Methodology &amp; Sources'!$B$167:$J$179,0,7))*INDEX('Methodology &amp; Sources'!$B$167:$J$179,0,7+2)))),"")))))))</f>
      </c>
      <c r="BX19" s="7">
        <f>IF($B19="","",IF($AN19="AL",IF(OR($AU19="Married",$AU19="Head of household"),SUMPRODUCT(($AZ19&gt;INDEX('Methodology &amp; Sources'!$B$82:$J$86,0,4))*($AZ19-INDEX('Methodology &amp; Sources'!$B$82:$J$86,0,4))*INDEX('Methodology &amp; Sources'!$B$82:$J$86,0,4+2)),SUMPRODUCT(($AZ19&gt;INDEX('Methodology &amp; Sources'!$B$82:$J$86,0,1))*($AZ19-INDEX('Methodology &amp; Sources'!$B$82:$J$86,0,1))*INDEX('Methodology &amp; Sources'!$B$82:$J$86,0,1+2))),IF($AN19="KS",IF($AU19="Married",SUMPRODUCT(($AZ19&gt;INDEX('Methodology &amp; Sources'!$B$103:$J$109,0,4))*($AZ19-INDEX('Methodology &amp; Sources'!$B$103:$J$109,0,4))*INDEX('Methodology &amp; Sources'!$B$103:$J$109,0,4+2)),SUMPRODUCT(($AZ19&gt;INDEX('Methodology &amp; Sources'!$B$103:$J$109,0,1))*($AZ19-INDEX('Methodology &amp; Sources'!$B$103:$J$109,0,1))*INDEX('Methodology &amp; Sources'!$B$103:$J$109,0,1+2))),IF($AN19="MN",IF($AU19="Married",SUMPRODUCT(($AZ19&gt;INDEX('Methodology &amp; Sources'!$B$114:$J$120,0,7))*($AZ19-INDEX('Methodology &amp; Sources'!$B$114:$J$120,0,7))*INDEX('Methodology &amp; Sources'!$B$114:$J$120,0,7+2)),SUMPRODUCT(($AZ19&gt;INDEX('Methodology &amp; Sources'!$B$114:$J$120,0,4))*($AZ19-INDEX('Methodology &amp; Sources'!$B$114:$J$120,0,4))*INDEX('Methodology &amp; Sources'!$B$114:$J$120,0,4+2))),IF($AN19="NE",MAX(IF($AU19="Married",SUMPRODUCT(($AZ19&gt;INDEX('Methodology &amp; Sources'!$B$144:$J$150,0,7))*($AZ19-INDEX('Methodology &amp; Sources'!$B$144:$J$150,0,7))*INDEX('Methodology &amp; Sources'!$B$144:$J$150,0,7+2)),SUMPRODUCT(($AZ19&gt;INDEX('Methodology &amp; Sources'!$B$144:$J$150,0,4))*($AZ19-INDEX('Methodology &amp; Sources'!$B$144:$J$150,0,4))*INDEX('Methodology &amp; Sources'!$B$144:$J$150,0,4+2))),0.015*$AZ19),IF($AN19="OH",IF($B19&gt;=DATE(2027,8,1),SUMPRODUCT(($AZ19&gt;INDEX('Methodology &amp; Sources'!$B$203:$J$206,0,1))*($AZ19-INDEX('Methodology &amp; Sources'!$B$203:$J$206,0,1))*INDEX('Methodology &amp; Sources'!$B$203:$J$206,0,1+2)),SUMPRODUCT(($AZ19&gt;INDEX('Methodology &amp; Sources'!$B$184:$J$198,0,7))*($AZ19-INDEX('Methodology &amp; Sources'!$B$184:$J$198,0,7))*INDEX('Methodology &amp; Sources'!$B$184:$J$198,0,7+2))),IF($AN19="OK",IF($AU19="Married",SUMPRODUCT(($AZ19&gt;INDEX('Methodology &amp; Sources'!$B$203:$J$206,0,7))*($AZ19-INDEX('Methodology &amp; Sources'!$B$203:$J$206,0,7))*INDEX('Methodology &amp; Sources'!$B$203:$J$206,0,7+2)),SUMPRODUCT(($AZ19&gt;INDEX('Methodology &amp; Sources'!$B$203:$J$206,0,4))*($AZ19-INDEX('Methodology &amp; Sources'!$B$203:$J$206,0,4))*INDEX('Methodology &amp; Sources'!$B$203:$J$206,0,4+2))),IF($AN19="RI",SUMPRODUCT(($AZ19&gt;INDEX('Methodology &amp; Sources'!$B$211:$J$214,0,7))*($AZ19-INDEX('Methodology &amp; Sources'!$B$211:$J$214,0,7))*INDEX('Methodology &amp; Sources'!$B$211:$J$214,0,7+2)),IF($AN19="VT",IF($AU19="Married",SUMPRODUCT(($AZ19&gt;INDEX('Methodology &amp; Sources'!$B$228:$J$232,0,1))*($AZ19-INDEX('Methodology &amp; Sources'!$B$228:$J$232,0,1))*INDEX('Methodology &amp; Sources'!$B$228:$J$232,0,1+2)),SUMPRODUCT(($AZ19&gt;INDEX('Methodology &amp; Sources'!$B$219:$J$223,0,7))*($AZ19-INDEX('Methodology &amp; Sources'!$B$219:$J$223,0,7))*INDEX('Methodology &amp; Sources'!$B$219:$J$223,0,7+2))),IF($AN19="WV",IF($AU19="Married",SUMPRODUCT(($AZ19&gt;INDEX('Methodology &amp; Sources'!$B$237:$J$241,0,7))*($AZ19-INDEX('Methodology &amp; Sources'!$B$237:$J$241,0,7))*INDEX('Methodology &amp; Sources'!$B$237:$J$241,0,7+2)),SUMPRODUCT(($AZ19&gt;INDEX('Methodology &amp; Sources'!$B$228:$J$232,0,7))*($AZ19-INDEX('Methodology &amp; Sources'!$B$228:$J$232,0,7))*INDEX('Methodology &amp; Sources'!$B$228:$J$232,0,7+2))),""))))))))))</f>
      </c>
      <c r="BY19" s="7">
        <f>IF($B19="","",IF($AN19="AR",SUMPRODUCT(($AZ19&gt;INDEX('Methodology &amp; Sources'!$B$82:$J$86,0,7))*($AZ19-INDEX('Methodology &amp; Sources'!$B$82:$J$86,0,7))*INDEX('Methodology &amp; Sources'!$B$82:$J$86,0,7+2)),IF($AN19="DE",SUMPRODUCT(($AZ19&gt;INDEX('Methodology &amp; Sources'!$B$91:$J$98,0,1))*($AZ19-INDEX('Methodology &amp; Sources'!$B$91:$J$98,0,1))*INDEX('Methodology &amp; Sources'!$B$91:$J$98,0,1+2)),IF($AN19="HI",IF($AU19="Married",SUMPRODUCT(($AZ19&gt;INDEX('Methodology &amp; Sources'!$B$91:$J$98,0,7))*($AZ19-INDEX('Methodology &amp; Sources'!$B$91:$J$98,0,7))*INDEX('Methodology &amp; Sources'!$B$91:$J$98,0,7+2)),SUMPRODUCT(($AZ19&gt;INDEX('Methodology &amp; Sources'!$B$91:$J$98,0,4))*($AZ19-INDEX('Methodology &amp; Sources'!$B$91:$J$98,0,4))*INDEX('Methodology &amp; Sources'!$B$91:$J$98,0,4+2))),IF($AN19="SC",SUMPRODUCT(($AZ19&gt;INDEX('Methodology &amp; Sources'!$B$219:$J$223,0,1))*($AZ19-INDEX('Methodology &amp; Sources'!$B$219:$J$223,0,1))*INDEX('Methodology &amp; Sources'!$B$219:$J$223,0,1+2)),IF($AN19="VA",SUMPRODUCT(($AZ19&gt;INDEX('Methodology &amp; Sources'!$B$219:$J$223,0,4))*($AZ19-INDEX('Methodology &amp; Sources'!$B$219:$J$223,0,4))*INDEX('Methodology &amp; Sources'!$B$219:$J$223,0,4+2)),IF($AN19="WI",SUMPRODUCT(($AZ19&gt;INDEX('Methodology &amp; Sources'!$B$228:$J$232,0,4))*($AZ19-INDEX('Methodology &amp; Sources'!$B$228:$J$232,0,4))*INDEX('Methodology &amp; Sources'!$B$228:$J$232,0,4+2)),"")))))))</f>
      </c>
      <c r="BZ19" s="24">
        <f>IF($B19="","",IF($AN19="NJ",IF(Inputs!$C$77="B",SUMPRODUCT(($AZ19&gt;=INDEX('Methodology &amp; Sources'!$B$155:$J$162,0,4))*INDEX('Methodology &amp; Sources'!$B$155:$J$162,0,4+2)),IF(Inputs!$C$77="C",SUMPRODUCT(($AZ19&gt;=INDEX('Methodology &amp; Sources'!$B$155:$J$162,0,7))*INDEX('Methodology &amp; Sources'!$B$155:$J$162,0,7+2)),IF(Inputs!$C$77="D",SUMPRODUCT(($AZ19&gt;=INDEX('Methodology &amp; Sources'!$B$167:$J$179,0,1))*INDEX('Methodology &amp; Sources'!$B$167:$J$179,0,1+2)),IF(Inputs!$C$77="E",SUMPRODUCT(($AZ19&gt;=INDEX('Methodology &amp; Sources'!$B$167:$J$179,0,4))*INDEX('Methodology &amp; Sources'!$B$167:$J$179,0,4+2)),SUMPRODUCT(($AZ19&gt;=INDEX('Methodology &amp; Sources'!$B$155:$J$162,0,1))*INDEX('Methodology &amp; Sources'!$B$155:$J$162,0,1+2)))))),IF($AN19="OR",IF(OR($AU19="Married",AND($AU19="Single",$AS19&gt;=3)),SUMPRODUCT((MAX(0,$AY19-MIN(($P19-'Methodology &amp; Sources'!$C$10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Sources'!$B$211:$J$214,0,4))*INDEX('Methodology &amp; Sources'!$B$211:$J$214,0,4+2)),SUMPRODUCT((MAX(0,$AY19-MIN(($P19-'Methodology &amp; Sources'!$C$10*$D19)*Inputs!$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Sources'!$B$211:$J$214,0,1))*INDEX('Methodology &amp; Sources'!$B$211:$J$214,0,1+2)))*IF(($P19-'Methodology &amp; Sources'!$C$10*$D19)*Inputs!$C$8&gt;=IF(OR($AU19="Married",AND($AU19="Single",$AS19&gt;=3)),IF($AY19&lt;250000,8750,IF($AY19&lt;260000,7000,IF($AY19&lt;270000,5250,IF($AY19&lt;280000,3500,IF($AY19&lt;290000,1750,0))))),IF($AY19&lt;125000,8750,IF($AY19&lt;130000,7000,IF($AY19&lt;135000,5250,IF($AY19&lt;140000,3500,IF($AY19&lt;145000,1750,0)))))),1,1-IF(Inputs!$C$13,SUMPRODUCT(($AH19&gt;=INDEX('Methodology &amp; Sources'!$B$29:$J$36,0,IF(Inputs!$C$12="MFJ",1,IF(Inputs!$C$12="HoH",7,4))))*INDEX('Methodology &amp; Sources'!$B$29:$J$36,0,IF(Inputs!$C$12="MFJ",1,IF(Inputs!$C$12="HoH",7,4))+2)),SUMPRODUCT(($AH19&gt;=INDEX('Methodology &amp; Sources'!$B$19:$J$26,0,IF(Inputs!$C$12="MFJ",1,IF(Inputs!$C$12="HoH",7,4))))*INDEX('Methodology &amp; Sources'!$B$19:$J$26,0,IF(Inputs!$C$12="MFJ",1,IF(Inputs!$C$12="HoH",7,4))+2)))),IF($AN19="MI",IF($AY19&gt;5900*$AS19,0.0425,0),""))))</f>
      </c>
      <c r="CA19" s="24">
        <f>IF($B19="","",IF($AN19="AL",IF(OR($AU19="Married",$AU19="Head of household"),SUMPRODUCT(($AZ19&gt;=INDEX('Methodology &amp; Sources'!$B$82:$J$86,0,4))*INDEX('Methodology &amp; Sources'!$B$82:$J$86,0,4+2)),SUMPRODUCT(($AZ19&gt;=INDEX('Methodology &amp; Sources'!$B$82:$J$86,0,1))*INDEX('Methodology &amp; Sources'!$B$82:$J$86,0,1+2)))*(1-IF(Inputs!$C$13,SUMPRODUCT(($AH19&gt;=INDEX('Methodology &amp; Sources'!$B$29:$J$36,0,IF(Inputs!$C$12="MFJ",1,IF(Inputs!$C$12="HoH",7,4))))*INDEX('Methodology &amp; Sources'!$B$29:$J$36,0,IF(Inputs!$C$12="MFJ",1,IF(Inputs!$C$12="HoH",7,4))+2)),SUMPRODUCT(($AH19&gt;=INDEX('Methodology &amp; Sources'!$B$19:$J$26,0,IF(Inputs!$C$12="MFJ",1,IF(Inputs!$C$12="HoH",7,4))))*INDEX('Methodology &amp; Sources'!$B$19:$J$26,0,IF(Inputs!$C$12="MFJ",1,IF(Inputs!$C$12="HoH",7,4))+2)))),IF($AN19="KS",IF($AU19="Married",SUMPRODUCT(($AZ19&gt;=INDEX('Methodology &amp; Sources'!$B$103:$J$109,0,4))*INDEX('Methodology &amp; Sources'!$B$103:$J$109,0,4+2)),SUMPRODUCT(($AZ19&gt;=INDEX('Methodology &amp; Sources'!$B$103:$J$109,0,1))*INDEX('Methodology &amp; Sources'!$B$103:$J$109,0,1+2))),IF($AN19="MD",IF(OR($AU19="Married",$AU19="Head of household"),SUMPRODUCT(($AZ19&gt;=INDEX('Methodology &amp; Sources'!$B$114:$J$120,0,1))*INDEX('Methodology &amp; Sources'!$B$114:$J$120,0,1+2)),SUMPRODUCT(($AZ19&gt;=INDEX('Methodology &amp; Sources'!$B$103:$J$109,0,7))*INDEX('Methodology &amp; Sources'!$B$103:$J$109,0,7+2)))+Inputs!$C$74,IF($AN19="MT",IF($AU19="Head of household",SUMPRODUCT(($AZ19&gt;=INDEX('Methodology &amp; Sources'!$B$137:$J$139,0,1))*INDEX('Methodology &amp; Sources'!$B$137:$J$139,0,1+2)),IF($AU19="Married",SUMPRODUCT(($AZ19&gt;=INDEX('Methodology &amp; Sources'!$B$125:$J$132,0,7))*INDEX('Methodology &amp; Sources'!$B$125:$J$132,0,7+2)),SUMPRODUCT(($AZ19&gt;=INDEX('Methodology &amp; Sources'!$B$125:$J$132,0,4))*INDEX('Methodology &amp; Sources'!$B$125:$J$132,0,4+2)))),IF($AN19="ND",IF($AU19="Head of household",SUMPRODUCT(($AZ19&gt;=INDEX('Methodology &amp; Sources'!$B$144:$J$150,0,1))*INDEX('Methodology &amp; Sources'!$B$144:$J$150,0,1+2)),IF($AU19="Married",SUMPRODUCT(($AZ19&gt;=INDEX('Methodology &amp; Sources'!$B$137:$J$139,0,7))*INDEX('Methodology &amp; Sources'!$B$137:$J$139,0,7+2)),SUMPRODUCT(($AZ19&gt;=INDEX('Methodology &amp; Sources'!$B$137:$J$139,0,4))*INDEX('Methodology &amp; Sources'!$B$137:$J$139,0,4+2)))),IF($AN19="NY",IF($AU19="Married",IF($AZ19&gt;=2155350,IF($AZ19&gt;25000000,0.117,IF($AZ19&gt;5000000,0.111,0.1045)),SUMPRODUCT(($AZ19&gt;=INDEX('Methodology &amp; Sources'!$B$184:$J$198,0,1))*INDEX('Methodology &amp; Sources'!$B$184:$J$198,0,1+2))),IF($AZ19&gt;=1077550,IF($AZ19&gt;25000000,0.117,IF($AZ19&gt;5000000,0.111,0.1045)),SUMPRODUCT(($AZ19&gt;=INDEX('Methodology &amp; Sources'!$B$167:$J$179,0,7))*INDEX('Methodology &amp; Sources'!$B$167:$J$179,0,7+2)))),"")))))))</f>
      </c>
      <c r="CB19" s="24">
        <f>IF($B19="","",IF($AN19="CA",SUMPRODUCT(($AJ19&gt;=INDEX('Methodology &amp; Sources'!$B$39:$J$48,0,IF($AU19="Married",4,IF($AU19="Head of household",7,1))))*INDEX('Methodology &amp; Sources'!$B$39:$J$48,0,IF($AU19="Married",4,IF($AU19="Head of household",7,1))+2)),IF($AN19="HI",IF($AU19="Married",SUMPRODUCT(($AZ19&gt;=INDEX('Methodology &amp; Sources'!$B$91:$J$98,0,7))*INDEX('Methodology &amp; Sources'!$B$91:$J$98,0,7+2)),SUMPRODUCT(($AZ19&gt;=INDEX('Methodology &amp; Sources'!$B$91:$J$98,0,4))*INDEX('Methodology &amp; Sources'!$B$91:$J$98,0,4+2))),IF($AN19="MN",IF($AU19="Married",SUMPRODUCT(($AZ19&gt;=INDEX('Methodology &amp; Sources'!$B$114:$J$120,0,7))*INDEX('Methodology &amp; Sources'!$B$114:$J$120,0,7+2)),SUMPRODUCT(($AZ19&gt;=INDEX('Methodology &amp; Sources'!$B$114:$J$120,0,4))*INDEX('Methodology &amp; Sources'!$B$114:$J$120,0,4+2))),IF($AN19="MO",SUMPRODUCT(($AZ19&gt;=INDEX('Methodology &amp; Sources'!$B$125:$J$132,0,1))*INDEX('Methodology &amp; Sources'!$B$125:$J$132,0,1+2)),IF($AN19="NE",MAX(IF($AU19="Married",SUMPRODUCT(($AZ19&gt;=INDEX('Methodology &amp; Sources'!$B$144:$J$150,0,7))*INDEX('Methodology &amp; Sources'!$B$144:$J$150,0,7+2)),SUMPRODUCT(($AZ19&gt;=INDEX('Methodology &amp; Sources'!$B$144:$J$150,0,4))*INDEX('Methodology &amp; Sources'!$B$144:$J$150,0,4+2))),0.015),IF($AN19="OH",IF($B19&gt;=DATE(2027,8,1),SUMPRODUCT(($AZ19&gt;=INDEX('Methodology &amp; Sources'!$B$203:$J$206,0,1))*INDEX('Methodology &amp; Sources'!$B$203:$J$206,0,1+2)),SUMPRODUCT(($AZ19&gt;=INDEX('Methodology &amp; Sources'!$B$184:$J$198,0,7))*INDEX('Methodology &amp; Sources'!$B$184:$J$198,0,7+2))),IF($AN19="OK",IF($AU19="Married",SUMPRODUCT(($AZ19&gt;=INDEX('Methodology &amp; Sources'!$B$203:$J$206,0,7))*INDEX('Methodology &amp; Sources'!$B$203:$J$206,0,7+2)),SUMPRODUCT(($AZ19&gt;=INDEX('Methodology &amp; Sources'!$B$203:$J$206,0,4))*INDEX('Methodology &amp; Sources'!$B$203:$J$206,0,4+2))),IF($AN19="RI",SUMPRODUCT(($AZ19&gt;=INDEX('Methodology &amp; Sources'!$B$211:$J$214,0,7))*INDEX('Methodology &amp; Sources'!$B$211:$J$214,0,7+2)),IF($AN19="SC",SUMPRODUCT(($AZ19&gt;=INDEX('Methodology &amp; Sources'!$B$219:$J$223,0,1))*INDEX('Methodology &amp; Sources'!$B$219:$J$223,0,1+2)),IF($AN19="VT",IF($AU19="Married",SUMPRODUCT(($AZ19&gt;=INDEX('Methodology &amp; Sources'!$B$228:$J$232,0,1))*INDEX('Methodology &amp; Sources'!$B$228:$J$232,0,1+2)),SUMPRODUCT(($AZ19&gt;=INDEX('Methodology &amp; Sources'!$B$219:$J$223,0,7))*INDEX('Methodology &amp; Sources'!$B$219:$J$223,0,7+2))),IF($AN19="WV",IF($AU19="Married",SUMPRODUCT(($AZ19&gt;=INDEX('Methodology &amp; Sources'!$B$237:$J$241,0,7))*INDEX('Methodology &amp; Sources'!$B$237:$J$241,0,7+2)),SUMPRODUCT(($AZ19&gt;=INDEX('Methodology &amp; Sources'!$B$228:$J$232,0,7))*INDEX('Methodology &amp; Sources'!$B$228:$J$232,0,7+2))),IF($AN19="IN",(0.0295+Inputs!$C$76),"")))))))))))))</f>
      </c>
      <c r="CC19" s="24">
        <f>IF($B19="","",IF($AN19="AR",SUMPRODUCT(($AZ19&gt;=INDEX('Methodology &amp; Sources'!$B$82:$J$86,0,7))*INDEX('Methodology &amp; Sources'!$B$82:$J$86,0,7+2)),IF($AN19="DE",SUMPRODUCT(($AZ19&gt;=INDEX('Methodology &amp; Sources'!$B$91:$J$98,0,1))*INDEX('Methodology &amp; Sources'!$B$91:$J$98,0,1+2)),IF($AN19="VA",SUMPRODUCT(($AZ19&gt;=INDEX('Methodology &amp; Sources'!$B$219:$J$223,0,4))*INDEX('Methodology &amp; Sources'!$B$219:$J$223,0,4+2)),IF($AN19="WI",SUMPRODUCT(($AZ19&gt;=INDEX('Methodology &amp; Sources'!$B$228:$J$232,0,4))*INDEX('Methodology &amp; Sources'!$B$228:$J$232,0,4+2)),IF($AN19="AZ",Inputs!$C$82,IF($AN19="CO",IF($AY19&gt;IF($AU19="Married",10000,5000),0.044,0),IF($AN19="IA",IF($AY19&gt;IF($AU19="Head of household",19500,IF($AU19="Married",26000,13000)),0.038,0),IF($AN19="ID",IF($AY19&gt;IF($AU19="Married",32000,16094),0.053,0),IF($AN19="IL",IF($AY19&gt;(2925*$AS19+1000*$AT19),0.0495,0),IF($AN19="KY",IF($AI19&gt;3360,0.035,0),IF($AN19="LA",0.0309,IF($AN19="MA",IF(MAX(0,$AY19-MIN(($BD18+$Q19+$R19+$S19),2000)-IF($AS19=0,0,IF($AS19=1,4400,1000*$AS19+3400)))&gt;=1107750,0.09,0.05),IF($AN19="MS",IF($AI19-IF($AU19="Head of household",3400,IF($AU19="Married",4600,2300))-Inputs!$C$85&gt;10000,0.04,0),IF($AN19="PA",0.0307,"")))))))))))))))</f>
      </c>
      <c r="CD19" s="21">
        <f>IF(YEAR(IF(Inputs!$C$7="Weekly",Inputs!$C$90+7*(($BE18+1)-1),IF(Inputs!$C$7="Biweekly",Inputs!$C$90+14*(($BE18+1)-1),IF(Inputs!$C$7="Semimonthly",DATE(YEAR(Inputs!$C$9),MONTH(Inputs!$C$9)+INT((($BE18+1)-1+'Rest of 2026'!$C$2)/2),MIN(DAY(Inputs!$C$9),DAY(EOMONTH(DATE(YEAR(Inputs!$C$9),MONTH(Inputs!$C$9)+INT((($BE18+1)-1+'Rest of 2026'!$C$2)/2),1),0))))+IF(MOD(($BE18+1)-1+'Rest of 2026'!$C$2,2)=1,15,0),EDATE(Inputs!$C$90,($BE18+1)-1)))))&lt;&gt;Inputs!$C$10,"",IF(Inputs!$C$7="Weekly",Inputs!$C$90+7*(($BE18+1)-1),IF(Inputs!$C$7="Biweekly",Inputs!$C$90+14*(($BE18+1)-1),IF(Inputs!$C$7="Semimonthly",DATE(YEAR(Inputs!$C$9),MONTH(Inputs!$C$9)+INT((($BE18+1)-1+'Rest of 2026'!$C$2)/2),MIN(DAY(Inputs!$C$9),DAY(EOMONTH(DATE(YEAR(Inputs!$C$9),MONTH(Inputs!$C$9)+INT((($BE18+1)-1+'Rest of 2026'!$C$2)/2),1),0))))+IF(MOD(($BE18+1)-1+'Rest of 2026'!$C$2,2)=1,15,0),EDATE(Inputs!$C$90,($BE18+1)-1)))))</f>
      </c>
      <c r="CE19" s="21">
        <f>IF(SUMPRODUCT(MIN(IF((Inputs!$C$58:$C$67&gt;MAX($B$6:$B18))*(Inputs!$C$58:$C$67&gt;=DATE(Inputs!$C$10,1,1))*(Inputs!$C$58:$C$67&lt;=DATE(Inputs!$C$10,12,31)),Inputs!$C$58:$C$67,999999)))=999999,"",SUMPRODUCT(MIN(IF((Inputs!$C$58:$C$67&gt;MAX($B$6:$B18))*(Inputs!$C$58:$C$67&gt;=DATE(Inputs!$C$10,1,1))*(Inputs!$C$58:$C$67&lt;=DATE(Inputs!$C$10,12,31)),Inputs!$C$58:$C$67,999999))))</f>
      </c>
    </row>
    <row r="20">
      <c r="A20" t="n">
        <v>15</v>
      </c>
      <c r="B20" s="21">
        <f>IF(AND($CD20="",$CE20=""),"",IF($CE20="",$CD20,IF($CD20="",$CE20,MIN($CD20,$CE20))))</f>
      </c>
      <c r="C20" s="7">
        <f>IF($B20="","",IF($BF20=0,0,IF(Inputs!$C$4="Annual salary",ROUND($AK20/IF(AND(Inputs!$C$88="Actual paydays",MONTH(Inputs!$C$90)=1),MAX(1,MAX($BE$6:$BE$68)),Inputs!$C$8),2),$AK20)))</f>
      </c>
      <c r="D20" s="7">
        <f>IF($B20="","",SUMIF(Inputs!$C$58:$C$67,$B20,Inputs!$D$58:$D$67))</f>
      </c>
      <c r="E20" s="7">
        <f>IF($B20="","",ROUND(MAX(0,MIN(IF($AL20="Percent",$AM20*($C20+$D20),$AM20),MAX(0,Inputs!$C$34-$AC19))),2))</f>
      </c>
      <c r="F20" s="7">
        <f>IF($B20="","",ROUND(MAX(0,MIN(IF(Inputs!$C$32="Percent",Inputs!$D$32*($C20+$D20),Inputs!$D$32),MAX(0,Inputs!$C$34-$AC19-$E20))),2))</f>
      </c>
      <c r="G20" s="7">
        <f>IF($B20="","",IF($BF20=0,0,ROUND(MAX(0,MIN($BL20,Inputs!$C$37-Inputs!$C$99-$BI19)),2)))</f>
      </c>
      <c r="H20" s="7">
        <f>IF($B20="","",IF(OR($BF20=0,$BQ20=1),0,ROUND(MAX(0,MIN(IF($BS20=1,ROUND(MAX(0,MIN($BJ20,'Methodology &amp; Sources'!$C$13)-$BG19)/MAX(1,MAX($BE$6:$BE$68)-($BE19)),2),ROUND(MIN($BJ20,'Methodology &amp; Sources'!$C$13)/Inputs!$C$8,2)),MIN($BJ20,'Methodology &amp; Sources'!$C$13)-$BG19)),2)))</f>
      </c>
      <c r="I20" s="7">
        <f>IF($B20="","",IF(OR($BF20=0,$BR20=1),0,ROUND(MAX(0,MIN(IF($BT20=1,ROUND(MAX(0,MIN($BK20,IF(Inputs!$C$12="MFJ",'Methodology &amp; Sources'!$C$14,'Methodology &amp; Sources'!$C$15))-$BH19)/MAX(1,MAX($BE$6:$BE$68)-($BE19)),2),ROUND(MIN($BK20,IF(Inputs!$C$12="MFJ",'Methodology &amp; Sources'!$C$14,'Methodology &amp; Sources'!$C$15))/Inputs!$C$8,2)),MIN($BK20,IF(Inputs!$C$12="MFJ",'Methodology &amp; Sources'!$C$14,'Methodology &amp; Sources'!$C$15))-$BH19)),2)))</f>
      </c>
      <c r="J20" s="7">
        <f>IF($B20="","",IF($BF20=0,0,$BM20))</f>
      </c>
      <c r="K20" s="7">
        <f>IF($B20="","",IF($BF20=0,0,$BN20+$BO20))</f>
      </c>
      <c r="L20" s="7">
        <f>IF($B20="","",IF($BF20=0,0,Inputs!$D$46))</f>
      </c>
      <c r="M20" s="7">
        <f>IF($B20="","",$C20+$D20+$L20-$E20-$G20-$H20-$I20-$J20-$K20)</f>
      </c>
      <c r="N20" s="7">
        <f>IF($B20="","",$C20+$D20+$L20-$G20-$H20-$I20-$J20-$K20)</f>
      </c>
      <c r="O20" s="7">
        <f>IF($B20="","",$C20+$D20+$L20-$E20-$H20-$I20-$J20-$K20-IF(OR($AN20="CA",$AN20="NJ"),0,$G20))</f>
      </c>
      <c r="P20" s="7">
        <f>IF($B20="","",IF(Inputs!$C$18,0,ROUND(MAX(0,IF(Inputs!$C$13,SUMPRODUCT(($AH20&gt;INDEX('Methodology &amp; Sources'!$B$29:$J$36,0,IF(Inputs!$C$12="MFJ",1,IF(Inputs!$C$12="HoH",7,4))))*($AH20-INDEX('Methodology &amp; Sources'!$B$29:$J$36,0,IF(Inputs!$C$12="MFJ",1,IF(Inputs!$C$12="HoH",7,4))))*INDEX('Methodology &amp; Sources'!$B$29:$J$36,0,IF(Inputs!$C$12="MFJ",1,IF(Inputs!$C$12="HoH",7,4))+2)),SUMPRODUCT(($AH20&gt;INDEX('Methodology &amp; Sources'!$B$19:$J$26,0,IF(Inputs!$C$12="MFJ",1,IF(Inputs!$C$12="HoH",7,4))))*($AH20-INDEX('Methodology &amp; Sources'!$B$19:$J$26,0,IF(Inputs!$C$12="MFJ",1,IF(Inputs!$C$12="HoH",7,4))))*INDEX('Methodology &amp; Sources'!$B$19:$J$26,0,IF(Inputs!$C$12="MFJ",1,IF(Inputs!$C$12="HoH",7,4))+2)))/Inputs!$C$8-$AO20/Inputs!$C$8)+$AR20+IF(Inputs!$C$89="Aggregate",MAX(0,IF(Inputs!$C$13,SUMPRODUCT((($AH20+$D20)&gt;INDEX('Methodology &amp; Sources'!$B$29:$J$36,0,IF(Inputs!$C$12="MFJ",1,IF(Inputs!$C$12="HoH",7,4))))*(($AH20+$D20)-INDEX('Methodology &amp; Sources'!$B$29:$J$36,0,IF(Inputs!$C$12="MFJ",1,IF(Inputs!$C$12="HoH",7,4))))*INDEX('Methodology &amp; Sources'!$B$29:$J$36,0,IF(Inputs!$C$12="MFJ",1,IF(Inputs!$C$12="HoH",7,4))+2)),SUMPRODUCT((($AH20+$D20)&gt;INDEX('Methodology &amp; Sources'!$B$19:$J$26,0,IF(Inputs!$C$12="MFJ",1,IF(Inputs!$C$12="HoH",7,4))))*(($AH20+$D20)-INDEX('Methodology &amp; Sources'!$B$19:$J$26,0,IF(Inputs!$C$12="MFJ",1,IF(Inputs!$C$12="HoH",7,4))))*INDEX('Methodology &amp; Sources'!$B$19:$J$26,0,IF(Inputs!$C$12="MFJ",1,IF(Inputs!$C$12="HoH",7,4))+2)))-IF(Inputs!$C$13,SUMPRODUCT(($AH20&gt;INDEX('Methodology &amp; Sources'!$B$29:$J$36,0,IF(Inputs!$C$12="MFJ",1,IF(Inputs!$C$12="HoH",7,4))))*($AH20-INDEX('Methodology &amp; Sources'!$B$29:$J$36,0,IF(Inputs!$C$12="MFJ",1,IF(Inputs!$C$12="HoH",7,4))))*INDEX('Methodology &amp; Sources'!$B$29:$J$36,0,IF(Inputs!$C$12="MFJ",1,IF(Inputs!$C$12="HoH",7,4))+2)),SUMPRODUCT(($AH20&gt;INDEX('Methodology &amp; Sources'!$B$19:$J$26,0,IF(Inputs!$C$12="MFJ",1,IF(Inputs!$C$12="HoH",7,4))))*($AH20-INDEX('Methodology &amp; Sources'!$B$19:$J$26,0,IF(Inputs!$C$12="MFJ",1,IF(Inputs!$C$12="HoH",7,4))))*INDEX('Methodology &amp; Sources'!$B$19:$J$26,0,IF(Inputs!$C$12="MFJ",1,IF(Inputs!$C$12="HoH",7,4))+2)))),'Methodology &amp; Sources'!$C$10*$D20),2)))</f>
      </c>
      <c r="Q20" s="7">
        <f>IF($B20="","",ROUND('Methodology &amp; Sources'!$C$4*MIN($N20,MAX(0,'Methodology &amp; Sources'!$C$3-($AX20+$AB19-$AW20))),2))</f>
      </c>
      <c r="R20" s="7">
        <f>IF($B20="","",ROUND('Methodology &amp; Sources'!$C$5*$N20,2))</f>
      </c>
      <c r="S20" s="7">
        <f>IF($B20="","",ROUND('Methodology &amp; Sources'!$C$6*MAX(0,MIN($N20,$AG19+$N20-'Methodology &amp; Sources'!$C$7)),2))</f>
      </c>
      <c r="T20" s="7">
        <f>IF($B20="","",IF(Inputs!$C$26,0,IF($AN20="CA",ROUND(IF($AI20&lt;=IF(($AS20+$AT20)&gt;=2,VLOOKUP($AN20,StateTables!$A$6:$AB$56,10,FALSE),VLOOKUP($AN20,StateTables!$A$6:$AB$56,9,FALSE)),0,MAX(0,SUMPRODUCT(($AJ20&gt;INDEX('Methodology &amp; Sources'!$B$39:$J$48,0,IF($AU20="Married",4,IF($AU20="Head of household",7,1))))*($AJ20-INDEX('Methodology &amp; Sources'!$B$39:$J$48,0,IF($AU20="Married",4,IF($AU20="Head of household",7,1))))*INDEX('Methodology &amp; Sources'!$B$39:$J$48,0,IF($AU20="Married",4,IF($AU20="Head of household",7,1))+2))-VLOOKUP($AN20,StateTables!$A$6:$AB$56,11,FALSE)*$AS20)/Inputs!$C$8)+Inputs!$C$25+VLOOKUP($AN20,StateTables!$A$6:$AB$56,13,FALSE)*$D20,2),IF(VLOOKUP($AN20,StateTables!$A$6:$AB$56,4,FALSE)="None",0,IF(ISNUMBER(SEARCH("MANUAL",VLOOKUP($AN20,StateTables!$A$6:$AB$56,5,FALSE))),Inputs!$C$28,ROUND(MAX(0,$BA20+$BB20)/Inputs!$C$8+Inputs!$C$25+$BC20,2))))))</f>
      </c>
      <c r="U20" s="7">
        <f>IF($B20="","",IF(VLOOKUP($AN20,StateTables!$A$6:$AB$56,24,FALSE)="flatq",IF(OR(MONTH($B20)=1,MONTH($B20)=4,MONTH($B20)=7,MONTH($B20)=10),VLOOKUP($AN20,StateTables!$A$6:$AB$56,25,FALSE),0),IF(VLOOKUP($AN20,StateTables!$A$6:$AB$56,24,FALSE)="dbl",MIN(ROUND(0.005*$N20,2),ROUND(0.6*52/Inputs!$C$8,2)),IF(OR(VLOOKUP($AN20,StateTables!$A$6:$AB$56,15,FALSE)="",VLOOKUP($AN20,StateTables!$A$6:$AB$56,15,FALSE)=0),0,ROUND(VLOOKUP($AN20,StateTables!$A$6:$AB$56,15,FALSE)*IF(OR(VLOOKUP($AN20,StateTables!$A$6:$AB$56,16,FALSE)="",VLOOKUP($AN20,StateTables!$A$6:$AB$56,16,FALSE)=0),$N20,MIN($N20,MAX(0,VLOOKUP($AN20,StateTables!$A$6:$AB$56,16,FALSE)-($AX20+$AB19-$AW20)))),2))))+IF(VLOOKUP($AN20,StateTables!$A$6:$AB$56,27,FALSE)="flatq",IF(OR(MONTH($B20)=1,MONTH($B20)=4,MONTH($B20)=7,MONTH($B20)=10),VLOOKUP($AN20,StateTables!$A$6:$AB$56,28,FALSE),0),IF(VLOOKUP($AN20,StateTables!$A$6:$AB$56,27,FALSE)="dbl",MIN(ROUND(0.005*$N20,2),ROUND(0.6*52/Inputs!$C$8,2)),IF(OR(VLOOKUP($AN20,StateTables!$A$6:$AB$56,18,FALSE)="",VLOOKUP($AN20,StateTables!$A$6:$AB$56,18,FALSE)=0),0,ROUND(VLOOKUP($AN20,StateTables!$A$6:$AB$56,18,FALSE)*IF(OR(VLOOKUP($AN20,StateTables!$A$6:$AB$56,19,FALSE)="",VLOOKUP($AN20,StateTables!$A$6:$AB$56,19,FALSE)=0),$N20,MIN($N20,MAX(0,VLOOKUP($AN20,StateTables!$A$6:$AB$56,19,FALSE)-($AX20+$AB19-$AW20)))),2)))))</f>
      </c>
      <c r="V20" s="7">
        <f>IF($B20="","",IF($AN20="NY",IF(Inputs!$C$78,ROUND(SUMPRODUCT((MAX(0,($O20-$D20)*Inputs!$C$8-(IF($AU20="Married",5500,5000)+1000*$AS20))&gt;INDEX('Methodology &amp; Sources'!$B$184:$J$198,0,4))*(MAX(0,($O20-$D20)*Inputs!$C$8-(IF($AU20="Married",5500,5000)+1000*$AS20))-INDEX('Methodology &amp; Sources'!$B$184:$J$198,0,4))*INDEX('Methodology &amp; Sources'!$B$184:$J$198,0,4+2))/Inputs!$C$8+0.0425*$D20,2),0)+IF(Inputs!$C$79="Resident",ROUND(0.1675*$T20,2),IF(Inputs!$C$79="Nonresident",ROUND(0.005*MAX(0,($O20-$D20)-(IF($AU20="Married",7950,7400)+1000*$AS20)/Inputs!$C$8),2),0)),IF($AN20="PA",IF(Inputs!$C$80="None",Inputs!$C$27+ROUND(Inputs!$C$81*($C20+$D20),2),ROUND(IF(Inputs!$C$80="Resident",IF($B20&lt;DATE(2027,7,1),0.03735,0.03735),IF($B20&lt;DATE(2027,7,1),0.03425,0.03425))*($C20+$D20),2)),IF($BF20=0,ROUND(Inputs!$C$81*($C20+$D20),2),Inputs!$C$27+ROUND(Inputs!$C$81*($C20+$D20),2)))))</f>
      </c>
      <c r="W20" s="7">
        <f>IF($B20="","",IF($BF20=0,0,$BP20))</f>
      </c>
      <c r="X20" s="7">
        <f>IF($B20="","",SUM($E20:$K20)+$P20+$Q20+$R20+$S20+$T20+$U20+$V20+$W20)</f>
      </c>
      <c r="Y20" s="22">
        <f>IF($B20="","",$C20+$D20-$X20)</f>
      </c>
      <c r="Z20" s="7">
        <f>IF($B20="","",$Z19+$C20+$D20)</f>
      </c>
      <c r="AA20" s="7">
        <f>IF($B20="","",$AA19+$Y20)</f>
      </c>
      <c r="AB20" s="7">
        <f>IF($B20="","",$AB19+MIN($N20,MAX(0,'Methodology &amp; Sources'!$C$3-($AX20+$AB19-$AW20))))</f>
      </c>
      <c r="AC20" s="7">
        <f>IF($B20="","",$AC19+$E20+$F20)</f>
      </c>
      <c r="AD20" s="3">
        <f>IF($B20="","",IF(AND($AB19&lt;'Methodology &amp; Sources'!$C$3,$AB20&gt;='Methodology &amp; Sources'!$C$3),"★ Social Security maxed on this check — from the next check your net rises by about $"&amp;TEXT(ROUND('Methodology &amp; Sources'!$C$4*$N20,2),"#,##0.00")&amp;". ","")&amp;IF(AND($AC19&lt;Inputs!$C$34,$AC20&gt;=Inputs!$C$34),"★ 401(k) reaches the $"&amp;TEXT(Inputs!$C$34,"#,##0")&amp;" cap on this check — deferrals stop and net pay rises. ","")&amp;IF(AND($AG19&lt;'Methodology &amp; Sources'!$C$7,$AG20&gt;='Methodology &amp; Sources'!$C$7),"★ Wages pass $200,000 — the 0.9% Additional Medicare Tax starts here. ","")&amp;IF(AND($BJ20&gt;0,$H20&gt;0,$BG19&lt;MIN($BJ20,'Methodology &amp; Sources'!$C$13),$BG19+$H20&gt;=MIN($BJ20,'Methodology &amp; Sources'!$C$13)),"★ Health FSA election is now fully deferred for the year. ",""))</f>
      </c>
      <c r="AE20" s="41" t="n"/>
      <c r="AF20" s="7">
        <f>IF(OR($B20="",$AE20=""),"",$AE20-$Y20)</f>
      </c>
      <c r="AG20" s="7">
        <f>IF($B20="","",$AG19+$N20)</f>
      </c>
      <c r="AH20" s="7">
        <f>IF($B20="","",MAX(0,($M20-$D20)*Inputs!$C$8+$AP20-$AQ20-IF(Inputs!$C$13,0,IF(Inputs!$C$12="MFJ",'Methodology &amp; Sources'!$C$8,'Methodology &amp; Sources'!$C$9))))</f>
      </c>
      <c r="AI20" s="7">
        <f>IF($B20="","",$O20*Inputs!$C$8)</f>
      </c>
      <c r="AJ20" s="7">
        <f>IF($B20="","",MAX(0,$AI20-VLOOKUP($AN20,StateTables!$A$6:$AB$56,12,FALSE)*$AT20-IF(($AS20+$AT20)&gt;=2,VLOOKUP($AN20,StateTables!$A$6:$AB$56,8,FALSE),VLOOKUP($AN20,StateTables!$A$6:$AB$56,7,FALSE))))</f>
      </c>
      <c r="AK20" s="7">
        <f>IF($B20="","",IFERROR(LOOKUP(2,1/((Events!$C$6:$C$17="Salary change")*(Events!$B$6:$B$17&lt;=$B20)*(Events!$B$6:$B$17&lt;&gt;"")),Events!$D$6:$D$17),IF(Inputs!$C$4="Annual salary",Inputs!$C$5,Inputs!$C$6)))</f>
      </c>
      <c r="AL20">
        <f>IF($B20="","",IFERROR(LOOKUP(2,1/((Events!$C$6:$C$17="401(k) change")*(Events!$B$6:$B$17&lt;=$B20)*(Events!$B$6:$B$17&lt;&gt;"")),Events!$D$6:$D$17),Inputs!$C$30))</f>
      </c>
      <c r="AM20" s="7">
        <f>IF($B20="","",IFERROR(LOOKUP(2,1/((Events!$C$6:$C$17="401(k) change")*(Events!$B$6:$B$17&lt;=$B20)*(Events!$B$6:$B$17&lt;&gt;"")),Events!$E$6:$E$17),Inputs!$D$30))</f>
      </c>
      <c r="AN20">
        <f>IF($B20="","",IFERROR(LOOKUP(2,1/((Events!$C$6:$C$17="State move")*(Events!$B$6:$B$17&lt;=$B20)*(Events!$B$6:$B$17&lt;&gt;"")),Events!$D$6:$D$17),Inputs!$C$21))</f>
      </c>
      <c r="AO20" s="7">
        <f>IF($B20="","",IFERROR(LOOKUP(2,1/((Events!$C$6:$C$17="W-4 change")*(Events!$B$6:$B$17&lt;=$B20)*(Events!$B$6:$B$17&lt;&gt;"")),Events!$D$6:$D$17),Inputs!$C$14))</f>
      </c>
      <c r="AP20" s="7">
        <f>IF($B20="","",IFERROR(LOOKUP(2,1/((Events!$C$6:$C$17="W-4 change")*(Events!$B$6:$B$17&lt;=$B20)*(Events!$B$6:$B$17&lt;&gt;"")),Events!$E$6:$E$17),Inputs!$C$15))</f>
      </c>
      <c r="AQ20" s="7">
        <f>IF($B20="","",IFERROR(LOOKUP(2,1/((Events!$C$6:$C$17="W-4 change")*(Events!$B$6:$B$17&lt;=$B20)*(Events!$B$6:$B$17&lt;&gt;"")),Events!$F$6:$F$17),Inputs!$C$16))</f>
      </c>
      <c r="AR20" s="7">
        <f>IF($B20="","",IFERROR(LOOKUP(2,1/((Events!$C$6:$C$17="W-4 change")*(Events!$B$6:$B$17&lt;=$B20)*(Events!$B$6:$B$17&lt;&gt;"")),Events!$G$6:$G$17),Inputs!$C$17))</f>
      </c>
      <c r="AS20" s="6">
        <f>IF($B20="","",IFERROR(LOOKUP(2,1/(((Events!$C$6:$C$17="State move")+(Events!$C$6:$C$17="State cert change"))*(Events!$B$6:$B$17&lt;=$B20)*(Events!$B$6:$B$17&lt;&gt;"")),Events!$F$6:$F$17),Inputs!$C$23))</f>
      </c>
      <c r="AT20" s="6">
        <f>IF($B20="","",IFERROR(LOOKUP(2,1/(((Events!$C$6:$C$17="State move")+(Events!$C$6:$C$17="State cert change"))*(Events!$B$6:$B$17&lt;=$B20)*(Events!$B$6:$B$17&lt;&gt;"")),Events!$G$6:$G$17),Inputs!$C$24))</f>
      </c>
      <c r="AU20">
        <f>IF($B20="","",IFERROR(LOOKUP(2,1/((Events!$C$6:$C$17="State move")*(Events!$B$6:$B$17&lt;=$B20)*(Events!$B$6:$B$17&lt;&gt;"")),Events!$E$6:$E$17),Inputs!$C$22))</f>
      </c>
      <c r="AV20" s="6">
        <f>IF($B20="","",1+COUNTIFS(Events!$C$6:$C$17,"Employer change",Events!$B$6:$B$17,"&lt;="&amp;$B20,Events!$B$6:$B$17,"&lt;&gt;"))</f>
      </c>
      <c r="AW20" s="7">
        <f>IF($B20="","",IF($AV20=1,Inputs!$C$94,IF(IFERROR(MATCH(IFERROR(LOOKUP(2,1/((Events!$C$6:$C$17="Employer change")*(Events!$B$6:$B$17&lt;=$B20)*(Events!$B$6:$B$17&lt;&gt;"")),Events!$B$6:$B$17),""),$B$6:$B$68,1),1)&lt;=1,Inputs!$C$94,INDEX($AB$6:$AB$68,MATCH(IFERROR(LOOKUP(2,1/((Events!$C$6:$C$17="Employer change")*(Events!$B$6:$B$17&lt;=$B20)*(Events!$B$6:$B$17&lt;&gt;"")),Events!$B$6:$B$17),""),$B$6:$B$68,1)-1))))</f>
      </c>
      <c r="AX20" s="7">
        <f>IF($B20="","",IF($AV20=1,Inputs!$C$94,IFERROR(LOOKUP(2,1/((Events!$C$6:$C$17="Employer change")*(Events!$B$6:$B$17&lt;=$B20)*(Events!$B$6:$B$17&lt;&gt;"")),Events!$D$6:$D$17),0)))</f>
      </c>
      <c r="AY20" s="7">
        <f>IF($B20="","",($O20-$D20)*Inputs!$C$8)</f>
      </c>
      <c r="AZ20" s="7">
        <f>IF($B20="","",IF($AN20="AL",MAX(0,$AY20-IF($AU20="Married",IF($AY20&lt;=25999,8500,MAX(5000,8500-175*CEILING(($AY20-25999)/500,1))),IF($AU20="Head of household",IF($AY20&lt;=25999,5200,MAX(2500,5200-135*CEILING(($AY20-25999)/500,1))),IF($AY20&lt;=25999,3000,MAX(2500,3000-25*CEILING(($AY20-25999)/500,1)))))-($P20-'Methodology &amp; Sources'!$C$10*$D20)*Inputs!$C$8-IF(OR($AU20="Married",$AU20="Head of household"),3000,1500)-$AT20*IF($AY20&lt;=50000,1000,IF($AY20&lt;=100000,500,300))),IF($AN20="AR",IF(MAX(0,$AY20-2470)&lt;97701,INT(MAX(0,$AY20-2470)/100)*100+50,MAX(0,$AY20-2470)),IF($AN20="DE",MAX(0,$AI20-3250),IF($AN20="HI",MAX(0,$AI20-1144*$AS20-4350),IF($AN20="KS",MAX(0,$AI20-(9160*IF($AU20="Married",2,1)+2320*$AT20+IF($AU20="Head of household",2320,0))),IF($AN20="MD",MAX(0,$AI20-3400-3200*$AS20),IF($AN20="MN",MAX(0,$AY20-5300*$AS20),IF($AN20="MO",MAX(0,$AI20-IF($AU20="Head of household",24150,IF($AU20="Married",IF(Inputs!$C$83,16100,32200),16100))),IF($AN20="MT",$AY20,IF($AN20="ND",($C20+$L20)*Inputs!$C$8,IF($AN20="NE",MAX(0,$AY20-2440*$AS20),IF($AN20="NJ",MAX(0,$AY20-1000*$AS20),IF($AN20="NY",MAX(0,$AY20-(IF($AU20="Married",7950,7400)+1000*$AS20)),IF($AN20="OH",MAX(0,$AY20-650*$AS20),IF($AN20="OK",MAX(0,$AY20-1000*$AS20),IF($AN20="RI",MAX(0,$AI20-1000*$AS20),IF($AN20="SC",MAX(0,$AI20-5000*$AS20-IF($AS20=0,0,MIN(0.1*$AI20,7500))),IF($AN20="VA",MAX(0,$AI20-IF($AU20="Married",17500,8750)-930*$AS20-800*$AT20),IF($AN20="VT",MAX(0,$AI20-5400*$AS20),IF($AN20="WI",MAX(0,$AI20-MAX(0,IF($AU20="Married",9461-0.2*MAX(0,$AI20-25727),6702-0.12*MAX(0,$AI20-17780)))-400*$AS20),IF($AN20="WV",MAX(0,$AI20-2000*$AS20),$AI20))))))))))))))))))))))</f>
      </c>
      <c r="BA20" s="7">
        <f>IF($B20="","",IF($BW20&lt;&gt;"",$BW20,IF($BX20&lt;&gt;"",$BX20,IF($BY20&lt;&gt;"",$BY20,0))))</f>
      </c>
      <c r="BB20" s="7">
        <f>IF($B20="","",IF($AN20="AR",-29*$AS20,IF($AN20="DE",-110*$AS20,IF($AN20="MD",$AZ20*Inputs!$C$74,IF($AN20="AZ",Inputs!$C$82*($M20-$D20)*Inputs!$C$8,IF($AN20="CO",0.044*MAX(0,$AY20-IF($AU20="Married",10000,5000)),IF($AN20="IA",MAX(0,0.038*MAX(0,$AY20-IF($AU20="Head of household",19500,IF($AU20="Married",26000,13000)))-40*$AS20),IF($AN20="ID",0.053*MAX(0,$AY20-IF($AU20="Married",32000,16094)),IF($AN20="IL",0.0495*MAX(0,$AY20-(2925*$AS20+1000*$AT20)),IF($AN20="IN",(0.0295+Inputs!$C$76)*MAX(0,$AY20-(1000*$AS20+1500*$AT20+3000*Inputs!$C$86)),IF($AN20="KY",0.035*MAX(0,$AI20-3360),IF($AN20="LA",IF(Inputs!$C$84="0",0.0309*$AI20,0.0309*MAX(0,$AI20-IF(Inputs!$C$84="2",25750,12875))),IF($AN20="MA",0.05*MIN(MAX(0,$AY20-MIN(($BD19+$Q20+$R20+$S20),2000)-IF($AS20=0,0,IF($AS20=1,4400,1000*$AS20+3400))),1107750)+0.09*MAX(0,MAX(0,$AY20-MIN(($BD19+$Q20+$R20+$S20),2000)-IF($AS20=0,0,IF($AS20=1,4400,1000*$AS20+3400)))-1107750)-IF($AU20="Head of household",120,0)-110*Inputs!$C$75,IF($AN20="MI",0.0425*MAX(0,$AY20-5900*$AS20),IF($AN20="MS",0.04*MAX(0,$AI20-IF($AU20="Head of household",3400,IF($AU20="Married",4600,2300))-Inputs!$C$85-10000),IF($AN20="OR",IF(OR($AU20="Married",AND($AU20="Single",$AS20&gt;=3)),SUMPRODUCT((MAX(0,$AY20-MIN(($P20-'Methodology &amp; Sources'!$C$10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Sources'!$B$211:$J$214,0,4))*(MAX(0,$AY20-MIN(($P20-'Methodology &amp; Sources'!$C$10*$D20)*Inputs!$C$8,IF(OR($AU20="Married",AND($AU20="Single",$AS20&gt;=3)),IF($AY20&lt;250000,8750,IF($AY20&lt;260000,7000,IF($AY20&lt;270000,5250,IF($AY20&lt;280000,3500,IF($AY20&lt;290000,1750,0))))),IF($AY20&lt;125000,8750,IF($AY20&lt;130000,7000,IF($AY20&lt;135000,5250,IF($AY20&lt;140000,3500,IF($AY20&lt;145000,1750,0)))))))-IF(OR($AU20="Married",AND($AU20="Single",$AS20&gt;=3)),5820,2910))-INDEX('Methodology &amp; Sources'!$B$211:$J$214,0,4))*INDEX('Methodology &amp; Sources'!$B$211:$J$214,0,4+2)),SUMPRODUCT((MAX(0,$AY20-MIN(($P20-'Methodology &amp; Sources'!$C$10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Sources'!$B$211:$J$214,0,1))*(MAX(0,$AY20-MIN(($P20-'Methodology &amp; Sources'!$C$10*$D20)*Inputs!$C$8,IF(OR($AU20="Married",AND($AU20="Single",$AS20&gt;=3)),IF($AY20&lt;250000,8750,IF($AY20&lt;260000,7000,IF($AY20&lt;270000,5250,IF($AY20&lt;280000,3500,IF($AY20&lt;290000,1750,0))))),IF($AY20&lt;125000,8750,IF($AY20&lt;130000,7000,IF($AY20&lt;135000,5250,IF($AY20&lt;140000,3500,IF($AY20&lt;145000,1750,0)))))))-IF(OR($AU20="Married",AND($AU20="Single",$AS20&gt;=3)),5820,2910))-INDEX('Methodology &amp; Sources'!$B$211:$J$214,0,1))*INDEX('Methodology &amp; Sources'!$B$211:$J$214,0,1+2)))+263-263*IF(IF($AU20="Married",$AY20&gt;200000,$AY20&gt;100000),0,$AS20),IF($AN20="PA",0.0307*(($O20+$E20+$G20)*Inputs!$C$8),IF($AN20="NY",IF($AU20="Married",IF($AZ20&gt;=2155350,0,IF($AZ20&gt;=1077550,0.48,IF($AZ20&gt;=373200,1.21,IF($AZ20&gt;=323200,0.21,IF($AZ20&gt;=211550,-0.19,IF($AZ20&gt;=157650,-2.8,IF($AZ20&gt;=107650,-0.8,IF($AZ20&gt;=96800,0.05,IF($AZ20&gt;=80650,-0.1,IF($AZ20&gt;=13900,0.4,IF($AZ20&gt;=11700,-0.3,IF($AZ20&gt;=8500,0.5,0)))))))))))),IF($AZ20&gt;=1077550,0,IF($AZ20&gt;=265400,4.29,IF($AZ20&gt;=215400,2.29,IF($AZ20&gt;=157650,2.29,IF($AZ20&gt;=107650,0.29,IF($AZ20&gt;=96800,0.05,IF($AZ20&gt;=80650,-0.1,IF($AZ20&gt;=13900,0.4,IF($AZ20&gt;=11700,-0.3,IF($AZ20&gt;=8500,0.5,0))))))))))),0))))))))))))))))))</f>
      </c>
      <c r="BC20" s="7">
        <f>IF($B20="","",IF($AN20="AL",0.05*$D20,IF($AN20="AR",0.039*$D20,IF($AN20="ID",0.053*$D20,IF($AN20="IN",(0.0295+Inputs!$C$76)*$D20,IF($AN20="KS",0.05*$D20,IF($AN20="MA",0.09*MIN($D20,MAX(0,MAX(0,$AY20-MIN(($BD19+$Q20+$R20+$S20),2000)-IF($AS20=0,0,IF($AS20=1,4400,1000*$AS20+3400)))+$D20-1107750))+0.05*($D20-MIN($D20,MAX(0,MAX(0,$AY20-MIN(($BD19+$Q20+$R20+$S20),2000)-IF($AS20=0,0,IF($AS20=1,4400,1000*$AS20+3400)))+$D20-1107750))),IF($AN20="MD",(0.065+Inputs!$C$74)*$D20,IF($AN20="MI",0.0425*$D20,IF($AN20="MN",0.0625*$D20,IF($AN20="MO",0.047*$D20,IF($AN20="MT",0.05*$D20,IF($AN20="ND",0.015*$D20,IF($AN20="NE",0.035*$D20,IF($AN20="NJ",IF(Inputs!$C$77="B",SUMPRODUCT(($D20*Inputs!$C$8&gt;INDEX('Methodology &amp; Sources'!$B$155:$J$162,0,4))*($D20*Inputs!$C$8-INDEX('Methodology &amp; Sources'!$B$155:$J$162,0,4))*INDEX('Methodology &amp; Sources'!$B$155:$J$162,0,4+2)),IF(Inputs!$C$77="C",SUMPRODUCT(($D20*Inputs!$C$8&gt;INDEX('Methodology &amp; Sources'!$B$155:$J$162,0,7))*($D20*Inputs!$C$8-INDEX('Methodology &amp; Sources'!$B$155:$J$162,0,7))*INDEX('Methodology &amp; Sources'!$B$155:$J$162,0,7+2)),IF(Inputs!$C$77="D",SUMPRODUCT(($D20*Inputs!$C$8&gt;INDEX('Methodology &amp; Sources'!$B$167:$J$179,0,1))*($D20*Inputs!$C$8-INDEX('Methodology &amp; Sources'!$B$167:$J$179,0,1))*INDEX('Methodology &amp; Sources'!$B$167:$J$179,0,1+2)),IF(Inputs!$C$77="E",SUMPRODUCT(($D20*Inputs!$C$8&gt;INDEX('Methodology &amp; Sources'!$B$167:$J$179,0,4))*($D20*Inputs!$C$8-INDEX('Methodology &amp; Sources'!$B$167:$J$179,0,4))*INDEX('Methodology &amp; Sources'!$B$167:$J$179,0,4+2)),SUMPRODUCT(($D20*Inputs!$C$8&gt;INDEX('Methodology &amp; Sources'!$B$155:$J$162,0,1))*($D20*Inputs!$C$8-INDEX('Methodology &amp; Sources'!$B$155:$J$162,0,1))*INDEX('Methodology &amp; Sources'!$B$155:$J$162,0,1+2))))))/Inputs!$C$8,IF($AN20="NY",0.117*$D20,IF($AN20="OH",0.0275*$D20,IF($AN20="OK",0.045*$D20,IF($AN20="OR",0.08*$D20,IF($AN20="WI",IF($AY20&lt;12760,0.0354,IF($AY20&lt;25520,0.0465,IF($AY20&lt;280950,0.053,0.0765)))*$D20,0))))))))))))))))))))</f>
      </c>
      <c r="BD20" s="7">
        <f>IF($B20="","",$BD19+$Q20+$R20+$S20)</f>
      </c>
      <c r="BE20" s="6">
        <f>IF($B20="",$BE19,$BE19+$BF20)</f>
      </c>
      <c r="BF20" s="6">
        <f>IF($B20="","",IF(AND(IF(YEAR(IF(Inputs!$C$7="Weekly",Inputs!$C$90+7*(($BE19+1)-1),IF(Inputs!$C$7="Biweekly",Inputs!$C$90+14*(($BE19+1)-1),IF(Inputs!$C$7="Semimonthly",DATE(YEAR(Inputs!$C$9),MONTH(Inputs!$C$9)+INT((($BE19+1)-1+'Rest of 2026'!$C$2)/2),MIN(DAY(Inputs!$C$9),DAY(EOMONTH(DATE(YEAR(Inputs!$C$9),MONTH(Inputs!$C$9)+INT((($BE19+1)-1+'Rest of 2026'!$C$2)/2),1),0))))+IF(MOD(($BE19+1)-1+'Rest of 2026'!$C$2,2)=1,15,0),EDATE(Inputs!$C$90,($BE19+1)-1)))))&lt;&gt;Inputs!$C$10,"",IF(Inputs!$C$7="Weekly",Inputs!$C$90+7*(($BE19+1)-1),IF(Inputs!$C$7="Biweekly",Inputs!$C$90+14*(($BE19+1)-1),IF(Inputs!$C$7="Semimonthly",DATE(YEAR(Inputs!$C$9),MONTH(Inputs!$C$9)+INT((($BE19+1)-1+'Rest of 2026'!$C$2)/2),MIN(DAY(Inputs!$C$9),DAY(EOMONTH(DATE(YEAR(Inputs!$C$9),MONTH(Inputs!$C$9)+INT((($BE19+1)-1+'Rest of 2026'!$C$2)/2),1),0))))+IF(MOD(($BE19+1)-1+'Rest of 2026'!$C$2,2)=1,15,0),EDATE(Inputs!$C$90,($BE19+1)-1)))))&lt;&gt;"",$B20=IF(YEAR(IF(Inputs!$C$7="Weekly",Inputs!$C$90+7*(($BE19+1)-1),IF(Inputs!$C$7="Biweekly",Inputs!$C$90+14*(($BE19+1)-1),IF(Inputs!$C$7="Semimonthly",DATE(YEAR(Inputs!$C$9),MONTH(Inputs!$C$9)+INT((($BE19+1)-1+'Rest of 2026'!$C$2)/2),MIN(DAY(Inputs!$C$9),DAY(EOMONTH(DATE(YEAR(Inputs!$C$9),MONTH(Inputs!$C$9)+INT((($BE19+1)-1+'Rest of 2026'!$C$2)/2),1),0))))+IF(MOD(($BE19+1)-1+'Rest of 2026'!$C$2,2)=1,15,0),EDATE(Inputs!$C$90,($BE19+1)-1)))))&lt;&gt;Inputs!$C$10,"",IF(Inputs!$C$7="Weekly",Inputs!$C$90+7*(($BE19+1)-1),IF(Inputs!$C$7="Biweekly",Inputs!$C$90+14*(($BE19+1)-1),IF(Inputs!$C$7="Semimonthly",DATE(YEAR(Inputs!$C$9),MONTH(Inputs!$C$9)+INT((($BE19+1)-1+'Rest of 2026'!$C$2)/2),MIN(DAY(Inputs!$C$9),DAY(EOMONTH(DATE(YEAR(Inputs!$C$9),MONTH(Inputs!$C$9)+INT((($BE19+1)-1+'Rest of 2026'!$C$2)/2),1),0))))+IF(MOD(($BE19+1)-1+'Rest of 2026'!$C$2,2)=1,15,0),EDATE(Inputs!$C$90,($BE19+1)-1)))))),1,0))</f>
      </c>
      <c r="BG20" s="7">
        <f>IF($B20="","",$BG19+$H20)</f>
      </c>
      <c r="BH20" s="7">
        <f>IF($B20="","",$BH19+$I20)</f>
      </c>
      <c r="BI20" s="7">
        <f>IF($B20="","",$BI19+$G20)</f>
      </c>
      <c r="BJ20" s="7">
        <f>IF($B20="","",IFERROR(LOOKUP(2,1/((((Events!$C$6:$C$17="Deduction start"))*(Events!$D$6:$D$17="Health FSA"))*(Events!$B$6:$B$17&lt;=$B20)*(Events!$B$6:$B$17&lt;&gt;"")),Events!$E$6:$E$17),Inputs!$D$38))</f>
      </c>
      <c r="BK20" s="7">
        <f>IF($B20="","",IFERROR(LOOKUP(2,1/((((Events!$C$6:$C$17="Deduction start"))*(Events!$D$6:$D$17="Dependent-care FSA"))*(Events!$B$6:$B$17&lt;=$B20)*(Events!$B$6:$B$17&lt;&gt;"")),Events!$E$6:$E$17),Inputs!$D$39))</f>
      </c>
      <c r="BL20" s="7">
        <f>IF($B20="","",IFERROR(LOOKUP(2,1/((((Events!$C$6:$C$17="Deduction start")+(Events!$C$6:$C$17="Deduction stop"))*(Events!$D$6:$D$17="HSA"))*(Events!$B$6:$B$17&lt;=$B20)*(Events!$B$6:$B$17&lt;&gt;"")),Events!$I$6:$I$17),Inputs!$D$35))</f>
      </c>
      <c r="BM20" s="7">
        <f>IF($B20="","",IFERROR(LOOKUP(2,1/((((Events!$C$6:$C$17="Deduction start")+(Events!$C$6:$C$17="Deduction stop"))*(Events!$D$6:$D$17="Premiums"))*(Events!$B$6:$B$17&lt;=$B20)*(Events!$B$6:$B$17&lt;&gt;"")),Events!$I$6:$I$17),Inputs!$D$40+Inputs!$D$41+Inputs!$D$42))</f>
      </c>
      <c r="BN20" s="7">
        <f>IF($B20="","",IFERROR(LOOKUP(2,1/((((Events!$C$6:$C$17="Deduction start")+(Events!$C$6:$C$17="Deduction stop"))*(Events!$D$6:$D$17="Commuter"))*(Events!$B$6:$B$17&lt;=$B20)*(Events!$B$6:$B$17&lt;&gt;"")),Events!$I$6:$I$17),Inputs!$D$43))</f>
      </c>
      <c r="BO20" s="7">
        <f>IF($B20="","",IFERROR(LOOKUP(2,1/((((Events!$C$6:$C$17="Deduction start")+(Events!$C$6:$C$17="Deduction stop"))*(Events!$D$6:$D$17="Other pre-tax"))*(Events!$B$6:$B$17&lt;=$B20)*(Events!$B$6:$B$17&lt;&gt;"")),Events!$I$6:$I$17),Inputs!$D$44))</f>
      </c>
      <c r="BP20" s="7">
        <f>IF($B20="","",IFERROR(LOOKUP(2,1/((((Events!$C$6:$C$17="Deduction start")+(Events!$C$6:$C$17="Deduction stop"))*(Events!$D$6:$D$17="Other post-tax"))*(Events!$B$6:$B$17&lt;=$B20)*(Events!$B$6:$B$17&lt;&gt;"")),Events!$I$6:$I$17),Inputs!$D$45))</f>
      </c>
      <c r="BQ20" s="6">
        <f>IF($B20="","",IFERROR(LOOKUP(2,1/((((Events!$C$6:$C$17="Deduction start")+(Events!$C$6:$C$17="Deduction stop"))*(Events!$D$6:$D$17="Health FSA"))*(Events!$B$6:$B$17&lt;=$B20)*(Events!$B$6:$B$17&lt;&gt;"")),Events!$J$6:$J$17),0))</f>
      </c>
      <c r="BR20" s="6">
        <f>IF($B20="","",IFERROR(LOOKUP(2,1/((((Events!$C$6:$C$17="Deduction start")+(Events!$C$6:$C$17="Deduction stop"))*(Events!$D$6:$D$17="Dependent-care FSA"))*(Events!$B$6:$B$17&lt;=$B20)*(Events!$B$6:$B$17&lt;&gt;"")),Events!$J$6:$J$17),0))</f>
      </c>
      <c r="BS20" s="6">
        <f>IF($B20="","",IF(SUMPRODUCT((Events!$C$6:$C$17="Deduction start")*(Events!$B$6:$B$17&lt;=$B20)*(Events!$B$6:$B$17&lt;&gt;"")*(Events!$D$6:$D$17="Health FSA"))&gt;0,1,0))</f>
      </c>
      <c r="BT20" s="6">
        <f>IF($B20="","",IF(SUMPRODUCT((Events!$C$6:$C$17="Deduction start")*(Events!$B$6:$B$17&lt;=$B20)*(Events!$B$6:$B$17&lt;&gt;"")*(Events!$D$6:$D$17="Dependent-care FSA"))&gt;0,1,0))</f>
      </c>
      <c r="BU20" s="24">
        <f>IF($B20="","",IF(Inputs!$C$13,SUMPRODUCT(($AH20&gt;=INDEX('Methodology &amp; Sources'!$B$29:$J$36,0,IF(Inputs!$C$12="MFJ",1,IF(Inputs!$C$12="HoH",7,4))))*INDEX('Methodology &amp; Sources'!$B$29:$J$36,0,IF(Inputs!$C$12="MFJ",1,IF(Inputs!$C$12="HoH",7,4))+2)),SUMPRODUCT(($AH20&gt;=INDEX('Methodology &amp; Sources'!$B$19:$J$26,0,IF(Inputs!$C$12="MFJ",1,IF(Inputs!$C$12="HoH",7,4))))*INDEX('Methodology &amp; Sources'!$B$19:$J$26,0,IF(Inputs!$C$12="MFJ",1,IF(Inputs!$C$12="HoH",7,4))+2))))</f>
      </c>
      <c r="BV20" s="24">
        <f>IF($B20="","",IF($BZ20&lt;&gt;"",$BZ20,IF($CA20&lt;&gt;"",$CA20,IF($CB20&lt;&gt;"",$CB20,IF($CC20&lt;&gt;"",$CC20,0)))))</f>
      </c>
      <c r="BW20" s="7">
        <f>IF($B20="","",IF($AN20="MD",IF(OR($AU20="Married",$AU20="Head of household"),SUMPRODUCT(($AZ20&gt;INDEX('Methodology &amp; Sources'!$B$114:$J$120,0,1))*($AZ20-INDEX('Methodology &amp; Sources'!$B$114:$J$120,0,1))*INDEX('Methodology &amp; Sources'!$B$114:$J$120,0,1+2)),SUMPRODUCT(($AZ20&gt;INDEX('Methodology &amp; Sources'!$B$103:$J$109,0,7))*($AZ20-INDEX('Methodology &amp; Sources'!$B$103:$J$109,0,7))*INDEX('Methodology &amp; Sources'!$B$103:$J$109,0,7+2))),IF($AN20="MO",SUMPRODUCT(($AZ20&gt;INDEX('Methodology &amp; Sources'!$B$125:$J$132,0,1))*($AZ20-INDEX('Methodology &amp; Sources'!$B$125:$J$132,0,1))*INDEX('Methodology &amp; Sources'!$B$125:$J$132,0,1+2)),IF($AN20="MT",IF($AU20="Head of household",SUMPRODUCT(($AZ20&gt;INDEX('Methodology &amp; Sources'!$B$137:$J$139,0,1))*($AZ20-INDEX('Methodology &amp; Sources'!$B$137:$J$139,0,1))*INDEX('Methodology &amp; Sources'!$B$137:$J$139,0,1+2)),IF($AU20="Married",SUMPRODUCT(($AZ20&gt;INDEX('Methodology &amp; Sources'!$B$125:$J$132,0,7))*($AZ20-INDEX('Methodology &amp; Sources'!$B$125:$J$132,0,7))*INDEX('Methodology &amp; Sources'!$B$125:$J$132,0,7+2)),SUMPRODUCT(($AZ20&gt;INDEX('Methodology &amp; Sources'!$B$125:$J$132,0,4))*($AZ20-INDEX('Methodology &amp; Sources'!$B$125:$J$132,0,4))*INDEX('Methodology &amp; Sources'!$B$125:$J$132,0,4+2)))),IF($AN20="ND",IF($AU20="Head of household",SUMPRODUCT(($AZ20&gt;INDEX('Methodology &amp; Sources'!$B$144:$J$150,0,1))*($AZ20-INDEX('Methodology &amp; Sources'!$B$144:$J$150,0,1))*INDEX('Methodology &amp; Sources'!$B$144:$J$150,0,1+2)),IF($AU20="Married",SUMPRODUCT(($AZ20&gt;INDEX('Methodology &amp; Sources'!$B$137:$J$139,0,7))*($AZ20-INDEX('Methodology &amp; Sources'!$B$137:$J$139,0,7))*INDEX('Methodology &amp; Sources'!$B$137:$J$139,0,7+2)),SUMPRODUCT(($AZ20&gt;INDEX('Methodology &amp; Sources'!$B$137:$J$139,0,4))*($AZ20-INDEX('Methodology &amp; Sources'!$B$137:$J$139,0,4))*INDEX('Methodology &amp; Sources'!$B$137:$J$139,0,4+2)))),IF($AN20="NJ",IF(Inputs!$C$77="B",SUMPRODUCT(($AZ20&gt;INDEX('Methodology &amp; Sources'!$B$155:$J$162,0,4))*($AZ20-INDEX('Methodology &amp; Sources'!$B$155:$J$162,0,4))*INDEX('Methodology &amp; Sources'!$B$155:$J$162,0,4+2)),IF(Inputs!$C$77="C",SUMPRODUCT(($AZ20&gt;INDEX('Methodology &amp; Sources'!$B$155:$J$162,0,7))*($AZ20-INDEX('Methodology &amp; Sources'!$B$155:$J$162,0,7))*INDEX('Methodology &amp; Sources'!$B$155:$J$162,0,7+2)),IF(Inputs!$C$77="D",SUMPRODUCT(($AZ20&gt;INDEX('Methodology &amp; Sources'!$B$167:$J$179,0,1))*($AZ20-INDEX('Methodology &amp; Sources'!$B$167:$J$179,0,1))*INDEX('Methodology &amp; Sources'!$B$167:$J$179,0,1+2)),IF(Inputs!$C$77="E",SUMPRODUCT(($AZ20&gt;INDEX('Methodology &amp; Sources'!$B$167:$J$179,0,4))*($AZ20-INDEX('Methodology &amp; Sources'!$B$167:$J$179,0,4))*INDEX('Methodology &amp; Sources'!$B$167:$J$179,0,4+2)),SUMPRODUCT(($AZ20&gt;INDEX('Methodology &amp; Sources'!$B$155:$J$162,0,1))*($AZ20-INDEX('Methodology &amp; Sources'!$B$155:$J$162,0,1))*INDEX('Methodology &amp; Sources'!$B$155:$J$162,0,1+2)))))),IF($AN20="NY",IF($AU20="Married",IF($AZ20&gt;=2155350,$AZ20*IF($AZ20&gt;25000000,0.117,IF($AZ20&gt;5000000,0.111,0.1045)),SUMPRODUCT(($AZ20&gt;INDEX('Methodology &amp; Sources'!$B$184:$J$198,0,1))*($AZ20-INDEX('Methodology &amp; Sources'!$B$184:$J$198,0,1))*INDEX('Methodology &amp; Sources'!$B$184:$J$198,0,1+2))),IF($AZ20&gt;=1077550,$AZ20*IF($AZ20&gt;25000000,0.117,IF($AZ20&gt;5000000,0.111,0.1045)),SUMPRODUCT(($AZ20&gt;INDEX('Methodology &amp; Sources'!$B$167:$J$179,0,7))*($AZ20-INDEX('Methodology &amp; Sources'!$B$167:$J$179,0,7))*INDEX('Methodology &amp; Sources'!$B$167:$J$179,0,7+2)))),"")))))))</f>
      </c>
      <c r="BX20" s="7">
        <f>IF($B20="","",IF($AN20="AL",IF(OR($AU20="Married",$AU20="Head of household"),SUMPRODUCT(($AZ20&gt;INDEX('Methodology &amp; Sources'!$B$82:$J$86,0,4))*($AZ20-INDEX('Methodology &amp; Sources'!$B$82:$J$86,0,4))*INDEX('Methodology &amp; Sources'!$B$82:$J$86,0,4+2)),SUMPRODUCT(($AZ20&gt;INDEX('Methodology &amp; Sources'!$B$82:$J$86,0,1))*($AZ20-INDEX('Methodology &amp; Sources'!$B$82:$J$86,0,1))*INDEX('Methodology &amp; Sources'!$B$82:$J$86,0,1+2))),IF($AN20="KS",IF($AU20="Married",SUMPRODUCT(($AZ20&gt;INDEX('Methodology &amp; Sources'!$B$103:$J$109,0,4))*($AZ20-INDEX('Methodology &amp; Sources'!$B$103:$J$109,0,4))*INDEX('Methodology &amp; Sources'!$B$103:$J$109,0,4+2)),SUMPRODUCT(($AZ20&gt;INDEX('Methodology &amp; Sources'!$B$103:$J$109,0,1))*($AZ20-INDEX('Methodology &amp; Sources'!$B$103:$J$109,0,1))*INDEX('Methodology &amp; Sources'!$B$103:$J$109,0,1+2))),IF($AN20="MN",IF($AU20="Married",SUMPRODUCT(($AZ20&gt;INDEX('Methodology &amp; Sources'!$B$114:$J$120,0,7))*($AZ20-INDEX('Methodology &amp; Sources'!$B$114:$J$120,0,7))*INDEX('Methodology &amp; Sources'!$B$114:$J$120,0,7+2)),SUMPRODUCT(($AZ20&gt;INDEX('Methodology &amp; Sources'!$B$114:$J$120,0,4))*($AZ20-INDEX('Methodology &amp; Sources'!$B$114:$J$120,0,4))*INDEX('Methodology &amp; Sources'!$B$114:$J$120,0,4+2))),IF($AN20="NE",MAX(IF($AU20="Married",SUMPRODUCT(($AZ20&gt;INDEX('Methodology &amp; Sources'!$B$144:$J$150,0,7))*($AZ20-INDEX('Methodology &amp; Sources'!$B$144:$J$150,0,7))*INDEX('Methodology &amp; Sources'!$B$144:$J$150,0,7+2)),SUMPRODUCT(($AZ20&gt;INDEX('Methodology &amp; Sources'!$B$144:$J$150,0,4))*($AZ20-INDEX('Methodology &amp; Sources'!$B$144:$J$150,0,4))*INDEX('Methodology &amp; Sources'!$B$144:$J$150,0,4+2))),0.015*$AZ20),IF($AN20="OH",IF($B20&gt;=DATE(2027,8,1),SUMPRODUCT(($AZ20&gt;INDEX('Methodology &amp; Sources'!$B$203:$J$206,0,1))*($AZ20-INDEX('Methodology &amp; Sources'!$B$203:$J$206,0,1))*INDEX('Methodology &amp; Sources'!$B$203:$J$206,0,1+2)),SUMPRODUCT(($AZ20&gt;INDEX('Methodology &amp; Sources'!$B$184:$J$198,0,7))*($AZ20-INDEX('Methodology &amp; Sources'!$B$184:$J$198,0,7))*INDEX('Methodology &amp; Sources'!$B$184:$J$198,0,7+2))),IF($AN20="OK",IF($AU20="Married",SUMPRODUCT(($AZ20&gt;INDEX('Methodology &amp; Sources'!$B$203:$J$206,0,7))*($AZ20-INDEX('Methodology &amp; Sources'!$B$203:$J$206,0,7))*INDEX('Methodology &amp; Sources'!$B$203:$J$206,0,7+2)),SUMPRODUCT(($AZ20&gt;INDEX('Methodology &amp; Sources'!$B$203:$J$206,0,4))*($AZ20-INDEX('Methodology &amp; Sources'!$B$203:$J$206,0,4))*INDEX('Methodology &amp; Sources'!$B$203:$J$206,0,4+2))),IF($AN20="RI",SUMPRODUCT(($AZ20&gt;INDEX('Methodology &amp; Sources'!$B$211:$J$214,0,7))*($AZ20-INDEX('Methodology &amp; Sources'!$B$211:$J$214,0,7))*INDEX('Methodology &amp; Sources'!$B$211:$J$214,0,7+2)),IF($AN20="VT",IF($AU20="Married",SUMPRODUCT(($AZ20&gt;INDEX('Methodology &amp; Sources'!$B$228:$J$232,0,1))*($AZ20-INDEX('Methodology &amp; Sources'!$B$228:$J$232,0,1))*INDEX('Methodology &amp; Sources'!$B$228:$J$232,0,1+2)),SUMPRODUCT(($AZ20&gt;INDEX('Methodology &amp; Sources'!$B$219:$J$223,0,7))*($AZ20-INDEX('Methodology &amp; Sources'!$B$219:$J$223,0,7))*INDEX('Methodology &amp; Sources'!$B$219:$J$223,0,7+2))),IF($AN20="WV",IF($AU20="Married",SUMPRODUCT(($AZ20&gt;INDEX('Methodology &amp; Sources'!$B$237:$J$241,0,7))*($AZ20-INDEX('Methodology &amp; Sources'!$B$237:$J$241,0,7))*INDEX('Methodology &amp; Sources'!$B$237:$J$241,0,7+2)),SUMPRODUCT(($AZ20&gt;INDEX('Methodology &amp; Sources'!$B$228:$J$232,0,7))*($AZ20-INDEX('Methodology &amp; Sources'!$B$228:$J$232,0,7))*INDEX('Methodology &amp; Sources'!$B$228:$J$232,0,7+2))),""))))))))))</f>
      </c>
      <c r="BY20" s="7">
        <f>IF($B20="","",IF($AN20="AR",SUMPRODUCT(($AZ20&gt;INDEX('Methodology &amp; Sources'!$B$82:$J$86,0,7))*($AZ20-INDEX('Methodology &amp; Sources'!$B$82:$J$86,0,7))*INDEX('Methodology &amp; Sources'!$B$82:$J$86,0,7+2)),IF($AN20="DE",SUMPRODUCT(($AZ20&gt;INDEX('Methodology &amp; Sources'!$B$91:$J$98,0,1))*($AZ20-INDEX('Methodology &amp; Sources'!$B$91:$J$98,0,1))*INDEX('Methodology &amp; Sources'!$B$91:$J$98,0,1+2)),IF($AN20="HI",IF($AU20="Married",SUMPRODUCT(($AZ20&gt;INDEX('Methodology &amp; Sources'!$B$91:$J$98,0,7))*($AZ20-INDEX('Methodology &amp; Sources'!$B$91:$J$98,0,7))*INDEX('Methodology &amp; Sources'!$B$91:$J$98,0,7+2)),SUMPRODUCT(($AZ20&gt;INDEX('Methodology &amp; Sources'!$B$91:$J$98,0,4))*($AZ20-INDEX('Methodology &amp; Sources'!$B$91:$J$98,0,4))*INDEX('Methodology &amp; Sources'!$B$91:$J$98,0,4+2))),IF($AN20="SC",SUMPRODUCT(($AZ20&gt;INDEX('Methodology &amp; Sources'!$B$219:$J$223,0,1))*($AZ20-INDEX('Methodology &amp; Sources'!$B$219:$J$223,0,1))*INDEX('Methodology &amp; Sources'!$B$219:$J$223,0,1+2)),IF($AN20="VA",SUMPRODUCT(($AZ20&gt;INDEX('Methodology &amp; Sources'!$B$219:$J$223,0,4))*($AZ20-INDEX('Methodology &amp; Sources'!$B$219:$J$223,0,4))*INDEX('Methodology &amp; Sources'!$B$219:$J$223,0,4+2)),IF($AN20="WI",SUMPRODUCT(($AZ20&gt;INDEX('Methodology &amp; Sources'!$B$228:$J$232,0,4))*($AZ20-INDEX('Methodology &amp; Sources'!$B$228:$J$232,0,4))*INDEX('Methodology &amp; Sources'!$B$228:$J$232,0,4+2)),"")))))))</f>
      </c>
      <c r="BZ20" s="24">
        <f>IF($B20="","",IF($AN20="NJ",IF(Inputs!$C$77="B",SUMPRODUCT(($AZ20&gt;=INDEX('Methodology &amp; Sources'!$B$155:$J$162,0,4))*INDEX('Methodology &amp; Sources'!$B$155:$J$162,0,4+2)),IF(Inputs!$C$77="C",SUMPRODUCT(($AZ20&gt;=INDEX('Methodology &amp; Sources'!$B$155:$J$162,0,7))*INDEX('Methodology &amp; Sources'!$B$155:$J$162,0,7+2)),IF(Inputs!$C$77="D",SUMPRODUCT(($AZ20&gt;=INDEX('Methodology &amp; Sources'!$B$167:$J$179,0,1))*INDEX('Methodology &amp; Sources'!$B$167:$J$179,0,1+2)),IF(Inputs!$C$77="E",SUMPRODUCT(($AZ20&gt;=INDEX('Methodology &amp; Sources'!$B$167:$J$179,0,4))*INDEX('Methodology &amp; Sources'!$B$167:$J$179,0,4+2)),SUMPRODUCT(($AZ20&gt;=INDEX('Methodology &amp; Sources'!$B$155:$J$162,0,1))*INDEX('Methodology &amp; Sources'!$B$155:$J$162,0,1+2)))))),IF($AN20="OR",IF(OR($AU20="Married",AND($AU20="Single",$AS20&gt;=3)),SUMPRODUCT((MAX(0,$AY20-MIN(($P20-'Methodology &amp; Sources'!$C$10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Sources'!$B$211:$J$214,0,4))*INDEX('Methodology &amp; Sources'!$B$211:$J$214,0,4+2)),SUMPRODUCT((MAX(0,$AY20-MIN(($P20-'Methodology &amp; Sources'!$C$10*$D20)*Inputs!$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Sources'!$B$211:$J$214,0,1))*INDEX('Methodology &amp; Sources'!$B$211:$J$214,0,1+2)))*IF(($P20-'Methodology &amp; Sources'!$C$10*$D20)*Inputs!$C$8&gt;=IF(OR($AU20="Married",AND($AU20="Single",$AS20&gt;=3)),IF($AY20&lt;250000,8750,IF($AY20&lt;260000,7000,IF($AY20&lt;270000,5250,IF($AY20&lt;280000,3500,IF($AY20&lt;290000,1750,0))))),IF($AY20&lt;125000,8750,IF($AY20&lt;130000,7000,IF($AY20&lt;135000,5250,IF($AY20&lt;140000,3500,IF($AY20&lt;145000,1750,0)))))),1,1-IF(Inputs!$C$13,SUMPRODUCT(($AH20&gt;=INDEX('Methodology &amp; Sources'!$B$29:$J$36,0,IF(Inputs!$C$12="MFJ",1,IF(Inputs!$C$12="HoH",7,4))))*INDEX('Methodology &amp; Sources'!$B$29:$J$36,0,IF(Inputs!$C$12="MFJ",1,IF(Inputs!$C$12="HoH",7,4))+2)),SUMPRODUCT(($AH20&gt;=INDEX('Methodology &amp; Sources'!$B$19:$J$26,0,IF(Inputs!$C$12="MFJ",1,IF(Inputs!$C$12="HoH",7,4))))*INDEX('Methodology &amp; Sources'!$B$19:$J$26,0,IF(Inputs!$C$12="MFJ",1,IF(Inputs!$C$12="HoH",7,4))+2)))),IF($AN20="MI",IF($AY20&gt;5900*$AS20,0.0425,0),""))))</f>
      </c>
      <c r="CA20" s="24">
        <f>IF($B20="","",IF($AN20="AL",IF(OR($AU20="Married",$AU20="Head of household"),SUMPRODUCT(($AZ20&gt;=INDEX('Methodology &amp; Sources'!$B$82:$J$86,0,4))*INDEX('Methodology &amp; Sources'!$B$82:$J$86,0,4+2)),SUMPRODUCT(($AZ20&gt;=INDEX('Methodology &amp; Sources'!$B$82:$J$86,0,1))*INDEX('Methodology &amp; Sources'!$B$82:$J$86,0,1+2)))*(1-IF(Inputs!$C$13,SUMPRODUCT(($AH20&gt;=INDEX('Methodology &amp; Sources'!$B$29:$J$36,0,IF(Inputs!$C$12="MFJ",1,IF(Inputs!$C$12="HoH",7,4))))*INDEX('Methodology &amp; Sources'!$B$29:$J$36,0,IF(Inputs!$C$12="MFJ",1,IF(Inputs!$C$12="HoH",7,4))+2)),SUMPRODUCT(($AH20&gt;=INDEX('Methodology &amp; Sources'!$B$19:$J$26,0,IF(Inputs!$C$12="MFJ",1,IF(Inputs!$C$12="HoH",7,4))))*INDEX('Methodology &amp; Sources'!$B$19:$J$26,0,IF(Inputs!$C$12="MFJ",1,IF(Inputs!$C$12="HoH",7,4))+2)))),IF($AN20="KS",IF($AU20="Married",SUMPRODUCT(($AZ20&gt;=INDEX('Methodology &amp; Sources'!$B$103:$J$109,0,4))*INDEX('Methodology &amp; Sources'!$B$103:$J$109,0,4+2)),SUMPRODUCT(($AZ20&gt;=INDEX('Methodology &amp; Sources'!$B$103:$J$109,0,1))*INDEX('Methodology &amp; Sources'!$B$103:$J$109,0,1+2))),IF($AN20="MD",IF(OR($AU20="Married",$AU20="Head of household"),SUMPRODUCT(($AZ20&gt;=INDEX('Methodology &amp; Sources'!$B$114:$J$120,0,1))*INDEX('Methodology &amp; Sources'!$B$114:$J$120,0,1+2)),SUMPRODUCT(($AZ20&gt;=INDEX('Methodology &amp; Sources'!$B$103:$J$109,0,7))*INDEX('Methodology &amp; Sources'!$B$103:$J$109,0,7+2)))+Inputs!$C$74,IF($AN20="MT",IF($AU20="Head of household",SUMPRODUCT(($AZ20&gt;=INDEX('Methodology &amp; Sources'!$B$137:$J$139,0,1))*INDEX('Methodology &amp; Sources'!$B$137:$J$139,0,1+2)),IF($AU20="Married",SUMPRODUCT(($AZ20&gt;=INDEX('Methodology &amp; Sources'!$B$125:$J$132,0,7))*INDEX('Methodology &amp; Sources'!$B$125:$J$132,0,7+2)),SUMPRODUCT(($AZ20&gt;=INDEX('Methodology &amp; Sources'!$B$125:$J$132,0,4))*INDEX('Methodology &amp; Sources'!$B$125:$J$132,0,4+2)))),IF($AN20="ND",IF($AU20="Head of household",SUMPRODUCT(($AZ20&gt;=INDEX('Methodology &amp; Sources'!$B$144:$J$150,0,1))*INDEX('Methodology &amp; Sources'!$B$144:$J$150,0,1+2)),IF($AU20="Married",SUMPRODUCT(($AZ20&gt;=INDEX('Methodology &amp; Sources'!$B$137:$J$139,0,7))*INDEX('Methodology &amp; Sources'!$B$137:$J$139,0,7+2)),SUMPRODUCT(($AZ20&gt;=INDEX('Methodology &amp; Sources'!$B$137:$J$139,0,4))*INDEX('Methodology &amp; Sources'!$B$137:$J$139,0,4+2)))),IF($AN20="NY",IF($AU20="Married",IF($AZ20&gt;=2155350,IF($AZ20&gt;25000000,0.117,IF($AZ20&gt;5000000,0.111,0.1045)),SUMPRODUCT(($AZ20&gt;=INDEX('Methodology &amp; Sources'!$B$184:$J$198,0,1))*INDEX('Methodology &amp; Sources'!$B$184:$J$198,0,1+2))),IF($AZ20&gt;=1077550,IF($AZ20&gt;25000000,0.117,IF($AZ20&gt;5000000,0.111,0.1045)),SUMPRODUCT(($AZ20&gt;=INDEX('Methodology &amp; Sources'!$B$167:$J$179,0,7))*INDEX('Methodology &amp; Sources'!$B$167:$J$179,0,7+2)))),"")))))))</f>
      </c>
      <c r="CB20" s="24">
        <f>IF($B20="","",IF($AN20="CA",SUMPRODUCT(($AJ20&gt;=INDEX('Methodology &amp; Sources'!$B$39:$J$48,0,IF($AU20="Married",4,IF($AU20="Head of household",7,1))))*INDEX('Methodology &amp; Sources'!$B$39:$J$48,0,IF($AU20="Married",4,IF($AU20="Head of household",7,1))+2)),IF($AN20="HI",IF($AU20="Married",SUMPRODUCT(($AZ20&gt;=INDEX('Methodology &amp; Sources'!$B$91:$J$98,0,7))*INDEX('Methodology &amp; Sources'!$B$91:$J$98,0,7+2)),SUMPRODUCT(($AZ20&gt;=INDEX('Methodology &amp; Sources'!$B$91:$J$98,0,4))*INDEX('Methodology &amp; Sources'!$B$91:$J$98,0,4+2))),IF($AN20="MN",IF($AU20="Married",SUMPRODUCT(($AZ20&gt;=INDEX('Methodology &amp; Sources'!$B$114:$J$120,0,7))*INDEX('Methodology &amp; Sources'!$B$114:$J$120,0,7+2)),SUMPRODUCT(($AZ20&gt;=INDEX('Methodology &amp; Sources'!$B$114:$J$120,0,4))*INDEX('Methodology &amp; Sources'!$B$114:$J$120,0,4+2))),IF($AN20="MO",SUMPRODUCT(($AZ20&gt;=INDEX('Methodology &amp; Sources'!$B$125:$J$132,0,1))*INDEX('Methodology &amp; Sources'!$B$125:$J$132,0,1+2)),IF($AN20="NE",MAX(IF($AU20="Married",SUMPRODUCT(($AZ20&gt;=INDEX('Methodology &amp; Sources'!$B$144:$J$150,0,7))*INDEX('Methodology &amp; Sources'!$B$144:$J$150,0,7+2)),SUMPRODUCT(($AZ20&gt;=INDEX('Methodology &amp; Sources'!$B$144:$J$150,0,4))*INDEX('Methodology &amp; Sources'!$B$144:$J$150,0,4+2))),0.015),IF($AN20="OH",IF($B20&gt;=DATE(2027,8,1),SUMPRODUCT(($AZ20&gt;=INDEX('Methodology &amp; Sources'!$B$203:$J$206,0,1))*INDEX('Methodology &amp; Sources'!$B$203:$J$206,0,1+2)),SUMPRODUCT(($AZ20&gt;=INDEX('Methodology &amp; Sources'!$B$184:$J$198,0,7))*INDEX('Methodology &amp; Sources'!$B$184:$J$198,0,7+2))),IF($AN20="OK",IF($AU20="Married",SUMPRODUCT(($AZ20&gt;=INDEX('Methodology &amp; Sources'!$B$203:$J$206,0,7))*INDEX('Methodology &amp; Sources'!$B$203:$J$206,0,7+2)),SUMPRODUCT(($AZ20&gt;=INDEX('Methodology &amp; Sources'!$B$203:$J$206,0,4))*INDEX('Methodology &amp; Sources'!$B$203:$J$206,0,4+2))),IF($AN20="RI",SUMPRODUCT(($AZ20&gt;=INDEX('Methodology &amp; Sources'!$B$211:$J$214,0,7))*INDEX('Methodology &amp; Sources'!$B$211:$J$214,0,7+2)),IF($AN20="SC",SUMPRODUCT(($AZ20&gt;=INDEX('Methodology &amp; Sources'!$B$219:$J$223,0,1))*INDEX('Methodology &amp; Sources'!$B$219:$J$223,0,1+2)),IF($AN20="VT",IF($AU20="Married",SUMPRODUCT(($AZ20&gt;=INDEX('Methodology &amp; Sources'!$B$228:$J$232,0,1))*INDEX('Methodology &amp; Sources'!$B$228:$J$232,0,1+2)),SUMPRODUCT(($AZ20&gt;=INDEX('Methodology &amp; Sources'!$B$219:$J$223,0,7))*INDEX('Methodology &amp; Sources'!$B$219:$J$223,0,7+2))),IF($AN20="WV",IF($AU20="Married",SUMPRODUCT(($AZ20&gt;=INDEX('Methodology &amp; Sources'!$B$237:$J$241,0,7))*INDEX('Methodology &amp; Sources'!$B$237:$J$241,0,7+2)),SUMPRODUCT(($AZ20&gt;=INDEX('Methodology &amp; Sources'!$B$228:$J$232,0,7))*INDEX('Methodology &amp; Sources'!$B$228:$J$232,0,7+2))),IF($AN20="IN",(0.0295+Inputs!$C$76),"")))))))))))))</f>
      </c>
      <c r="CC20" s="24">
        <f>IF($B20="","",IF($AN20="AR",SUMPRODUCT(($AZ20&gt;=INDEX('Methodology &amp; Sources'!$B$82:$J$86,0,7))*INDEX('Methodology &amp; Sources'!$B$82:$J$86,0,7+2)),IF($AN20="DE",SUMPRODUCT(($AZ20&gt;=INDEX('Methodology &amp; Sources'!$B$91:$J$98,0,1))*INDEX('Methodology &amp; Sources'!$B$91:$J$98,0,1+2)),IF($AN20="VA",SUMPRODUCT(($AZ20&gt;=INDEX('Methodology &amp; Sources'!$B$219:$J$223,0,4))*INDEX('Methodology &amp; Sources'!$B$219:$J$223,0,4+2)),IF($AN20="WI",SUMPRODUCT(($AZ20&gt;=INDEX('Methodology &amp; Sources'!$B$228:$J$232,0,4))*INDEX('Methodology &amp; Sources'!$B$228:$J$232,0,4+2)),IF($AN20="AZ",Inputs!$C$82,IF($AN20="CO",IF($AY20&gt;IF($AU20="Married",10000,5000),0.044,0),IF($AN20="IA",IF($AY20&gt;IF($AU20="Head of household",19500,IF($AU20="Married",26000,13000)),0.038,0),IF($AN20="ID",IF($AY20&gt;IF($AU20="Married",32000,16094),0.053,0),IF($AN20="IL",IF($AY20&gt;(2925*$AS20+1000*$AT20),0.0495,0),IF($AN20="KY",IF($AI20&gt;3360,0.035,0),IF($AN20="LA",0.0309,IF($AN20="MA",IF(MAX(0,$AY20-MIN(($BD19+$Q20+$R20+$S20),2000)-IF($AS20=0,0,IF($AS20=1,4400,1000*$AS20+3400)))&gt;=1107750,0.09,0.05),IF($AN20="MS",IF($AI20-IF($AU20="Head of household",3400,IF($AU20="Married",4600,2300))-Inputs!$C$85&gt;10000,0.04,0),IF($AN20="PA",0.0307,"")))))))))))))))</f>
      </c>
      <c r="CD20" s="21">
        <f>IF(YEAR(IF(Inputs!$C$7="Weekly",Inputs!$C$90+7*(($BE19+1)-1),IF(Inputs!$C$7="Biweekly",Inputs!$C$90+14*(($BE19+1)-1),IF(Inputs!$C$7="Semimonthly",DATE(YEAR(Inputs!$C$9),MONTH(Inputs!$C$9)+INT((($BE19+1)-1+'Rest of 2026'!$C$2)/2),MIN(DAY(Inputs!$C$9),DAY(EOMONTH(DATE(YEAR(Inputs!$C$9),MONTH(Inputs!$C$9)+INT((($BE19+1)-1+'Rest of 2026'!$C$2)/2),1),0))))+IF(MOD(($BE19+1)-1+'Rest of 2026'!$C$2,2)=1,15,0),EDATE(Inputs!$C$90,($BE19+1)-1)))))&lt;&gt;Inputs!$C$10,"",IF(Inputs!$C$7="Weekly",Inputs!$C$90+7*(($BE19+1)-1),IF(Inputs!$C$7="Biweekly",Inputs!$C$90+14*(($BE19+1)-1),IF(Inputs!$C$7="Semimonthly",DATE(YEAR(Inputs!$C$9),MONTH(Inputs!$C$9)+INT((($BE19+1)-1+'Rest of 2026'!$C$2)/2),MIN(DAY(Inputs!$C$9),DAY(EOMONTH(DATE(YEAR(Inputs!$C$9),MONTH(Inputs!$C$9)+INT((($BE19+1)-1+'Rest of 2026'!$C$2)/2),1),0))))+IF(MOD(($BE19+1)-1+'Rest of 2026'!$C$2,2)=1,15,0),EDATE(Inputs!$C$90,($BE19+1)-1)))))</f>
      </c>
      <c r="CE20" s="21">
        <f>IF(SUMPRODUCT(MIN(IF((Inputs!$C$58:$C$67&gt;MAX($B$6:$B19))*(Inputs!$C$58:$C$67&gt;=DATE(Inputs!$C$10,1,1))*(Inputs!$C$58:$C$67&lt;=DATE(Inputs!$C$10,12,31)),Inputs!$C$58:$C$67,999999)))=999999,"",SUMPRODUCT(MIN(IF((Inputs!$C$58:$C$67&gt;MAX($B$6:$B19))*(Inputs!$C$58:$C$67&gt;=DATE(Inputs!$C$10,1,1))*(Inputs!$C$58:$C$67&lt;=DATE(Inputs!$C$10,12,31)),Inputs!$C$58:$C$67,999999))))</f>
      </c>
    </row>
    <row r="21">
      <c r="A21" t="n">
        <v>16</v>
      </c>
      <c r="B21" s="21">
        <f>IF(AND($CD21="",$CE21=""),"",IF($CE21="",$CD21,IF($CD21="",$CE21,MIN($CD21,$CE21))))</f>
      </c>
      <c r="C21" s="7">
        <f>IF($B21="","",IF($BF21=0,0,IF(Inputs!$C$4="Annual salary",ROUND($AK21/IF(AND(Inputs!$C$88="Actual paydays",MONTH(Inputs!$C$90)=1),MAX(1,MAX($BE$6:$BE$68)),Inputs!$C$8),2),$AK21)))</f>
      </c>
      <c r="D21" s="7">
        <f>IF($B21="","",SUMIF(Inputs!$C$58:$C$67,$B21,Inputs!$D$58:$D$67))</f>
      </c>
      <c r="E21" s="7">
        <f>IF($B21="","",ROUND(MAX(0,MIN(IF($AL21="Percent",$AM21*($C21+$D21),$AM21),MAX(0,Inputs!$C$34-$AC20))),2))</f>
      </c>
      <c r="F21" s="7">
        <f>IF($B21="","",ROUND(MAX(0,MIN(IF(Inputs!$C$32="Percent",Inputs!$D$32*($C21+$D21),Inputs!$D$32),MAX(0,Inputs!$C$34-$AC20-$E21))),2))</f>
      </c>
      <c r="G21" s="7">
        <f>IF($B21="","",IF($BF21=0,0,ROUND(MAX(0,MIN($BL21,Inputs!$C$37-Inputs!$C$99-$BI20)),2)))</f>
      </c>
      <c r="H21" s="7">
        <f>IF($B21="","",IF(OR($BF21=0,$BQ21=1),0,ROUND(MAX(0,MIN(IF($BS21=1,ROUND(MAX(0,MIN($BJ21,'Methodology &amp; Sources'!$C$13)-$BG20)/MAX(1,MAX($BE$6:$BE$68)-($BE20)),2),ROUND(MIN($BJ21,'Methodology &amp; Sources'!$C$13)/Inputs!$C$8,2)),MIN($BJ21,'Methodology &amp; Sources'!$C$13)-$BG20)),2)))</f>
      </c>
      <c r="I21" s="7">
        <f>IF($B21="","",IF(OR($BF21=0,$BR21=1),0,ROUND(MAX(0,MIN(IF($BT21=1,ROUND(MAX(0,MIN($BK21,IF(Inputs!$C$12="MFJ",'Methodology &amp; Sources'!$C$14,'Methodology &amp; Sources'!$C$15))-$BH20)/MAX(1,MAX($BE$6:$BE$68)-($BE20)),2),ROUND(MIN($BK21,IF(Inputs!$C$12="MFJ",'Methodology &amp; Sources'!$C$14,'Methodology &amp; Sources'!$C$15))/Inputs!$C$8,2)),MIN($BK21,IF(Inputs!$C$12="MFJ",'Methodology &amp; Sources'!$C$14,'Methodology &amp; Sources'!$C$15))-$BH20)),2)))</f>
      </c>
      <c r="J21" s="7">
        <f>IF($B21="","",IF($BF21=0,0,$BM21))</f>
      </c>
      <c r="K21" s="7">
        <f>IF($B21="","",IF($BF21=0,0,$BN21+$BO21))</f>
      </c>
      <c r="L21" s="7">
        <f>IF($B21="","",IF($BF21=0,0,Inputs!$D$46))</f>
      </c>
      <c r="M21" s="7">
        <f>IF($B21="","",$C21+$D21+$L21-$E21-$G21-$H21-$I21-$J21-$K21)</f>
      </c>
      <c r="N21" s="7">
        <f>IF($B21="","",$C21+$D21+$L21-$G21-$H21-$I21-$J21-$K21)</f>
      </c>
      <c r="O21" s="7">
        <f>IF($B21="","",$C21+$D21+$L21-$E21-$H21-$I21-$J21-$K21-IF(OR($AN21="CA",$AN21="NJ"),0,$G21))</f>
      </c>
      <c r="P21" s="7">
        <f>IF($B21="","",IF(Inputs!$C$18,0,ROUND(MAX(0,IF(Inputs!$C$13,SUMPRODUCT(($AH21&gt;INDEX('Methodology &amp; Sources'!$B$29:$J$36,0,IF(Inputs!$C$12="MFJ",1,IF(Inputs!$C$12="HoH",7,4))))*($AH21-INDEX('Methodology &amp; Sources'!$B$29:$J$36,0,IF(Inputs!$C$12="MFJ",1,IF(Inputs!$C$12="HoH",7,4))))*INDEX('Methodology &amp; Sources'!$B$29:$J$36,0,IF(Inputs!$C$12="MFJ",1,IF(Inputs!$C$12="HoH",7,4))+2)),SUMPRODUCT(($AH21&gt;INDEX('Methodology &amp; Sources'!$B$19:$J$26,0,IF(Inputs!$C$12="MFJ",1,IF(Inputs!$C$12="HoH",7,4))))*($AH21-INDEX('Methodology &amp; Sources'!$B$19:$J$26,0,IF(Inputs!$C$12="MFJ",1,IF(Inputs!$C$12="HoH",7,4))))*INDEX('Methodology &amp; Sources'!$B$19:$J$26,0,IF(Inputs!$C$12="MFJ",1,IF(Inputs!$C$12="HoH",7,4))+2)))/Inputs!$C$8-$AO21/Inputs!$C$8)+$AR21+IF(Inputs!$C$89="Aggregate",MAX(0,IF(Inputs!$C$13,SUMPRODUCT((($AH21+$D21)&gt;INDEX('Methodology &amp; Sources'!$B$29:$J$36,0,IF(Inputs!$C$12="MFJ",1,IF(Inputs!$C$12="HoH",7,4))))*(($AH21+$D21)-INDEX('Methodology &amp; Sources'!$B$29:$J$36,0,IF(Inputs!$C$12="MFJ",1,IF(Inputs!$C$12="HoH",7,4))))*INDEX('Methodology &amp; Sources'!$B$29:$J$36,0,IF(Inputs!$C$12="MFJ",1,IF(Inputs!$C$12="HoH",7,4))+2)),SUMPRODUCT((($AH21+$D21)&gt;INDEX('Methodology &amp; Sources'!$B$19:$J$26,0,IF(Inputs!$C$12="MFJ",1,IF(Inputs!$C$12="HoH",7,4))))*(($AH21+$D21)-INDEX('Methodology &amp; Sources'!$B$19:$J$26,0,IF(Inputs!$C$12="MFJ",1,IF(Inputs!$C$12="HoH",7,4))))*INDEX('Methodology &amp; Sources'!$B$19:$J$26,0,IF(Inputs!$C$12="MFJ",1,IF(Inputs!$C$12="HoH",7,4))+2)))-IF(Inputs!$C$13,SUMPRODUCT(($AH21&gt;INDEX('Methodology &amp; Sources'!$B$29:$J$36,0,IF(Inputs!$C$12="MFJ",1,IF(Inputs!$C$12="HoH",7,4))))*($AH21-INDEX('Methodology &amp; Sources'!$B$29:$J$36,0,IF(Inputs!$C$12="MFJ",1,IF(Inputs!$C$12="HoH",7,4))))*INDEX('Methodology &amp; Sources'!$B$29:$J$36,0,IF(Inputs!$C$12="MFJ",1,IF(Inputs!$C$12="HoH",7,4))+2)),SUMPRODUCT(($AH21&gt;INDEX('Methodology &amp; Sources'!$B$19:$J$26,0,IF(Inputs!$C$12="MFJ",1,IF(Inputs!$C$12="HoH",7,4))))*($AH21-INDEX('Methodology &amp; Sources'!$B$19:$J$26,0,IF(Inputs!$C$12="MFJ",1,IF(Inputs!$C$12="HoH",7,4))))*INDEX('Methodology &amp; Sources'!$B$19:$J$26,0,IF(Inputs!$C$12="MFJ",1,IF(Inputs!$C$12="HoH",7,4))+2)))),'Methodology &amp; Sources'!$C$10*$D21),2)))</f>
      </c>
      <c r="Q21" s="7">
        <f>IF($B21="","",ROUND('Methodology &amp; Sources'!$C$4*MIN($N21,MAX(0,'Methodology &amp; Sources'!$C$3-($AX21+$AB20-$AW21))),2))</f>
      </c>
      <c r="R21" s="7">
        <f>IF($B21="","",ROUND('Methodology &amp; Sources'!$C$5*$N21,2))</f>
      </c>
      <c r="S21" s="7">
        <f>IF($B21="","",ROUND('Methodology &amp; Sources'!$C$6*MAX(0,MIN($N21,$AG20+$N21-'Methodology &amp; Sources'!$C$7)),2))</f>
      </c>
      <c r="T21" s="7">
        <f>IF($B21="","",IF(Inputs!$C$26,0,IF($AN21="CA",ROUND(IF($AI21&lt;=IF(($AS21+$AT21)&gt;=2,VLOOKUP($AN21,StateTables!$A$6:$AB$56,10,FALSE),VLOOKUP($AN21,StateTables!$A$6:$AB$56,9,FALSE)),0,MAX(0,SUMPRODUCT(($AJ21&gt;INDEX('Methodology &amp; Sources'!$B$39:$J$48,0,IF($AU21="Married",4,IF($AU21="Head of household",7,1))))*($AJ21-INDEX('Methodology &amp; Sources'!$B$39:$J$48,0,IF($AU21="Married",4,IF($AU21="Head of household",7,1))))*INDEX('Methodology &amp; Sources'!$B$39:$J$48,0,IF($AU21="Married",4,IF($AU21="Head of household",7,1))+2))-VLOOKUP($AN21,StateTables!$A$6:$AB$56,11,FALSE)*$AS21)/Inputs!$C$8)+Inputs!$C$25+VLOOKUP($AN21,StateTables!$A$6:$AB$56,13,FALSE)*$D21,2),IF(VLOOKUP($AN21,StateTables!$A$6:$AB$56,4,FALSE)="None",0,IF(ISNUMBER(SEARCH("MANUAL",VLOOKUP($AN21,StateTables!$A$6:$AB$56,5,FALSE))),Inputs!$C$28,ROUND(MAX(0,$BA21+$BB21)/Inputs!$C$8+Inputs!$C$25+$BC21,2))))))</f>
      </c>
      <c r="U21" s="7">
        <f>IF($B21="","",IF(VLOOKUP($AN21,StateTables!$A$6:$AB$56,24,FALSE)="flatq",IF(OR(MONTH($B21)=1,MONTH($B21)=4,MONTH($B21)=7,MONTH($B21)=10),VLOOKUP($AN21,StateTables!$A$6:$AB$56,25,FALSE),0),IF(VLOOKUP($AN21,StateTables!$A$6:$AB$56,24,FALSE)="dbl",MIN(ROUND(0.005*$N21,2),ROUND(0.6*52/Inputs!$C$8,2)),IF(OR(VLOOKUP($AN21,StateTables!$A$6:$AB$56,15,FALSE)="",VLOOKUP($AN21,StateTables!$A$6:$AB$56,15,FALSE)=0),0,ROUND(VLOOKUP($AN21,StateTables!$A$6:$AB$56,15,FALSE)*IF(OR(VLOOKUP($AN21,StateTables!$A$6:$AB$56,16,FALSE)="",VLOOKUP($AN21,StateTables!$A$6:$AB$56,16,FALSE)=0),$N21,MIN($N21,MAX(0,VLOOKUP($AN21,StateTables!$A$6:$AB$56,16,FALSE)-($AX21+$AB20-$AW21)))),2))))+IF(VLOOKUP($AN21,StateTables!$A$6:$AB$56,27,FALSE)="flatq",IF(OR(MONTH($B21)=1,MONTH($B21)=4,MONTH($B21)=7,MONTH($B21)=10),VLOOKUP($AN21,StateTables!$A$6:$AB$56,28,FALSE),0),IF(VLOOKUP($AN21,StateTables!$A$6:$AB$56,27,FALSE)="dbl",MIN(ROUND(0.005*$N21,2),ROUND(0.6*52/Inputs!$C$8,2)),IF(OR(VLOOKUP($AN21,StateTables!$A$6:$AB$56,18,FALSE)="",VLOOKUP($AN21,StateTables!$A$6:$AB$56,18,FALSE)=0),0,ROUND(VLOOKUP($AN21,StateTables!$A$6:$AB$56,18,FALSE)*IF(OR(VLOOKUP($AN21,StateTables!$A$6:$AB$56,19,FALSE)="",VLOOKUP($AN21,StateTables!$A$6:$AB$56,19,FALSE)=0),$N21,MIN($N21,MAX(0,VLOOKUP($AN21,StateTables!$A$6:$AB$56,19,FALSE)-($AX21+$AB20-$AW21)))),2)))))</f>
      </c>
      <c r="V21" s="7">
        <f>IF($B21="","",IF($AN21="NY",IF(Inputs!$C$78,ROUND(SUMPRODUCT((MAX(0,($O21-$D21)*Inputs!$C$8-(IF($AU21="Married",5500,5000)+1000*$AS21))&gt;INDEX('Methodology &amp; Sources'!$B$184:$J$198,0,4))*(MAX(0,($O21-$D21)*Inputs!$C$8-(IF($AU21="Married",5500,5000)+1000*$AS21))-INDEX('Methodology &amp; Sources'!$B$184:$J$198,0,4))*INDEX('Methodology &amp; Sources'!$B$184:$J$198,0,4+2))/Inputs!$C$8+0.0425*$D21,2),0)+IF(Inputs!$C$79="Resident",ROUND(0.1675*$T21,2),IF(Inputs!$C$79="Nonresident",ROUND(0.005*MAX(0,($O21-$D21)-(IF($AU21="Married",7950,7400)+1000*$AS21)/Inputs!$C$8),2),0)),IF($AN21="PA",IF(Inputs!$C$80="None",Inputs!$C$27+ROUND(Inputs!$C$81*($C21+$D21),2),ROUND(IF(Inputs!$C$80="Resident",IF($B21&lt;DATE(2027,7,1),0.03735,0.03735),IF($B21&lt;DATE(2027,7,1),0.03425,0.03425))*($C21+$D21),2)),IF($BF21=0,ROUND(Inputs!$C$81*($C21+$D21),2),Inputs!$C$27+ROUND(Inputs!$C$81*($C21+$D21),2)))))</f>
      </c>
      <c r="W21" s="7">
        <f>IF($B21="","",IF($BF21=0,0,$BP21))</f>
      </c>
      <c r="X21" s="7">
        <f>IF($B21="","",SUM($E21:$K21)+$P21+$Q21+$R21+$S21+$T21+$U21+$V21+$W21)</f>
      </c>
      <c r="Y21" s="22">
        <f>IF($B21="","",$C21+$D21-$X21)</f>
      </c>
      <c r="Z21" s="7">
        <f>IF($B21="","",$Z20+$C21+$D21)</f>
      </c>
      <c r="AA21" s="7">
        <f>IF($B21="","",$AA20+$Y21)</f>
      </c>
      <c r="AB21" s="7">
        <f>IF($B21="","",$AB20+MIN($N21,MAX(0,'Methodology &amp; Sources'!$C$3-($AX21+$AB20-$AW21))))</f>
      </c>
      <c r="AC21" s="7">
        <f>IF($B21="","",$AC20+$E21+$F21)</f>
      </c>
      <c r="AD21" s="3">
        <f>IF($B21="","",IF(AND($AB20&lt;'Methodology &amp; Sources'!$C$3,$AB21&gt;='Methodology &amp; Sources'!$C$3),"★ Social Security maxed on this check — from the next check your net rises by about $"&amp;TEXT(ROUND('Methodology &amp; Sources'!$C$4*$N21,2),"#,##0.00")&amp;". ","")&amp;IF(AND($AC20&lt;Inputs!$C$34,$AC21&gt;=Inputs!$C$34),"★ 401(k) reaches the $"&amp;TEXT(Inputs!$C$34,"#,##0")&amp;" cap on this check — deferrals stop and net pay rises. ","")&amp;IF(AND($AG20&lt;'Methodology &amp; Sources'!$C$7,$AG21&gt;='Methodology &amp; Sources'!$C$7),"★ Wages pass $200,000 — the 0.9% Additional Medicare Tax starts here. ","")&amp;IF(AND($BJ21&gt;0,$H21&gt;0,$BG20&lt;MIN($BJ21,'Methodology &amp; Sources'!$C$13),$BG20+$H21&gt;=MIN($BJ21,'Methodology &amp; Sources'!$C$13)),"★ Health FSA election is now fully deferred for the year. ",""))</f>
      </c>
      <c r="AE21" s="41" t="n"/>
      <c r="AF21" s="7">
        <f>IF(OR($B21="",$AE21=""),"",$AE21-$Y21)</f>
      </c>
      <c r="AG21" s="7">
        <f>IF($B21="","",$AG20+$N21)</f>
      </c>
      <c r="AH21" s="7">
        <f>IF($B21="","",MAX(0,($M21-$D21)*Inputs!$C$8+$AP21-$AQ21-IF(Inputs!$C$13,0,IF(Inputs!$C$12="MFJ",'Methodology &amp; Sources'!$C$8,'Methodology &amp; Sources'!$C$9))))</f>
      </c>
      <c r="AI21" s="7">
        <f>IF($B21="","",$O21*Inputs!$C$8)</f>
      </c>
      <c r="AJ21" s="7">
        <f>IF($B21="","",MAX(0,$AI21-VLOOKUP($AN21,StateTables!$A$6:$AB$56,12,FALSE)*$AT21-IF(($AS21+$AT21)&gt;=2,VLOOKUP($AN21,StateTables!$A$6:$AB$56,8,FALSE),VLOOKUP($AN21,StateTables!$A$6:$AB$56,7,FALSE))))</f>
      </c>
      <c r="AK21" s="7">
        <f>IF($B21="","",IFERROR(LOOKUP(2,1/((Events!$C$6:$C$17="Salary change")*(Events!$B$6:$B$17&lt;=$B21)*(Events!$B$6:$B$17&lt;&gt;"")),Events!$D$6:$D$17),IF(Inputs!$C$4="Annual salary",Inputs!$C$5,Inputs!$C$6)))</f>
      </c>
      <c r="AL21">
        <f>IF($B21="","",IFERROR(LOOKUP(2,1/((Events!$C$6:$C$17="401(k) change")*(Events!$B$6:$B$17&lt;=$B21)*(Events!$B$6:$B$17&lt;&gt;"")),Events!$D$6:$D$17),Inputs!$C$30))</f>
      </c>
      <c r="AM21" s="7">
        <f>IF($B21="","",IFERROR(LOOKUP(2,1/((Events!$C$6:$C$17="401(k) change")*(Events!$B$6:$B$17&lt;=$B21)*(Events!$B$6:$B$17&lt;&gt;"")),Events!$E$6:$E$17),Inputs!$D$30))</f>
      </c>
      <c r="AN21">
        <f>IF($B21="","",IFERROR(LOOKUP(2,1/((Events!$C$6:$C$17="State move")*(Events!$B$6:$B$17&lt;=$B21)*(Events!$B$6:$B$17&lt;&gt;"")),Events!$D$6:$D$17),Inputs!$C$21))</f>
      </c>
      <c r="AO21" s="7">
        <f>IF($B21="","",IFERROR(LOOKUP(2,1/((Events!$C$6:$C$17="W-4 change")*(Events!$B$6:$B$17&lt;=$B21)*(Events!$B$6:$B$17&lt;&gt;"")),Events!$D$6:$D$17),Inputs!$C$14))</f>
      </c>
      <c r="AP21" s="7">
        <f>IF($B21="","",IFERROR(LOOKUP(2,1/((Events!$C$6:$C$17="W-4 change")*(Events!$B$6:$B$17&lt;=$B21)*(Events!$B$6:$B$17&lt;&gt;"")),Events!$E$6:$E$17),Inputs!$C$15))</f>
      </c>
      <c r="AQ21" s="7">
        <f>IF($B21="","",IFERROR(LOOKUP(2,1/((Events!$C$6:$C$17="W-4 change")*(Events!$B$6:$B$17&lt;=$B21)*(Events!$B$6:$B$17&lt;&gt;"")),Events!$F$6:$F$17),Inputs!$C$16))</f>
      </c>
      <c r="AR21" s="7">
        <f>IF($B21="","",IFERROR(LOOKUP(2,1/((Events!$C$6:$C$17="W-4 change")*(Events!$B$6:$B$17&lt;=$B21)*(Events!$B$6:$B$17&lt;&gt;"")),Events!$G$6:$G$17),Inputs!$C$17))</f>
      </c>
      <c r="AS21" s="6">
        <f>IF($B21="","",IFERROR(LOOKUP(2,1/(((Events!$C$6:$C$17="State move")+(Events!$C$6:$C$17="State cert change"))*(Events!$B$6:$B$17&lt;=$B21)*(Events!$B$6:$B$17&lt;&gt;"")),Events!$F$6:$F$17),Inputs!$C$23))</f>
      </c>
      <c r="AT21" s="6">
        <f>IF($B21="","",IFERROR(LOOKUP(2,1/(((Events!$C$6:$C$17="State move")+(Events!$C$6:$C$17="State cert change"))*(Events!$B$6:$B$17&lt;=$B21)*(Events!$B$6:$B$17&lt;&gt;"")),Events!$G$6:$G$17),Inputs!$C$24))</f>
      </c>
      <c r="AU21">
        <f>IF($B21="","",IFERROR(LOOKUP(2,1/((Events!$C$6:$C$17="State move")*(Events!$B$6:$B$17&lt;=$B21)*(Events!$B$6:$B$17&lt;&gt;"")),Events!$E$6:$E$17),Inputs!$C$22))</f>
      </c>
      <c r="AV21" s="6">
        <f>IF($B21="","",1+COUNTIFS(Events!$C$6:$C$17,"Employer change",Events!$B$6:$B$17,"&lt;="&amp;$B21,Events!$B$6:$B$17,"&lt;&gt;"))</f>
      </c>
      <c r="AW21" s="7">
        <f>IF($B21="","",IF($AV21=1,Inputs!$C$94,IF(IFERROR(MATCH(IFERROR(LOOKUP(2,1/((Events!$C$6:$C$17="Employer change")*(Events!$B$6:$B$17&lt;=$B21)*(Events!$B$6:$B$17&lt;&gt;"")),Events!$B$6:$B$17),""),$B$6:$B$68,1),1)&lt;=1,Inputs!$C$94,INDEX($AB$6:$AB$68,MATCH(IFERROR(LOOKUP(2,1/((Events!$C$6:$C$17="Employer change")*(Events!$B$6:$B$17&lt;=$B21)*(Events!$B$6:$B$17&lt;&gt;"")),Events!$B$6:$B$17),""),$B$6:$B$68,1)-1))))</f>
      </c>
      <c r="AX21" s="7">
        <f>IF($B21="","",IF($AV21=1,Inputs!$C$94,IFERROR(LOOKUP(2,1/((Events!$C$6:$C$17="Employer change")*(Events!$B$6:$B$17&lt;=$B21)*(Events!$B$6:$B$17&lt;&gt;"")),Events!$D$6:$D$17),0)))</f>
      </c>
      <c r="AY21" s="7">
        <f>IF($B21="","",($O21-$D21)*Inputs!$C$8)</f>
      </c>
      <c r="AZ21" s="7">
        <f>IF($B21="","",IF($AN21="AL",MAX(0,$AY21-IF($AU21="Married",IF($AY21&lt;=25999,8500,MAX(5000,8500-175*CEILING(($AY21-25999)/500,1))),IF($AU21="Head of household",IF($AY21&lt;=25999,5200,MAX(2500,5200-135*CEILING(($AY21-25999)/500,1))),IF($AY21&lt;=25999,3000,MAX(2500,3000-25*CEILING(($AY21-25999)/500,1)))))-($P21-'Methodology &amp; Sources'!$C$10*$D21)*Inputs!$C$8-IF(OR($AU21="Married",$AU21="Head of household"),3000,1500)-$AT21*IF($AY21&lt;=50000,1000,IF($AY21&lt;=100000,500,300))),IF($AN21="AR",IF(MAX(0,$AY21-2470)&lt;97701,INT(MAX(0,$AY21-2470)/100)*100+50,MAX(0,$AY21-2470)),IF($AN21="DE",MAX(0,$AI21-3250),IF($AN21="HI",MAX(0,$AI21-1144*$AS21-4350),IF($AN21="KS",MAX(0,$AI21-(9160*IF($AU21="Married",2,1)+2320*$AT21+IF($AU21="Head of household",2320,0))),IF($AN21="MD",MAX(0,$AI21-3400-3200*$AS21),IF($AN21="MN",MAX(0,$AY21-5300*$AS21),IF($AN21="MO",MAX(0,$AI21-IF($AU21="Head of household",24150,IF($AU21="Married",IF(Inputs!$C$83,16100,32200),16100))),IF($AN21="MT",$AY21,IF($AN21="ND",($C21+$L21)*Inputs!$C$8,IF($AN21="NE",MAX(0,$AY21-2440*$AS21),IF($AN21="NJ",MAX(0,$AY21-1000*$AS21),IF($AN21="NY",MAX(0,$AY21-(IF($AU21="Married",7950,7400)+1000*$AS21)),IF($AN21="OH",MAX(0,$AY21-650*$AS21),IF($AN21="OK",MAX(0,$AY21-1000*$AS21),IF($AN21="RI",MAX(0,$AI21-1000*$AS21),IF($AN21="SC",MAX(0,$AI21-5000*$AS21-IF($AS21=0,0,MIN(0.1*$AI21,7500))),IF($AN21="VA",MAX(0,$AI21-IF($AU21="Married",17500,8750)-930*$AS21-800*$AT21),IF($AN21="VT",MAX(0,$AI21-5400*$AS21),IF($AN21="WI",MAX(0,$AI21-MAX(0,IF($AU21="Married",9461-0.2*MAX(0,$AI21-25727),6702-0.12*MAX(0,$AI21-17780)))-400*$AS21),IF($AN21="WV",MAX(0,$AI21-2000*$AS21),$AI21))))))))))))))))))))))</f>
      </c>
      <c r="BA21" s="7">
        <f>IF($B21="","",IF($BW21&lt;&gt;"",$BW21,IF($BX21&lt;&gt;"",$BX21,IF($BY21&lt;&gt;"",$BY21,0))))</f>
      </c>
      <c r="BB21" s="7">
        <f>IF($B21="","",IF($AN21="AR",-29*$AS21,IF($AN21="DE",-110*$AS21,IF($AN21="MD",$AZ21*Inputs!$C$74,IF($AN21="AZ",Inputs!$C$82*($M21-$D21)*Inputs!$C$8,IF($AN21="CO",0.044*MAX(0,$AY21-IF($AU21="Married",10000,5000)),IF($AN21="IA",MAX(0,0.038*MAX(0,$AY21-IF($AU21="Head of household",19500,IF($AU21="Married",26000,13000)))-40*$AS21),IF($AN21="ID",0.053*MAX(0,$AY21-IF($AU21="Married",32000,16094)),IF($AN21="IL",0.0495*MAX(0,$AY21-(2925*$AS21+1000*$AT21)),IF($AN21="IN",(0.0295+Inputs!$C$76)*MAX(0,$AY21-(1000*$AS21+1500*$AT21+3000*Inputs!$C$86)),IF($AN21="KY",0.035*MAX(0,$AI21-3360),IF($AN21="LA",IF(Inputs!$C$84="0",0.0309*$AI21,0.0309*MAX(0,$AI21-IF(Inputs!$C$84="2",25750,12875))),IF($AN21="MA",0.05*MIN(MAX(0,$AY21-MIN(($BD20+$Q21+$R21+$S21),2000)-IF($AS21=0,0,IF($AS21=1,4400,1000*$AS21+3400))),1107750)+0.09*MAX(0,MAX(0,$AY21-MIN(($BD20+$Q21+$R21+$S21),2000)-IF($AS21=0,0,IF($AS21=1,4400,1000*$AS21+3400)))-1107750)-IF($AU21="Head of household",120,0)-110*Inputs!$C$75,IF($AN21="MI",0.0425*MAX(0,$AY21-5900*$AS21),IF($AN21="MS",0.04*MAX(0,$AI21-IF($AU21="Head of household",3400,IF($AU21="Married",4600,2300))-Inputs!$C$85-10000),IF($AN21="OR",IF(OR($AU21="Married",AND($AU21="Single",$AS21&gt;=3)),SUMPRODUCT((MAX(0,$AY21-MIN(($P21-'Methodology &amp; Sources'!$C$10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Sources'!$B$211:$J$214,0,4))*(MAX(0,$AY21-MIN(($P21-'Methodology &amp; Sources'!$C$10*$D21)*Inputs!$C$8,IF(OR($AU21="Married",AND($AU21="Single",$AS21&gt;=3)),IF($AY21&lt;250000,8750,IF($AY21&lt;260000,7000,IF($AY21&lt;270000,5250,IF($AY21&lt;280000,3500,IF($AY21&lt;290000,1750,0))))),IF($AY21&lt;125000,8750,IF($AY21&lt;130000,7000,IF($AY21&lt;135000,5250,IF($AY21&lt;140000,3500,IF($AY21&lt;145000,1750,0)))))))-IF(OR($AU21="Married",AND($AU21="Single",$AS21&gt;=3)),5820,2910))-INDEX('Methodology &amp; Sources'!$B$211:$J$214,0,4))*INDEX('Methodology &amp; Sources'!$B$211:$J$214,0,4+2)),SUMPRODUCT((MAX(0,$AY21-MIN(($P21-'Methodology &amp; Sources'!$C$10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Sources'!$B$211:$J$214,0,1))*(MAX(0,$AY21-MIN(($P21-'Methodology &amp; Sources'!$C$10*$D21)*Inputs!$C$8,IF(OR($AU21="Married",AND($AU21="Single",$AS21&gt;=3)),IF($AY21&lt;250000,8750,IF($AY21&lt;260000,7000,IF($AY21&lt;270000,5250,IF($AY21&lt;280000,3500,IF($AY21&lt;290000,1750,0))))),IF($AY21&lt;125000,8750,IF($AY21&lt;130000,7000,IF($AY21&lt;135000,5250,IF($AY21&lt;140000,3500,IF($AY21&lt;145000,1750,0)))))))-IF(OR($AU21="Married",AND($AU21="Single",$AS21&gt;=3)),5820,2910))-INDEX('Methodology &amp; Sources'!$B$211:$J$214,0,1))*INDEX('Methodology &amp; Sources'!$B$211:$J$214,0,1+2)))+263-263*IF(IF($AU21="Married",$AY21&gt;200000,$AY21&gt;100000),0,$AS21),IF($AN21="PA",0.0307*(($O21+$E21+$G21)*Inputs!$C$8),IF($AN21="NY",IF($AU21="Married",IF($AZ21&gt;=2155350,0,IF($AZ21&gt;=1077550,0.48,IF($AZ21&gt;=373200,1.21,IF($AZ21&gt;=323200,0.21,IF($AZ21&gt;=211550,-0.19,IF($AZ21&gt;=157650,-2.8,IF($AZ21&gt;=107650,-0.8,IF($AZ21&gt;=96800,0.05,IF($AZ21&gt;=80650,-0.1,IF($AZ21&gt;=13900,0.4,IF($AZ21&gt;=11700,-0.3,IF($AZ21&gt;=8500,0.5,0)))))))))))),IF($AZ21&gt;=1077550,0,IF($AZ21&gt;=265400,4.29,IF($AZ21&gt;=215400,2.29,IF($AZ21&gt;=157650,2.29,IF($AZ21&gt;=107650,0.29,IF($AZ21&gt;=96800,0.05,IF($AZ21&gt;=80650,-0.1,IF($AZ21&gt;=13900,0.4,IF($AZ21&gt;=11700,-0.3,IF($AZ21&gt;=8500,0.5,0))))))))))),0))))))))))))))))))</f>
      </c>
      <c r="BC21" s="7">
        <f>IF($B21="","",IF($AN21="AL",0.05*$D21,IF($AN21="AR",0.039*$D21,IF($AN21="ID",0.053*$D21,IF($AN21="IN",(0.0295+Inputs!$C$76)*$D21,IF($AN21="KS",0.05*$D21,IF($AN21="MA",0.09*MIN($D21,MAX(0,MAX(0,$AY21-MIN(($BD20+$Q21+$R21+$S21),2000)-IF($AS21=0,0,IF($AS21=1,4400,1000*$AS21+3400)))+$D21-1107750))+0.05*($D21-MIN($D21,MAX(0,MAX(0,$AY21-MIN(($BD20+$Q21+$R21+$S21),2000)-IF($AS21=0,0,IF($AS21=1,4400,1000*$AS21+3400)))+$D21-1107750))),IF($AN21="MD",(0.065+Inputs!$C$74)*$D21,IF($AN21="MI",0.0425*$D21,IF($AN21="MN",0.0625*$D21,IF($AN21="MO",0.047*$D21,IF($AN21="MT",0.05*$D21,IF($AN21="ND",0.015*$D21,IF($AN21="NE",0.035*$D21,IF($AN21="NJ",IF(Inputs!$C$77="B",SUMPRODUCT(($D21*Inputs!$C$8&gt;INDEX('Methodology &amp; Sources'!$B$155:$J$162,0,4))*($D21*Inputs!$C$8-INDEX('Methodology &amp; Sources'!$B$155:$J$162,0,4))*INDEX('Methodology &amp; Sources'!$B$155:$J$162,0,4+2)),IF(Inputs!$C$77="C",SUMPRODUCT(($D21*Inputs!$C$8&gt;INDEX('Methodology &amp; Sources'!$B$155:$J$162,0,7))*($D21*Inputs!$C$8-INDEX('Methodology &amp; Sources'!$B$155:$J$162,0,7))*INDEX('Methodology &amp; Sources'!$B$155:$J$162,0,7+2)),IF(Inputs!$C$77="D",SUMPRODUCT(($D21*Inputs!$C$8&gt;INDEX('Methodology &amp; Sources'!$B$167:$J$179,0,1))*($D21*Inputs!$C$8-INDEX('Methodology &amp; Sources'!$B$167:$J$179,0,1))*INDEX('Methodology &amp; Sources'!$B$167:$J$179,0,1+2)),IF(Inputs!$C$77="E",SUMPRODUCT(($D21*Inputs!$C$8&gt;INDEX('Methodology &amp; Sources'!$B$167:$J$179,0,4))*($D21*Inputs!$C$8-INDEX('Methodology &amp; Sources'!$B$167:$J$179,0,4))*INDEX('Methodology &amp; Sources'!$B$167:$J$179,0,4+2)),SUMPRODUCT(($D21*Inputs!$C$8&gt;INDEX('Methodology &amp; Sources'!$B$155:$J$162,0,1))*($D21*Inputs!$C$8-INDEX('Methodology &amp; Sources'!$B$155:$J$162,0,1))*INDEX('Methodology &amp; Sources'!$B$155:$J$162,0,1+2))))))/Inputs!$C$8,IF($AN21="NY",0.117*$D21,IF($AN21="OH",0.0275*$D21,IF($AN21="OK",0.045*$D21,IF($AN21="OR",0.08*$D21,IF($AN21="WI",IF($AY21&lt;12760,0.0354,IF($AY21&lt;25520,0.0465,IF($AY21&lt;280950,0.053,0.0765)))*$D21,0))))))))))))))))))))</f>
      </c>
      <c r="BD21" s="7">
        <f>IF($B21="","",$BD20+$Q21+$R21+$S21)</f>
      </c>
      <c r="BE21" s="6">
        <f>IF($B21="",$BE20,$BE20+$BF21)</f>
      </c>
      <c r="BF21" s="6">
        <f>IF($B21="","",IF(AND(IF(YEAR(IF(Inputs!$C$7="Weekly",Inputs!$C$90+7*(($BE20+1)-1),IF(Inputs!$C$7="Biweekly",Inputs!$C$90+14*(($BE20+1)-1),IF(Inputs!$C$7="Semimonthly",DATE(YEAR(Inputs!$C$9),MONTH(Inputs!$C$9)+INT((($BE20+1)-1+'Rest of 2026'!$C$2)/2),MIN(DAY(Inputs!$C$9),DAY(EOMONTH(DATE(YEAR(Inputs!$C$9),MONTH(Inputs!$C$9)+INT((($BE20+1)-1+'Rest of 2026'!$C$2)/2),1),0))))+IF(MOD(($BE20+1)-1+'Rest of 2026'!$C$2,2)=1,15,0),EDATE(Inputs!$C$90,($BE20+1)-1)))))&lt;&gt;Inputs!$C$10,"",IF(Inputs!$C$7="Weekly",Inputs!$C$90+7*(($BE20+1)-1),IF(Inputs!$C$7="Biweekly",Inputs!$C$90+14*(($BE20+1)-1),IF(Inputs!$C$7="Semimonthly",DATE(YEAR(Inputs!$C$9),MONTH(Inputs!$C$9)+INT((($BE20+1)-1+'Rest of 2026'!$C$2)/2),MIN(DAY(Inputs!$C$9),DAY(EOMONTH(DATE(YEAR(Inputs!$C$9),MONTH(Inputs!$C$9)+INT((($BE20+1)-1+'Rest of 2026'!$C$2)/2),1),0))))+IF(MOD(($BE20+1)-1+'Rest of 2026'!$C$2,2)=1,15,0),EDATE(Inputs!$C$90,($BE20+1)-1)))))&lt;&gt;"",$B21=IF(YEAR(IF(Inputs!$C$7="Weekly",Inputs!$C$90+7*(($BE20+1)-1),IF(Inputs!$C$7="Biweekly",Inputs!$C$90+14*(($BE20+1)-1),IF(Inputs!$C$7="Semimonthly",DATE(YEAR(Inputs!$C$9),MONTH(Inputs!$C$9)+INT((($BE20+1)-1+'Rest of 2026'!$C$2)/2),MIN(DAY(Inputs!$C$9),DAY(EOMONTH(DATE(YEAR(Inputs!$C$9),MONTH(Inputs!$C$9)+INT((($BE20+1)-1+'Rest of 2026'!$C$2)/2),1),0))))+IF(MOD(($BE20+1)-1+'Rest of 2026'!$C$2,2)=1,15,0),EDATE(Inputs!$C$90,($BE20+1)-1)))))&lt;&gt;Inputs!$C$10,"",IF(Inputs!$C$7="Weekly",Inputs!$C$90+7*(($BE20+1)-1),IF(Inputs!$C$7="Biweekly",Inputs!$C$90+14*(($BE20+1)-1),IF(Inputs!$C$7="Semimonthly",DATE(YEAR(Inputs!$C$9),MONTH(Inputs!$C$9)+INT((($BE20+1)-1+'Rest of 2026'!$C$2)/2),MIN(DAY(Inputs!$C$9),DAY(EOMONTH(DATE(YEAR(Inputs!$C$9),MONTH(Inputs!$C$9)+INT((($BE20+1)-1+'Rest of 2026'!$C$2)/2),1),0))))+IF(MOD(($BE20+1)-1+'Rest of 2026'!$C$2,2)=1,15,0),EDATE(Inputs!$C$90,($BE20+1)-1)))))),1,0))</f>
      </c>
      <c r="BG21" s="7">
        <f>IF($B21="","",$BG20+$H21)</f>
      </c>
      <c r="BH21" s="7">
        <f>IF($B21="","",$BH20+$I21)</f>
      </c>
      <c r="BI21" s="7">
        <f>IF($B21="","",$BI20+$G21)</f>
      </c>
      <c r="BJ21" s="7">
        <f>IF($B21="","",IFERROR(LOOKUP(2,1/((((Events!$C$6:$C$17="Deduction start"))*(Events!$D$6:$D$17="Health FSA"))*(Events!$B$6:$B$17&lt;=$B21)*(Events!$B$6:$B$17&lt;&gt;"")),Events!$E$6:$E$17),Inputs!$D$38))</f>
      </c>
      <c r="BK21" s="7">
        <f>IF($B21="","",IFERROR(LOOKUP(2,1/((((Events!$C$6:$C$17="Deduction start"))*(Events!$D$6:$D$17="Dependent-care FSA"))*(Events!$B$6:$B$17&lt;=$B21)*(Events!$B$6:$B$17&lt;&gt;"")),Events!$E$6:$E$17),Inputs!$D$39))</f>
      </c>
      <c r="BL21" s="7">
        <f>IF($B21="","",IFERROR(LOOKUP(2,1/((((Events!$C$6:$C$17="Deduction start")+(Events!$C$6:$C$17="Deduction stop"))*(Events!$D$6:$D$17="HSA"))*(Events!$B$6:$B$17&lt;=$B21)*(Events!$B$6:$B$17&lt;&gt;"")),Events!$I$6:$I$17),Inputs!$D$35))</f>
      </c>
      <c r="BM21" s="7">
        <f>IF($B21="","",IFERROR(LOOKUP(2,1/((((Events!$C$6:$C$17="Deduction start")+(Events!$C$6:$C$17="Deduction stop"))*(Events!$D$6:$D$17="Premiums"))*(Events!$B$6:$B$17&lt;=$B21)*(Events!$B$6:$B$17&lt;&gt;"")),Events!$I$6:$I$17),Inputs!$D$40+Inputs!$D$41+Inputs!$D$42))</f>
      </c>
      <c r="BN21" s="7">
        <f>IF($B21="","",IFERROR(LOOKUP(2,1/((((Events!$C$6:$C$17="Deduction start")+(Events!$C$6:$C$17="Deduction stop"))*(Events!$D$6:$D$17="Commuter"))*(Events!$B$6:$B$17&lt;=$B21)*(Events!$B$6:$B$17&lt;&gt;"")),Events!$I$6:$I$17),Inputs!$D$43))</f>
      </c>
      <c r="BO21" s="7">
        <f>IF($B21="","",IFERROR(LOOKUP(2,1/((((Events!$C$6:$C$17="Deduction start")+(Events!$C$6:$C$17="Deduction stop"))*(Events!$D$6:$D$17="Other pre-tax"))*(Events!$B$6:$B$17&lt;=$B21)*(Events!$B$6:$B$17&lt;&gt;"")),Events!$I$6:$I$17),Inputs!$D$44))</f>
      </c>
      <c r="BP21" s="7">
        <f>IF($B21="","",IFERROR(LOOKUP(2,1/((((Events!$C$6:$C$17="Deduction start")+(Events!$C$6:$C$17="Deduction stop"))*(Events!$D$6:$D$17="Other post-tax"))*(Events!$B$6:$B$17&lt;=$B21)*(Events!$B$6:$B$17&lt;&gt;"")),Events!$I$6:$I$17),Inputs!$D$45))</f>
      </c>
      <c r="BQ21" s="6">
        <f>IF($B21="","",IFERROR(LOOKUP(2,1/((((Events!$C$6:$C$17="Deduction start")+(Events!$C$6:$C$17="Deduction stop"))*(Events!$D$6:$D$17="Health FSA"))*(Events!$B$6:$B$17&lt;=$B21)*(Events!$B$6:$B$17&lt;&gt;"")),Events!$J$6:$J$17),0))</f>
      </c>
      <c r="BR21" s="6">
        <f>IF($B21="","",IFERROR(LOOKUP(2,1/((((Events!$C$6:$C$17="Deduction start")+(Events!$C$6:$C$17="Deduction stop"))*(Events!$D$6:$D$17="Dependent-care FSA"))*(Events!$B$6:$B$17&lt;=$B21)*(Events!$B$6:$B$17&lt;&gt;"")),Events!$J$6:$J$17),0))</f>
      </c>
      <c r="BS21" s="6">
        <f>IF($B21="","",IF(SUMPRODUCT((Events!$C$6:$C$17="Deduction start")*(Events!$B$6:$B$17&lt;=$B21)*(Events!$B$6:$B$17&lt;&gt;"")*(Events!$D$6:$D$17="Health FSA"))&gt;0,1,0))</f>
      </c>
      <c r="BT21" s="6">
        <f>IF($B21="","",IF(SUMPRODUCT((Events!$C$6:$C$17="Deduction start")*(Events!$B$6:$B$17&lt;=$B21)*(Events!$B$6:$B$17&lt;&gt;"")*(Events!$D$6:$D$17="Dependent-care FSA"))&gt;0,1,0))</f>
      </c>
      <c r="BU21" s="24">
        <f>IF($B21="","",IF(Inputs!$C$13,SUMPRODUCT(($AH21&gt;=INDEX('Methodology &amp; Sources'!$B$29:$J$36,0,IF(Inputs!$C$12="MFJ",1,IF(Inputs!$C$12="HoH",7,4))))*INDEX('Methodology &amp; Sources'!$B$29:$J$36,0,IF(Inputs!$C$12="MFJ",1,IF(Inputs!$C$12="HoH",7,4))+2)),SUMPRODUCT(($AH21&gt;=INDEX('Methodology &amp; Sources'!$B$19:$J$26,0,IF(Inputs!$C$12="MFJ",1,IF(Inputs!$C$12="HoH",7,4))))*INDEX('Methodology &amp; Sources'!$B$19:$J$26,0,IF(Inputs!$C$12="MFJ",1,IF(Inputs!$C$12="HoH",7,4))+2))))</f>
      </c>
      <c r="BV21" s="24">
        <f>IF($B21="","",IF($BZ21&lt;&gt;"",$BZ21,IF($CA21&lt;&gt;"",$CA21,IF($CB21&lt;&gt;"",$CB21,IF($CC21&lt;&gt;"",$CC21,0)))))</f>
      </c>
      <c r="BW21" s="7">
        <f>IF($B21="","",IF($AN21="MD",IF(OR($AU21="Married",$AU21="Head of household"),SUMPRODUCT(($AZ21&gt;INDEX('Methodology &amp; Sources'!$B$114:$J$120,0,1))*($AZ21-INDEX('Methodology &amp; Sources'!$B$114:$J$120,0,1))*INDEX('Methodology &amp; Sources'!$B$114:$J$120,0,1+2)),SUMPRODUCT(($AZ21&gt;INDEX('Methodology &amp; Sources'!$B$103:$J$109,0,7))*($AZ21-INDEX('Methodology &amp; Sources'!$B$103:$J$109,0,7))*INDEX('Methodology &amp; Sources'!$B$103:$J$109,0,7+2))),IF($AN21="MO",SUMPRODUCT(($AZ21&gt;INDEX('Methodology &amp; Sources'!$B$125:$J$132,0,1))*($AZ21-INDEX('Methodology &amp; Sources'!$B$125:$J$132,0,1))*INDEX('Methodology &amp; Sources'!$B$125:$J$132,0,1+2)),IF($AN21="MT",IF($AU21="Head of household",SUMPRODUCT(($AZ21&gt;INDEX('Methodology &amp; Sources'!$B$137:$J$139,0,1))*($AZ21-INDEX('Methodology &amp; Sources'!$B$137:$J$139,0,1))*INDEX('Methodology &amp; Sources'!$B$137:$J$139,0,1+2)),IF($AU21="Married",SUMPRODUCT(($AZ21&gt;INDEX('Methodology &amp; Sources'!$B$125:$J$132,0,7))*($AZ21-INDEX('Methodology &amp; Sources'!$B$125:$J$132,0,7))*INDEX('Methodology &amp; Sources'!$B$125:$J$132,0,7+2)),SUMPRODUCT(($AZ21&gt;INDEX('Methodology &amp; Sources'!$B$125:$J$132,0,4))*($AZ21-INDEX('Methodology &amp; Sources'!$B$125:$J$132,0,4))*INDEX('Methodology &amp; Sources'!$B$125:$J$132,0,4+2)))),IF($AN21="ND",IF($AU21="Head of household",SUMPRODUCT(($AZ21&gt;INDEX('Methodology &amp; Sources'!$B$144:$J$150,0,1))*($AZ21-INDEX('Methodology &amp; Sources'!$B$144:$J$150,0,1))*INDEX('Methodology &amp; Sources'!$B$144:$J$150,0,1+2)),IF($AU21="Married",SUMPRODUCT(($AZ21&gt;INDEX('Methodology &amp; Sources'!$B$137:$J$139,0,7))*($AZ21-INDEX('Methodology &amp; Sources'!$B$137:$J$139,0,7))*INDEX('Methodology &amp; Sources'!$B$137:$J$139,0,7+2)),SUMPRODUCT(($AZ21&gt;INDEX('Methodology &amp; Sources'!$B$137:$J$139,0,4))*($AZ21-INDEX('Methodology &amp; Sources'!$B$137:$J$139,0,4))*INDEX('Methodology &amp; Sources'!$B$137:$J$139,0,4+2)))),IF($AN21="NJ",IF(Inputs!$C$77="B",SUMPRODUCT(($AZ21&gt;INDEX('Methodology &amp; Sources'!$B$155:$J$162,0,4))*($AZ21-INDEX('Methodology &amp; Sources'!$B$155:$J$162,0,4))*INDEX('Methodology &amp; Sources'!$B$155:$J$162,0,4+2)),IF(Inputs!$C$77="C",SUMPRODUCT(($AZ21&gt;INDEX('Methodology &amp; Sources'!$B$155:$J$162,0,7))*($AZ21-INDEX('Methodology &amp; Sources'!$B$155:$J$162,0,7))*INDEX('Methodology &amp; Sources'!$B$155:$J$162,0,7+2)),IF(Inputs!$C$77="D",SUMPRODUCT(($AZ21&gt;INDEX('Methodology &amp; Sources'!$B$167:$J$179,0,1))*($AZ21-INDEX('Methodology &amp; Sources'!$B$167:$J$179,0,1))*INDEX('Methodology &amp; Sources'!$B$167:$J$179,0,1+2)),IF(Inputs!$C$77="E",SUMPRODUCT(($AZ21&gt;INDEX('Methodology &amp; Sources'!$B$167:$J$179,0,4))*($AZ21-INDEX('Methodology &amp; Sources'!$B$167:$J$179,0,4))*INDEX('Methodology &amp; Sources'!$B$167:$J$179,0,4+2)),SUMPRODUCT(($AZ21&gt;INDEX('Methodology &amp; Sources'!$B$155:$J$162,0,1))*($AZ21-INDEX('Methodology &amp; Sources'!$B$155:$J$162,0,1))*INDEX('Methodology &amp; Sources'!$B$155:$J$162,0,1+2)))))),IF($AN21="NY",IF($AU21="Married",IF($AZ21&gt;=2155350,$AZ21*IF($AZ21&gt;25000000,0.117,IF($AZ21&gt;5000000,0.111,0.1045)),SUMPRODUCT(($AZ21&gt;INDEX('Methodology &amp; Sources'!$B$184:$J$198,0,1))*($AZ21-INDEX('Methodology &amp; Sources'!$B$184:$J$198,0,1))*INDEX('Methodology &amp; Sources'!$B$184:$J$198,0,1+2))),IF($AZ21&gt;=1077550,$AZ21*IF($AZ21&gt;25000000,0.117,IF($AZ21&gt;5000000,0.111,0.1045)),SUMPRODUCT(($AZ21&gt;INDEX('Methodology &amp; Sources'!$B$167:$J$179,0,7))*($AZ21-INDEX('Methodology &amp; Sources'!$B$167:$J$179,0,7))*INDEX('Methodology &amp; Sources'!$B$167:$J$179,0,7+2)))),"")))))))</f>
      </c>
      <c r="BX21" s="7">
        <f>IF($B21="","",IF($AN21="AL",IF(OR($AU21="Married",$AU21="Head of household"),SUMPRODUCT(($AZ21&gt;INDEX('Methodology &amp; Sources'!$B$82:$J$86,0,4))*($AZ21-INDEX('Methodology &amp; Sources'!$B$82:$J$86,0,4))*INDEX('Methodology &amp; Sources'!$B$82:$J$86,0,4+2)),SUMPRODUCT(($AZ21&gt;INDEX('Methodology &amp; Sources'!$B$82:$J$86,0,1))*($AZ21-INDEX('Methodology &amp; Sources'!$B$82:$J$86,0,1))*INDEX('Methodology &amp; Sources'!$B$82:$J$86,0,1+2))),IF($AN21="KS",IF($AU21="Married",SUMPRODUCT(($AZ21&gt;INDEX('Methodology &amp; Sources'!$B$103:$J$109,0,4))*($AZ21-INDEX('Methodology &amp; Sources'!$B$103:$J$109,0,4))*INDEX('Methodology &amp; Sources'!$B$103:$J$109,0,4+2)),SUMPRODUCT(($AZ21&gt;INDEX('Methodology &amp; Sources'!$B$103:$J$109,0,1))*($AZ21-INDEX('Methodology &amp; Sources'!$B$103:$J$109,0,1))*INDEX('Methodology &amp; Sources'!$B$103:$J$109,0,1+2))),IF($AN21="MN",IF($AU21="Married",SUMPRODUCT(($AZ21&gt;INDEX('Methodology &amp; Sources'!$B$114:$J$120,0,7))*($AZ21-INDEX('Methodology &amp; Sources'!$B$114:$J$120,0,7))*INDEX('Methodology &amp; Sources'!$B$114:$J$120,0,7+2)),SUMPRODUCT(($AZ21&gt;INDEX('Methodology &amp; Sources'!$B$114:$J$120,0,4))*($AZ21-INDEX('Methodology &amp; Sources'!$B$114:$J$120,0,4))*INDEX('Methodology &amp; Sources'!$B$114:$J$120,0,4+2))),IF($AN21="NE",MAX(IF($AU21="Married",SUMPRODUCT(($AZ21&gt;INDEX('Methodology &amp; Sources'!$B$144:$J$150,0,7))*($AZ21-INDEX('Methodology &amp; Sources'!$B$144:$J$150,0,7))*INDEX('Methodology &amp; Sources'!$B$144:$J$150,0,7+2)),SUMPRODUCT(($AZ21&gt;INDEX('Methodology &amp; Sources'!$B$144:$J$150,0,4))*($AZ21-INDEX('Methodology &amp; Sources'!$B$144:$J$150,0,4))*INDEX('Methodology &amp; Sources'!$B$144:$J$150,0,4+2))),0.015*$AZ21),IF($AN21="OH",IF($B21&gt;=DATE(2027,8,1),SUMPRODUCT(($AZ21&gt;INDEX('Methodology &amp; Sources'!$B$203:$J$206,0,1))*($AZ21-INDEX('Methodology &amp; Sources'!$B$203:$J$206,0,1))*INDEX('Methodology &amp; Sources'!$B$203:$J$206,0,1+2)),SUMPRODUCT(($AZ21&gt;INDEX('Methodology &amp; Sources'!$B$184:$J$198,0,7))*($AZ21-INDEX('Methodology &amp; Sources'!$B$184:$J$198,0,7))*INDEX('Methodology &amp; Sources'!$B$184:$J$198,0,7+2))),IF($AN21="OK",IF($AU21="Married",SUMPRODUCT(($AZ21&gt;INDEX('Methodology &amp; Sources'!$B$203:$J$206,0,7))*($AZ21-INDEX('Methodology &amp; Sources'!$B$203:$J$206,0,7))*INDEX('Methodology &amp; Sources'!$B$203:$J$206,0,7+2)),SUMPRODUCT(($AZ21&gt;INDEX('Methodology &amp; Sources'!$B$203:$J$206,0,4))*($AZ21-INDEX('Methodology &amp; Sources'!$B$203:$J$206,0,4))*INDEX('Methodology &amp; Sources'!$B$203:$J$206,0,4+2))),IF($AN21="RI",SUMPRODUCT(($AZ21&gt;INDEX('Methodology &amp; Sources'!$B$211:$J$214,0,7))*($AZ21-INDEX('Methodology &amp; Sources'!$B$211:$J$214,0,7))*INDEX('Methodology &amp; Sources'!$B$211:$J$214,0,7+2)),IF($AN21="VT",IF($AU21="Married",SUMPRODUCT(($AZ21&gt;INDEX('Methodology &amp; Sources'!$B$228:$J$232,0,1))*($AZ21-INDEX('Methodology &amp; Sources'!$B$228:$J$232,0,1))*INDEX('Methodology &amp; Sources'!$B$228:$J$232,0,1+2)),SUMPRODUCT(($AZ21&gt;INDEX('Methodology &amp; Sources'!$B$219:$J$223,0,7))*($AZ21-INDEX('Methodology &amp; Sources'!$B$219:$J$223,0,7))*INDEX('Methodology &amp; Sources'!$B$219:$J$223,0,7+2))),IF($AN21="WV",IF($AU21="Married",SUMPRODUCT(($AZ21&gt;INDEX('Methodology &amp; Sources'!$B$237:$J$241,0,7))*($AZ21-INDEX('Methodology &amp; Sources'!$B$237:$J$241,0,7))*INDEX('Methodology &amp; Sources'!$B$237:$J$241,0,7+2)),SUMPRODUCT(($AZ21&gt;INDEX('Methodology &amp; Sources'!$B$228:$J$232,0,7))*($AZ21-INDEX('Methodology &amp; Sources'!$B$228:$J$232,0,7))*INDEX('Methodology &amp; Sources'!$B$228:$J$232,0,7+2))),""))))))))))</f>
      </c>
      <c r="BY21" s="7">
        <f>IF($B21="","",IF($AN21="AR",SUMPRODUCT(($AZ21&gt;INDEX('Methodology &amp; Sources'!$B$82:$J$86,0,7))*($AZ21-INDEX('Methodology &amp; Sources'!$B$82:$J$86,0,7))*INDEX('Methodology &amp; Sources'!$B$82:$J$86,0,7+2)),IF($AN21="DE",SUMPRODUCT(($AZ21&gt;INDEX('Methodology &amp; Sources'!$B$91:$J$98,0,1))*($AZ21-INDEX('Methodology &amp; Sources'!$B$91:$J$98,0,1))*INDEX('Methodology &amp; Sources'!$B$91:$J$98,0,1+2)),IF($AN21="HI",IF($AU21="Married",SUMPRODUCT(($AZ21&gt;INDEX('Methodology &amp; Sources'!$B$91:$J$98,0,7))*($AZ21-INDEX('Methodology &amp; Sources'!$B$91:$J$98,0,7))*INDEX('Methodology &amp; Sources'!$B$91:$J$98,0,7+2)),SUMPRODUCT(($AZ21&gt;INDEX('Methodology &amp; Sources'!$B$91:$J$98,0,4))*($AZ21-INDEX('Methodology &amp; Sources'!$B$91:$J$98,0,4))*INDEX('Methodology &amp; Sources'!$B$91:$J$98,0,4+2))),IF($AN21="SC",SUMPRODUCT(($AZ21&gt;INDEX('Methodology &amp; Sources'!$B$219:$J$223,0,1))*($AZ21-INDEX('Methodology &amp; Sources'!$B$219:$J$223,0,1))*INDEX('Methodology &amp; Sources'!$B$219:$J$223,0,1+2)),IF($AN21="VA",SUMPRODUCT(($AZ21&gt;INDEX('Methodology &amp; Sources'!$B$219:$J$223,0,4))*($AZ21-INDEX('Methodology &amp; Sources'!$B$219:$J$223,0,4))*INDEX('Methodology &amp; Sources'!$B$219:$J$223,0,4+2)),IF($AN21="WI",SUMPRODUCT(($AZ21&gt;INDEX('Methodology &amp; Sources'!$B$228:$J$232,0,4))*($AZ21-INDEX('Methodology &amp; Sources'!$B$228:$J$232,0,4))*INDEX('Methodology &amp; Sources'!$B$228:$J$232,0,4+2)),"")))))))</f>
      </c>
      <c r="BZ21" s="24">
        <f>IF($B21="","",IF($AN21="NJ",IF(Inputs!$C$77="B",SUMPRODUCT(($AZ21&gt;=INDEX('Methodology &amp; Sources'!$B$155:$J$162,0,4))*INDEX('Methodology &amp; Sources'!$B$155:$J$162,0,4+2)),IF(Inputs!$C$77="C",SUMPRODUCT(($AZ21&gt;=INDEX('Methodology &amp; Sources'!$B$155:$J$162,0,7))*INDEX('Methodology &amp; Sources'!$B$155:$J$162,0,7+2)),IF(Inputs!$C$77="D",SUMPRODUCT(($AZ21&gt;=INDEX('Methodology &amp; Sources'!$B$167:$J$179,0,1))*INDEX('Methodology &amp; Sources'!$B$167:$J$179,0,1+2)),IF(Inputs!$C$77="E",SUMPRODUCT(($AZ21&gt;=INDEX('Methodology &amp; Sources'!$B$167:$J$179,0,4))*INDEX('Methodology &amp; Sources'!$B$167:$J$179,0,4+2)),SUMPRODUCT(($AZ21&gt;=INDEX('Methodology &amp; Sources'!$B$155:$J$162,0,1))*INDEX('Methodology &amp; Sources'!$B$155:$J$162,0,1+2)))))),IF($AN21="OR",IF(OR($AU21="Married",AND($AU21="Single",$AS21&gt;=3)),SUMPRODUCT((MAX(0,$AY21-MIN(($P21-'Methodology &amp; Sources'!$C$10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Sources'!$B$211:$J$214,0,4))*INDEX('Methodology &amp; Sources'!$B$211:$J$214,0,4+2)),SUMPRODUCT((MAX(0,$AY21-MIN(($P21-'Methodology &amp; Sources'!$C$10*$D21)*Inputs!$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Sources'!$B$211:$J$214,0,1))*INDEX('Methodology &amp; Sources'!$B$211:$J$214,0,1+2)))*IF(($P21-'Methodology &amp; Sources'!$C$10*$D21)*Inputs!$C$8&gt;=IF(OR($AU21="Married",AND($AU21="Single",$AS21&gt;=3)),IF($AY21&lt;250000,8750,IF($AY21&lt;260000,7000,IF($AY21&lt;270000,5250,IF($AY21&lt;280000,3500,IF($AY21&lt;290000,1750,0))))),IF($AY21&lt;125000,8750,IF($AY21&lt;130000,7000,IF($AY21&lt;135000,5250,IF($AY21&lt;140000,3500,IF($AY21&lt;145000,1750,0)))))),1,1-IF(Inputs!$C$13,SUMPRODUCT(($AH21&gt;=INDEX('Methodology &amp; Sources'!$B$29:$J$36,0,IF(Inputs!$C$12="MFJ",1,IF(Inputs!$C$12="HoH",7,4))))*INDEX('Methodology &amp; Sources'!$B$29:$J$36,0,IF(Inputs!$C$12="MFJ",1,IF(Inputs!$C$12="HoH",7,4))+2)),SUMPRODUCT(($AH21&gt;=INDEX('Methodology &amp; Sources'!$B$19:$J$26,0,IF(Inputs!$C$12="MFJ",1,IF(Inputs!$C$12="HoH",7,4))))*INDEX('Methodology &amp; Sources'!$B$19:$J$26,0,IF(Inputs!$C$12="MFJ",1,IF(Inputs!$C$12="HoH",7,4))+2)))),IF($AN21="MI",IF($AY21&gt;5900*$AS21,0.0425,0),""))))</f>
      </c>
      <c r="CA21" s="24">
        <f>IF($B21="","",IF($AN21="AL",IF(OR($AU21="Married",$AU21="Head of household"),SUMPRODUCT(($AZ21&gt;=INDEX('Methodology &amp; Sources'!$B$82:$J$86,0,4))*INDEX('Methodology &amp; Sources'!$B$82:$J$86,0,4+2)),SUMPRODUCT(($AZ21&gt;=INDEX('Methodology &amp; Sources'!$B$82:$J$86,0,1))*INDEX('Methodology &amp; Sources'!$B$82:$J$86,0,1+2)))*(1-IF(Inputs!$C$13,SUMPRODUCT(($AH21&gt;=INDEX('Methodology &amp; Sources'!$B$29:$J$36,0,IF(Inputs!$C$12="MFJ",1,IF(Inputs!$C$12="HoH",7,4))))*INDEX('Methodology &amp; Sources'!$B$29:$J$36,0,IF(Inputs!$C$12="MFJ",1,IF(Inputs!$C$12="HoH",7,4))+2)),SUMPRODUCT(($AH21&gt;=INDEX('Methodology &amp; Sources'!$B$19:$J$26,0,IF(Inputs!$C$12="MFJ",1,IF(Inputs!$C$12="HoH",7,4))))*INDEX('Methodology &amp; Sources'!$B$19:$J$26,0,IF(Inputs!$C$12="MFJ",1,IF(Inputs!$C$12="HoH",7,4))+2)))),IF($AN21="KS",IF($AU21="Married",SUMPRODUCT(($AZ21&gt;=INDEX('Methodology &amp; Sources'!$B$103:$J$109,0,4))*INDEX('Methodology &amp; Sources'!$B$103:$J$109,0,4+2)),SUMPRODUCT(($AZ21&gt;=INDEX('Methodology &amp; Sources'!$B$103:$J$109,0,1))*INDEX('Methodology &amp; Sources'!$B$103:$J$109,0,1+2))),IF($AN21="MD",IF(OR($AU21="Married",$AU21="Head of household"),SUMPRODUCT(($AZ21&gt;=INDEX('Methodology &amp; Sources'!$B$114:$J$120,0,1))*INDEX('Methodology &amp; Sources'!$B$114:$J$120,0,1+2)),SUMPRODUCT(($AZ21&gt;=INDEX('Methodology &amp; Sources'!$B$103:$J$109,0,7))*INDEX('Methodology &amp; Sources'!$B$103:$J$109,0,7+2)))+Inputs!$C$74,IF($AN21="MT",IF($AU21="Head of household",SUMPRODUCT(($AZ21&gt;=INDEX('Methodology &amp; Sources'!$B$137:$J$139,0,1))*INDEX('Methodology &amp; Sources'!$B$137:$J$139,0,1+2)),IF($AU21="Married",SUMPRODUCT(($AZ21&gt;=INDEX('Methodology &amp; Sources'!$B$125:$J$132,0,7))*INDEX('Methodology &amp; Sources'!$B$125:$J$132,0,7+2)),SUMPRODUCT(($AZ21&gt;=INDEX('Methodology &amp; Sources'!$B$125:$J$132,0,4))*INDEX('Methodology &amp; Sources'!$B$125:$J$132,0,4+2)))),IF($AN21="ND",IF($AU21="Head of household",SUMPRODUCT(($AZ21&gt;=INDEX('Methodology &amp; Sources'!$B$144:$J$150,0,1))*INDEX('Methodology &amp; Sources'!$B$144:$J$150,0,1+2)),IF($AU21="Married",SUMPRODUCT(($AZ21&gt;=INDEX('Methodology &amp; Sources'!$B$137:$J$139,0,7))*INDEX('Methodology &amp; Sources'!$B$137:$J$139,0,7+2)),SUMPRODUCT(($AZ21&gt;=INDEX('Methodology &amp; Sources'!$B$137:$J$139,0,4))*INDEX('Methodology &amp; Sources'!$B$137:$J$139,0,4+2)))),IF($AN21="NY",IF($AU21="Married",IF($AZ21&gt;=2155350,IF($AZ21&gt;25000000,0.117,IF($AZ21&gt;5000000,0.111,0.1045)),SUMPRODUCT(($AZ21&gt;=INDEX('Methodology &amp; Sources'!$B$184:$J$198,0,1))*INDEX('Methodology &amp; Sources'!$B$184:$J$198,0,1+2))),IF($AZ21&gt;=1077550,IF($AZ21&gt;25000000,0.117,IF($AZ21&gt;5000000,0.111,0.1045)),SUMPRODUCT(($AZ21&gt;=INDEX('Methodology &amp; Sources'!$B$167:$J$179,0,7))*INDEX('Methodology &amp; Sources'!$B$167:$J$179,0,7+2)))),"")))))))</f>
      </c>
      <c r="CB21" s="24">
        <f>IF($B21="","",IF($AN21="CA",SUMPRODUCT(($AJ21&gt;=INDEX('Methodology &amp; Sources'!$B$39:$J$48,0,IF($AU21="Married",4,IF($AU21="Head of household",7,1))))*INDEX('Methodology &amp; Sources'!$B$39:$J$48,0,IF($AU21="Married",4,IF($AU21="Head of household",7,1))+2)),IF($AN21="HI",IF($AU21="Married",SUMPRODUCT(($AZ21&gt;=INDEX('Methodology &amp; Sources'!$B$91:$J$98,0,7))*INDEX('Methodology &amp; Sources'!$B$91:$J$98,0,7+2)),SUMPRODUCT(($AZ21&gt;=INDEX('Methodology &amp; Sources'!$B$91:$J$98,0,4))*INDEX('Methodology &amp; Sources'!$B$91:$J$98,0,4+2))),IF($AN21="MN",IF($AU21="Married",SUMPRODUCT(($AZ21&gt;=INDEX('Methodology &amp; Sources'!$B$114:$J$120,0,7))*INDEX('Methodology &amp; Sources'!$B$114:$J$120,0,7+2)),SUMPRODUCT(($AZ21&gt;=INDEX('Methodology &amp; Sources'!$B$114:$J$120,0,4))*INDEX('Methodology &amp; Sources'!$B$114:$J$120,0,4+2))),IF($AN21="MO",SUMPRODUCT(($AZ21&gt;=INDEX('Methodology &amp; Sources'!$B$125:$J$132,0,1))*INDEX('Methodology &amp; Sources'!$B$125:$J$132,0,1+2)),IF($AN21="NE",MAX(IF($AU21="Married",SUMPRODUCT(($AZ21&gt;=INDEX('Methodology &amp; Sources'!$B$144:$J$150,0,7))*INDEX('Methodology &amp; Sources'!$B$144:$J$150,0,7+2)),SUMPRODUCT(($AZ21&gt;=INDEX('Methodology &amp; Sources'!$B$144:$J$150,0,4))*INDEX('Methodology &amp; Sources'!$B$144:$J$150,0,4+2))),0.015),IF($AN21="OH",IF($B21&gt;=DATE(2027,8,1),SUMPRODUCT(($AZ21&gt;=INDEX('Methodology &amp; Sources'!$B$203:$J$206,0,1))*INDEX('Methodology &amp; Sources'!$B$203:$J$206,0,1+2)),SUMPRODUCT(($AZ21&gt;=INDEX('Methodology &amp; Sources'!$B$184:$J$198,0,7))*INDEX('Methodology &amp; Sources'!$B$184:$J$198,0,7+2))),IF($AN21="OK",IF($AU21="Married",SUMPRODUCT(($AZ21&gt;=INDEX('Methodology &amp; Sources'!$B$203:$J$206,0,7))*INDEX('Methodology &amp; Sources'!$B$203:$J$206,0,7+2)),SUMPRODUCT(($AZ21&gt;=INDEX('Methodology &amp; Sources'!$B$203:$J$206,0,4))*INDEX('Methodology &amp; Sources'!$B$203:$J$206,0,4+2))),IF($AN21="RI",SUMPRODUCT(($AZ21&gt;=INDEX('Methodology &amp; Sources'!$B$211:$J$214,0,7))*INDEX('Methodology &amp; Sources'!$B$211:$J$214,0,7+2)),IF($AN21="SC",SUMPRODUCT(($AZ21&gt;=INDEX('Methodology &amp; Sources'!$B$219:$J$223,0,1))*INDEX('Methodology &amp; Sources'!$B$219:$J$223,0,1+2)),IF($AN21="VT",IF($AU21="Married",SUMPRODUCT(($AZ21&gt;=INDEX('Methodology &amp; Sources'!$B$228:$J$232,0,1))*INDEX('Methodology &amp; Sources'!$B$228:$J$232,0,1+2)),SUMPRODUCT(($AZ21&gt;=INDEX('Methodology &amp; Sources'!$B$219:$J$223,0,7))*INDEX('Methodology &amp; Sources'!$B$219:$J$223,0,7+2))),IF($AN21="WV",IF($AU21="Married",SUMPRODUCT(($AZ21&gt;=INDEX('Methodology &amp; Sources'!$B$237:$J$241,0,7))*INDEX('Methodology &amp; Sources'!$B$237:$J$241,0,7+2)),SUMPRODUCT(($AZ21&gt;=INDEX('Methodology &amp; Sources'!$B$228:$J$232,0,7))*INDEX('Methodology &amp; Sources'!$B$228:$J$232,0,7+2))),IF($AN21="IN",(0.0295+Inputs!$C$76),"")))))))))))))</f>
      </c>
      <c r="CC21" s="24">
        <f>IF($B21="","",IF($AN21="AR",SUMPRODUCT(($AZ21&gt;=INDEX('Methodology &amp; Sources'!$B$82:$J$86,0,7))*INDEX('Methodology &amp; Sources'!$B$82:$J$86,0,7+2)),IF($AN21="DE",SUMPRODUCT(($AZ21&gt;=INDEX('Methodology &amp; Sources'!$B$91:$J$98,0,1))*INDEX('Methodology &amp; Sources'!$B$91:$J$98,0,1+2)),IF($AN21="VA",SUMPRODUCT(($AZ21&gt;=INDEX('Methodology &amp; Sources'!$B$219:$J$223,0,4))*INDEX('Methodology &amp; Sources'!$B$219:$J$223,0,4+2)),IF($AN21="WI",SUMPRODUCT(($AZ21&gt;=INDEX('Methodology &amp; Sources'!$B$228:$J$232,0,4))*INDEX('Methodology &amp; Sources'!$B$228:$J$232,0,4+2)),IF($AN21="AZ",Inputs!$C$82,IF($AN21="CO",IF($AY21&gt;IF($AU21="Married",10000,5000),0.044,0),IF($AN21="IA",IF($AY21&gt;IF($AU21="Head of household",19500,IF($AU21="Married",26000,13000)),0.038,0),IF($AN21="ID",IF($AY21&gt;IF($AU21="Married",32000,16094),0.053,0),IF($AN21="IL",IF($AY21&gt;(2925*$AS21+1000*$AT21),0.0495,0),IF($AN21="KY",IF($AI21&gt;3360,0.035,0),IF($AN21="LA",0.0309,IF($AN21="MA",IF(MAX(0,$AY21-MIN(($BD20+$Q21+$R21+$S21),2000)-IF($AS21=0,0,IF($AS21=1,4400,1000*$AS21+3400)))&gt;=1107750,0.09,0.05),IF($AN21="MS",IF($AI21-IF($AU21="Head of household",3400,IF($AU21="Married",4600,2300))-Inputs!$C$85&gt;10000,0.04,0),IF($AN21="PA",0.0307,"")))))))))))))))</f>
      </c>
      <c r="CD21" s="21">
        <f>IF(YEAR(IF(Inputs!$C$7="Weekly",Inputs!$C$90+7*(($BE20+1)-1),IF(Inputs!$C$7="Biweekly",Inputs!$C$90+14*(($BE20+1)-1),IF(Inputs!$C$7="Semimonthly",DATE(YEAR(Inputs!$C$9),MONTH(Inputs!$C$9)+INT((($BE20+1)-1+'Rest of 2026'!$C$2)/2),MIN(DAY(Inputs!$C$9),DAY(EOMONTH(DATE(YEAR(Inputs!$C$9),MONTH(Inputs!$C$9)+INT((($BE20+1)-1+'Rest of 2026'!$C$2)/2),1),0))))+IF(MOD(($BE20+1)-1+'Rest of 2026'!$C$2,2)=1,15,0),EDATE(Inputs!$C$90,($BE20+1)-1)))))&lt;&gt;Inputs!$C$10,"",IF(Inputs!$C$7="Weekly",Inputs!$C$90+7*(($BE20+1)-1),IF(Inputs!$C$7="Biweekly",Inputs!$C$90+14*(($BE20+1)-1),IF(Inputs!$C$7="Semimonthly",DATE(YEAR(Inputs!$C$9),MONTH(Inputs!$C$9)+INT((($BE20+1)-1+'Rest of 2026'!$C$2)/2),MIN(DAY(Inputs!$C$9),DAY(EOMONTH(DATE(YEAR(Inputs!$C$9),MONTH(Inputs!$C$9)+INT((($BE20+1)-1+'Rest of 2026'!$C$2)/2),1),0))))+IF(MOD(($BE20+1)-1+'Rest of 2026'!$C$2,2)=1,15,0),EDATE(Inputs!$C$90,($BE20+1)-1)))))</f>
      </c>
      <c r="CE21" s="21">
        <f>IF(SUMPRODUCT(MIN(IF((Inputs!$C$58:$C$67&gt;MAX($B$6:$B20))*(Inputs!$C$58:$C$67&gt;=DATE(Inputs!$C$10,1,1))*(Inputs!$C$58:$C$67&lt;=DATE(Inputs!$C$10,12,31)),Inputs!$C$58:$C$67,999999)))=999999,"",SUMPRODUCT(MIN(IF((Inputs!$C$58:$C$67&gt;MAX($B$6:$B20))*(Inputs!$C$58:$C$67&gt;=DATE(Inputs!$C$10,1,1))*(Inputs!$C$58:$C$67&lt;=DATE(Inputs!$C$10,12,31)),Inputs!$C$58:$C$67,999999))))</f>
      </c>
    </row>
    <row r="22">
      <c r="A22" t="n">
        <v>17</v>
      </c>
      <c r="B22" s="21">
        <f>IF(AND($CD22="",$CE22=""),"",IF($CE22="",$CD22,IF($CD22="",$CE22,MIN($CD22,$CE22))))</f>
      </c>
      <c r="C22" s="7">
        <f>IF($B22="","",IF($BF22=0,0,IF(Inputs!$C$4="Annual salary",ROUND($AK22/IF(AND(Inputs!$C$88="Actual paydays",MONTH(Inputs!$C$90)=1),MAX(1,MAX($BE$6:$BE$68)),Inputs!$C$8),2),$AK22)))</f>
      </c>
      <c r="D22" s="7">
        <f>IF($B22="","",SUMIF(Inputs!$C$58:$C$67,$B22,Inputs!$D$58:$D$67))</f>
      </c>
      <c r="E22" s="7">
        <f>IF($B22="","",ROUND(MAX(0,MIN(IF($AL22="Percent",$AM22*($C22+$D22),$AM22),MAX(0,Inputs!$C$34-$AC21))),2))</f>
      </c>
      <c r="F22" s="7">
        <f>IF($B22="","",ROUND(MAX(0,MIN(IF(Inputs!$C$32="Percent",Inputs!$D$32*($C22+$D22),Inputs!$D$32),MAX(0,Inputs!$C$34-$AC21-$E22))),2))</f>
      </c>
      <c r="G22" s="7">
        <f>IF($B22="","",IF($BF22=0,0,ROUND(MAX(0,MIN($BL22,Inputs!$C$37-Inputs!$C$99-$BI21)),2)))</f>
      </c>
      <c r="H22" s="7">
        <f>IF($B22="","",IF(OR($BF22=0,$BQ22=1),0,ROUND(MAX(0,MIN(IF($BS22=1,ROUND(MAX(0,MIN($BJ22,'Methodology &amp; Sources'!$C$13)-$BG21)/MAX(1,MAX($BE$6:$BE$68)-($BE21)),2),ROUND(MIN($BJ22,'Methodology &amp; Sources'!$C$13)/Inputs!$C$8,2)),MIN($BJ22,'Methodology &amp; Sources'!$C$13)-$BG21)),2)))</f>
      </c>
      <c r="I22" s="7">
        <f>IF($B22="","",IF(OR($BF22=0,$BR22=1),0,ROUND(MAX(0,MIN(IF($BT22=1,ROUND(MAX(0,MIN($BK22,IF(Inputs!$C$12="MFJ",'Methodology &amp; Sources'!$C$14,'Methodology &amp; Sources'!$C$15))-$BH21)/MAX(1,MAX($BE$6:$BE$68)-($BE21)),2),ROUND(MIN($BK22,IF(Inputs!$C$12="MFJ",'Methodology &amp; Sources'!$C$14,'Methodology &amp; Sources'!$C$15))/Inputs!$C$8,2)),MIN($BK22,IF(Inputs!$C$12="MFJ",'Methodology &amp; Sources'!$C$14,'Methodology &amp; Sources'!$C$15))-$BH21)),2)))</f>
      </c>
      <c r="J22" s="7">
        <f>IF($B22="","",IF($BF22=0,0,$BM22))</f>
      </c>
      <c r="K22" s="7">
        <f>IF($B22="","",IF($BF22=0,0,$BN22+$BO22))</f>
      </c>
      <c r="L22" s="7">
        <f>IF($B22="","",IF($BF22=0,0,Inputs!$D$46))</f>
      </c>
      <c r="M22" s="7">
        <f>IF($B22="","",$C22+$D22+$L22-$E22-$G22-$H22-$I22-$J22-$K22)</f>
      </c>
      <c r="N22" s="7">
        <f>IF($B22="","",$C22+$D22+$L22-$G22-$H22-$I22-$J22-$K22)</f>
      </c>
      <c r="O22" s="7">
        <f>IF($B22="","",$C22+$D22+$L22-$E22-$H22-$I22-$J22-$K22-IF(OR($AN22="CA",$AN22="NJ"),0,$G22))</f>
      </c>
      <c r="P22" s="7">
        <f>IF($B22="","",IF(Inputs!$C$18,0,ROUND(MAX(0,IF(Inputs!$C$13,SUMPRODUCT(($AH22&gt;INDEX('Methodology &amp; Sources'!$B$29:$J$36,0,IF(Inputs!$C$12="MFJ",1,IF(Inputs!$C$12="HoH",7,4))))*($AH22-INDEX('Methodology &amp; Sources'!$B$29:$J$36,0,IF(Inputs!$C$12="MFJ",1,IF(Inputs!$C$12="HoH",7,4))))*INDEX('Methodology &amp; Sources'!$B$29:$J$36,0,IF(Inputs!$C$12="MFJ",1,IF(Inputs!$C$12="HoH",7,4))+2)),SUMPRODUCT(($AH22&gt;INDEX('Methodology &amp; Sources'!$B$19:$J$26,0,IF(Inputs!$C$12="MFJ",1,IF(Inputs!$C$12="HoH",7,4))))*($AH22-INDEX('Methodology &amp; Sources'!$B$19:$J$26,0,IF(Inputs!$C$12="MFJ",1,IF(Inputs!$C$12="HoH",7,4))))*INDEX('Methodology &amp; Sources'!$B$19:$J$26,0,IF(Inputs!$C$12="MFJ",1,IF(Inputs!$C$12="HoH",7,4))+2)))/Inputs!$C$8-$AO22/Inputs!$C$8)+$AR22+IF(Inputs!$C$89="Aggregate",MAX(0,IF(Inputs!$C$13,SUMPRODUCT((($AH22+$D22)&gt;INDEX('Methodology &amp; Sources'!$B$29:$J$36,0,IF(Inputs!$C$12="MFJ",1,IF(Inputs!$C$12="HoH",7,4))))*(($AH22+$D22)-INDEX('Methodology &amp; Sources'!$B$29:$J$36,0,IF(Inputs!$C$12="MFJ",1,IF(Inputs!$C$12="HoH",7,4))))*INDEX('Methodology &amp; Sources'!$B$29:$J$36,0,IF(Inputs!$C$12="MFJ",1,IF(Inputs!$C$12="HoH",7,4))+2)),SUMPRODUCT((($AH22+$D22)&gt;INDEX('Methodology &amp; Sources'!$B$19:$J$26,0,IF(Inputs!$C$12="MFJ",1,IF(Inputs!$C$12="HoH",7,4))))*(($AH22+$D22)-INDEX('Methodology &amp; Sources'!$B$19:$J$26,0,IF(Inputs!$C$12="MFJ",1,IF(Inputs!$C$12="HoH",7,4))))*INDEX('Methodology &amp; Sources'!$B$19:$J$26,0,IF(Inputs!$C$12="MFJ",1,IF(Inputs!$C$12="HoH",7,4))+2)))-IF(Inputs!$C$13,SUMPRODUCT(($AH22&gt;INDEX('Methodology &amp; Sources'!$B$29:$J$36,0,IF(Inputs!$C$12="MFJ",1,IF(Inputs!$C$12="HoH",7,4))))*($AH22-INDEX('Methodology &amp; Sources'!$B$29:$J$36,0,IF(Inputs!$C$12="MFJ",1,IF(Inputs!$C$12="HoH",7,4))))*INDEX('Methodology &amp; Sources'!$B$29:$J$36,0,IF(Inputs!$C$12="MFJ",1,IF(Inputs!$C$12="HoH",7,4))+2)),SUMPRODUCT(($AH22&gt;INDEX('Methodology &amp; Sources'!$B$19:$J$26,0,IF(Inputs!$C$12="MFJ",1,IF(Inputs!$C$12="HoH",7,4))))*($AH22-INDEX('Methodology &amp; Sources'!$B$19:$J$26,0,IF(Inputs!$C$12="MFJ",1,IF(Inputs!$C$12="HoH",7,4))))*INDEX('Methodology &amp; Sources'!$B$19:$J$26,0,IF(Inputs!$C$12="MFJ",1,IF(Inputs!$C$12="HoH",7,4))+2)))),'Methodology &amp; Sources'!$C$10*$D22),2)))</f>
      </c>
      <c r="Q22" s="7">
        <f>IF($B22="","",ROUND('Methodology &amp; Sources'!$C$4*MIN($N22,MAX(0,'Methodology &amp; Sources'!$C$3-($AX22+$AB21-$AW22))),2))</f>
      </c>
      <c r="R22" s="7">
        <f>IF($B22="","",ROUND('Methodology &amp; Sources'!$C$5*$N22,2))</f>
      </c>
      <c r="S22" s="7">
        <f>IF($B22="","",ROUND('Methodology &amp; Sources'!$C$6*MAX(0,MIN($N22,$AG21+$N22-'Methodology &amp; Sources'!$C$7)),2))</f>
      </c>
      <c r="T22" s="7">
        <f>IF($B22="","",IF(Inputs!$C$26,0,IF($AN22="CA",ROUND(IF($AI22&lt;=IF(($AS22+$AT22)&gt;=2,VLOOKUP($AN22,StateTables!$A$6:$AB$56,10,FALSE),VLOOKUP($AN22,StateTables!$A$6:$AB$56,9,FALSE)),0,MAX(0,SUMPRODUCT(($AJ22&gt;INDEX('Methodology &amp; Sources'!$B$39:$J$48,0,IF($AU22="Married",4,IF($AU22="Head of household",7,1))))*($AJ22-INDEX('Methodology &amp; Sources'!$B$39:$J$48,0,IF($AU22="Married",4,IF($AU22="Head of household",7,1))))*INDEX('Methodology &amp; Sources'!$B$39:$J$48,0,IF($AU22="Married",4,IF($AU22="Head of household",7,1))+2))-VLOOKUP($AN22,StateTables!$A$6:$AB$56,11,FALSE)*$AS22)/Inputs!$C$8)+Inputs!$C$25+VLOOKUP($AN22,StateTables!$A$6:$AB$56,13,FALSE)*$D22,2),IF(VLOOKUP($AN22,StateTables!$A$6:$AB$56,4,FALSE)="None",0,IF(ISNUMBER(SEARCH("MANUAL",VLOOKUP($AN22,StateTables!$A$6:$AB$56,5,FALSE))),Inputs!$C$28,ROUND(MAX(0,$BA22+$BB22)/Inputs!$C$8+Inputs!$C$25+$BC22,2))))))</f>
      </c>
      <c r="U22" s="7">
        <f>IF($B22="","",IF(VLOOKUP($AN22,StateTables!$A$6:$AB$56,24,FALSE)="flatq",IF(OR(MONTH($B22)=1,MONTH($B22)=4,MONTH($B22)=7,MONTH($B22)=10),VLOOKUP($AN22,StateTables!$A$6:$AB$56,25,FALSE),0),IF(VLOOKUP($AN22,StateTables!$A$6:$AB$56,24,FALSE)="dbl",MIN(ROUND(0.005*$N22,2),ROUND(0.6*52/Inputs!$C$8,2)),IF(OR(VLOOKUP($AN22,StateTables!$A$6:$AB$56,15,FALSE)="",VLOOKUP($AN22,StateTables!$A$6:$AB$56,15,FALSE)=0),0,ROUND(VLOOKUP($AN22,StateTables!$A$6:$AB$56,15,FALSE)*IF(OR(VLOOKUP($AN22,StateTables!$A$6:$AB$56,16,FALSE)="",VLOOKUP($AN22,StateTables!$A$6:$AB$56,16,FALSE)=0),$N22,MIN($N22,MAX(0,VLOOKUP($AN22,StateTables!$A$6:$AB$56,16,FALSE)-($AX22+$AB21-$AW22)))),2))))+IF(VLOOKUP($AN22,StateTables!$A$6:$AB$56,27,FALSE)="flatq",IF(OR(MONTH($B22)=1,MONTH($B22)=4,MONTH($B22)=7,MONTH($B22)=10),VLOOKUP($AN22,StateTables!$A$6:$AB$56,28,FALSE),0),IF(VLOOKUP($AN22,StateTables!$A$6:$AB$56,27,FALSE)="dbl",MIN(ROUND(0.005*$N22,2),ROUND(0.6*52/Inputs!$C$8,2)),IF(OR(VLOOKUP($AN22,StateTables!$A$6:$AB$56,18,FALSE)="",VLOOKUP($AN22,StateTables!$A$6:$AB$56,18,FALSE)=0),0,ROUND(VLOOKUP($AN22,StateTables!$A$6:$AB$56,18,FALSE)*IF(OR(VLOOKUP($AN22,StateTables!$A$6:$AB$56,19,FALSE)="",VLOOKUP($AN22,StateTables!$A$6:$AB$56,19,FALSE)=0),$N22,MIN($N22,MAX(0,VLOOKUP($AN22,StateTables!$A$6:$AB$56,19,FALSE)-($AX22+$AB21-$AW22)))),2)))))</f>
      </c>
      <c r="V22" s="7">
        <f>IF($B22="","",IF($AN22="NY",IF(Inputs!$C$78,ROUND(SUMPRODUCT((MAX(0,($O22-$D22)*Inputs!$C$8-(IF($AU22="Married",5500,5000)+1000*$AS22))&gt;INDEX('Methodology &amp; Sources'!$B$184:$J$198,0,4))*(MAX(0,($O22-$D22)*Inputs!$C$8-(IF($AU22="Married",5500,5000)+1000*$AS22))-INDEX('Methodology &amp; Sources'!$B$184:$J$198,0,4))*INDEX('Methodology &amp; Sources'!$B$184:$J$198,0,4+2))/Inputs!$C$8+0.0425*$D22,2),0)+IF(Inputs!$C$79="Resident",ROUND(0.1675*$T22,2),IF(Inputs!$C$79="Nonresident",ROUND(0.005*MAX(0,($O22-$D22)-(IF($AU22="Married",7950,7400)+1000*$AS22)/Inputs!$C$8),2),0)),IF($AN22="PA",IF(Inputs!$C$80="None",Inputs!$C$27+ROUND(Inputs!$C$81*($C22+$D22),2),ROUND(IF(Inputs!$C$80="Resident",IF($B22&lt;DATE(2027,7,1),0.03735,0.03735),IF($B22&lt;DATE(2027,7,1),0.03425,0.03425))*($C22+$D22),2)),IF($BF22=0,ROUND(Inputs!$C$81*($C22+$D22),2),Inputs!$C$27+ROUND(Inputs!$C$81*($C22+$D22),2)))))</f>
      </c>
      <c r="W22" s="7">
        <f>IF($B22="","",IF($BF22=0,0,$BP22))</f>
      </c>
      <c r="X22" s="7">
        <f>IF($B22="","",SUM($E22:$K22)+$P22+$Q22+$R22+$S22+$T22+$U22+$V22+$W22)</f>
      </c>
      <c r="Y22" s="22">
        <f>IF($B22="","",$C22+$D22-$X22)</f>
      </c>
      <c r="Z22" s="7">
        <f>IF($B22="","",$Z21+$C22+$D22)</f>
      </c>
      <c r="AA22" s="7">
        <f>IF($B22="","",$AA21+$Y22)</f>
      </c>
      <c r="AB22" s="7">
        <f>IF($B22="","",$AB21+MIN($N22,MAX(0,'Methodology &amp; Sources'!$C$3-($AX22+$AB21-$AW22))))</f>
      </c>
      <c r="AC22" s="7">
        <f>IF($B22="","",$AC21+$E22+$F22)</f>
      </c>
      <c r="AD22" s="3">
        <f>IF($B22="","",IF(AND($AB21&lt;'Methodology &amp; Sources'!$C$3,$AB22&gt;='Methodology &amp; Sources'!$C$3),"★ Social Security maxed on this check — from the next check your net rises by about $"&amp;TEXT(ROUND('Methodology &amp; Sources'!$C$4*$N22,2),"#,##0.00")&amp;". ","")&amp;IF(AND($AC21&lt;Inputs!$C$34,$AC22&gt;=Inputs!$C$34),"★ 401(k) reaches the $"&amp;TEXT(Inputs!$C$34,"#,##0")&amp;" cap on this check — deferrals stop and net pay rises. ","")&amp;IF(AND($AG21&lt;'Methodology &amp; Sources'!$C$7,$AG22&gt;='Methodology &amp; Sources'!$C$7),"★ Wages pass $200,000 — the 0.9% Additional Medicare Tax starts here. ","")&amp;IF(AND($BJ22&gt;0,$H22&gt;0,$BG21&lt;MIN($BJ22,'Methodology &amp; Sources'!$C$13),$BG21+$H22&gt;=MIN($BJ22,'Methodology &amp; Sources'!$C$13)),"★ Health FSA election is now fully deferred for the year. ",""))</f>
      </c>
      <c r="AE22" s="41" t="n"/>
      <c r="AF22" s="7">
        <f>IF(OR($B22="",$AE22=""),"",$AE22-$Y22)</f>
      </c>
      <c r="AG22" s="7">
        <f>IF($B22="","",$AG21+$N22)</f>
      </c>
      <c r="AH22" s="7">
        <f>IF($B22="","",MAX(0,($M22-$D22)*Inputs!$C$8+$AP22-$AQ22-IF(Inputs!$C$13,0,IF(Inputs!$C$12="MFJ",'Methodology &amp; Sources'!$C$8,'Methodology &amp; Sources'!$C$9))))</f>
      </c>
      <c r="AI22" s="7">
        <f>IF($B22="","",$O22*Inputs!$C$8)</f>
      </c>
      <c r="AJ22" s="7">
        <f>IF($B22="","",MAX(0,$AI22-VLOOKUP($AN22,StateTables!$A$6:$AB$56,12,FALSE)*$AT22-IF(($AS22+$AT22)&gt;=2,VLOOKUP($AN22,StateTables!$A$6:$AB$56,8,FALSE),VLOOKUP($AN22,StateTables!$A$6:$AB$56,7,FALSE))))</f>
      </c>
      <c r="AK22" s="7">
        <f>IF($B22="","",IFERROR(LOOKUP(2,1/((Events!$C$6:$C$17="Salary change")*(Events!$B$6:$B$17&lt;=$B22)*(Events!$B$6:$B$17&lt;&gt;"")),Events!$D$6:$D$17),IF(Inputs!$C$4="Annual salary",Inputs!$C$5,Inputs!$C$6)))</f>
      </c>
      <c r="AL22">
        <f>IF($B22="","",IFERROR(LOOKUP(2,1/((Events!$C$6:$C$17="401(k) change")*(Events!$B$6:$B$17&lt;=$B22)*(Events!$B$6:$B$17&lt;&gt;"")),Events!$D$6:$D$17),Inputs!$C$30))</f>
      </c>
      <c r="AM22" s="7">
        <f>IF($B22="","",IFERROR(LOOKUP(2,1/((Events!$C$6:$C$17="401(k) change")*(Events!$B$6:$B$17&lt;=$B22)*(Events!$B$6:$B$17&lt;&gt;"")),Events!$E$6:$E$17),Inputs!$D$30))</f>
      </c>
      <c r="AN22">
        <f>IF($B22="","",IFERROR(LOOKUP(2,1/((Events!$C$6:$C$17="State move")*(Events!$B$6:$B$17&lt;=$B22)*(Events!$B$6:$B$17&lt;&gt;"")),Events!$D$6:$D$17),Inputs!$C$21))</f>
      </c>
      <c r="AO22" s="7">
        <f>IF($B22="","",IFERROR(LOOKUP(2,1/((Events!$C$6:$C$17="W-4 change")*(Events!$B$6:$B$17&lt;=$B22)*(Events!$B$6:$B$17&lt;&gt;"")),Events!$D$6:$D$17),Inputs!$C$14))</f>
      </c>
      <c r="AP22" s="7">
        <f>IF($B22="","",IFERROR(LOOKUP(2,1/((Events!$C$6:$C$17="W-4 change")*(Events!$B$6:$B$17&lt;=$B22)*(Events!$B$6:$B$17&lt;&gt;"")),Events!$E$6:$E$17),Inputs!$C$15))</f>
      </c>
      <c r="AQ22" s="7">
        <f>IF($B22="","",IFERROR(LOOKUP(2,1/((Events!$C$6:$C$17="W-4 change")*(Events!$B$6:$B$17&lt;=$B22)*(Events!$B$6:$B$17&lt;&gt;"")),Events!$F$6:$F$17),Inputs!$C$16))</f>
      </c>
      <c r="AR22" s="7">
        <f>IF($B22="","",IFERROR(LOOKUP(2,1/((Events!$C$6:$C$17="W-4 change")*(Events!$B$6:$B$17&lt;=$B22)*(Events!$B$6:$B$17&lt;&gt;"")),Events!$G$6:$G$17),Inputs!$C$17))</f>
      </c>
      <c r="AS22" s="6">
        <f>IF($B22="","",IFERROR(LOOKUP(2,1/(((Events!$C$6:$C$17="State move")+(Events!$C$6:$C$17="State cert change"))*(Events!$B$6:$B$17&lt;=$B22)*(Events!$B$6:$B$17&lt;&gt;"")),Events!$F$6:$F$17),Inputs!$C$23))</f>
      </c>
      <c r="AT22" s="6">
        <f>IF($B22="","",IFERROR(LOOKUP(2,1/(((Events!$C$6:$C$17="State move")+(Events!$C$6:$C$17="State cert change"))*(Events!$B$6:$B$17&lt;=$B22)*(Events!$B$6:$B$17&lt;&gt;"")),Events!$G$6:$G$17),Inputs!$C$24))</f>
      </c>
      <c r="AU22">
        <f>IF($B22="","",IFERROR(LOOKUP(2,1/((Events!$C$6:$C$17="State move")*(Events!$B$6:$B$17&lt;=$B22)*(Events!$B$6:$B$17&lt;&gt;"")),Events!$E$6:$E$17),Inputs!$C$22))</f>
      </c>
      <c r="AV22" s="6">
        <f>IF($B22="","",1+COUNTIFS(Events!$C$6:$C$17,"Employer change",Events!$B$6:$B$17,"&lt;="&amp;$B22,Events!$B$6:$B$17,"&lt;&gt;"))</f>
      </c>
      <c r="AW22" s="7">
        <f>IF($B22="","",IF($AV22=1,Inputs!$C$94,IF(IFERROR(MATCH(IFERROR(LOOKUP(2,1/((Events!$C$6:$C$17="Employer change")*(Events!$B$6:$B$17&lt;=$B22)*(Events!$B$6:$B$17&lt;&gt;"")),Events!$B$6:$B$17),""),$B$6:$B$68,1),1)&lt;=1,Inputs!$C$94,INDEX($AB$6:$AB$68,MATCH(IFERROR(LOOKUP(2,1/((Events!$C$6:$C$17="Employer change")*(Events!$B$6:$B$17&lt;=$B22)*(Events!$B$6:$B$17&lt;&gt;"")),Events!$B$6:$B$17),""),$B$6:$B$68,1)-1))))</f>
      </c>
      <c r="AX22" s="7">
        <f>IF($B22="","",IF($AV22=1,Inputs!$C$94,IFERROR(LOOKUP(2,1/((Events!$C$6:$C$17="Employer change")*(Events!$B$6:$B$17&lt;=$B22)*(Events!$B$6:$B$17&lt;&gt;"")),Events!$D$6:$D$17),0)))</f>
      </c>
      <c r="AY22" s="7">
        <f>IF($B22="","",($O22-$D22)*Inputs!$C$8)</f>
      </c>
      <c r="AZ22" s="7">
        <f>IF($B22="","",IF($AN22="AL",MAX(0,$AY22-IF($AU22="Married",IF($AY22&lt;=25999,8500,MAX(5000,8500-175*CEILING(($AY22-25999)/500,1))),IF($AU22="Head of household",IF($AY22&lt;=25999,5200,MAX(2500,5200-135*CEILING(($AY22-25999)/500,1))),IF($AY22&lt;=25999,3000,MAX(2500,3000-25*CEILING(($AY22-25999)/500,1)))))-($P22-'Methodology &amp; Sources'!$C$10*$D22)*Inputs!$C$8-IF(OR($AU22="Married",$AU22="Head of household"),3000,1500)-$AT22*IF($AY22&lt;=50000,1000,IF($AY22&lt;=100000,500,300))),IF($AN22="AR",IF(MAX(0,$AY22-2470)&lt;97701,INT(MAX(0,$AY22-2470)/100)*100+50,MAX(0,$AY22-2470)),IF($AN22="DE",MAX(0,$AI22-3250),IF($AN22="HI",MAX(0,$AI22-1144*$AS22-4350),IF($AN22="KS",MAX(0,$AI22-(9160*IF($AU22="Married",2,1)+2320*$AT22+IF($AU22="Head of household",2320,0))),IF($AN22="MD",MAX(0,$AI22-3400-3200*$AS22),IF($AN22="MN",MAX(0,$AY22-5300*$AS22),IF($AN22="MO",MAX(0,$AI22-IF($AU22="Head of household",24150,IF($AU22="Married",IF(Inputs!$C$83,16100,32200),16100))),IF($AN22="MT",$AY22,IF($AN22="ND",($C22+$L22)*Inputs!$C$8,IF($AN22="NE",MAX(0,$AY22-2440*$AS22),IF($AN22="NJ",MAX(0,$AY22-1000*$AS22),IF($AN22="NY",MAX(0,$AY22-(IF($AU22="Married",7950,7400)+1000*$AS22)),IF($AN22="OH",MAX(0,$AY22-650*$AS22),IF($AN22="OK",MAX(0,$AY22-1000*$AS22),IF($AN22="RI",MAX(0,$AI22-1000*$AS22),IF($AN22="SC",MAX(0,$AI22-5000*$AS22-IF($AS22=0,0,MIN(0.1*$AI22,7500))),IF($AN22="VA",MAX(0,$AI22-IF($AU22="Married",17500,8750)-930*$AS22-800*$AT22),IF($AN22="VT",MAX(0,$AI22-5400*$AS22),IF($AN22="WI",MAX(0,$AI22-MAX(0,IF($AU22="Married",9461-0.2*MAX(0,$AI22-25727),6702-0.12*MAX(0,$AI22-17780)))-400*$AS22),IF($AN22="WV",MAX(0,$AI22-2000*$AS22),$AI22))))))))))))))))))))))</f>
      </c>
      <c r="BA22" s="7">
        <f>IF($B22="","",IF($BW22&lt;&gt;"",$BW22,IF($BX22&lt;&gt;"",$BX22,IF($BY22&lt;&gt;"",$BY22,0))))</f>
      </c>
      <c r="BB22" s="7">
        <f>IF($B22="","",IF($AN22="AR",-29*$AS22,IF($AN22="DE",-110*$AS22,IF($AN22="MD",$AZ22*Inputs!$C$74,IF($AN22="AZ",Inputs!$C$82*($M22-$D22)*Inputs!$C$8,IF($AN22="CO",0.044*MAX(0,$AY22-IF($AU22="Married",10000,5000)),IF($AN22="IA",MAX(0,0.038*MAX(0,$AY22-IF($AU22="Head of household",19500,IF($AU22="Married",26000,13000)))-40*$AS22),IF($AN22="ID",0.053*MAX(0,$AY22-IF($AU22="Married",32000,16094)),IF($AN22="IL",0.0495*MAX(0,$AY22-(2925*$AS22+1000*$AT22)),IF($AN22="IN",(0.0295+Inputs!$C$76)*MAX(0,$AY22-(1000*$AS22+1500*$AT22+3000*Inputs!$C$86)),IF($AN22="KY",0.035*MAX(0,$AI22-3360),IF($AN22="LA",IF(Inputs!$C$84="0",0.0309*$AI22,0.0309*MAX(0,$AI22-IF(Inputs!$C$84="2",25750,12875))),IF($AN22="MA",0.05*MIN(MAX(0,$AY22-MIN(($BD21+$Q22+$R22+$S22),2000)-IF($AS22=0,0,IF($AS22=1,4400,1000*$AS22+3400))),1107750)+0.09*MAX(0,MAX(0,$AY22-MIN(($BD21+$Q22+$R22+$S22),2000)-IF($AS22=0,0,IF($AS22=1,4400,1000*$AS22+3400)))-1107750)-IF($AU22="Head of household",120,0)-110*Inputs!$C$75,IF($AN22="MI",0.0425*MAX(0,$AY22-5900*$AS22),IF($AN22="MS",0.04*MAX(0,$AI22-IF($AU22="Head of household",3400,IF($AU22="Married",4600,2300))-Inputs!$C$85-10000),IF($AN22="OR",IF(OR($AU22="Married",AND($AU22="Single",$AS22&gt;=3)),SUMPRODUCT((MAX(0,$AY22-MIN(($P22-'Methodology &amp; Sources'!$C$10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Sources'!$B$211:$J$214,0,4))*(MAX(0,$AY22-MIN(($P22-'Methodology &amp; Sources'!$C$10*$D22)*Inputs!$C$8,IF(OR($AU22="Married",AND($AU22="Single",$AS22&gt;=3)),IF($AY22&lt;250000,8750,IF($AY22&lt;260000,7000,IF($AY22&lt;270000,5250,IF($AY22&lt;280000,3500,IF($AY22&lt;290000,1750,0))))),IF($AY22&lt;125000,8750,IF($AY22&lt;130000,7000,IF($AY22&lt;135000,5250,IF($AY22&lt;140000,3500,IF($AY22&lt;145000,1750,0)))))))-IF(OR($AU22="Married",AND($AU22="Single",$AS22&gt;=3)),5820,2910))-INDEX('Methodology &amp; Sources'!$B$211:$J$214,0,4))*INDEX('Methodology &amp; Sources'!$B$211:$J$214,0,4+2)),SUMPRODUCT((MAX(0,$AY22-MIN(($P22-'Methodology &amp; Sources'!$C$10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Sources'!$B$211:$J$214,0,1))*(MAX(0,$AY22-MIN(($P22-'Methodology &amp; Sources'!$C$10*$D22)*Inputs!$C$8,IF(OR($AU22="Married",AND($AU22="Single",$AS22&gt;=3)),IF($AY22&lt;250000,8750,IF($AY22&lt;260000,7000,IF($AY22&lt;270000,5250,IF($AY22&lt;280000,3500,IF($AY22&lt;290000,1750,0))))),IF($AY22&lt;125000,8750,IF($AY22&lt;130000,7000,IF($AY22&lt;135000,5250,IF($AY22&lt;140000,3500,IF($AY22&lt;145000,1750,0)))))))-IF(OR($AU22="Married",AND($AU22="Single",$AS22&gt;=3)),5820,2910))-INDEX('Methodology &amp; Sources'!$B$211:$J$214,0,1))*INDEX('Methodology &amp; Sources'!$B$211:$J$214,0,1+2)))+263-263*IF(IF($AU22="Married",$AY22&gt;200000,$AY22&gt;100000),0,$AS22),IF($AN22="PA",0.0307*(($O22+$E22+$G22)*Inputs!$C$8),IF($AN22="NY",IF($AU22="Married",IF($AZ22&gt;=2155350,0,IF($AZ22&gt;=1077550,0.48,IF($AZ22&gt;=373200,1.21,IF($AZ22&gt;=323200,0.21,IF($AZ22&gt;=211550,-0.19,IF($AZ22&gt;=157650,-2.8,IF($AZ22&gt;=107650,-0.8,IF($AZ22&gt;=96800,0.05,IF($AZ22&gt;=80650,-0.1,IF($AZ22&gt;=13900,0.4,IF($AZ22&gt;=11700,-0.3,IF($AZ22&gt;=8500,0.5,0)))))))))))),IF($AZ22&gt;=1077550,0,IF($AZ22&gt;=265400,4.29,IF($AZ22&gt;=215400,2.29,IF($AZ22&gt;=157650,2.29,IF($AZ22&gt;=107650,0.29,IF($AZ22&gt;=96800,0.05,IF($AZ22&gt;=80650,-0.1,IF($AZ22&gt;=13900,0.4,IF($AZ22&gt;=11700,-0.3,IF($AZ22&gt;=8500,0.5,0))))))))))),0))))))))))))))))))</f>
      </c>
      <c r="BC22" s="7">
        <f>IF($B22="","",IF($AN22="AL",0.05*$D22,IF($AN22="AR",0.039*$D22,IF($AN22="ID",0.053*$D22,IF($AN22="IN",(0.0295+Inputs!$C$76)*$D22,IF($AN22="KS",0.05*$D22,IF($AN22="MA",0.09*MIN($D22,MAX(0,MAX(0,$AY22-MIN(($BD21+$Q22+$R22+$S22),2000)-IF($AS22=0,0,IF($AS22=1,4400,1000*$AS22+3400)))+$D22-1107750))+0.05*($D22-MIN($D22,MAX(0,MAX(0,$AY22-MIN(($BD21+$Q22+$R22+$S22),2000)-IF($AS22=0,0,IF($AS22=1,4400,1000*$AS22+3400)))+$D22-1107750))),IF($AN22="MD",(0.065+Inputs!$C$74)*$D22,IF($AN22="MI",0.0425*$D22,IF($AN22="MN",0.0625*$D22,IF($AN22="MO",0.047*$D22,IF($AN22="MT",0.05*$D22,IF($AN22="ND",0.015*$D22,IF($AN22="NE",0.035*$D22,IF($AN22="NJ",IF(Inputs!$C$77="B",SUMPRODUCT(($D22*Inputs!$C$8&gt;INDEX('Methodology &amp; Sources'!$B$155:$J$162,0,4))*($D22*Inputs!$C$8-INDEX('Methodology &amp; Sources'!$B$155:$J$162,0,4))*INDEX('Methodology &amp; Sources'!$B$155:$J$162,0,4+2)),IF(Inputs!$C$77="C",SUMPRODUCT(($D22*Inputs!$C$8&gt;INDEX('Methodology &amp; Sources'!$B$155:$J$162,0,7))*($D22*Inputs!$C$8-INDEX('Methodology &amp; Sources'!$B$155:$J$162,0,7))*INDEX('Methodology &amp; Sources'!$B$155:$J$162,0,7+2)),IF(Inputs!$C$77="D",SUMPRODUCT(($D22*Inputs!$C$8&gt;INDEX('Methodology &amp; Sources'!$B$167:$J$179,0,1))*($D22*Inputs!$C$8-INDEX('Methodology &amp; Sources'!$B$167:$J$179,0,1))*INDEX('Methodology &amp; Sources'!$B$167:$J$179,0,1+2)),IF(Inputs!$C$77="E",SUMPRODUCT(($D22*Inputs!$C$8&gt;INDEX('Methodology &amp; Sources'!$B$167:$J$179,0,4))*($D22*Inputs!$C$8-INDEX('Methodology &amp; Sources'!$B$167:$J$179,0,4))*INDEX('Methodology &amp; Sources'!$B$167:$J$179,0,4+2)),SUMPRODUCT(($D22*Inputs!$C$8&gt;INDEX('Methodology &amp; Sources'!$B$155:$J$162,0,1))*($D22*Inputs!$C$8-INDEX('Methodology &amp; Sources'!$B$155:$J$162,0,1))*INDEX('Methodology &amp; Sources'!$B$155:$J$162,0,1+2))))))/Inputs!$C$8,IF($AN22="NY",0.117*$D22,IF($AN22="OH",0.0275*$D22,IF($AN22="OK",0.045*$D22,IF($AN22="OR",0.08*$D22,IF($AN22="WI",IF($AY22&lt;12760,0.0354,IF($AY22&lt;25520,0.0465,IF($AY22&lt;280950,0.053,0.0765)))*$D22,0))))))))))))))))))))</f>
      </c>
      <c r="BD22" s="7">
        <f>IF($B22="","",$BD21+$Q22+$R22+$S22)</f>
      </c>
      <c r="BE22" s="6">
        <f>IF($B22="",$BE21,$BE21+$BF22)</f>
      </c>
      <c r="BF22" s="6">
        <f>IF($B22="","",IF(AND(IF(YEAR(IF(Inputs!$C$7="Weekly",Inputs!$C$90+7*(($BE21+1)-1),IF(Inputs!$C$7="Biweekly",Inputs!$C$90+14*(($BE21+1)-1),IF(Inputs!$C$7="Semimonthly",DATE(YEAR(Inputs!$C$9),MONTH(Inputs!$C$9)+INT((($BE21+1)-1+'Rest of 2026'!$C$2)/2),MIN(DAY(Inputs!$C$9),DAY(EOMONTH(DATE(YEAR(Inputs!$C$9),MONTH(Inputs!$C$9)+INT((($BE21+1)-1+'Rest of 2026'!$C$2)/2),1),0))))+IF(MOD(($BE21+1)-1+'Rest of 2026'!$C$2,2)=1,15,0),EDATE(Inputs!$C$90,($BE21+1)-1)))))&lt;&gt;Inputs!$C$10,"",IF(Inputs!$C$7="Weekly",Inputs!$C$90+7*(($BE21+1)-1),IF(Inputs!$C$7="Biweekly",Inputs!$C$90+14*(($BE21+1)-1),IF(Inputs!$C$7="Semimonthly",DATE(YEAR(Inputs!$C$9),MONTH(Inputs!$C$9)+INT((($BE21+1)-1+'Rest of 2026'!$C$2)/2),MIN(DAY(Inputs!$C$9),DAY(EOMONTH(DATE(YEAR(Inputs!$C$9),MONTH(Inputs!$C$9)+INT((($BE21+1)-1+'Rest of 2026'!$C$2)/2),1),0))))+IF(MOD(($BE21+1)-1+'Rest of 2026'!$C$2,2)=1,15,0),EDATE(Inputs!$C$90,($BE21+1)-1)))))&lt;&gt;"",$B22=IF(YEAR(IF(Inputs!$C$7="Weekly",Inputs!$C$90+7*(($BE21+1)-1),IF(Inputs!$C$7="Biweekly",Inputs!$C$90+14*(($BE21+1)-1),IF(Inputs!$C$7="Semimonthly",DATE(YEAR(Inputs!$C$9),MONTH(Inputs!$C$9)+INT((($BE21+1)-1+'Rest of 2026'!$C$2)/2),MIN(DAY(Inputs!$C$9),DAY(EOMONTH(DATE(YEAR(Inputs!$C$9),MONTH(Inputs!$C$9)+INT((($BE21+1)-1+'Rest of 2026'!$C$2)/2),1),0))))+IF(MOD(($BE21+1)-1+'Rest of 2026'!$C$2,2)=1,15,0),EDATE(Inputs!$C$90,($BE21+1)-1)))))&lt;&gt;Inputs!$C$10,"",IF(Inputs!$C$7="Weekly",Inputs!$C$90+7*(($BE21+1)-1),IF(Inputs!$C$7="Biweekly",Inputs!$C$90+14*(($BE21+1)-1),IF(Inputs!$C$7="Semimonthly",DATE(YEAR(Inputs!$C$9),MONTH(Inputs!$C$9)+INT((($BE21+1)-1+'Rest of 2026'!$C$2)/2),MIN(DAY(Inputs!$C$9),DAY(EOMONTH(DATE(YEAR(Inputs!$C$9),MONTH(Inputs!$C$9)+INT((($BE21+1)-1+'Rest of 2026'!$C$2)/2),1),0))))+IF(MOD(($BE21+1)-1+'Rest of 2026'!$C$2,2)=1,15,0),EDATE(Inputs!$C$90,($BE21+1)-1)))))),1,0))</f>
      </c>
      <c r="BG22" s="7">
        <f>IF($B22="","",$BG21+$H22)</f>
      </c>
      <c r="BH22" s="7">
        <f>IF($B22="","",$BH21+$I22)</f>
      </c>
      <c r="BI22" s="7">
        <f>IF($B22="","",$BI21+$G22)</f>
      </c>
      <c r="BJ22" s="7">
        <f>IF($B22="","",IFERROR(LOOKUP(2,1/((((Events!$C$6:$C$17="Deduction start"))*(Events!$D$6:$D$17="Health FSA"))*(Events!$B$6:$B$17&lt;=$B22)*(Events!$B$6:$B$17&lt;&gt;"")),Events!$E$6:$E$17),Inputs!$D$38))</f>
      </c>
      <c r="BK22" s="7">
        <f>IF($B22="","",IFERROR(LOOKUP(2,1/((((Events!$C$6:$C$17="Deduction start"))*(Events!$D$6:$D$17="Dependent-care FSA"))*(Events!$B$6:$B$17&lt;=$B22)*(Events!$B$6:$B$17&lt;&gt;"")),Events!$E$6:$E$17),Inputs!$D$39))</f>
      </c>
      <c r="BL22" s="7">
        <f>IF($B22="","",IFERROR(LOOKUP(2,1/((((Events!$C$6:$C$17="Deduction start")+(Events!$C$6:$C$17="Deduction stop"))*(Events!$D$6:$D$17="HSA"))*(Events!$B$6:$B$17&lt;=$B22)*(Events!$B$6:$B$17&lt;&gt;"")),Events!$I$6:$I$17),Inputs!$D$35))</f>
      </c>
      <c r="BM22" s="7">
        <f>IF($B22="","",IFERROR(LOOKUP(2,1/((((Events!$C$6:$C$17="Deduction start")+(Events!$C$6:$C$17="Deduction stop"))*(Events!$D$6:$D$17="Premiums"))*(Events!$B$6:$B$17&lt;=$B22)*(Events!$B$6:$B$17&lt;&gt;"")),Events!$I$6:$I$17),Inputs!$D$40+Inputs!$D$41+Inputs!$D$42))</f>
      </c>
      <c r="BN22" s="7">
        <f>IF($B22="","",IFERROR(LOOKUP(2,1/((((Events!$C$6:$C$17="Deduction start")+(Events!$C$6:$C$17="Deduction stop"))*(Events!$D$6:$D$17="Commuter"))*(Events!$B$6:$B$17&lt;=$B22)*(Events!$B$6:$B$17&lt;&gt;"")),Events!$I$6:$I$17),Inputs!$D$43))</f>
      </c>
      <c r="BO22" s="7">
        <f>IF($B22="","",IFERROR(LOOKUP(2,1/((((Events!$C$6:$C$17="Deduction start")+(Events!$C$6:$C$17="Deduction stop"))*(Events!$D$6:$D$17="Other pre-tax"))*(Events!$B$6:$B$17&lt;=$B22)*(Events!$B$6:$B$17&lt;&gt;"")),Events!$I$6:$I$17),Inputs!$D$44))</f>
      </c>
      <c r="BP22" s="7">
        <f>IF($B22="","",IFERROR(LOOKUP(2,1/((((Events!$C$6:$C$17="Deduction start")+(Events!$C$6:$C$17="Deduction stop"))*(Events!$D$6:$D$17="Other post-tax"))*(Events!$B$6:$B$17&lt;=$B22)*(Events!$B$6:$B$17&lt;&gt;"")),Events!$I$6:$I$17),Inputs!$D$45))</f>
      </c>
      <c r="BQ22" s="6">
        <f>IF($B22="","",IFERROR(LOOKUP(2,1/((((Events!$C$6:$C$17="Deduction start")+(Events!$C$6:$C$17="Deduction stop"))*(Events!$D$6:$D$17="Health FSA"))*(Events!$B$6:$B$17&lt;=$B22)*(Events!$B$6:$B$17&lt;&gt;"")),Events!$J$6:$J$17),0))</f>
      </c>
      <c r="BR22" s="6">
        <f>IF($B22="","",IFERROR(LOOKUP(2,1/((((Events!$C$6:$C$17="Deduction start")+(Events!$C$6:$C$17="Deduction stop"))*(Events!$D$6:$D$17="Dependent-care FSA"))*(Events!$B$6:$B$17&lt;=$B22)*(Events!$B$6:$B$17&lt;&gt;"")),Events!$J$6:$J$17),0))</f>
      </c>
      <c r="BS22" s="6">
        <f>IF($B22="","",IF(SUMPRODUCT((Events!$C$6:$C$17="Deduction start")*(Events!$B$6:$B$17&lt;=$B22)*(Events!$B$6:$B$17&lt;&gt;"")*(Events!$D$6:$D$17="Health FSA"))&gt;0,1,0))</f>
      </c>
      <c r="BT22" s="6">
        <f>IF($B22="","",IF(SUMPRODUCT((Events!$C$6:$C$17="Deduction start")*(Events!$B$6:$B$17&lt;=$B22)*(Events!$B$6:$B$17&lt;&gt;"")*(Events!$D$6:$D$17="Dependent-care FSA"))&gt;0,1,0))</f>
      </c>
      <c r="BU22" s="24">
        <f>IF($B22="","",IF(Inputs!$C$13,SUMPRODUCT(($AH22&gt;=INDEX('Methodology &amp; Sources'!$B$29:$J$36,0,IF(Inputs!$C$12="MFJ",1,IF(Inputs!$C$12="HoH",7,4))))*INDEX('Methodology &amp; Sources'!$B$29:$J$36,0,IF(Inputs!$C$12="MFJ",1,IF(Inputs!$C$12="HoH",7,4))+2)),SUMPRODUCT(($AH22&gt;=INDEX('Methodology &amp; Sources'!$B$19:$J$26,0,IF(Inputs!$C$12="MFJ",1,IF(Inputs!$C$12="HoH",7,4))))*INDEX('Methodology &amp; Sources'!$B$19:$J$26,0,IF(Inputs!$C$12="MFJ",1,IF(Inputs!$C$12="HoH",7,4))+2))))</f>
      </c>
      <c r="BV22" s="24">
        <f>IF($B22="","",IF($BZ22&lt;&gt;"",$BZ22,IF($CA22&lt;&gt;"",$CA22,IF($CB22&lt;&gt;"",$CB22,IF($CC22&lt;&gt;"",$CC22,0)))))</f>
      </c>
      <c r="BW22" s="7">
        <f>IF($B22="","",IF($AN22="MD",IF(OR($AU22="Married",$AU22="Head of household"),SUMPRODUCT(($AZ22&gt;INDEX('Methodology &amp; Sources'!$B$114:$J$120,0,1))*($AZ22-INDEX('Methodology &amp; Sources'!$B$114:$J$120,0,1))*INDEX('Methodology &amp; Sources'!$B$114:$J$120,0,1+2)),SUMPRODUCT(($AZ22&gt;INDEX('Methodology &amp; Sources'!$B$103:$J$109,0,7))*($AZ22-INDEX('Methodology &amp; Sources'!$B$103:$J$109,0,7))*INDEX('Methodology &amp; Sources'!$B$103:$J$109,0,7+2))),IF($AN22="MO",SUMPRODUCT(($AZ22&gt;INDEX('Methodology &amp; Sources'!$B$125:$J$132,0,1))*($AZ22-INDEX('Methodology &amp; Sources'!$B$125:$J$132,0,1))*INDEX('Methodology &amp; Sources'!$B$125:$J$132,0,1+2)),IF($AN22="MT",IF($AU22="Head of household",SUMPRODUCT(($AZ22&gt;INDEX('Methodology &amp; Sources'!$B$137:$J$139,0,1))*($AZ22-INDEX('Methodology &amp; Sources'!$B$137:$J$139,0,1))*INDEX('Methodology &amp; Sources'!$B$137:$J$139,0,1+2)),IF($AU22="Married",SUMPRODUCT(($AZ22&gt;INDEX('Methodology &amp; Sources'!$B$125:$J$132,0,7))*($AZ22-INDEX('Methodology &amp; Sources'!$B$125:$J$132,0,7))*INDEX('Methodology &amp; Sources'!$B$125:$J$132,0,7+2)),SUMPRODUCT(($AZ22&gt;INDEX('Methodology &amp; Sources'!$B$125:$J$132,0,4))*($AZ22-INDEX('Methodology &amp; Sources'!$B$125:$J$132,0,4))*INDEX('Methodology &amp; Sources'!$B$125:$J$132,0,4+2)))),IF($AN22="ND",IF($AU22="Head of household",SUMPRODUCT(($AZ22&gt;INDEX('Methodology &amp; Sources'!$B$144:$J$150,0,1))*($AZ22-INDEX('Methodology &amp; Sources'!$B$144:$J$150,0,1))*INDEX('Methodology &amp; Sources'!$B$144:$J$150,0,1+2)),IF($AU22="Married",SUMPRODUCT(($AZ22&gt;INDEX('Methodology &amp; Sources'!$B$137:$J$139,0,7))*($AZ22-INDEX('Methodology &amp; Sources'!$B$137:$J$139,0,7))*INDEX('Methodology &amp; Sources'!$B$137:$J$139,0,7+2)),SUMPRODUCT(($AZ22&gt;INDEX('Methodology &amp; Sources'!$B$137:$J$139,0,4))*($AZ22-INDEX('Methodology &amp; Sources'!$B$137:$J$139,0,4))*INDEX('Methodology &amp; Sources'!$B$137:$J$139,0,4+2)))),IF($AN22="NJ",IF(Inputs!$C$77="B",SUMPRODUCT(($AZ22&gt;INDEX('Methodology &amp; Sources'!$B$155:$J$162,0,4))*($AZ22-INDEX('Methodology &amp; Sources'!$B$155:$J$162,0,4))*INDEX('Methodology &amp; Sources'!$B$155:$J$162,0,4+2)),IF(Inputs!$C$77="C",SUMPRODUCT(($AZ22&gt;INDEX('Methodology &amp; Sources'!$B$155:$J$162,0,7))*($AZ22-INDEX('Methodology &amp; Sources'!$B$155:$J$162,0,7))*INDEX('Methodology &amp; Sources'!$B$155:$J$162,0,7+2)),IF(Inputs!$C$77="D",SUMPRODUCT(($AZ22&gt;INDEX('Methodology &amp; Sources'!$B$167:$J$179,0,1))*($AZ22-INDEX('Methodology &amp; Sources'!$B$167:$J$179,0,1))*INDEX('Methodology &amp; Sources'!$B$167:$J$179,0,1+2)),IF(Inputs!$C$77="E",SUMPRODUCT(($AZ22&gt;INDEX('Methodology &amp; Sources'!$B$167:$J$179,0,4))*($AZ22-INDEX('Methodology &amp; Sources'!$B$167:$J$179,0,4))*INDEX('Methodology &amp; Sources'!$B$167:$J$179,0,4+2)),SUMPRODUCT(($AZ22&gt;INDEX('Methodology &amp; Sources'!$B$155:$J$162,0,1))*($AZ22-INDEX('Methodology &amp; Sources'!$B$155:$J$162,0,1))*INDEX('Methodology &amp; Sources'!$B$155:$J$162,0,1+2)))))),IF($AN22="NY",IF($AU22="Married",IF($AZ22&gt;=2155350,$AZ22*IF($AZ22&gt;25000000,0.117,IF($AZ22&gt;5000000,0.111,0.1045)),SUMPRODUCT(($AZ22&gt;INDEX('Methodology &amp; Sources'!$B$184:$J$198,0,1))*($AZ22-INDEX('Methodology &amp; Sources'!$B$184:$J$198,0,1))*INDEX('Methodology &amp; Sources'!$B$184:$J$198,0,1+2))),IF($AZ22&gt;=1077550,$AZ22*IF($AZ22&gt;25000000,0.117,IF($AZ22&gt;5000000,0.111,0.1045)),SUMPRODUCT(($AZ22&gt;INDEX('Methodology &amp; Sources'!$B$167:$J$179,0,7))*($AZ22-INDEX('Methodology &amp; Sources'!$B$167:$J$179,0,7))*INDEX('Methodology &amp; Sources'!$B$167:$J$179,0,7+2)))),"")))))))</f>
      </c>
      <c r="BX22" s="7">
        <f>IF($B22="","",IF($AN22="AL",IF(OR($AU22="Married",$AU22="Head of household"),SUMPRODUCT(($AZ22&gt;INDEX('Methodology &amp; Sources'!$B$82:$J$86,0,4))*($AZ22-INDEX('Methodology &amp; Sources'!$B$82:$J$86,0,4))*INDEX('Methodology &amp; Sources'!$B$82:$J$86,0,4+2)),SUMPRODUCT(($AZ22&gt;INDEX('Methodology &amp; Sources'!$B$82:$J$86,0,1))*($AZ22-INDEX('Methodology &amp; Sources'!$B$82:$J$86,0,1))*INDEX('Methodology &amp; Sources'!$B$82:$J$86,0,1+2))),IF($AN22="KS",IF($AU22="Married",SUMPRODUCT(($AZ22&gt;INDEX('Methodology &amp; Sources'!$B$103:$J$109,0,4))*($AZ22-INDEX('Methodology &amp; Sources'!$B$103:$J$109,0,4))*INDEX('Methodology &amp; Sources'!$B$103:$J$109,0,4+2)),SUMPRODUCT(($AZ22&gt;INDEX('Methodology &amp; Sources'!$B$103:$J$109,0,1))*($AZ22-INDEX('Methodology &amp; Sources'!$B$103:$J$109,0,1))*INDEX('Methodology &amp; Sources'!$B$103:$J$109,0,1+2))),IF($AN22="MN",IF($AU22="Married",SUMPRODUCT(($AZ22&gt;INDEX('Methodology &amp; Sources'!$B$114:$J$120,0,7))*($AZ22-INDEX('Methodology &amp; Sources'!$B$114:$J$120,0,7))*INDEX('Methodology &amp; Sources'!$B$114:$J$120,0,7+2)),SUMPRODUCT(($AZ22&gt;INDEX('Methodology &amp; Sources'!$B$114:$J$120,0,4))*($AZ22-INDEX('Methodology &amp; Sources'!$B$114:$J$120,0,4))*INDEX('Methodology &amp; Sources'!$B$114:$J$120,0,4+2))),IF($AN22="NE",MAX(IF($AU22="Married",SUMPRODUCT(($AZ22&gt;INDEX('Methodology &amp; Sources'!$B$144:$J$150,0,7))*($AZ22-INDEX('Methodology &amp; Sources'!$B$144:$J$150,0,7))*INDEX('Methodology &amp; Sources'!$B$144:$J$150,0,7+2)),SUMPRODUCT(($AZ22&gt;INDEX('Methodology &amp; Sources'!$B$144:$J$150,0,4))*($AZ22-INDEX('Methodology &amp; Sources'!$B$144:$J$150,0,4))*INDEX('Methodology &amp; Sources'!$B$144:$J$150,0,4+2))),0.015*$AZ22),IF($AN22="OH",IF($B22&gt;=DATE(2027,8,1),SUMPRODUCT(($AZ22&gt;INDEX('Methodology &amp; Sources'!$B$203:$J$206,0,1))*($AZ22-INDEX('Methodology &amp; Sources'!$B$203:$J$206,0,1))*INDEX('Methodology &amp; Sources'!$B$203:$J$206,0,1+2)),SUMPRODUCT(($AZ22&gt;INDEX('Methodology &amp; Sources'!$B$184:$J$198,0,7))*($AZ22-INDEX('Methodology &amp; Sources'!$B$184:$J$198,0,7))*INDEX('Methodology &amp; Sources'!$B$184:$J$198,0,7+2))),IF($AN22="OK",IF($AU22="Married",SUMPRODUCT(($AZ22&gt;INDEX('Methodology &amp; Sources'!$B$203:$J$206,0,7))*($AZ22-INDEX('Methodology &amp; Sources'!$B$203:$J$206,0,7))*INDEX('Methodology &amp; Sources'!$B$203:$J$206,0,7+2)),SUMPRODUCT(($AZ22&gt;INDEX('Methodology &amp; Sources'!$B$203:$J$206,0,4))*($AZ22-INDEX('Methodology &amp; Sources'!$B$203:$J$206,0,4))*INDEX('Methodology &amp; Sources'!$B$203:$J$206,0,4+2))),IF($AN22="RI",SUMPRODUCT(($AZ22&gt;INDEX('Methodology &amp; Sources'!$B$211:$J$214,0,7))*($AZ22-INDEX('Methodology &amp; Sources'!$B$211:$J$214,0,7))*INDEX('Methodology &amp; Sources'!$B$211:$J$214,0,7+2)),IF($AN22="VT",IF($AU22="Married",SUMPRODUCT(($AZ22&gt;INDEX('Methodology &amp; Sources'!$B$228:$J$232,0,1))*($AZ22-INDEX('Methodology &amp; Sources'!$B$228:$J$232,0,1))*INDEX('Methodology &amp; Sources'!$B$228:$J$232,0,1+2)),SUMPRODUCT(($AZ22&gt;INDEX('Methodology &amp; Sources'!$B$219:$J$223,0,7))*($AZ22-INDEX('Methodology &amp; Sources'!$B$219:$J$223,0,7))*INDEX('Methodology &amp; Sources'!$B$219:$J$223,0,7+2))),IF($AN22="WV",IF($AU22="Married",SUMPRODUCT(($AZ22&gt;INDEX('Methodology &amp; Sources'!$B$237:$J$241,0,7))*($AZ22-INDEX('Methodology &amp; Sources'!$B$237:$J$241,0,7))*INDEX('Methodology &amp; Sources'!$B$237:$J$241,0,7+2)),SUMPRODUCT(($AZ22&gt;INDEX('Methodology &amp; Sources'!$B$228:$J$232,0,7))*($AZ22-INDEX('Methodology &amp; Sources'!$B$228:$J$232,0,7))*INDEX('Methodology &amp; Sources'!$B$228:$J$232,0,7+2))),""))))))))))</f>
      </c>
      <c r="BY22" s="7">
        <f>IF($B22="","",IF($AN22="AR",SUMPRODUCT(($AZ22&gt;INDEX('Methodology &amp; Sources'!$B$82:$J$86,0,7))*($AZ22-INDEX('Methodology &amp; Sources'!$B$82:$J$86,0,7))*INDEX('Methodology &amp; Sources'!$B$82:$J$86,0,7+2)),IF($AN22="DE",SUMPRODUCT(($AZ22&gt;INDEX('Methodology &amp; Sources'!$B$91:$J$98,0,1))*($AZ22-INDEX('Methodology &amp; Sources'!$B$91:$J$98,0,1))*INDEX('Methodology &amp; Sources'!$B$91:$J$98,0,1+2)),IF($AN22="HI",IF($AU22="Married",SUMPRODUCT(($AZ22&gt;INDEX('Methodology &amp; Sources'!$B$91:$J$98,0,7))*($AZ22-INDEX('Methodology &amp; Sources'!$B$91:$J$98,0,7))*INDEX('Methodology &amp; Sources'!$B$91:$J$98,0,7+2)),SUMPRODUCT(($AZ22&gt;INDEX('Methodology &amp; Sources'!$B$91:$J$98,0,4))*($AZ22-INDEX('Methodology &amp; Sources'!$B$91:$J$98,0,4))*INDEX('Methodology &amp; Sources'!$B$91:$J$98,0,4+2))),IF($AN22="SC",SUMPRODUCT(($AZ22&gt;INDEX('Methodology &amp; Sources'!$B$219:$J$223,0,1))*($AZ22-INDEX('Methodology &amp; Sources'!$B$219:$J$223,0,1))*INDEX('Methodology &amp; Sources'!$B$219:$J$223,0,1+2)),IF($AN22="VA",SUMPRODUCT(($AZ22&gt;INDEX('Methodology &amp; Sources'!$B$219:$J$223,0,4))*($AZ22-INDEX('Methodology &amp; Sources'!$B$219:$J$223,0,4))*INDEX('Methodology &amp; Sources'!$B$219:$J$223,0,4+2)),IF($AN22="WI",SUMPRODUCT(($AZ22&gt;INDEX('Methodology &amp; Sources'!$B$228:$J$232,0,4))*($AZ22-INDEX('Methodology &amp; Sources'!$B$228:$J$232,0,4))*INDEX('Methodology &amp; Sources'!$B$228:$J$232,0,4+2)),"")))))))</f>
      </c>
      <c r="BZ22" s="24">
        <f>IF($B22="","",IF($AN22="NJ",IF(Inputs!$C$77="B",SUMPRODUCT(($AZ22&gt;=INDEX('Methodology &amp; Sources'!$B$155:$J$162,0,4))*INDEX('Methodology &amp; Sources'!$B$155:$J$162,0,4+2)),IF(Inputs!$C$77="C",SUMPRODUCT(($AZ22&gt;=INDEX('Methodology &amp; Sources'!$B$155:$J$162,0,7))*INDEX('Methodology &amp; Sources'!$B$155:$J$162,0,7+2)),IF(Inputs!$C$77="D",SUMPRODUCT(($AZ22&gt;=INDEX('Methodology &amp; Sources'!$B$167:$J$179,0,1))*INDEX('Methodology &amp; Sources'!$B$167:$J$179,0,1+2)),IF(Inputs!$C$77="E",SUMPRODUCT(($AZ22&gt;=INDEX('Methodology &amp; Sources'!$B$167:$J$179,0,4))*INDEX('Methodology &amp; Sources'!$B$167:$J$179,0,4+2)),SUMPRODUCT(($AZ22&gt;=INDEX('Methodology &amp; Sources'!$B$155:$J$162,0,1))*INDEX('Methodology &amp; Sources'!$B$155:$J$162,0,1+2)))))),IF($AN22="OR",IF(OR($AU22="Married",AND($AU22="Single",$AS22&gt;=3)),SUMPRODUCT((MAX(0,$AY22-MIN(($P22-'Methodology &amp; Sources'!$C$10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Sources'!$B$211:$J$214,0,4))*INDEX('Methodology &amp; Sources'!$B$211:$J$214,0,4+2)),SUMPRODUCT((MAX(0,$AY22-MIN(($P22-'Methodology &amp; Sources'!$C$10*$D22)*Inputs!$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Sources'!$B$211:$J$214,0,1))*INDEX('Methodology &amp; Sources'!$B$211:$J$214,0,1+2)))*IF(($P22-'Methodology &amp; Sources'!$C$10*$D22)*Inputs!$C$8&gt;=IF(OR($AU22="Married",AND($AU22="Single",$AS22&gt;=3)),IF($AY22&lt;250000,8750,IF($AY22&lt;260000,7000,IF($AY22&lt;270000,5250,IF($AY22&lt;280000,3500,IF($AY22&lt;290000,1750,0))))),IF($AY22&lt;125000,8750,IF($AY22&lt;130000,7000,IF($AY22&lt;135000,5250,IF($AY22&lt;140000,3500,IF($AY22&lt;145000,1750,0)))))),1,1-IF(Inputs!$C$13,SUMPRODUCT(($AH22&gt;=INDEX('Methodology &amp; Sources'!$B$29:$J$36,0,IF(Inputs!$C$12="MFJ",1,IF(Inputs!$C$12="HoH",7,4))))*INDEX('Methodology &amp; Sources'!$B$29:$J$36,0,IF(Inputs!$C$12="MFJ",1,IF(Inputs!$C$12="HoH",7,4))+2)),SUMPRODUCT(($AH22&gt;=INDEX('Methodology &amp; Sources'!$B$19:$J$26,0,IF(Inputs!$C$12="MFJ",1,IF(Inputs!$C$12="HoH",7,4))))*INDEX('Methodology &amp; Sources'!$B$19:$J$26,0,IF(Inputs!$C$12="MFJ",1,IF(Inputs!$C$12="HoH",7,4))+2)))),IF($AN22="MI",IF($AY22&gt;5900*$AS22,0.0425,0),""))))</f>
      </c>
      <c r="CA22" s="24">
        <f>IF($B22="","",IF($AN22="AL",IF(OR($AU22="Married",$AU22="Head of household"),SUMPRODUCT(($AZ22&gt;=INDEX('Methodology &amp; Sources'!$B$82:$J$86,0,4))*INDEX('Methodology &amp; Sources'!$B$82:$J$86,0,4+2)),SUMPRODUCT(($AZ22&gt;=INDEX('Methodology &amp; Sources'!$B$82:$J$86,0,1))*INDEX('Methodology &amp; Sources'!$B$82:$J$86,0,1+2)))*(1-IF(Inputs!$C$13,SUMPRODUCT(($AH22&gt;=INDEX('Methodology &amp; Sources'!$B$29:$J$36,0,IF(Inputs!$C$12="MFJ",1,IF(Inputs!$C$12="HoH",7,4))))*INDEX('Methodology &amp; Sources'!$B$29:$J$36,0,IF(Inputs!$C$12="MFJ",1,IF(Inputs!$C$12="HoH",7,4))+2)),SUMPRODUCT(($AH22&gt;=INDEX('Methodology &amp; Sources'!$B$19:$J$26,0,IF(Inputs!$C$12="MFJ",1,IF(Inputs!$C$12="HoH",7,4))))*INDEX('Methodology &amp; Sources'!$B$19:$J$26,0,IF(Inputs!$C$12="MFJ",1,IF(Inputs!$C$12="HoH",7,4))+2)))),IF($AN22="KS",IF($AU22="Married",SUMPRODUCT(($AZ22&gt;=INDEX('Methodology &amp; Sources'!$B$103:$J$109,0,4))*INDEX('Methodology &amp; Sources'!$B$103:$J$109,0,4+2)),SUMPRODUCT(($AZ22&gt;=INDEX('Methodology &amp; Sources'!$B$103:$J$109,0,1))*INDEX('Methodology &amp; Sources'!$B$103:$J$109,0,1+2))),IF($AN22="MD",IF(OR($AU22="Married",$AU22="Head of household"),SUMPRODUCT(($AZ22&gt;=INDEX('Methodology &amp; Sources'!$B$114:$J$120,0,1))*INDEX('Methodology &amp; Sources'!$B$114:$J$120,0,1+2)),SUMPRODUCT(($AZ22&gt;=INDEX('Methodology &amp; Sources'!$B$103:$J$109,0,7))*INDEX('Methodology &amp; Sources'!$B$103:$J$109,0,7+2)))+Inputs!$C$74,IF($AN22="MT",IF($AU22="Head of household",SUMPRODUCT(($AZ22&gt;=INDEX('Methodology &amp; Sources'!$B$137:$J$139,0,1))*INDEX('Methodology &amp; Sources'!$B$137:$J$139,0,1+2)),IF($AU22="Married",SUMPRODUCT(($AZ22&gt;=INDEX('Methodology &amp; Sources'!$B$125:$J$132,0,7))*INDEX('Methodology &amp; Sources'!$B$125:$J$132,0,7+2)),SUMPRODUCT(($AZ22&gt;=INDEX('Methodology &amp; Sources'!$B$125:$J$132,0,4))*INDEX('Methodology &amp; Sources'!$B$125:$J$132,0,4+2)))),IF($AN22="ND",IF($AU22="Head of household",SUMPRODUCT(($AZ22&gt;=INDEX('Methodology &amp; Sources'!$B$144:$J$150,0,1))*INDEX('Methodology &amp; Sources'!$B$144:$J$150,0,1+2)),IF($AU22="Married",SUMPRODUCT(($AZ22&gt;=INDEX('Methodology &amp; Sources'!$B$137:$J$139,0,7))*INDEX('Methodology &amp; Sources'!$B$137:$J$139,0,7+2)),SUMPRODUCT(($AZ22&gt;=INDEX('Methodology &amp; Sources'!$B$137:$J$139,0,4))*INDEX('Methodology &amp; Sources'!$B$137:$J$139,0,4+2)))),IF($AN22="NY",IF($AU22="Married",IF($AZ22&gt;=2155350,IF($AZ22&gt;25000000,0.117,IF($AZ22&gt;5000000,0.111,0.1045)),SUMPRODUCT(($AZ22&gt;=INDEX('Methodology &amp; Sources'!$B$184:$J$198,0,1))*INDEX('Methodology &amp; Sources'!$B$184:$J$198,0,1+2))),IF($AZ22&gt;=1077550,IF($AZ22&gt;25000000,0.117,IF($AZ22&gt;5000000,0.111,0.1045)),SUMPRODUCT(($AZ22&gt;=INDEX('Methodology &amp; Sources'!$B$167:$J$179,0,7))*INDEX('Methodology &amp; Sources'!$B$167:$J$179,0,7+2)))),"")))))))</f>
      </c>
      <c r="CB22" s="24">
        <f>IF($B22="","",IF($AN22="CA",SUMPRODUCT(($AJ22&gt;=INDEX('Methodology &amp; Sources'!$B$39:$J$48,0,IF($AU22="Married",4,IF($AU22="Head of household",7,1))))*INDEX('Methodology &amp; Sources'!$B$39:$J$48,0,IF($AU22="Married",4,IF($AU22="Head of household",7,1))+2)),IF($AN22="HI",IF($AU22="Married",SUMPRODUCT(($AZ22&gt;=INDEX('Methodology &amp; Sources'!$B$91:$J$98,0,7))*INDEX('Methodology &amp; Sources'!$B$91:$J$98,0,7+2)),SUMPRODUCT(($AZ22&gt;=INDEX('Methodology &amp; Sources'!$B$91:$J$98,0,4))*INDEX('Methodology &amp; Sources'!$B$91:$J$98,0,4+2))),IF($AN22="MN",IF($AU22="Married",SUMPRODUCT(($AZ22&gt;=INDEX('Methodology &amp; Sources'!$B$114:$J$120,0,7))*INDEX('Methodology &amp; Sources'!$B$114:$J$120,0,7+2)),SUMPRODUCT(($AZ22&gt;=INDEX('Methodology &amp; Sources'!$B$114:$J$120,0,4))*INDEX('Methodology &amp; Sources'!$B$114:$J$120,0,4+2))),IF($AN22="MO",SUMPRODUCT(($AZ22&gt;=INDEX('Methodology &amp; Sources'!$B$125:$J$132,0,1))*INDEX('Methodology &amp; Sources'!$B$125:$J$132,0,1+2)),IF($AN22="NE",MAX(IF($AU22="Married",SUMPRODUCT(($AZ22&gt;=INDEX('Methodology &amp; Sources'!$B$144:$J$150,0,7))*INDEX('Methodology &amp; Sources'!$B$144:$J$150,0,7+2)),SUMPRODUCT(($AZ22&gt;=INDEX('Methodology &amp; Sources'!$B$144:$J$150,0,4))*INDEX('Methodology &amp; Sources'!$B$144:$J$150,0,4+2))),0.015),IF($AN22="OH",IF($B22&gt;=DATE(2027,8,1),SUMPRODUCT(($AZ22&gt;=INDEX('Methodology &amp; Sources'!$B$203:$J$206,0,1))*INDEX('Methodology &amp; Sources'!$B$203:$J$206,0,1+2)),SUMPRODUCT(($AZ22&gt;=INDEX('Methodology &amp; Sources'!$B$184:$J$198,0,7))*INDEX('Methodology &amp; Sources'!$B$184:$J$198,0,7+2))),IF($AN22="OK",IF($AU22="Married",SUMPRODUCT(($AZ22&gt;=INDEX('Methodology &amp; Sources'!$B$203:$J$206,0,7))*INDEX('Methodology &amp; Sources'!$B$203:$J$206,0,7+2)),SUMPRODUCT(($AZ22&gt;=INDEX('Methodology &amp; Sources'!$B$203:$J$206,0,4))*INDEX('Methodology &amp; Sources'!$B$203:$J$206,0,4+2))),IF($AN22="RI",SUMPRODUCT(($AZ22&gt;=INDEX('Methodology &amp; Sources'!$B$211:$J$214,0,7))*INDEX('Methodology &amp; Sources'!$B$211:$J$214,0,7+2)),IF($AN22="SC",SUMPRODUCT(($AZ22&gt;=INDEX('Methodology &amp; Sources'!$B$219:$J$223,0,1))*INDEX('Methodology &amp; Sources'!$B$219:$J$223,0,1+2)),IF($AN22="VT",IF($AU22="Married",SUMPRODUCT(($AZ22&gt;=INDEX('Methodology &amp; Sources'!$B$228:$J$232,0,1))*INDEX('Methodology &amp; Sources'!$B$228:$J$232,0,1+2)),SUMPRODUCT(($AZ22&gt;=INDEX('Methodology &amp; Sources'!$B$219:$J$223,0,7))*INDEX('Methodology &amp; Sources'!$B$219:$J$223,0,7+2))),IF($AN22="WV",IF($AU22="Married",SUMPRODUCT(($AZ22&gt;=INDEX('Methodology &amp; Sources'!$B$237:$J$241,0,7))*INDEX('Methodology &amp; Sources'!$B$237:$J$241,0,7+2)),SUMPRODUCT(($AZ22&gt;=INDEX('Methodology &amp; Sources'!$B$228:$J$232,0,7))*INDEX('Methodology &amp; Sources'!$B$228:$J$232,0,7+2))),IF($AN22="IN",(0.0295+Inputs!$C$76),"")))))))))))))</f>
      </c>
      <c r="CC22" s="24">
        <f>IF($B22="","",IF($AN22="AR",SUMPRODUCT(($AZ22&gt;=INDEX('Methodology &amp; Sources'!$B$82:$J$86,0,7))*INDEX('Methodology &amp; Sources'!$B$82:$J$86,0,7+2)),IF($AN22="DE",SUMPRODUCT(($AZ22&gt;=INDEX('Methodology &amp; Sources'!$B$91:$J$98,0,1))*INDEX('Methodology &amp; Sources'!$B$91:$J$98,0,1+2)),IF($AN22="VA",SUMPRODUCT(($AZ22&gt;=INDEX('Methodology &amp; Sources'!$B$219:$J$223,0,4))*INDEX('Methodology &amp; Sources'!$B$219:$J$223,0,4+2)),IF($AN22="WI",SUMPRODUCT(($AZ22&gt;=INDEX('Methodology &amp; Sources'!$B$228:$J$232,0,4))*INDEX('Methodology &amp; Sources'!$B$228:$J$232,0,4+2)),IF($AN22="AZ",Inputs!$C$82,IF($AN22="CO",IF($AY22&gt;IF($AU22="Married",10000,5000),0.044,0),IF($AN22="IA",IF($AY22&gt;IF($AU22="Head of household",19500,IF($AU22="Married",26000,13000)),0.038,0),IF($AN22="ID",IF($AY22&gt;IF($AU22="Married",32000,16094),0.053,0),IF($AN22="IL",IF($AY22&gt;(2925*$AS22+1000*$AT22),0.0495,0),IF($AN22="KY",IF($AI22&gt;3360,0.035,0),IF($AN22="LA",0.0309,IF($AN22="MA",IF(MAX(0,$AY22-MIN(($BD21+$Q22+$R22+$S22),2000)-IF($AS22=0,0,IF($AS22=1,4400,1000*$AS22+3400)))&gt;=1107750,0.09,0.05),IF($AN22="MS",IF($AI22-IF($AU22="Head of household",3400,IF($AU22="Married",4600,2300))-Inputs!$C$85&gt;10000,0.04,0),IF($AN22="PA",0.0307,"")))))))))))))))</f>
      </c>
      <c r="CD22" s="21">
        <f>IF(YEAR(IF(Inputs!$C$7="Weekly",Inputs!$C$90+7*(($BE21+1)-1),IF(Inputs!$C$7="Biweekly",Inputs!$C$90+14*(($BE21+1)-1),IF(Inputs!$C$7="Semimonthly",DATE(YEAR(Inputs!$C$9),MONTH(Inputs!$C$9)+INT((($BE21+1)-1+'Rest of 2026'!$C$2)/2),MIN(DAY(Inputs!$C$9),DAY(EOMONTH(DATE(YEAR(Inputs!$C$9),MONTH(Inputs!$C$9)+INT((($BE21+1)-1+'Rest of 2026'!$C$2)/2),1),0))))+IF(MOD(($BE21+1)-1+'Rest of 2026'!$C$2,2)=1,15,0),EDATE(Inputs!$C$90,($BE21+1)-1)))))&lt;&gt;Inputs!$C$10,"",IF(Inputs!$C$7="Weekly",Inputs!$C$90+7*(($BE21+1)-1),IF(Inputs!$C$7="Biweekly",Inputs!$C$90+14*(($BE21+1)-1),IF(Inputs!$C$7="Semimonthly",DATE(YEAR(Inputs!$C$9),MONTH(Inputs!$C$9)+INT((($BE21+1)-1+'Rest of 2026'!$C$2)/2),MIN(DAY(Inputs!$C$9),DAY(EOMONTH(DATE(YEAR(Inputs!$C$9),MONTH(Inputs!$C$9)+INT((($BE21+1)-1+'Rest of 2026'!$C$2)/2),1),0))))+IF(MOD(($BE21+1)-1+'Rest of 2026'!$C$2,2)=1,15,0),EDATE(Inputs!$C$90,($BE21+1)-1)))))</f>
      </c>
      <c r="CE22" s="21">
        <f>IF(SUMPRODUCT(MIN(IF((Inputs!$C$58:$C$67&gt;MAX($B$6:$B21))*(Inputs!$C$58:$C$67&gt;=DATE(Inputs!$C$10,1,1))*(Inputs!$C$58:$C$67&lt;=DATE(Inputs!$C$10,12,31)),Inputs!$C$58:$C$67,999999)))=999999,"",SUMPRODUCT(MIN(IF((Inputs!$C$58:$C$67&gt;MAX($B$6:$B21))*(Inputs!$C$58:$C$67&gt;=DATE(Inputs!$C$10,1,1))*(Inputs!$C$58:$C$67&lt;=DATE(Inputs!$C$10,12,31)),Inputs!$C$58:$C$67,999999))))</f>
      </c>
    </row>
    <row r="23">
      <c r="A23" t="n">
        <v>18</v>
      </c>
      <c r="B23" s="21">
        <f>IF(AND($CD23="",$CE23=""),"",IF($CE23="",$CD23,IF($CD23="",$CE23,MIN($CD23,$CE23))))</f>
      </c>
      <c r="C23" s="7">
        <f>IF($B23="","",IF($BF23=0,0,IF(Inputs!$C$4="Annual salary",ROUND($AK23/IF(AND(Inputs!$C$88="Actual paydays",MONTH(Inputs!$C$90)=1),MAX(1,MAX($BE$6:$BE$68)),Inputs!$C$8),2),$AK23)))</f>
      </c>
      <c r="D23" s="7">
        <f>IF($B23="","",SUMIF(Inputs!$C$58:$C$67,$B23,Inputs!$D$58:$D$67))</f>
      </c>
      <c r="E23" s="7">
        <f>IF($B23="","",ROUND(MAX(0,MIN(IF($AL23="Percent",$AM23*($C23+$D23),$AM23),MAX(0,Inputs!$C$34-$AC22))),2))</f>
      </c>
      <c r="F23" s="7">
        <f>IF($B23="","",ROUND(MAX(0,MIN(IF(Inputs!$C$32="Percent",Inputs!$D$32*($C23+$D23),Inputs!$D$32),MAX(0,Inputs!$C$34-$AC22-$E23))),2))</f>
      </c>
      <c r="G23" s="7">
        <f>IF($B23="","",IF($BF23=0,0,ROUND(MAX(0,MIN($BL23,Inputs!$C$37-Inputs!$C$99-$BI22)),2)))</f>
      </c>
      <c r="H23" s="7">
        <f>IF($B23="","",IF(OR($BF23=0,$BQ23=1),0,ROUND(MAX(0,MIN(IF($BS23=1,ROUND(MAX(0,MIN($BJ23,'Methodology &amp; Sources'!$C$13)-$BG22)/MAX(1,MAX($BE$6:$BE$68)-($BE22)),2),ROUND(MIN($BJ23,'Methodology &amp; Sources'!$C$13)/Inputs!$C$8,2)),MIN($BJ23,'Methodology &amp; Sources'!$C$13)-$BG22)),2)))</f>
      </c>
      <c r="I23" s="7">
        <f>IF($B23="","",IF(OR($BF23=0,$BR23=1),0,ROUND(MAX(0,MIN(IF($BT23=1,ROUND(MAX(0,MIN($BK23,IF(Inputs!$C$12="MFJ",'Methodology &amp; Sources'!$C$14,'Methodology &amp; Sources'!$C$15))-$BH22)/MAX(1,MAX($BE$6:$BE$68)-($BE22)),2),ROUND(MIN($BK23,IF(Inputs!$C$12="MFJ",'Methodology &amp; Sources'!$C$14,'Methodology &amp; Sources'!$C$15))/Inputs!$C$8,2)),MIN($BK23,IF(Inputs!$C$12="MFJ",'Methodology &amp; Sources'!$C$14,'Methodology &amp; Sources'!$C$15))-$BH22)),2)))</f>
      </c>
      <c r="J23" s="7">
        <f>IF($B23="","",IF($BF23=0,0,$BM23))</f>
      </c>
      <c r="K23" s="7">
        <f>IF($B23="","",IF($BF23=0,0,$BN23+$BO23))</f>
      </c>
      <c r="L23" s="7">
        <f>IF($B23="","",IF($BF23=0,0,Inputs!$D$46))</f>
      </c>
      <c r="M23" s="7">
        <f>IF($B23="","",$C23+$D23+$L23-$E23-$G23-$H23-$I23-$J23-$K23)</f>
      </c>
      <c r="N23" s="7">
        <f>IF($B23="","",$C23+$D23+$L23-$G23-$H23-$I23-$J23-$K23)</f>
      </c>
      <c r="O23" s="7">
        <f>IF($B23="","",$C23+$D23+$L23-$E23-$H23-$I23-$J23-$K23-IF(OR($AN23="CA",$AN23="NJ"),0,$G23))</f>
      </c>
      <c r="P23" s="7">
        <f>IF($B23="","",IF(Inputs!$C$18,0,ROUND(MAX(0,IF(Inputs!$C$13,SUMPRODUCT(($AH23&gt;INDEX('Methodology &amp; Sources'!$B$29:$J$36,0,IF(Inputs!$C$12="MFJ",1,IF(Inputs!$C$12="HoH",7,4))))*($AH23-INDEX('Methodology &amp; Sources'!$B$29:$J$36,0,IF(Inputs!$C$12="MFJ",1,IF(Inputs!$C$12="HoH",7,4))))*INDEX('Methodology &amp; Sources'!$B$29:$J$36,0,IF(Inputs!$C$12="MFJ",1,IF(Inputs!$C$12="HoH",7,4))+2)),SUMPRODUCT(($AH23&gt;INDEX('Methodology &amp; Sources'!$B$19:$J$26,0,IF(Inputs!$C$12="MFJ",1,IF(Inputs!$C$12="HoH",7,4))))*($AH23-INDEX('Methodology &amp; Sources'!$B$19:$J$26,0,IF(Inputs!$C$12="MFJ",1,IF(Inputs!$C$12="HoH",7,4))))*INDEX('Methodology &amp; Sources'!$B$19:$J$26,0,IF(Inputs!$C$12="MFJ",1,IF(Inputs!$C$12="HoH",7,4))+2)))/Inputs!$C$8-$AO23/Inputs!$C$8)+$AR23+IF(Inputs!$C$89="Aggregate",MAX(0,IF(Inputs!$C$13,SUMPRODUCT((($AH23+$D23)&gt;INDEX('Methodology &amp; Sources'!$B$29:$J$36,0,IF(Inputs!$C$12="MFJ",1,IF(Inputs!$C$12="HoH",7,4))))*(($AH23+$D23)-INDEX('Methodology &amp; Sources'!$B$29:$J$36,0,IF(Inputs!$C$12="MFJ",1,IF(Inputs!$C$12="HoH",7,4))))*INDEX('Methodology &amp; Sources'!$B$29:$J$36,0,IF(Inputs!$C$12="MFJ",1,IF(Inputs!$C$12="HoH",7,4))+2)),SUMPRODUCT((($AH23+$D23)&gt;INDEX('Methodology &amp; Sources'!$B$19:$J$26,0,IF(Inputs!$C$12="MFJ",1,IF(Inputs!$C$12="HoH",7,4))))*(($AH23+$D23)-INDEX('Methodology &amp; Sources'!$B$19:$J$26,0,IF(Inputs!$C$12="MFJ",1,IF(Inputs!$C$12="HoH",7,4))))*INDEX('Methodology &amp; Sources'!$B$19:$J$26,0,IF(Inputs!$C$12="MFJ",1,IF(Inputs!$C$12="HoH",7,4))+2)))-IF(Inputs!$C$13,SUMPRODUCT(($AH23&gt;INDEX('Methodology &amp; Sources'!$B$29:$J$36,0,IF(Inputs!$C$12="MFJ",1,IF(Inputs!$C$12="HoH",7,4))))*($AH23-INDEX('Methodology &amp; Sources'!$B$29:$J$36,0,IF(Inputs!$C$12="MFJ",1,IF(Inputs!$C$12="HoH",7,4))))*INDEX('Methodology &amp; Sources'!$B$29:$J$36,0,IF(Inputs!$C$12="MFJ",1,IF(Inputs!$C$12="HoH",7,4))+2)),SUMPRODUCT(($AH23&gt;INDEX('Methodology &amp; Sources'!$B$19:$J$26,0,IF(Inputs!$C$12="MFJ",1,IF(Inputs!$C$12="HoH",7,4))))*($AH23-INDEX('Methodology &amp; Sources'!$B$19:$J$26,0,IF(Inputs!$C$12="MFJ",1,IF(Inputs!$C$12="HoH",7,4))))*INDEX('Methodology &amp; Sources'!$B$19:$J$26,0,IF(Inputs!$C$12="MFJ",1,IF(Inputs!$C$12="HoH",7,4))+2)))),'Methodology &amp; Sources'!$C$10*$D23),2)))</f>
      </c>
      <c r="Q23" s="7">
        <f>IF($B23="","",ROUND('Methodology &amp; Sources'!$C$4*MIN($N23,MAX(0,'Methodology &amp; Sources'!$C$3-($AX23+$AB22-$AW23))),2))</f>
      </c>
      <c r="R23" s="7">
        <f>IF($B23="","",ROUND('Methodology &amp; Sources'!$C$5*$N23,2))</f>
      </c>
      <c r="S23" s="7">
        <f>IF($B23="","",ROUND('Methodology &amp; Sources'!$C$6*MAX(0,MIN($N23,$AG22+$N23-'Methodology &amp; Sources'!$C$7)),2))</f>
      </c>
      <c r="T23" s="7">
        <f>IF($B23="","",IF(Inputs!$C$26,0,IF($AN23="CA",ROUND(IF($AI23&lt;=IF(($AS23+$AT23)&gt;=2,VLOOKUP($AN23,StateTables!$A$6:$AB$56,10,FALSE),VLOOKUP($AN23,StateTables!$A$6:$AB$56,9,FALSE)),0,MAX(0,SUMPRODUCT(($AJ23&gt;INDEX('Methodology &amp; Sources'!$B$39:$J$48,0,IF($AU23="Married",4,IF($AU23="Head of household",7,1))))*($AJ23-INDEX('Methodology &amp; Sources'!$B$39:$J$48,0,IF($AU23="Married",4,IF($AU23="Head of household",7,1))))*INDEX('Methodology &amp; Sources'!$B$39:$J$48,0,IF($AU23="Married",4,IF($AU23="Head of household",7,1))+2))-VLOOKUP($AN23,StateTables!$A$6:$AB$56,11,FALSE)*$AS23)/Inputs!$C$8)+Inputs!$C$25+VLOOKUP($AN23,StateTables!$A$6:$AB$56,13,FALSE)*$D23,2),IF(VLOOKUP($AN23,StateTables!$A$6:$AB$56,4,FALSE)="None",0,IF(ISNUMBER(SEARCH("MANUAL",VLOOKUP($AN23,StateTables!$A$6:$AB$56,5,FALSE))),Inputs!$C$28,ROUND(MAX(0,$BA23+$BB23)/Inputs!$C$8+Inputs!$C$25+$BC23,2))))))</f>
      </c>
      <c r="U23" s="7">
        <f>IF($B23="","",IF(VLOOKUP($AN23,StateTables!$A$6:$AB$56,24,FALSE)="flatq",IF(OR(MONTH($B23)=1,MONTH($B23)=4,MONTH($B23)=7,MONTH($B23)=10),VLOOKUP($AN23,StateTables!$A$6:$AB$56,25,FALSE),0),IF(VLOOKUP($AN23,StateTables!$A$6:$AB$56,24,FALSE)="dbl",MIN(ROUND(0.005*$N23,2),ROUND(0.6*52/Inputs!$C$8,2)),IF(OR(VLOOKUP($AN23,StateTables!$A$6:$AB$56,15,FALSE)="",VLOOKUP($AN23,StateTables!$A$6:$AB$56,15,FALSE)=0),0,ROUND(VLOOKUP($AN23,StateTables!$A$6:$AB$56,15,FALSE)*IF(OR(VLOOKUP($AN23,StateTables!$A$6:$AB$56,16,FALSE)="",VLOOKUP($AN23,StateTables!$A$6:$AB$56,16,FALSE)=0),$N23,MIN($N23,MAX(0,VLOOKUP($AN23,StateTables!$A$6:$AB$56,16,FALSE)-($AX23+$AB22-$AW23)))),2))))+IF(VLOOKUP($AN23,StateTables!$A$6:$AB$56,27,FALSE)="flatq",IF(OR(MONTH($B23)=1,MONTH($B23)=4,MONTH($B23)=7,MONTH($B23)=10),VLOOKUP($AN23,StateTables!$A$6:$AB$56,28,FALSE),0),IF(VLOOKUP($AN23,StateTables!$A$6:$AB$56,27,FALSE)="dbl",MIN(ROUND(0.005*$N23,2),ROUND(0.6*52/Inputs!$C$8,2)),IF(OR(VLOOKUP($AN23,StateTables!$A$6:$AB$56,18,FALSE)="",VLOOKUP($AN23,StateTables!$A$6:$AB$56,18,FALSE)=0),0,ROUND(VLOOKUP($AN23,StateTables!$A$6:$AB$56,18,FALSE)*IF(OR(VLOOKUP($AN23,StateTables!$A$6:$AB$56,19,FALSE)="",VLOOKUP($AN23,StateTables!$A$6:$AB$56,19,FALSE)=0),$N23,MIN($N23,MAX(0,VLOOKUP($AN23,StateTables!$A$6:$AB$56,19,FALSE)-($AX23+$AB22-$AW23)))),2)))))</f>
      </c>
      <c r="V23" s="7">
        <f>IF($B23="","",IF($AN23="NY",IF(Inputs!$C$78,ROUND(SUMPRODUCT((MAX(0,($O23-$D23)*Inputs!$C$8-(IF($AU23="Married",5500,5000)+1000*$AS23))&gt;INDEX('Methodology &amp; Sources'!$B$184:$J$198,0,4))*(MAX(0,($O23-$D23)*Inputs!$C$8-(IF($AU23="Married",5500,5000)+1000*$AS23))-INDEX('Methodology &amp; Sources'!$B$184:$J$198,0,4))*INDEX('Methodology &amp; Sources'!$B$184:$J$198,0,4+2))/Inputs!$C$8+0.0425*$D23,2),0)+IF(Inputs!$C$79="Resident",ROUND(0.1675*$T23,2),IF(Inputs!$C$79="Nonresident",ROUND(0.005*MAX(0,($O23-$D23)-(IF($AU23="Married",7950,7400)+1000*$AS23)/Inputs!$C$8),2),0)),IF($AN23="PA",IF(Inputs!$C$80="None",Inputs!$C$27+ROUND(Inputs!$C$81*($C23+$D23),2),ROUND(IF(Inputs!$C$80="Resident",IF($B23&lt;DATE(2027,7,1),0.03735,0.03735),IF($B23&lt;DATE(2027,7,1),0.03425,0.03425))*($C23+$D23),2)),IF($BF23=0,ROUND(Inputs!$C$81*($C23+$D23),2),Inputs!$C$27+ROUND(Inputs!$C$81*($C23+$D23),2)))))</f>
      </c>
      <c r="W23" s="7">
        <f>IF($B23="","",IF($BF23=0,0,$BP23))</f>
      </c>
      <c r="X23" s="7">
        <f>IF($B23="","",SUM($E23:$K23)+$P23+$Q23+$R23+$S23+$T23+$U23+$V23+$W23)</f>
      </c>
      <c r="Y23" s="22">
        <f>IF($B23="","",$C23+$D23-$X23)</f>
      </c>
      <c r="Z23" s="7">
        <f>IF($B23="","",$Z22+$C23+$D23)</f>
      </c>
      <c r="AA23" s="7">
        <f>IF($B23="","",$AA22+$Y23)</f>
      </c>
      <c r="AB23" s="7">
        <f>IF($B23="","",$AB22+MIN($N23,MAX(0,'Methodology &amp; Sources'!$C$3-($AX23+$AB22-$AW23))))</f>
      </c>
      <c r="AC23" s="7">
        <f>IF($B23="","",$AC22+$E23+$F23)</f>
      </c>
      <c r="AD23" s="3">
        <f>IF($B23="","",IF(AND($AB22&lt;'Methodology &amp; Sources'!$C$3,$AB23&gt;='Methodology &amp; Sources'!$C$3),"★ Social Security maxed on this check — from the next check your net rises by about $"&amp;TEXT(ROUND('Methodology &amp; Sources'!$C$4*$N23,2),"#,##0.00")&amp;". ","")&amp;IF(AND($AC22&lt;Inputs!$C$34,$AC23&gt;=Inputs!$C$34),"★ 401(k) reaches the $"&amp;TEXT(Inputs!$C$34,"#,##0")&amp;" cap on this check — deferrals stop and net pay rises. ","")&amp;IF(AND($AG22&lt;'Methodology &amp; Sources'!$C$7,$AG23&gt;='Methodology &amp; Sources'!$C$7),"★ Wages pass $200,000 — the 0.9% Additional Medicare Tax starts here. ","")&amp;IF(AND($BJ23&gt;0,$H23&gt;0,$BG22&lt;MIN($BJ23,'Methodology &amp; Sources'!$C$13),$BG22+$H23&gt;=MIN($BJ23,'Methodology &amp; Sources'!$C$13)),"★ Health FSA election is now fully deferred for the year. ",""))</f>
      </c>
      <c r="AE23" s="41" t="n"/>
      <c r="AF23" s="7">
        <f>IF(OR($B23="",$AE23=""),"",$AE23-$Y23)</f>
      </c>
      <c r="AG23" s="7">
        <f>IF($B23="","",$AG22+$N23)</f>
      </c>
      <c r="AH23" s="7">
        <f>IF($B23="","",MAX(0,($M23-$D23)*Inputs!$C$8+$AP23-$AQ23-IF(Inputs!$C$13,0,IF(Inputs!$C$12="MFJ",'Methodology &amp; Sources'!$C$8,'Methodology &amp; Sources'!$C$9))))</f>
      </c>
      <c r="AI23" s="7">
        <f>IF($B23="","",$O23*Inputs!$C$8)</f>
      </c>
      <c r="AJ23" s="7">
        <f>IF($B23="","",MAX(0,$AI23-VLOOKUP($AN23,StateTables!$A$6:$AB$56,12,FALSE)*$AT23-IF(($AS23+$AT23)&gt;=2,VLOOKUP($AN23,StateTables!$A$6:$AB$56,8,FALSE),VLOOKUP($AN23,StateTables!$A$6:$AB$56,7,FALSE))))</f>
      </c>
      <c r="AK23" s="7">
        <f>IF($B23="","",IFERROR(LOOKUP(2,1/((Events!$C$6:$C$17="Salary change")*(Events!$B$6:$B$17&lt;=$B23)*(Events!$B$6:$B$17&lt;&gt;"")),Events!$D$6:$D$17),IF(Inputs!$C$4="Annual salary",Inputs!$C$5,Inputs!$C$6)))</f>
      </c>
      <c r="AL23">
        <f>IF($B23="","",IFERROR(LOOKUP(2,1/((Events!$C$6:$C$17="401(k) change")*(Events!$B$6:$B$17&lt;=$B23)*(Events!$B$6:$B$17&lt;&gt;"")),Events!$D$6:$D$17),Inputs!$C$30))</f>
      </c>
      <c r="AM23" s="7">
        <f>IF($B23="","",IFERROR(LOOKUP(2,1/((Events!$C$6:$C$17="401(k) change")*(Events!$B$6:$B$17&lt;=$B23)*(Events!$B$6:$B$17&lt;&gt;"")),Events!$E$6:$E$17),Inputs!$D$30))</f>
      </c>
      <c r="AN23">
        <f>IF($B23="","",IFERROR(LOOKUP(2,1/((Events!$C$6:$C$17="State move")*(Events!$B$6:$B$17&lt;=$B23)*(Events!$B$6:$B$17&lt;&gt;"")),Events!$D$6:$D$17),Inputs!$C$21))</f>
      </c>
      <c r="AO23" s="7">
        <f>IF($B23="","",IFERROR(LOOKUP(2,1/((Events!$C$6:$C$17="W-4 change")*(Events!$B$6:$B$17&lt;=$B23)*(Events!$B$6:$B$17&lt;&gt;"")),Events!$D$6:$D$17),Inputs!$C$14))</f>
      </c>
      <c r="AP23" s="7">
        <f>IF($B23="","",IFERROR(LOOKUP(2,1/((Events!$C$6:$C$17="W-4 change")*(Events!$B$6:$B$17&lt;=$B23)*(Events!$B$6:$B$17&lt;&gt;"")),Events!$E$6:$E$17),Inputs!$C$15))</f>
      </c>
      <c r="AQ23" s="7">
        <f>IF($B23="","",IFERROR(LOOKUP(2,1/((Events!$C$6:$C$17="W-4 change")*(Events!$B$6:$B$17&lt;=$B23)*(Events!$B$6:$B$17&lt;&gt;"")),Events!$F$6:$F$17),Inputs!$C$16))</f>
      </c>
      <c r="AR23" s="7">
        <f>IF($B23="","",IFERROR(LOOKUP(2,1/((Events!$C$6:$C$17="W-4 change")*(Events!$B$6:$B$17&lt;=$B23)*(Events!$B$6:$B$17&lt;&gt;"")),Events!$G$6:$G$17),Inputs!$C$17))</f>
      </c>
      <c r="AS23" s="6">
        <f>IF($B23="","",IFERROR(LOOKUP(2,1/(((Events!$C$6:$C$17="State move")+(Events!$C$6:$C$17="State cert change"))*(Events!$B$6:$B$17&lt;=$B23)*(Events!$B$6:$B$17&lt;&gt;"")),Events!$F$6:$F$17),Inputs!$C$23))</f>
      </c>
      <c r="AT23" s="6">
        <f>IF($B23="","",IFERROR(LOOKUP(2,1/(((Events!$C$6:$C$17="State move")+(Events!$C$6:$C$17="State cert change"))*(Events!$B$6:$B$17&lt;=$B23)*(Events!$B$6:$B$17&lt;&gt;"")),Events!$G$6:$G$17),Inputs!$C$24))</f>
      </c>
      <c r="AU23">
        <f>IF($B23="","",IFERROR(LOOKUP(2,1/((Events!$C$6:$C$17="State move")*(Events!$B$6:$B$17&lt;=$B23)*(Events!$B$6:$B$17&lt;&gt;"")),Events!$E$6:$E$17),Inputs!$C$22))</f>
      </c>
      <c r="AV23" s="6">
        <f>IF($B23="","",1+COUNTIFS(Events!$C$6:$C$17,"Employer change",Events!$B$6:$B$17,"&lt;="&amp;$B23,Events!$B$6:$B$17,"&lt;&gt;"))</f>
      </c>
      <c r="AW23" s="7">
        <f>IF($B23="","",IF($AV23=1,Inputs!$C$94,IF(IFERROR(MATCH(IFERROR(LOOKUP(2,1/((Events!$C$6:$C$17="Employer change")*(Events!$B$6:$B$17&lt;=$B23)*(Events!$B$6:$B$17&lt;&gt;"")),Events!$B$6:$B$17),""),$B$6:$B$68,1),1)&lt;=1,Inputs!$C$94,INDEX($AB$6:$AB$68,MATCH(IFERROR(LOOKUP(2,1/((Events!$C$6:$C$17="Employer change")*(Events!$B$6:$B$17&lt;=$B23)*(Events!$B$6:$B$17&lt;&gt;"")),Events!$B$6:$B$17),""),$B$6:$B$68,1)-1))))</f>
      </c>
      <c r="AX23" s="7">
        <f>IF($B23="","",IF($AV23=1,Inputs!$C$94,IFERROR(LOOKUP(2,1/((Events!$C$6:$C$17="Employer change")*(Events!$B$6:$B$17&lt;=$B23)*(Events!$B$6:$B$17&lt;&gt;"")),Events!$D$6:$D$17),0)))</f>
      </c>
      <c r="AY23" s="7">
        <f>IF($B23="","",($O23-$D23)*Inputs!$C$8)</f>
      </c>
      <c r="AZ23" s="7">
        <f>IF($B23="","",IF($AN23="AL",MAX(0,$AY23-IF($AU23="Married",IF($AY23&lt;=25999,8500,MAX(5000,8500-175*CEILING(($AY23-25999)/500,1))),IF($AU23="Head of household",IF($AY23&lt;=25999,5200,MAX(2500,5200-135*CEILING(($AY23-25999)/500,1))),IF($AY23&lt;=25999,3000,MAX(2500,3000-25*CEILING(($AY23-25999)/500,1)))))-($P23-'Methodology &amp; Sources'!$C$10*$D23)*Inputs!$C$8-IF(OR($AU23="Married",$AU23="Head of household"),3000,1500)-$AT23*IF($AY23&lt;=50000,1000,IF($AY23&lt;=100000,500,300))),IF($AN23="AR",IF(MAX(0,$AY23-2470)&lt;97701,INT(MAX(0,$AY23-2470)/100)*100+50,MAX(0,$AY23-2470)),IF($AN23="DE",MAX(0,$AI23-3250),IF($AN23="HI",MAX(0,$AI23-1144*$AS23-4350),IF($AN23="KS",MAX(0,$AI23-(9160*IF($AU23="Married",2,1)+2320*$AT23+IF($AU23="Head of household",2320,0))),IF($AN23="MD",MAX(0,$AI23-3400-3200*$AS23),IF($AN23="MN",MAX(0,$AY23-5300*$AS23),IF($AN23="MO",MAX(0,$AI23-IF($AU23="Head of household",24150,IF($AU23="Married",IF(Inputs!$C$83,16100,32200),16100))),IF($AN23="MT",$AY23,IF($AN23="ND",($C23+$L23)*Inputs!$C$8,IF($AN23="NE",MAX(0,$AY23-2440*$AS23),IF($AN23="NJ",MAX(0,$AY23-1000*$AS23),IF($AN23="NY",MAX(0,$AY23-(IF($AU23="Married",7950,7400)+1000*$AS23)),IF($AN23="OH",MAX(0,$AY23-650*$AS23),IF($AN23="OK",MAX(0,$AY23-1000*$AS23),IF($AN23="RI",MAX(0,$AI23-1000*$AS23),IF($AN23="SC",MAX(0,$AI23-5000*$AS23-IF($AS23=0,0,MIN(0.1*$AI23,7500))),IF($AN23="VA",MAX(0,$AI23-IF($AU23="Married",17500,8750)-930*$AS23-800*$AT23),IF($AN23="VT",MAX(0,$AI23-5400*$AS23),IF($AN23="WI",MAX(0,$AI23-MAX(0,IF($AU23="Married",9461-0.2*MAX(0,$AI23-25727),6702-0.12*MAX(0,$AI23-17780)))-400*$AS23),IF($AN23="WV",MAX(0,$AI23-2000*$AS23),$AI23))))))))))))))))))))))</f>
      </c>
      <c r="BA23" s="7">
        <f>IF($B23="","",IF($BW23&lt;&gt;"",$BW23,IF($BX23&lt;&gt;"",$BX23,IF($BY23&lt;&gt;"",$BY23,0))))</f>
      </c>
      <c r="BB23" s="7">
        <f>IF($B23="","",IF($AN23="AR",-29*$AS23,IF($AN23="DE",-110*$AS23,IF($AN23="MD",$AZ23*Inputs!$C$74,IF($AN23="AZ",Inputs!$C$82*($M23-$D23)*Inputs!$C$8,IF($AN23="CO",0.044*MAX(0,$AY23-IF($AU23="Married",10000,5000)),IF($AN23="IA",MAX(0,0.038*MAX(0,$AY23-IF($AU23="Head of household",19500,IF($AU23="Married",26000,13000)))-40*$AS23),IF($AN23="ID",0.053*MAX(0,$AY23-IF($AU23="Married",32000,16094)),IF($AN23="IL",0.0495*MAX(0,$AY23-(2925*$AS23+1000*$AT23)),IF($AN23="IN",(0.0295+Inputs!$C$76)*MAX(0,$AY23-(1000*$AS23+1500*$AT23+3000*Inputs!$C$86)),IF($AN23="KY",0.035*MAX(0,$AI23-3360),IF($AN23="LA",IF(Inputs!$C$84="0",0.0309*$AI23,0.0309*MAX(0,$AI23-IF(Inputs!$C$84="2",25750,12875))),IF($AN23="MA",0.05*MIN(MAX(0,$AY23-MIN(($BD22+$Q23+$R23+$S23),2000)-IF($AS23=0,0,IF($AS23=1,4400,1000*$AS23+3400))),1107750)+0.09*MAX(0,MAX(0,$AY23-MIN(($BD22+$Q23+$R23+$S23),2000)-IF($AS23=0,0,IF($AS23=1,4400,1000*$AS23+3400)))-1107750)-IF($AU23="Head of household",120,0)-110*Inputs!$C$75,IF($AN23="MI",0.0425*MAX(0,$AY23-5900*$AS23),IF($AN23="MS",0.04*MAX(0,$AI23-IF($AU23="Head of household",3400,IF($AU23="Married",4600,2300))-Inputs!$C$85-10000),IF($AN23="OR",IF(OR($AU23="Married",AND($AU23="Single",$AS23&gt;=3)),SUMPRODUCT((MAX(0,$AY23-MIN(($P23-'Methodology &amp; Sources'!$C$10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Sources'!$B$211:$J$214,0,4))*(MAX(0,$AY23-MIN(($P23-'Methodology &amp; Sources'!$C$10*$D23)*Inputs!$C$8,IF(OR($AU23="Married",AND($AU23="Single",$AS23&gt;=3)),IF($AY23&lt;250000,8750,IF($AY23&lt;260000,7000,IF($AY23&lt;270000,5250,IF($AY23&lt;280000,3500,IF($AY23&lt;290000,1750,0))))),IF($AY23&lt;125000,8750,IF($AY23&lt;130000,7000,IF($AY23&lt;135000,5250,IF($AY23&lt;140000,3500,IF($AY23&lt;145000,1750,0)))))))-IF(OR($AU23="Married",AND($AU23="Single",$AS23&gt;=3)),5820,2910))-INDEX('Methodology &amp; Sources'!$B$211:$J$214,0,4))*INDEX('Methodology &amp; Sources'!$B$211:$J$214,0,4+2)),SUMPRODUCT((MAX(0,$AY23-MIN(($P23-'Methodology &amp; Sources'!$C$10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Sources'!$B$211:$J$214,0,1))*(MAX(0,$AY23-MIN(($P23-'Methodology &amp; Sources'!$C$10*$D23)*Inputs!$C$8,IF(OR($AU23="Married",AND($AU23="Single",$AS23&gt;=3)),IF($AY23&lt;250000,8750,IF($AY23&lt;260000,7000,IF($AY23&lt;270000,5250,IF($AY23&lt;280000,3500,IF($AY23&lt;290000,1750,0))))),IF($AY23&lt;125000,8750,IF($AY23&lt;130000,7000,IF($AY23&lt;135000,5250,IF($AY23&lt;140000,3500,IF($AY23&lt;145000,1750,0)))))))-IF(OR($AU23="Married",AND($AU23="Single",$AS23&gt;=3)),5820,2910))-INDEX('Methodology &amp; Sources'!$B$211:$J$214,0,1))*INDEX('Methodology &amp; Sources'!$B$211:$J$214,0,1+2)))+263-263*IF(IF($AU23="Married",$AY23&gt;200000,$AY23&gt;100000),0,$AS23),IF($AN23="PA",0.0307*(($O23+$E23+$G23)*Inputs!$C$8),IF($AN23="NY",IF($AU23="Married",IF($AZ23&gt;=2155350,0,IF($AZ23&gt;=1077550,0.48,IF($AZ23&gt;=373200,1.21,IF($AZ23&gt;=323200,0.21,IF($AZ23&gt;=211550,-0.19,IF($AZ23&gt;=157650,-2.8,IF($AZ23&gt;=107650,-0.8,IF($AZ23&gt;=96800,0.05,IF($AZ23&gt;=80650,-0.1,IF($AZ23&gt;=13900,0.4,IF($AZ23&gt;=11700,-0.3,IF($AZ23&gt;=8500,0.5,0)))))))))))),IF($AZ23&gt;=1077550,0,IF($AZ23&gt;=265400,4.29,IF($AZ23&gt;=215400,2.29,IF($AZ23&gt;=157650,2.29,IF($AZ23&gt;=107650,0.29,IF($AZ23&gt;=96800,0.05,IF($AZ23&gt;=80650,-0.1,IF($AZ23&gt;=13900,0.4,IF($AZ23&gt;=11700,-0.3,IF($AZ23&gt;=8500,0.5,0))))))))))),0))))))))))))))))))</f>
      </c>
      <c r="BC23" s="7">
        <f>IF($B23="","",IF($AN23="AL",0.05*$D23,IF($AN23="AR",0.039*$D23,IF($AN23="ID",0.053*$D23,IF($AN23="IN",(0.0295+Inputs!$C$76)*$D23,IF($AN23="KS",0.05*$D23,IF($AN23="MA",0.09*MIN($D23,MAX(0,MAX(0,$AY23-MIN(($BD22+$Q23+$R23+$S23),2000)-IF($AS23=0,0,IF($AS23=1,4400,1000*$AS23+3400)))+$D23-1107750))+0.05*($D23-MIN($D23,MAX(0,MAX(0,$AY23-MIN(($BD22+$Q23+$R23+$S23),2000)-IF($AS23=0,0,IF($AS23=1,4400,1000*$AS23+3400)))+$D23-1107750))),IF($AN23="MD",(0.065+Inputs!$C$74)*$D23,IF($AN23="MI",0.0425*$D23,IF($AN23="MN",0.0625*$D23,IF($AN23="MO",0.047*$D23,IF($AN23="MT",0.05*$D23,IF($AN23="ND",0.015*$D23,IF($AN23="NE",0.035*$D23,IF($AN23="NJ",IF(Inputs!$C$77="B",SUMPRODUCT(($D23*Inputs!$C$8&gt;INDEX('Methodology &amp; Sources'!$B$155:$J$162,0,4))*($D23*Inputs!$C$8-INDEX('Methodology &amp; Sources'!$B$155:$J$162,0,4))*INDEX('Methodology &amp; Sources'!$B$155:$J$162,0,4+2)),IF(Inputs!$C$77="C",SUMPRODUCT(($D23*Inputs!$C$8&gt;INDEX('Methodology &amp; Sources'!$B$155:$J$162,0,7))*($D23*Inputs!$C$8-INDEX('Methodology &amp; Sources'!$B$155:$J$162,0,7))*INDEX('Methodology &amp; Sources'!$B$155:$J$162,0,7+2)),IF(Inputs!$C$77="D",SUMPRODUCT(($D23*Inputs!$C$8&gt;INDEX('Methodology &amp; Sources'!$B$167:$J$179,0,1))*($D23*Inputs!$C$8-INDEX('Methodology &amp; Sources'!$B$167:$J$179,0,1))*INDEX('Methodology &amp; Sources'!$B$167:$J$179,0,1+2)),IF(Inputs!$C$77="E",SUMPRODUCT(($D23*Inputs!$C$8&gt;INDEX('Methodology &amp; Sources'!$B$167:$J$179,0,4))*($D23*Inputs!$C$8-INDEX('Methodology &amp; Sources'!$B$167:$J$179,0,4))*INDEX('Methodology &amp; Sources'!$B$167:$J$179,0,4+2)),SUMPRODUCT(($D23*Inputs!$C$8&gt;INDEX('Methodology &amp; Sources'!$B$155:$J$162,0,1))*($D23*Inputs!$C$8-INDEX('Methodology &amp; Sources'!$B$155:$J$162,0,1))*INDEX('Methodology &amp; Sources'!$B$155:$J$162,0,1+2))))))/Inputs!$C$8,IF($AN23="NY",0.117*$D23,IF($AN23="OH",0.0275*$D23,IF($AN23="OK",0.045*$D23,IF($AN23="OR",0.08*$D23,IF($AN23="WI",IF($AY23&lt;12760,0.0354,IF($AY23&lt;25520,0.0465,IF($AY23&lt;280950,0.053,0.0765)))*$D23,0))))))))))))))))))))</f>
      </c>
      <c r="BD23" s="7">
        <f>IF($B23="","",$BD22+$Q23+$R23+$S23)</f>
      </c>
      <c r="BE23" s="6">
        <f>IF($B23="",$BE22,$BE22+$BF23)</f>
      </c>
      <c r="BF23" s="6">
        <f>IF($B23="","",IF(AND(IF(YEAR(IF(Inputs!$C$7="Weekly",Inputs!$C$90+7*(($BE22+1)-1),IF(Inputs!$C$7="Biweekly",Inputs!$C$90+14*(($BE22+1)-1),IF(Inputs!$C$7="Semimonthly",DATE(YEAR(Inputs!$C$9),MONTH(Inputs!$C$9)+INT((($BE22+1)-1+'Rest of 2026'!$C$2)/2),MIN(DAY(Inputs!$C$9),DAY(EOMONTH(DATE(YEAR(Inputs!$C$9),MONTH(Inputs!$C$9)+INT((($BE22+1)-1+'Rest of 2026'!$C$2)/2),1),0))))+IF(MOD(($BE22+1)-1+'Rest of 2026'!$C$2,2)=1,15,0),EDATE(Inputs!$C$90,($BE22+1)-1)))))&lt;&gt;Inputs!$C$10,"",IF(Inputs!$C$7="Weekly",Inputs!$C$90+7*(($BE22+1)-1),IF(Inputs!$C$7="Biweekly",Inputs!$C$90+14*(($BE22+1)-1),IF(Inputs!$C$7="Semimonthly",DATE(YEAR(Inputs!$C$9),MONTH(Inputs!$C$9)+INT((($BE22+1)-1+'Rest of 2026'!$C$2)/2),MIN(DAY(Inputs!$C$9),DAY(EOMONTH(DATE(YEAR(Inputs!$C$9),MONTH(Inputs!$C$9)+INT((($BE22+1)-1+'Rest of 2026'!$C$2)/2),1),0))))+IF(MOD(($BE22+1)-1+'Rest of 2026'!$C$2,2)=1,15,0),EDATE(Inputs!$C$90,($BE22+1)-1)))))&lt;&gt;"",$B23=IF(YEAR(IF(Inputs!$C$7="Weekly",Inputs!$C$90+7*(($BE22+1)-1),IF(Inputs!$C$7="Biweekly",Inputs!$C$90+14*(($BE22+1)-1),IF(Inputs!$C$7="Semimonthly",DATE(YEAR(Inputs!$C$9),MONTH(Inputs!$C$9)+INT((($BE22+1)-1+'Rest of 2026'!$C$2)/2),MIN(DAY(Inputs!$C$9),DAY(EOMONTH(DATE(YEAR(Inputs!$C$9),MONTH(Inputs!$C$9)+INT((($BE22+1)-1+'Rest of 2026'!$C$2)/2),1),0))))+IF(MOD(($BE22+1)-1+'Rest of 2026'!$C$2,2)=1,15,0),EDATE(Inputs!$C$90,($BE22+1)-1)))))&lt;&gt;Inputs!$C$10,"",IF(Inputs!$C$7="Weekly",Inputs!$C$90+7*(($BE22+1)-1),IF(Inputs!$C$7="Biweekly",Inputs!$C$90+14*(($BE22+1)-1),IF(Inputs!$C$7="Semimonthly",DATE(YEAR(Inputs!$C$9),MONTH(Inputs!$C$9)+INT((($BE22+1)-1+'Rest of 2026'!$C$2)/2),MIN(DAY(Inputs!$C$9),DAY(EOMONTH(DATE(YEAR(Inputs!$C$9),MONTH(Inputs!$C$9)+INT((($BE22+1)-1+'Rest of 2026'!$C$2)/2),1),0))))+IF(MOD(($BE22+1)-1+'Rest of 2026'!$C$2,2)=1,15,0),EDATE(Inputs!$C$90,($BE22+1)-1)))))),1,0))</f>
      </c>
      <c r="BG23" s="7">
        <f>IF($B23="","",$BG22+$H23)</f>
      </c>
      <c r="BH23" s="7">
        <f>IF($B23="","",$BH22+$I23)</f>
      </c>
      <c r="BI23" s="7">
        <f>IF($B23="","",$BI22+$G23)</f>
      </c>
      <c r="BJ23" s="7">
        <f>IF($B23="","",IFERROR(LOOKUP(2,1/((((Events!$C$6:$C$17="Deduction start"))*(Events!$D$6:$D$17="Health FSA"))*(Events!$B$6:$B$17&lt;=$B23)*(Events!$B$6:$B$17&lt;&gt;"")),Events!$E$6:$E$17),Inputs!$D$38))</f>
      </c>
      <c r="BK23" s="7">
        <f>IF($B23="","",IFERROR(LOOKUP(2,1/((((Events!$C$6:$C$17="Deduction start"))*(Events!$D$6:$D$17="Dependent-care FSA"))*(Events!$B$6:$B$17&lt;=$B23)*(Events!$B$6:$B$17&lt;&gt;"")),Events!$E$6:$E$17),Inputs!$D$39))</f>
      </c>
      <c r="BL23" s="7">
        <f>IF($B23="","",IFERROR(LOOKUP(2,1/((((Events!$C$6:$C$17="Deduction start")+(Events!$C$6:$C$17="Deduction stop"))*(Events!$D$6:$D$17="HSA"))*(Events!$B$6:$B$17&lt;=$B23)*(Events!$B$6:$B$17&lt;&gt;"")),Events!$I$6:$I$17),Inputs!$D$35))</f>
      </c>
      <c r="BM23" s="7">
        <f>IF($B23="","",IFERROR(LOOKUP(2,1/((((Events!$C$6:$C$17="Deduction start")+(Events!$C$6:$C$17="Deduction stop"))*(Events!$D$6:$D$17="Premiums"))*(Events!$B$6:$B$17&lt;=$B23)*(Events!$B$6:$B$17&lt;&gt;"")),Events!$I$6:$I$17),Inputs!$D$40+Inputs!$D$41+Inputs!$D$42))</f>
      </c>
      <c r="BN23" s="7">
        <f>IF($B23="","",IFERROR(LOOKUP(2,1/((((Events!$C$6:$C$17="Deduction start")+(Events!$C$6:$C$17="Deduction stop"))*(Events!$D$6:$D$17="Commuter"))*(Events!$B$6:$B$17&lt;=$B23)*(Events!$B$6:$B$17&lt;&gt;"")),Events!$I$6:$I$17),Inputs!$D$43))</f>
      </c>
      <c r="BO23" s="7">
        <f>IF($B23="","",IFERROR(LOOKUP(2,1/((((Events!$C$6:$C$17="Deduction start")+(Events!$C$6:$C$17="Deduction stop"))*(Events!$D$6:$D$17="Other pre-tax"))*(Events!$B$6:$B$17&lt;=$B23)*(Events!$B$6:$B$17&lt;&gt;"")),Events!$I$6:$I$17),Inputs!$D$44))</f>
      </c>
      <c r="BP23" s="7">
        <f>IF($B23="","",IFERROR(LOOKUP(2,1/((((Events!$C$6:$C$17="Deduction start")+(Events!$C$6:$C$17="Deduction stop"))*(Events!$D$6:$D$17="Other post-tax"))*(Events!$B$6:$B$17&lt;=$B23)*(Events!$B$6:$B$17&lt;&gt;"")),Events!$I$6:$I$17),Inputs!$D$45))</f>
      </c>
      <c r="BQ23" s="6">
        <f>IF($B23="","",IFERROR(LOOKUP(2,1/((((Events!$C$6:$C$17="Deduction start")+(Events!$C$6:$C$17="Deduction stop"))*(Events!$D$6:$D$17="Health FSA"))*(Events!$B$6:$B$17&lt;=$B23)*(Events!$B$6:$B$17&lt;&gt;"")),Events!$J$6:$J$17),0))</f>
      </c>
      <c r="BR23" s="6">
        <f>IF($B23="","",IFERROR(LOOKUP(2,1/((((Events!$C$6:$C$17="Deduction start")+(Events!$C$6:$C$17="Deduction stop"))*(Events!$D$6:$D$17="Dependent-care FSA"))*(Events!$B$6:$B$17&lt;=$B23)*(Events!$B$6:$B$17&lt;&gt;"")),Events!$J$6:$J$17),0))</f>
      </c>
      <c r="BS23" s="6">
        <f>IF($B23="","",IF(SUMPRODUCT((Events!$C$6:$C$17="Deduction start")*(Events!$B$6:$B$17&lt;=$B23)*(Events!$B$6:$B$17&lt;&gt;"")*(Events!$D$6:$D$17="Health FSA"))&gt;0,1,0))</f>
      </c>
      <c r="BT23" s="6">
        <f>IF($B23="","",IF(SUMPRODUCT((Events!$C$6:$C$17="Deduction start")*(Events!$B$6:$B$17&lt;=$B23)*(Events!$B$6:$B$17&lt;&gt;"")*(Events!$D$6:$D$17="Dependent-care FSA"))&gt;0,1,0))</f>
      </c>
      <c r="BU23" s="24">
        <f>IF($B23="","",IF(Inputs!$C$13,SUMPRODUCT(($AH23&gt;=INDEX('Methodology &amp; Sources'!$B$29:$J$36,0,IF(Inputs!$C$12="MFJ",1,IF(Inputs!$C$12="HoH",7,4))))*INDEX('Methodology &amp; Sources'!$B$29:$J$36,0,IF(Inputs!$C$12="MFJ",1,IF(Inputs!$C$12="HoH",7,4))+2)),SUMPRODUCT(($AH23&gt;=INDEX('Methodology &amp; Sources'!$B$19:$J$26,0,IF(Inputs!$C$12="MFJ",1,IF(Inputs!$C$12="HoH",7,4))))*INDEX('Methodology &amp; Sources'!$B$19:$J$26,0,IF(Inputs!$C$12="MFJ",1,IF(Inputs!$C$12="HoH",7,4))+2))))</f>
      </c>
      <c r="BV23" s="24">
        <f>IF($B23="","",IF($BZ23&lt;&gt;"",$BZ23,IF($CA23&lt;&gt;"",$CA23,IF($CB23&lt;&gt;"",$CB23,IF($CC23&lt;&gt;"",$CC23,0)))))</f>
      </c>
      <c r="BW23" s="7">
        <f>IF($B23="","",IF($AN23="MD",IF(OR($AU23="Married",$AU23="Head of household"),SUMPRODUCT(($AZ23&gt;INDEX('Methodology &amp; Sources'!$B$114:$J$120,0,1))*($AZ23-INDEX('Methodology &amp; Sources'!$B$114:$J$120,0,1))*INDEX('Methodology &amp; Sources'!$B$114:$J$120,0,1+2)),SUMPRODUCT(($AZ23&gt;INDEX('Methodology &amp; Sources'!$B$103:$J$109,0,7))*($AZ23-INDEX('Methodology &amp; Sources'!$B$103:$J$109,0,7))*INDEX('Methodology &amp; Sources'!$B$103:$J$109,0,7+2))),IF($AN23="MO",SUMPRODUCT(($AZ23&gt;INDEX('Methodology &amp; Sources'!$B$125:$J$132,0,1))*($AZ23-INDEX('Methodology &amp; Sources'!$B$125:$J$132,0,1))*INDEX('Methodology &amp; Sources'!$B$125:$J$132,0,1+2)),IF($AN23="MT",IF($AU23="Head of household",SUMPRODUCT(($AZ23&gt;INDEX('Methodology &amp; Sources'!$B$137:$J$139,0,1))*($AZ23-INDEX('Methodology &amp; Sources'!$B$137:$J$139,0,1))*INDEX('Methodology &amp; Sources'!$B$137:$J$139,0,1+2)),IF($AU23="Married",SUMPRODUCT(($AZ23&gt;INDEX('Methodology &amp; Sources'!$B$125:$J$132,0,7))*($AZ23-INDEX('Methodology &amp; Sources'!$B$125:$J$132,0,7))*INDEX('Methodology &amp; Sources'!$B$125:$J$132,0,7+2)),SUMPRODUCT(($AZ23&gt;INDEX('Methodology &amp; Sources'!$B$125:$J$132,0,4))*($AZ23-INDEX('Methodology &amp; Sources'!$B$125:$J$132,0,4))*INDEX('Methodology &amp; Sources'!$B$125:$J$132,0,4+2)))),IF($AN23="ND",IF($AU23="Head of household",SUMPRODUCT(($AZ23&gt;INDEX('Methodology &amp; Sources'!$B$144:$J$150,0,1))*($AZ23-INDEX('Methodology &amp; Sources'!$B$144:$J$150,0,1))*INDEX('Methodology &amp; Sources'!$B$144:$J$150,0,1+2)),IF($AU23="Married",SUMPRODUCT(($AZ23&gt;INDEX('Methodology &amp; Sources'!$B$137:$J$139,0,7))*($AZ23-INDEX('Methodology &amp; Sources'!$B$137:$J$139,0,7))*INDEX('Methodology &amp; Sources'!$B$137:$J$139,0,7+2)),SUMPRODUCT(($AZ23&gt;INDEX('Methodology &amp; Sources'!$B$137:$J$139,0,4))*($AZ23-INDEX('Methodology &amp; Sources'!$B$137:$J$139,0,4))*INDEX('Methodology &amp; Sources'!$B$137:$J$139,0,4+2)))),IF($AN23="NJ",IF(Inputs!$C$77="B",SUMPRODUCT(($AZ23&gt;INDEX('Methodology &amp; Sources'!$B$155:$J$162,0,4))*($AZ23-INDEX('Methodology &amp; Sources'!$B$155:$J$162,0,4))*INDEX('Methodology &amp; Sources'!$B$155:$J$162,0,4+2)),IF(Inputs!$C$77="C",SUMPRODUCT(($AZ23&gt;INDEX('Methodology &amp; Sources'!$B$155:$J$162,0,7))*($AZ23-INDEX('Methodology &amp; Sources'!$B$155:$J$162,0,7))*INDEX('Methodology &amp; Sources'!$B$155:$J$162,0,7+2)),IF(Inputs!$C$77="D",SUMPRODUCT(($AZ23&gt;INDEX('Methodology &amp; Sources'!$B$167:$J$179,0,1))*($AZ23-INDEX('Methodology &amp; Sources'!$B$167:$J$179,0,1))*INDEX('Methodology &amp; Sources'!$B$167:$J$179,0,1+2)),IF(Inputs!$C$77="E",SUMPRODUCT(($AZ23&gt;INDEX('Methodology &amp; Sources'!$B$167:$J$179,0,4))*($AZ23-INDEX('Methodology &amp; Sources'!$B$167:$J$179,0,4))*INDEX('Methodology &amp; Sources'!$B$167:$J$179,0,4+2)),SUMPRODUCT(($AZ23&gt;INDEX('Methodology &amp; Sources'!$B$155:$J$162,0,1))*($AZ23-INDEX('Methodology &amp; Sources'!$B$155:$J$162,0,1))*INDEX('Methodology &amp; Sources'!$B$155:$J$162,0,1+2)))))),IF($AN23="NY",IF($AU23="Married",IF($AZ23&gt;=2155350,$AZ23*IF($AZ23&gt;25000000,0.117,IF($AZ23&gt;5000000,0.111,0.1045)),SUMPRODUCT(($AZ23&gt;INDEX('Methodology &amp; Sources'!$B$184:$J$198,0,1))*($AZ23-INDEX('Methodology &amp; Sources'!$B$184:$J$198,0,1))*INDEX('Methodology &amp; Sources'!$B$184:$J$198,0,1+2))),IF($AZ23&gt;=1077550,$AZ23*IF($AZ23&gt;25000000,0.117,IF($AZ23&gt;5000000,0.111,0.1045)),SUMPRODUCT(($AZ23&gt;INDEX('Methodology &amp; Sources'!$B$167:$J$179,0,7))*($AZ23-INDEX('Methodology &amp; Sources'!$B$167:$J$179,0,7))*INDEX('Methodology &amp; Sources'!$B$167:$J$179,0,7+2)))),"")))))))</f>
      </c>
      <c r="BX23" s="7">
        <f>IF($B23="","",IF($AN23="AL",IF(OR($AU23="Married",$AU23="Head of household"),SUMPRODUCT(($AZ23&gt;INDEX('Methodology &amp; Sources'!$B$82:$J$86,0,4))*($AZ23-INDEX('Methodology &amp; Sources'!$B$82:$J$86,0,4))*INDEX('Methodology &amp; Sources'!$B$82:$J$86,0,4+2)),SUMPRODUCT(($AZ23&gt;INDEX('Methodology &amp; Sources'!$B$82:$J$86,0,1))*($AZ23-INDEX('Methodology &amp; Sources'!$B$82:$J$86,0,1))*INDEX('Methodology &amp; Sources'!$B$82:$J$86,0,1+2))),IF($AN23="KS",IF($AU23="Married",SUMPRODUCT(($AZ23&gt;INDEX('Methodology &amp; Sources'!$B$103:$J$109,0,4))*($AZ23-INDEX('Methodology &amp; Sources'!$B$103:$J$109,0,4))*INDEX('Methodology &amp; Sources'!$B$103:$J$109,0,4+2)),SUMPRODUCT(($AZ23&gt;INDEX('Methodology &amp; Sources'!$B$103:$J$109,0,1))*($AZ23-INDEX('Methodology &amp; Sources'!$B$103:$J$109,0,1))*INDEX('Methodology &amp; Sources'!$B$103:$J$109,0,1+2))),IF($AN23="MN",IF($AU23="Married",SUMPRODUCT(($AZ23&gt;INDEX('Methodology &amp; Sources'!$B$114:$J$120,0,7))*($AZ23-INDEX('Methodology &amp; Sources'!$B$114:$J$120,0,7))*INDEX('Methodology &amp; Sources'!$B$114:$J$120,0,7+2)),SUMPRODUCT(($AZ23&gt;INDEX('Methodology &amp; Sources'!$B$114:$J$120,0,4))*($AZ23-INDEX('Methodology &amp; Sources'!$B$114:$J$120,0,4))*INDEX('Methodology &amp; Sources'!$B$114:$J$120,0,4+2))),IF($AN23="NE",MAX(IF($AU23="Married",SUMPRODUCT(($AZ23&gt;INDEX('Methodology &amp; Sources'!$B$144:$J$150,0,7))*($AZ23-INDEX('Methodology &amp; Sources'!$B$144:$J$150,0,7))*INDEX('Methodology &amp; Sources'!$B$144:$J$150,0,7+2)),SUMPRODUCT(($AZ23&gt;INDEX('Methodology &amp; Sources'!$B$144:$J$150,0,4))*($AZ23-INDEX('Methodology &amp; Sources'!$B$144:$J$150,0,4))*INDEX('Methodology &amp; Sources'!$B$144:$J$150,0,4+2))),0.015*$AZ23),IF($AN23="OH",IF($B23&gt;=DATE(2027,8,1),SUMPRODUCT(($AZ23&gt;INDEX('Methodology &amp; Sources'!$B$203:$J$206,0,1))*($AZ23-INDEX('Methodology &amp; Sources'!$B$203:$J$206,0,1))*INDEX('Methodology &amp; Sources'!$B$203:$J$206,0,1+2)),SUMPRODUCT(($AZ23&gt;INDEX('Methodology &amp; Sources'!$B$184:$J$198,0,7))*($AZ23-INDEX('Methodology &amp; Sources'!$B$184:$J$198,0,7))*INDEX('Methodology &amp; Sources'!$B$184:$J$198,0,7+2))),IF($AN23="OK",IF($AU23="Married",SUMPRODUCT(($AZ23&gt;INDEX('Methodology &amp; Sources'!$B$203:$J$206,0,7))*($AZ23-INDEX('Methodology &amp; Sources'!$B$203:$J$206,0,7))*INDEX('Methodology &amp; Sources'!$B$203:$J$206,0,7+2)),SUMPRODUCT(($AZ23&gt;INDEX('Methodology &amp; Sources'!$B$203:$J$206,0,4))*($AZ23-INDEX('Methodology &amp; Sources'!$B$203:$J$206,0,4))*INDEX('Methodology &amp; Sources'!$B$203:$J$206,0,4+2))),IF($AN23="RI",SUMPRODUCT(($AZ23&gt;INDEX('Methodology &amp; Sources'!$B$211:$J$214,0,7))*($AZ23-INDEX('Methodology &amp; Sources'!$B$211:$J$214,0,7))*INDEX('Methodology &amp; Sources'!$B$211:$J$214,0,7+2)),IF($AN23="VT",IF($AU23="Married",SUMPRODUCT(($AZ23&gt;INDEX('Methodology &amp; Sources'!$B$228:$J$232,0,1))*($AZ23-INDEX('Methodology &amp; Sources'!$B$228:$J$232,0,1))*INDEX('Methodology &amp; Sources'!$B$228:$J$232,0,1+2)),SUMPRODUCT(($AZ23&gt;INDEX('Methodology &amp; Sources'!$B$219:$J$223,0,7))*($AZ23-INDEX('Methodology &amp; Sources'!$B$219:$J$223,0,7))*INDEX('Methodology &amp; Sources'!$B$219:$J$223,0,7+2))),IF($AN23="WV",IF($AU23="Married",SUMPRODUCT(($AZ23&gt;INDEX('Methodology &amp; Sources'!$B$237:$J$241,0,7))*($AZ23-INDEX('Methodology &amp; Sources'!$B$237:$J$241,0,7))*INDEX('Methodology &amp; Sources'!$B$237:$J$241,0,7+2)),SUMPRODUCT(($AZ23&gt;INDEX('Methodology &amp; Sources'!$B$228:$J$232,0,7))*($AZ23-INDEX('Methodology &amp; Sources'!$B$228:$J$232,0,7))*INDEX('Methodology &amp; Sources'!$B$228:$J$232,0,7+2))),""))))))))))</f>
      </c>
      <c r="BY23" s="7">
        <f>IF($B23="","",IF($AN23="AR",SUMPRODUCT(($AZ23&gt;INDEX('Methodology &amp; Sources'!$B$82:$J$86,0,7))*($AZ23-INDEX('Methodology &amp; Sources'!$B$82:$J$86,0,7))*INDEX('Methodology &amp; Sources'!$B$82:$J$86,0,7+2)),IF($AN23="DE",SUMPRODUCT(($AZ23&gt;INDEX('Methodology &amp; Sources'!$B$91:$J$98,0,1))*($AZ23-INDEX('Methodology &amp; Sources'!$B$91:$J$98,0,1))*INDEX('Methodology &amp; Sources'!$B$91:$J$98,0,1+2)),IF($AN23="HI",IF($AU23="Married",SUMPRODUCT(($AZ23&gt;INDEX('Methodology &amp; Sources'!$B$91:$J$98,0,7))*($AZ23-INDEX('Methodology &amp; Sources'!$B$91:$J$98,0,7))*INDEX('Methodology &amp; Sources'!$B$91:$J$98,0,7+2)),SUMPRODUCT(($AZ23&gt;INDEX('Methodology &amp; Sources'!$B$91:$J$98,0,4))*($AZ23-INDEX('Methodology &amp; Sources'!$B$91:$J$98,0,4))*INDEX('Methodology &amp; Sources'!$B$91:$J$98,0,4+2))),IF($AN23="SC",SUMPRODUCT(($AZ23&gt;INDEX('Methodology &amp; Sources'!$B$219:$J$223,0,1))*($AZ23-INDEX('Methodology &amp; Sources'!$B$219:$J$223,0,1))*INDEX('Methodology &amp; Sources'!$B$219:$J$223,0,1+2)),IF($AN23="VA",SUMPRODUCT(($AZ23&gt;INDEX('Methodology &amp; Sources'!$B$219:$J$223,0,4))*($AZ23-INDEX('Methodology &amp; Sources'!$B$219:$J$223,0,4))*INDEX('Methodology &amp; Sources'!$B$219:$J$223,0,4+2)),IF($AN23="WI",SUMPRODUCT(($AZ23&gt;INDEX('Methodology &amp; Sources'!$B$228:$J$232,0,4))*($AZ23-INDEX('Methodology &amp; Sources'!$B$228:$J$232,0,4))*INDEX('Methodology &amp; Sources'!$B$228:$J$232,0,4+2)),"")))))))</f>
      </c>
      <c r="BZ23" s="24">
        <f>IF($B23="","",IF($AN23="NJ",IF(Inputs!$C$77="B",SUMPRODUCT(($AZ23&gt;=INDEX('Methodology &amp; Sources'!$B$155:$J$162,0,4))*INDEX('Methodology &amp; Sources'!$B$155:$J$162,0,4+2)),IF(Inputs!$C$77="C",SUMPRODUCT(($AZ23&gt;=INDEX('Methodology &amp; Sources'!$B$155:$J$162,0,7))*INDEX('Methodology &amp; Sources'!$B$155:$J$162,0,7+2)),IF(Inputs!$C$77="D",SUMPRODUCT(($AZ23&gt;=INDEX('Methodology &amp; Sources'!$B$167:$J$179,0,1))*INDEX('Methodology &amp; Sources'!$B$167:$J$179,0,1+2)),IF(Inputs!$C$77="E",SUMPRODUCT(($AZ23&gt;=INDEX('Methodology &amp; Sources'!$B$167:$J$179,0,4))*INDEX('Methodology &amp; Sources'!$B$167:$J$179,0,4+2)),SUMPRODUCT(($AZ23&gt;=INDEX('Methodology &amp; Sources'!$B$155:$J$162,0,1))*INDEX('Methodology &amp; Sources'!$B$155:$J$162,0,1+2)))))),IF($AN23="OR",IF(OR($AU23="Married",AND($AU23="Single",$AS23&gt;=3)),SUMPRODUCT((MAX(0,$AY23-MIN(($P23-'Methodology &amp; Sources'!$C$10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Sources'!$B$211:$J$214,0,4))*INDEX('Methodology &amp; Sources'!$B$211:$J$214,0,4+2)),SUMPRODUCT((MAX(0,$AY23-MIN(($P23-'Methodology &amp; Sources'!$C$10*$D23)*Inputs!$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Sources'!$B$211:$J$214,0,1))*INDEX('Methodology &amp; Sources'!$B$211:$J$214,0,1+2)))*IF(($P23-'Methodology &amp; Sources'!$C$10*$D23)*Inputs!$C$8&gt;=IF(OR($AU23="Married",AND($AU23="Single",$AS23&gt;=3)),IF($AY23&lt;250000,8750,IF($AY23&lt;260000,7000,IF($AY23&lt;270000,5250,IF($AY23&lt;280000,3500,IF($AY23&lt;290000,1750,0))))),IF($AY23&lt;125000,8750,IF($AY23&lt;130000,7000,IF($AY23&lt;135000,5250,IF($AY23&lt;140000,3500,IF($AY23&lt;145000,1750,0)))))),1,1-IF(Inputs!$C$13,SUMPRODUCT(($AH23&gt;=INDEX('Methodology &amp; Sources'!$B$29:$J$36,0,IF(Inputs!$C$12="MFJ",1,IF(Inputs!$C$12="HoH",7,4))))*INDEX('Methodology &amp; Sources'!$B$29:$J$36,0,IF(Inputs!$C$12="MFJ",1,IF(Inputs!$C$12="HoH",7,4))+2)),SUMPRODUCT(($AH23&gt;=INDEX('Methodology &amp; Sources'!$B$19:$J$26,0,IF(Inputs!$C$12="MFJ",1,IF(Inputs!$C$12="HoH",7,4))))*INDEX('Methodology &amp; Sources'!$B$19:$J$26,0,IF(Inputs!$C$12="MFJ",1,IF(Inputs!$C$12="HoH",7,4))+2)))),IF($AN23="MI",IF($AY23&gt;5900*$AS23,0.0425,0),""))))</f>
      </c>
      <c r="CA23" s="24">
        <f>IF($B23="","",IF($AN23="AL",IF(OR($AU23="Married",$AU23="Head of household"),SUMPRODUCT(($AZ23&gt;=INDEX('Methodology &amp; Sources'!$B$82:$J$86,0,4))*INDEX('Methodology &amp; Sources'!$B$82:$J$86,0,4+2)),SUMPRODUCT(($AZ23&gt;=INDEX('Methodology &amp; Sources'!$B$82:$J$86,0,1))*INDEX('Methodology &amp; Sources'!$B$82:$J$86,0,1+2)))*(1-IF(Inputs!$C$13,SUMPRODUCT(($AH23&gt;=INDEX('Methodology &amp; Sources'!$B$29:$J$36,0,IF(Inputs!$C$12="MFJ",1,IF(Inputs!$C$12="HoH",7,4))))*INDEX('Methodology &amp; Sources'!$B$29:$J$36,0,IF(Inputs!$C$12="MFJ",1,IF(Inputs!$C$12="HoH",7,4))+2)),SUMPRODUCT(($AH23&gt;=INDEX('Methodology &amp; Sources'!$B$19:$J$26,0,IF(Inputs!$C$12="MFJ",1,IF(Inputs!$C$12="HoH",7,4))))*INDEX('Methodology &amp; Sources'!$B$19:$J$26,0,IF(Inputs!$C$12="MFJ",1,IF(Inputs!$C$12="HoH",7,4))+2)))),IF($AN23="KS",IF($AU23="Married",SUMPRODUCT(($AZ23&gt;=INDEX('Methodology &amp; Sources'!$B$103:$J$109,0,4))*INDEX('Methodology &amp; Sources'!$B$103:$J$109,0,4+2)),SUMPRODUCT(($AZ23&gt;=INDEX('Methodology &amp; Sources'!$B$103:$J$109,0,1))*INDEX('Methodology &amp; Sources'!$B$103:$J$109,0,1+2))),IF($AN23="MD",IF(OR($AU23="Married",$AU23="Head of household"),SUMPRODUCT(($AZ23&gt;=INDEX('Methodology &amp; Sources'!$B$114:$J$120,0,1))*INDEX('Methodology &amp; Sources'!$B$114:$J$120,0,1+2)),SUMPRODUCT(($AZ23&gt;=INDEX('Methodology &amp; Sources'!$B$103:$J$109,0,7))*INDEX('Methodology &amp; Sources'!$B$103:$J$109,0,7+2)))+Inputs!$C$74,IF($AN23="MT",IF($AU23="Head of household",SUMPRODUCT(($AZ23&gt;=INDEX('Methodology &amp; Sources'!$B$137:$J$139,0,1))*INDEX('Methodology &amp; Sources'!$B$137:$J$139,0,1+2)),IF($AU23="Married",SUMPRODUCT(($AZ23&gt;=INDEX('Methodology &amp; Sources'!$B$125:$J$132,0,7))*INDEX('Methodology &amp; Sources'!$B$125:$J$132,0,7+2)),SUMPRODUCT(($AZ23&gt;=INDEX('Methodology &amp; Sources'!$B$125:$J$132,0,4))*INDEX('Methodology &amp; Sources'!$B$125:$J$132,0,4+2)))),IF($AN23="ND",IF($AU23="Head of household",SUMPRODUCT(($AZ23&gt;=INDEX('Methodology &amp; Sources'!$B$144:$J$150,0,1))*INDEX('Methodology &amp; Sources'!$B$144:$J$150,0,1+2)),IF($AU23="Married",SUMPRODUCT(($AZ23&gt;=INDEX('Methodology &amp; Sources'!$B$137:$J$139,0,7))*INDEX('Methodology &amp; Sources'!$B$137:$J$139,0,7+2)),SUMPRODUCT(($AZ23&gt;=INDEX('Methodology &amp; Sources'!$B$137:$J$139,0,4))*INDEX('Methodology &amp; Sources'!$B$137:$J$139,0,4+2)))),IF($AN23="NY",IF($AU23="Married",IF($AZ23&gt;=2155350,IF($AZ23&gt;25000000,0.117,IF($AZ23&gt;5000000,0.111,0.1045)),SUMPRODUCT(($AZ23&gt;=INDEX('Methodology &amp; Sources'!$B$184:$J$198,0,1))*INDEX('Methodology &amp; Sources'!$B$184:$J$198,0,1+2))),IF($AZ23&gt;=1077550,IF($AZ23&gt;25000000,0.117,IF($AZ23&gt;5000000,0.111,0.1045)),SUMPRODUCT(($AZ23&gt;=INDEX('Methodology &amp; Sources'!$B$167:$J$179,0,7))*INDEX('Methodology &amp; Sources'!$B$167:$J$179,0,7+2)))),"")))))))</f>
      </c>
      <c r="CB23" s="24">
        <f>IF($B23="","",IF($AN23="CA",SUMPRODUCT(($AJ23&gt;=INDEX('Methodology &amp; Sources'!$B$39:$J$48,0,IF($AU23="Married",4,IF($AU23="Head of household",7,1))))*INDEX('Methodology &amp; Sources'!$B$39:$J$48,0,IF($AU23="Married",4,IF($AU23="Head of household",7,1))+2)),IF($AN23="HI",IF($AU23="Married",SUMPRODUCT(($AZ23&gt;=INDEX('Methodology &amp; Sources'!$B$91:$J$98,0,7))*INDEX('Methodology &amp; Sources'!$B$91:$J$98,0,7+2)),SUMPRODUCT(($AZ23&gt;=INDEX('Methodology &amp; Sources'!$B$91:$J$98,0,4))*INDEX('Methodology &amp; Sources'!$B$91:$J$98,0,4+2))),IF($AN23="MN",IF($AU23="Married",SUMPRODUCT(($AZ23&gt;=INDEX('Methodology &amp; Sources'!$B$114:$J$120,0,7))*INDEX('Methodology &amp; Sources'!$B$114:$J$120,0,7+2)),SUMPRODUCT(($AZ23&gt;=INDEX('Methodology &amp; Sources'!$B$114:$J$120,0,4))*INDEX('Methodology &amp; Sources'!$B$114:$J$120,0,4+2))),IF($AN23="MO",SUMPRODUCT(($AZ23&gt;=INDEX('Methodology &amp; Sources'!$B$125:$J$132,0,1))*INDEX('Methodology &amp; Sources'!$B$125:$J$132,0,1+2)),IF($AN23="NE",MAX(IF($AU23="Married",SUMPRODUCT(($AZ23&gt;=INDEX('Methodology &amp; Sources'!$B$144:$J$150,0,7))*INDEX('Methodology &amp; Sources'!$B$144:$J$150,0,7+2)),SUMPRODUCT(($AZ23&gt;=INDEX('Methodology &amp; Sources'!$B$144:$J$150,0,4))*INDEX('Methodology &amp; Sources'!$B$144:$J$150,0,4+2))),0.015),IF($AN23="OH",IF($B23&gt;=DATE(2027,8,1),SUMPRODUCT(($AZ23&gt;=INDEX('Methodology &amp; Sources'!$B$203:$J$206,0,1))*INDEX('Methodology &amp; Sources'!$B$203:$J$206,0,1+2)),SUMPRODUCT(($AZ23&gt;=INDEX('Methodology &amp; Sources'!$B$184:$J$198,0,7))*INDEX('Methodology &amp; Sources'!$B$184:$J$198,0,7+2))),IF($AN23="OK",IF($AU23="Married",SUMPRODUCT(($AZ23&gt;=INDEX('Methodology &amp; Sources'!$B$203:$J$206,0,7))*INDEX('Methodology &amp; Sources'!$B$203:$J$206,0,7+2)),SUMPRODUCT(($AZ23&gt;=INDEX('Methodology &amp; Sources'!$B$203:$J$206,0,4))*INDEX('Methodology &amp; Sources'!$B$203:$J$206,0,4+2))),IF($AN23="RI",SUMPRODUCT(($AZ23&gt;=INDEX('Methodology &amp; Sources'!$B$211:$J$214,0,7))*INDEX('Methodology &amp; Sources'!$B$211:$J$214,0,7+2)),IF($AN23="SC",SUMPRODUCT(($AZ23&gt;=INDEX('Methodology &amp; Sources'!$B$219:$J$223,0,1))*INDEX('Methodology &amp; Sources'!$B$219:$J$223,0,1+2)),IF($AN23="VT",IF($AU23="Married",SUMPRODUCT(($AZ23&gt;=INDEX('Methodology &amp; Sources'!$B$228:$J$232,0,1))*INDEX('Methodology &amp; Sources'!$B$228:$J$232,0,1+2)),SUMPRODUCT(($AZ23&gt;=INDEX('Methodology &amp; Sources'!$B$219:$J$223,0,7))*INDEX('Methodology &amp; Sources'!$B$219:$J$223,0,7+2))),IF($AN23="WV",IF($AU23="Married",SUMPRODUCT(($AZ23&gt;=INDEX('Methodology &amp; Sources'!$B$237:$J$241,0,7))*INDEX('Methodology &amp; Sources'!$B$237:$J$241,0,7+2)),SUMPRODUCT(($AZ23&gt;=INDEX('Methodology &amp; Sources'!$B$228:$J$232,0,7))*INDEX('Methodology &amp; Sources'!$B$228:$J$232,0,7+2))),IF($AN23="IN",(0.0295+Inputs!$C$76),"")))))))))))))</f>
      </c>
      <c r="CC23" s="24">
        <f>IF($B23="","",IF($AN23="AR",SUMPRODUCT(($AZ23&gt;=INDEX('Methodology &amp; Sources'!$B$82:$J$86,0,7))*INDEX('Methodology &amp; Sources'!$B$82:$J$86,0,7+2)),IF($AN23="DE",SUMPRODUCT(($AZ23&gt;=INDEX('Methodology &amp; Sources'!$B$91:$J$98,0,1))*INDEX('Methodology &amp; Sources'!$B$91:$J$98,0,1+2)),IF($AN23="VA",SUMPRODUCT(($AZ23&gt;=INDEX('Methodology &amp; Sources'!$B$219:$J$223,0,4))*INDEX('Methodology &amp; Sources'!$B$219:$J$223,0,4+2)),IF($AN23="WI",SUMPRODUCT(($AZ23&gt;=INDEX('Methodology &amp; Sources'!$B$228:$J$232,0,4))*INDEX('Methodology &amp; Sources'!$B$228:$J$232,0,4+2)),IF($AN23="AZ",Inputs!$C$82,IF($AN23="CO",IF($AY23&gt;IF($AU23="Married",10000,5000),0.044,0),IF($AN23="IA",IF($AY23&gt;IF($AU23="Head of household",19500,IF($AU23="Married",26000,13000)),0.038,0),IF($AN23="ID",IF($AY23&gt;IF($AU23="Married",32000,16094),0.053,0),IF($AN23="IL",IF($AY23&gt;(2925*$AS23+1000*$AT23),0.0495,0),IF($AN23="KY",IF($AI23&gt;3360,0.035,0),IF($AN23="LA",0.0309,IF($AN23="MA",IF(MAX(0,$AY23-MIN(($BD22+$Q23+$R23+$S23),2000)-IF($AS23=0,0,IF($AS23=1,4400,1000*$AS23+3400)))&gt;=1107750,0.09,0.05),IF($AN23="MS",IF($AI23-IF($AU23="Head of household",3400,IF($AU23="Married",4600,2300))-Inputs!$C$85&gt;10000,0.04,0),IF($AN23="PA",0.0307,"")))))))))))))))</f>
      </c>
      <c r="CD23" s="21">
        <f>IF(YEAR(IF(Inputs!$C$7="Weekly",Inputs!$C$90+7*(($BE22+1)-1),IF(Inputs!$C$7="Biweekly",Inputs!$C$90+14*(($BE22+1)-1),IF(Inputs!$C$7="Semimonthly",DATE(YEAR(Inputs!$C$9),MONTH(Inputs!$C$9)+INT((($BE22+1)-1+'Rest of 2026'!$C$2)/2),MIN(DAY(Inputs!$C$9),DAY(EOMONTH(DATE(YEAR(Inputs!$C$9),MONTH(Inputs!$C$9)+INT((($BE22+1)-1+'Rest of 2026'!$C$2)/2),1),0))))+IF(MOD(($BE22+1)-1+'Rest of 2026'!$C$2,2)=1,15,0),EDATE(Inputs!$C$90,($BE22+1)-1)))))&lt;&gt;Inputs!$C$10,"",IF(Inputs!$C$7="Weekly",Inputs!$C$90+7*(($BE22+1)-1),IF(Inputs!$C$7="Biweekly",Inputs!$C$90+14*(($BE22+1)-1),IF(Inputs!$C$7="Semimonthly",DATE(YEAR(Inputs!$C$9),MONTH(Inputs!$C$9)+INT((($BE22+1)-1+'Rest of 2026'!$C$2)/2),MIN(DAY(Inputs!$C$9),DAY(EOMONTH(DATE(YEAR(Inputs!$C$9),MONTH(Inputs!$C$9)+INT((($BE22+1)-1+'Rest of 2026'!$C$2)/2),1),0))))+IF(MOD(($BE22+1)-1+'Rest of 2026'!$C$2,2)=1,15,0),EDATE(Inputs!$C$90,($BE22+1)-1)))))</f>
      </c>
      <c r="CE23" s="21">
        <f>IF(SUMPRODUCT(MIN(IF((Inputs!$C$58:$C$67&gt;MAX($B$6:$B22))*(Inputs!$C$58:$C$67&gt;=DATE(Inputs!$C$10,1,1))*(Inputs!$C$58:$C$67&lt;=DATE(Inputs!$C$10,12,31)),Inputs!$C$58:$C$67,999999)))=999999,"",SUMPRODUCT(MIN(IF((Inputs!$C$58:$C$67&gt;MAX($B$6:$B22))*(Inputs!$C$58:$C$67&gt;=DATE(Inputs!$C$10,1,1))*(Inputs!$C$58:$C$67&lt;=DATE(Inputs!$C$10,12,31)),Inputs!$C$58:$C$67,999999))))</f>
      </c>
    </row>
    <row r="24">
      <c r="A24" t="n">
        <v>19</v>
      </c>
      <c r="B24" s="21">
        <f>IF(AND($CD24="",$CE24=""),"",IF($CE24="",$CD24,IF($CD24="",$CE24,MIN($CD24,$CE24))))</f>
      </c>
      <c r="C24" s="7">
        <f>IF($B24="","",IF($BF24=0,0,IF(Inputs!$C$4="Annual salary",ROUND($AK24/IF(AND(Inputs!$C$88="Actual paydays",MONTH(Inputs!$C$90)=1),MAX(1,MAX($BE$6:$BE$68)),Inputs!$C$8),2),$AK24)))</f>
      </c>
      <c r="D24" s="7">
        <f>IF($B24="","",SUMIF(Inputs!$C$58:$C$67,$B24,Inputs!$D$58:$D$67))</f>
      </c>
      <c r="E24" s="7">
        <f>IF($B24="","",ROUND(MAX(0,MIN(IF($AL24="Percent",$AM24*($C24+$D24),$AM24),MAX(0,Inputs!$C$34-$AC23))),2))</f>
      </c>
      <c r="F24" s="7">
        <f>IF($B24="","",ROUND(MAX(0,MIN(IF(Inputs!$C$32="Percent",Inputs!$D$32*($C24+$D24),Inputs!$D$32),MAX(0,Inputs!$C$34-$AC23-$E24))),2))</f>
      </c>
      <c r="G24" s="7">
        <f>IF($B24="","",IF($BF24=0,0,ROUND(MAX(0,MIN($BL24,Inputs!$C$37-Inputs!$C$99-$BI23)),2)))</f>
      </c>
      <c r="H24" s="7">
        <f>IF($B24="","",IF(OR($BF24=0,$BQ24=1),0,ROUND(MAX(0,MIN(IF($BS24=1,ROUND(MAX(0,MIN($BJ24,'Methodology &amp; Sources'!$C$13)-$BG23)/MAX(1,MAX($BE$6:$BE$68)-($BE23)),2),ROUND(MIN($BJ24,'Methodology &amp; Sources'!$C$13)/Inputs!$C$8,2)),MIN($BJ24,'Methodology &amp; Sources'!$C$13)-$BG23)),2)))</f>
      </c>
      <c r="I24" s="7">
        <f>IF($B24="","",IF(OR($BF24=0,$BR24=1),0,ROUND(MAX(0,MIN(IF($BT24=1,ROUND(MAX(0,MIN($BK24,IF(Inputs!$C$12="MFJ",'Methodology &amp; Sources'!$C$14,'Methodology &amp; Sources'!$C$15))-$BH23)/MAX(1,MAX($BE$6:$BE$68)-($BE23)),2),ROUND(MIN($BK24,IF(Inputs!$C$12="MFJ",'Methodology &amp; Sources'!$C$14,'Methodology &amp; Sources'!$C$15))/Inputs!$C$8,2)),MIN($BK24,IF(Inputs!$C$12="MFJ",'Methodology &amp; Sources'!$C$14,'Methodology &amp; Sources'!$C$15))-$BH23)),2)))</f>
      </c>
      <c r="J24" s="7">
        <f>IF($B24="","",IF($BF24=0,0,$BM24))</f>
      </c>
      <c r="K24" s="7">
        <f>IF($B24="","",IF($BF24=0,0,$BN24+$BO24))</f>
      </c>
      <c r="L24" s="7">
        <f>IF($B24="","",IF($BF24=0,0,Inputs!$D$46))</f>
      </c>
      <c r="M24" s="7">
        <f>IF($B24="","",$C24+$D24+$L24-$E24-$G24-$H24-$I24-$J24-$K24)</f>
      </c>
      <c r="N24" s="7">
        <f>IF($B24="","",$C24+$D24+$L24-$G24-$H24-$I24-$J24-$K24)</f>
      </c>
      <c r="O24" s="7">
        <f>IF($B24="","",$C24+$D24+$L24-$E24-$H24-$I24-$J24-$K24-IF(OR($AN24="CA",$AN24="NJ"),0,$G24))</f>
      </c>
      <c r="P24" s="7">
        <f>IF($B24="","",IF(Inputs!$C$18,0,ROUND(MAX(0,IF(Inputs!$C$13,SUMPRODUCT(($AH24&gt;INDEX('Methodology &amp; Sources'!$B$29:$J$36,0,IF(Inputs!$C$12="MFJ",1,IF(Inputs!$C$12="HoH",7,4))))*($AH24-INDEX('Methodology &amp; Sources'!$B$29:$J$36,0,IF(Inputs!$C$12="MFJ",1,IF(Inputs!$C$12="HoH",7,4))))*INDEX('Methodology &amp; Sources'!$B$29:$J$36,0,IF(Inputs!$C$12="MFJ",1,IF(Inputs!$C$12="HoH",7,4))+2)),SUMPRODUCT(($AH24&gt;INDEX('Methodology &amp; Sources'!$B$19:$J$26,0,IF(Inputs!$C$12="MFJ",1,IF(Inputs!$C$12="HoH",7,4))))*($AH24-INDEX('Methodology &amp; Sources'!$B$19:$J$26,0,IF(Inputs!$C$12="MFJ",1,IF(Inputs!$C$12="HoH",7,4))))*INDEX('Methodology &amp; Sources'!$B$19:$J$26,0,IF(Inputs!$C$12="MFJ",1,IF(Inputs!$C$12="HoH",7,4))+2)))/Inputs!$C$8-$AO24/Inputs!$C$8)+$AR24+IF(Inputs!$C$89="Aggregate",MAX(0,IF(Inputs!$C$13,SUMPRODUCT((($AH24+$D24)&gt;INDEX('Methodology &amp; Sources'!$B$29:$J$36,0,IF(Inputs!$C$12="MFJ",1,IF(Inputs!$C$12="HoH",7,4))))*(($AH24+$D24)-INDEX('Methodology &amp; Sources'!$B$29:$J$36,0,IF(Inputs!$C$12="MFJ",1,IF(Inputs!$C$12="HoH",7,4))))*INDEX('Methodology &amp; Sources'!$B$29:$J$36,0,IF(Inputs!$C$12="MFJ",1,IF(Inputs!$C$12="HoH",7,4))+2)),SUMPRODUCT((($AH24+$D24)&gt;INDEX('Methodology &amp; Sources'!$B$19:$J$26,0,IF(Inputs!$C$12="MFJ",1,IF(Inputs!$C$12="HoH",7,4))))*(($AH24+$D24)-INDEX('Methodology &amp; Sources'!$B$19:$J$26,0,IF(Inputs!$C$12="MFJ",1,IF(Inputs!$C$12="HoH",7,4))))*INDEX('Methodology &amp; Sources'!$B$19:$J$26,0,IF(Inputs!$C$12="MFJ",1,IF(Inputs!$C$12="HoH",7,4))+2)))-IF(Inputs!$C$13,SUMPRODUCT(($AH24&gt;INDEX('Methodology &amp; Sources'!$B$29:$J$36,0,IF(Inputs!$C$12="MFJ",1,IF(Inputs!$C$12="HoH",7,4))))*($AH24-INDEX('Methodology &amp; Sources'!$B$29:$J$36,0,IF(Inputs!$C$12="MFJ",1,IF(Inputs!$C$12="HoH",7,4))))*INDEX('Methodology &amp; Sources'!$B$29:$J$36,0,IF(Inputs!$C$12="MFJ",1,IF(Inputs!$C$12="HoH",7,4))+2)),SUMPRODUCT(($AH24&gt;INDEX('Methodology &amp; Sources'!$B$19:$J$26,0,IF(Inputs!$C$12="MFJ",1,IF(Inputs!$C$12="HoH",7,4))))*($AH24-INDEX('Methodology &amp; Sources'!$B$19:$J$26,0,IF(Inputs!$C$12="MFJ",1,IF(Inputs!$C$12="HoH",7,4))))*INDEX('Methodology &amp; Sources'!$B$19:$J$26,0,IF(Inputs!$C$12="MFJ",1,IF(Inputs!$C$12="HoH",7,4))+2)))),'Methodology &amp; Sources'!$C$10*$D24),2)))</f>
      </c>
      <c r="Q24" s="7">
        <f>IF($B24="","",ROUND('Methodology &amp; Sources'!$C$4*MIN($N24,MAX(0,'Methodology &amp; Sources'!$C$3-($AX24+$AB23-$AW24))),2))</f>
      </c>
      <c r="R24" s="7">
        <f>IF($B24="","",ROUND('Methodology &amp; Sources'!$C$5*$N24,2))</f>
      </c>
      <c r="S24" s="7">
        <f>IF($B24="","",ROUND('Methodology &amp; Sources'!$C$6*MAX(0,MIN($N24,$AG23+$N24-'Methodology &amp; Sources'!$C$7)),2))</f>
      </c>
      <c r="T24" s="7">
        <f>IF($B24="","",IF(Inputs!$C$26,0,IF($AN24="CA",ROUND(IF($AI24&lt;=IF(($AS24+$AT24)&gt;=2,VLOOKUP($AN24,StateTables!$A$6:$AB$56,10,FALSE),VLOOKUP($AN24,StateTables!$A$6:$AB$56,9,FALSE)),0,MAX(0,SUMPRODUCT(($AJ24&gt;INDEX('Methodology &amp; Sources'!$B$39:$J$48,0,IF($AU24="Married",4,IF($AU24="Head of household",7,1))))*($AJ24-INDEX('Methodology &amp; Sources'!$B$39:$J$48,0,IF($AU24="Married",4,IF($AU24="Head of household",7,1))))*INDEX('Methodology &amp; Sources'!$B$39:$J$48,0,IF($AU24="Married",4,IF($AU24="Head of household",7,1))+2))-VLOOKUP($AN24,StateTables!$A$6:$AB$56,11,FALSE)*$AS24)/Inputs!$C$8)+Inputs!$C$25+VLOOKUP($AN24,StateTables!$A$6:$AB$56,13,FALSE)*$D24,2),IF(VLOOKUP($AN24,StateTables!$A$6:$AB$56,4,FALSE)="None",0,IF(ISNUMBER(SEARCH("MANUAL",VLOOKUP($AN24,StateTables!$A$6:$AB$56,5,FALSE))),Inputs!$C$28,ROUND(MAX(0,$BA24+$BB24)/Inputs!$C$8+Inputs!$C$25+$BC24,2))))))</f>
      </c>
      <c r="U24" s="7">
        <f>IF($B24="","",IF(VLOOKUP($AN24,StateTables!$A$6:$AB$56,24,FALSE)="flatq",IF(OR(MONTH($B24)=1,MONTH($B24)=4,MONTH($B24)=7,MONTH($B24)=10),VLOOKUP($AN24,StateTables!$A$6:$AB$56,25,FALSE),0),IF(VLOOKUP($AN24,StateTables!$A$6:$AB$56,24,FALSE)="dbl",MIN(ROUND(0.005*$N24,2),ROUND(0.6*52/Inputs!$C$8,2)),IF(OR(VLOOKUP($AN24,StateTables!$A$6:$AB$56,15,FALSE)="",VLOOKUP($AN24,StateTables!$A$6:$AB$56,15,FALSE)=0),0,ROUND(VLOOKUP($AN24,StateTables!$A$6:$AB$56,15,FALSE)*IF(OR(VLOOKUP($AN24,StateTables!$A$6:$AB$56,16,FALSE)="",VLOOKUP($AN24,StateTables!$A$6:$AB$56,16,FALSE)=0),$N24,MIN($N24,MAX(0,VLOOKUP($AN24,StateTables!$A$6:$AB$56,16,FALSE)-($AX24+$AB23-$AW24)))),2))))+IF(VLOOKUP($AN24,StateTables!$A$6:$AB$56,27,FALSE)="flatq",IF(OR(MONTH($B24)=1,MONTH($B24)=4,MONTH($B24)=7,MONTH($B24)=10),VLOOKUP($AN24,StateTables!$A$6:$AB$56,28,FALSE),0),IF(VLOOKUP($AN24,StateTables!$A$6:$AB$56,27,FALSE)="dbl",MIN(ROUND(0.005*$N24,2),ROUND(0.6*52/Inputs!$C$8,2)),IF(OR(VLOOKUP($AN24,StateTables!$A$6:$AB$56,18,FALSE)="",VLOOKUP($AN24,StateTables!$A$6:$AB$56,18,FALSE)=0),0,ROUND(VLOOKUP($AN24,StateTables!$A$6:$AB$56,18,FALSE)*IF(OR(VLOOKUP($AN24,StateTables!$A$6:$AB$56,19,FALSE)="",VLOOKUP($AN24,StateTables!$A$6:$AB$56,19,FALSE)=0),$N24,MIN($N24,MAX(0,VLOOKUP($AN24,StateTables!$A$6:$AB$56,19,FALSE)-($AX24+$AB23-$AW24)))),2)))))</f>
      </c>
      <c r="V24" s="7">
        <f>IF($B24="","",IF($AN24="NY",IF(Inputs!$C$78,ROUND(SUMPRODUCT((MAX(0,($O24-$D24)*Inputs!$C$8-(IF($AU24="Married",5500,5000)+1000*$AS24))&gt;INDEX('Methodology &amp; Sources'!$B$184:$J$198,0,4))*(MAX(0,($O24-$D24)*Inputs!$C$8-(IF($AU24="Married",5500,5000)+1000*$AS24))-INDEX('Methodology &amp; Sources'!$B$184:$J$198,0,4))*INDEX('Methodology &amp; Sources'!$B$184:$J$198,0,4+2))/Inputs!$C$8+0.0425*$D24,2),0)+IF(Inputs!$C$79="Resident",ROUND(0.1675*$T24,2),IF(Inputs!$C$79="Nonresident",ROUND(0.005*MAX(0,($O24-$D24)-(IF($AU24="Married",7950,7400)+1000*$AS24)/Inputs!$C$8),2),0)),IF($AN24="PA",IF(Inputs!$C$80="None",Inputs!$C$27+ROUND(Inputs!$C$81*($C24+$D24),2),ROUND(IF(Inputs!$C$80="Resident",IF($B24&lt;DATE(2027,7,1),0.03735,0.03735),IF($B24&lt;DATE(2027,7,1),0.03425,0.03425))*($C24+$D24),2)),IF($BF24=0,ROUND(Inputs!$C$81*($C24+$D24),2),Inputs!$C$27+ROUND(Inputs!$C$81*($C24+$D24),2)))))</f>
      </c>
      <c r="W24" s="7">
        <f>IF($B24="","",IF($BF24=0,0,$BP24))</f>
      </c>
      <c r="X24" s="7">
        <f>IF($B24="","",SUM($E24:$K24)+$P24+$Q24+$R24+$S24+$T24+$U24+$V24+$W24)</f>
      </c>
      <c r="Y24" s="22">
        <f>IF($B24="","",$C24+$D24-$X24)</f>
      </c>
      <c r="Z24" s="7">
        <f>IF($B24="","",$Z23+$C24+$D24)</f>
      </c>
      <c r="AA24" s="7">
        <f>IF($B24="","",$AA23+$Y24)</f>
      </c>
      <c r="AB24" s="7">
        <f>IF($B24="","",$AB23+MIN($N24,MAX(0,'Methodology &amp; Sources'!$C$3-($AX24+$AB23-$AW24))))</f>
      </c>
      <c r="AC24" s="7">
        <f>IF($B24="","",$AC23+$E24+$F24)</f>
      </c>
      <c r="AD24" s="3">
        <f>IF($B24="","",IF(AND($AB23&lt;'Methodology &amp; Sources'!$C$3,$AB24&gt;='Methodology &amp; Sources'!$C$3),"★ Social Security maxed on this check — from the next check your net rises by about $"&amp;TEXT(ROUND('Methodology &amp; Sources'!$C$4*$N24,2),"#,##0.00")&amp;". ","")&amp;IF(AND($AC23&lt;Inputs!$C$34,$AC24&gt;=Inputs!$C$34),"★ 401(k) reaches the $"&amp;TEXT(Inputs!$C$34,"#,##0")&amp;" cap on this check — deferrals stop and net pay rises. ","")&amp;IF(AND($AG23&lt;'Methodology &amp; Sources'!$C$7,$AG24&gt;='Methodology &amp; Sources'!$C$7),"★ Wages pass $200,000 — the 0.9% Additional Medicare Tax starts here. ","")&amp;IF(AND($BJ24&gt;0,$H24&gt;0,$BG23&lt;MIN($BJ24,'Methodology &amp; Sources'!$C$13),$BG23+$H24&gt;=MIN($BJ24,'Methodology &amp; Sources'!$C$13)),"★ Health FSA election is now fully deferred for the year. ",""))</f>
      </c>
      <c r="AE24" s="41" t="n"/>
      <c r="AF24" s="7">
        <f>IF(OR($B24="",$AE24=""),"",$AE24-$Y24)</f>
      </c>
      <c r="AG24" s="7">
        <f>IF($B24="","",$AG23+$N24)</f>
      </c>
      <c r="AH24" s="7">
        <f>IF($B24="","",MAX(0,($M24-$D24)*Inputs!$C$8+$AP24-$AQ24-IF(Inputs!$C$13,0,IF(Inputs!$C$12="MFJ",'Methodology &amp; Sources'!$C$8,'Methodology &amp; Sources'!$C$9))))</f>
      </c>
      <c r="AI24" s="7">
        <f>IF($B24="","",$O24*Inputs!$C$8)</f>
      </c>
      <c r="AJ24" s="7">
        <f>IF($B24="","",MAX(0,$AI24-VLOOKUP($AN24,StateTables!$A$6:$AB$56,12,FALSE)*$AT24-IF(($AS24+$AT24)&gt;=2,VLOOKUP($AN24,StateTables!$A$6:$AB$56,8,FALSE),VLOOKUP($AN24,StateTables!$A$6:$AB$56,7,FALSE))))</f>
      </c>
      <c r="AK24" s="7">
        <f>IF($B24="","",IFERROR(LOOKUP(2,1/((Events!$C$6:$C$17="Salary change")*(Events!$B$6:$B$17&lt;=$B24)*(Events!$B$6:$B$17&lt;&gt;"")),Events!$D$6:$D$17),IF(Inputs!$C$4="Annual salary",Inputs!$C$5,Inputs!$C$6)))</f>
      </c>
      <c r="AL24">
        <f>IF($B24="","",IFERROR(LOOKUP(2,1/((Events!$C$6:$C$17="401(k) change")*(Events!$B$6:$B$17&lt;=$B24)*(Events!$B$6:$B$17&lt;&gt;"")),Events!$D$6:$D$17),Inputs!$C$30))</f>
      </c>
      <c r="AM24" s="7">
        <f>IF($B24="","",IFERROR(LOOKUP(2,1/((Events!$C$6:$C$17="401(k) change")*(Events!$B$6:$B$17&lt;=$B24)*(Events!$B$6:$B$17&lt;&gt;"")),Events!$E$6:$E$17),Inputs!$D$30))</f>
      </c>
      <c r="AN24">
        <f>IF($B24="","",IFERROR(LOOKUP(2,1/((Events!$C$6:$C$17="State move")*(Events!$B$6:$B$17&lt;=$B24)*(Events!$B$6:$B$17&lt;&gt;"")),Events!$D$6:$D$17),Inputs!$C$21))</f>
      </c>
      <c r="AO24" s="7">
        <f>IF($B24="","",IFERROR(LOOKUP(2,1/((Events!$C$6:$C$17="W-4 change")*(Events!$B$6:$B$17&lt;=$B24)*(Events!$B$6:$B$17&lt;&gt;"")),Events!$D$6:$D$17),Inputs!$C$14))</f>
      </c>
      <c r="AP24" s="7">
        <f>IF($B24="","",IFERROR(LOOKUP(2,1/((Events!$C$6:$C$17="W-4 change")*(Events!$B$6:$B$17&lt;=$B24)*(Events!$B$6:$B$17&lt;&gt;"")),Events!$E$6:$E$17),Inputs!$C$15))</f>
      </c>
      <c r="AQ24" s="7">
        <f>IF($B24="","",IFERROR(LOOKUP(2,1/((Events!$C$6:$C$17="W-4 change")*(Events!$B$6:$B$17&lt;=$B24)*(Events!$B$6:$B$17&lt;&gt;"")),Events!$F$6:$F$17),Inputs!$C$16))</f>
      </c>
      <c r="AR24" s="7">
        <f>IF($B24="","",IFERROR(LOOKUP(2,1/((Events!$C$6:$C$17="W-4 change")*(Events!$B$6:$B$17&lt;=$B24)*(Events!$B$6:$B$17&lt;&gt;"")),Events!$G$6:$G$17),Inputs!$C$17))</f>
      </c>
      <c r="AS24" s="6">
        <f>IF($B24="","",IFERROR(LOOKUP(2,1/(((Events!$C$6:$C$17="State move")+(Events!$C$6:$C$17="State cert change"))*(Events!$B$6:$B$17&lt;=$B24)*(Events!$B$6:$B$17&lt;&gt;"")),Events!$F$6:$F$17),Inputs!$C$23))</f>
      </c>
      <c r="AT24" s="6">
        <f>IF($B24="","",IFERROR(LOOKUP(2,1/(((Events!$C$6:$C$17="State move")+(Events!$C$6:$C$17="State cert change"))*(Events!$B$6:$B$17&lt;=$B24)*(Events!$B$6:$B$17&lt;&gt;"")),Events!$G$6:$G$17),Inputs!$C$24))</f>
      </c>
      <c r="AU24">
        <f>IF($B24="","",IFERROR(LOOKUP(2,1/((Events!$C$6:$C$17="State move")*(Events!$B$6:$B$17&lt;=$B24)*(Events!$B$6:$B$17&lt;&gt;"")),Events!$E$6:$E$17),Inputs!$C$22))</f>
      </c>
      <c r="AV24" s="6">
        <f>IF($B24="","",1+COUNTIFS(Events!$C$6:$C$17,"Employer change",Events!$B$6:$B$17,"&lt;="&amp;$B24,Events!$B$6:$B$17,"&lt;&gt;"))</f>
      </c>
      <c r="AW24" s="7">
        <f>IF($B24="","",IF($AV24=1,Inputs!$C$94,IF(IFERROR(MATCH(IFERROR(LOOKUP(2,1/((Events!$C$6:$C$17="Employer change")*(Events!$B$6:$B$17&lt;=$B24)*(Events!$B$6:$B$17&lt;&gt;"")),Events!$B$6:$B$17),""),$B$6:$B$68,1),1)&lt;=1,Inputs!$C$94,INDEX($AB$6:$AB$68,MATCH(IFERROR(LOOKUP(2,1/((Events!$C$6:$C$17="Employer change")*(Events!$B$6:$B$17&lt;=$B24)*(Events!$B$6:$B$17&lt;&gt;"")),Events!$B$6:$B$17),""),$B$6:$B$68,1)-1))))</f>
      </c>
      <c r="AX24" s="7">
        <f>IF($B24="","",IF($AV24=1,Inputs!$C$94,IFERROR(LOOKUP(2,1/((Events!$C$6:$C$17="Employer change")*(Events!$B$6:$B$17&lt;=$B24)*(Events!$B$6:$B$17&lt;&gt;"")),Events!$D$6:$D$17),0)))</f>
      </c>
      <c r="AY24" s="7">
        <f>IF($B24="","",($O24-$D24)*Inputs!$C$8)</f>
      </c>
      <c r="AZ24" s="7">
        <f>IF($B24="","",IF($AN24="AL",MAX(0,$AY24-IF($AU24="Married",IF($AY24&lt;=25999,8500,MAX(5000,8500-175*CEILING(($AY24-25999)/500,1))),IF($AU24="Head of household",IF($AY24&lt;=25999,5200,MAX(2500,5200-135*CEILING(($AY24-25999)/500,1))),IF($AY24&lt;=25999,3000,MAX(2500,3000-25*CEILING(($AY24-25999)/500,1)))))-($P24-'Methodology &amp; Sources'!$C$10*$D24)*Inputs!$C$8-IF(OR($AU24="Married",$AU24="Head of household"),3000,1500)-$AT24*IF($AY24&lt;=50000,1000,IF($AY24&lt;=100000,500,300))),IF($AN24="AR",IF(MAX(0,$AY24-2470)&lt;97701,INT(MAX(0,$AY24-2470)/100)*100+50,MAX(0,$AY24-2470)),IF($AN24="DE",MAX(0,$AI24-3250),IF($AN24="HI",MAX(0,$AI24-1144*$AS24-4350),IF($AN24="KS",MAX(0,$AI24-(9160*IF($AU24="Married",2,1)+2320*$AT24+IF($AU24="Head of household",2320,0))),IF($AN24="MD",MAX(0,$AI24-3400-3200*$AS24),IF($AN24="MN",MAX(0,$AY24-5300*$AS24),IF($AN24="MO",MAX(0,$AI24-IF($AU24="Head of household",24150,IF($AU24="Married",IF(Inputs!$C$83,16100,32200),16100))),IF($AN24="MT",$AY24,IF($AN24="ND",($C24+$L24)*Inputs!$C$8,IF($AN24="NE",MAX(0,$AY24-2440*$AS24),IF($AN24="NJ",MAX(0,$AY24-1000*$AS24),IF($AN24="NY",MAX(0,$AY24-(IF($AU24="Married",7950,7400)+1000*$AS24)),IF($AN24="OH",MAX(0,$AY24-650*$AS24),IF($AN24="OK",MAX(0,$AY24-1000*$AS24),IF($AN24="RI",MAX(0,$AI24-1000*$AS24),IF($AN24="SC",MAX(0,$AI24-5000*$AS24-IF($AS24=0,0,MIN(0.1*$AI24,7500))),IF($AN24="VA",MAX(0,$AI24-IF($AU24="Married",17500,8750)-930*$AS24-800*$AT24),IF($AN24="VT",MAX(0,$AI24-5400*$AS24),IF($AN24="WI",MAX(0,$AI24-MAX(0,IF($AU24="Married",9461-0.2*MAX(0,$AI24-25727),6702-0.12*MAX(0,$AI24-17780)))-400*$AS24),IF($AN24="WV",MAX(0,$AI24-2000*$AS24),$AI24))))))))))))))))))))))</f>
      </c>
      <c r="BA24" s="7">
        <f>IF($B24="","",IF($BW24&lt;&gt;"",$BW24,IF($BX24&lt;&gt;"",$BX24,IF($BY24&lt;&gt;"",$BY24,0))))</f>
      </c>
      <c r="BB24" s="7">
        <f>IF($B24="","",IF($AN24="AR",-29*$AS24,IF($AN24="DE",-110*$AS24,IF($AN24="MD",$AZ24*Inputs!$C$74,IF($AN24="AZ",Inputs!$C$82*($M24-$D24)*Inputs!$C$8,IF($AN24="CO",0.044*MAX(0,$AY24-IF($AU24="Married",10000,5000)),IF($AN24="IA",MAX(0,0.038*MAX(0,$AY24-IF($AU24="Head of household",19500,IF($AU24="Married",26000,13000)))-40*$AS24),IF($AN24="ID",0.053*MAX(0,$AY24-IF($AU24="Married",32000,16094)),IF($AN24="IL",0.0495*MAX(0,$AY24-(2925*$AS24+1000*$AT24)),IF($AN24="IN",(0.0295+Inputs!$C$76)*MAX(0,$AY24-(1000*$AS24+1500*$AT24+3000*Inputs!$C$86)),IF($AN24="KY",0.035*MAX(0,$AI24-3360),IF($AN24="LA",IF(Inputs!$C$84="0",0.0309*$AI24,0.0309*MAX(0,$AI24-IF(Inputs!$C$84="2",25750,12875))),IF($AN24="MA",0.05*MIN(MAX(0,$AY24-MIN(($BD23+$Q24+$R24+$S24),2000)-IF($AS24=0,0,IF($AS24=1,4400,1000*$AS24+3400))),1107750)+0.09*MAX(0,MAX(0,$AY24-MIN(($BD23+$Q24+$R24+$S24),2000)-IF($AS24=0,0,IF($AS24=1,4400,1000*$AS24+3400)))-1107750)-IF($AU24="Head of household",120,0)-110*Inputs!$C$75,IF($AN24="MI",0.0425*MAX(0,$AY24-5900*$AS24),IF($AN24="MS",0.04*MAX(0,$AI24-IF($AU24="Head of household",3400,IF($AU24="Married",4600,2300))-Inputs!$C$85-10000),IF($AN24="OR",IF(OR($AU24="Married",AND($AU24="Single",$AS24&gt;=3)),SUMPRODUCT((MAX(0,$AY24-MIN(($P24-'Methodology &amp; Sources'!$C$10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Sources'!$B$211:$J$214,0,4))*(MAX(0,$AY24-MIN(($P24-'Methodology &amp; Sources'!$C$10*$D24)*Inputs!$C$8,IF(OR($AU24="Married",AND($AU24="Single",$AS24&gt;=3)),IF($AY24&lt;250000,8750,IF($AY24&lt;260000,7000,IF($AY24&lt;270000,5250,IF($AY24&lt;280000,3500,IF($AY24&lt;290000,1750,0))))),IF($AY24&lt;125000,8750,IF($AY24&lt;130000,7000,IF($AY24&lt;135000,5250,IF($AY24&lt;140000,3500,IF($AY24&lt;145000,1750,0)))))))-IF(OR($AU24="Married",AND($AU24="Single",$AS24&gt;=3)),5820,2910))-INDEX('Methodology &amp; Sources'!$B$211:$J$214,0,4))*INDEX('Methodology &amp; Sources'!$B$211:$J$214,0,4+2)),SUMPRODUCT((MAX(0,$AY24-MIN(($P24-'Methodology &amp; Sources'!$C$10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Sources'!$B$211:$J$214,0,1))*(MAX(0,$AY24-MIN(($P24-'Methodology &amp; Sources'!$C$10*$D24)*Inputs!$C$8,IF(OR($AU24="Married",AND($AU24="Single",$AS24&gt;=3)),IF($AY24&lt;250000,8750,IF($AY24&lt;260000,7000,IF($AY24&lt;270000,5250,IF($AY24&lt;280000,3500,IF($AY24&lt;290000,1750,0))))),IF($AY24&lt;125000,8750,IF($AY24&lt;130000,7000,IF($AY24&lt;135000,5250,IF($AY24&lt;140000,3500,IF($AY24&lt;145000,1750,0)))))))-IF(OR($AU24="Married",AND($AU24="Single",$AS24&gt;=3)),5820,2910))-INDEX('Methodology &amp; Sources'!$B$211:$J$214,0,1))*INDEX('Methodology &amp; Sources'!$B$211:$J$214,0,1+2)))+263-263*IF(IF($AU24="Married",$AY24&gt;200000,$AY24&gt;100000),0,$AS24),IF($AN24="PA",0.0307*(($O24+$E24+$G24)*Inputs!$C$8),IF($AN24="NY",IF($AU24="Married",IF($AZ24&gt;=2155350,0,IF($AZ24&gt;=1077550,0.48,IF($AZ24&gt;=373200,1.21,IF($AZ24&gt;=323200,0.21,IF($AZ24&gt;=211550,-0.19,IF($AZ24&gt;=157650,-2.8,IF($AZ24&gt;=107650,-0.8,IF($AZ24&gt;=96800,0.05,IF($AZ24&gt;=80650,-0.1,IF($AZ24&gt;=13900,0.4,IF($AZ24&gt;=11700,-0.3,IF($AZ24&gt;=8500,0.5,0)))))))))))),IF($AZ24&gt;=1077550,0,IF($AZ24&gt;=265400,4.29,IF($AZ24&gt;=215400,2.29,IF($AZ24&gt;=157650,2.29,IF($AZ24&gt;=107650,0.29,IF($AZ24&gt;=96800,0.05,IF($AZ24&gt;=80650,-0.1,IF($AZ24&gt;=13900,0.4,IF($AZ24&gt;=11700,-0.3,IF($AZ24&gt;=8500,0.5,0))))))))))),0))))))))))))))))))</f>
      </c>
      <c r="BC24" s="7">
        <f>IF($B24="","",IF($AN24="AL",0.05*$D24,IF($AN24="AR",0.039*$D24,IF($AN24="ID",0.053*$D24,IF($AN24="IN",(0.0295+Inputs!$C$76)*$D24,IF($AN24="KS",0.05*$D24,IF($AN24="MA",0.09*MIN($D24,MAX(0,MAX(0,$AY24-MIN(($BD23+$Q24+$R24+$S24),2000)-IF($AS24=0,0,IF($AS24=1,4400,1000*$AS24+3400)))+$D24-1107750))+0.05*($D24-MIN($D24,MAX(0,MAX(0,$AY24-MIN(($BD23+$Q24+$R24+$S24),2000)-IF($AS24=0,0,IF($AS24=1,4400,1000*$AS24+3400)))+$D24-1107750))),IF($AN24="MD",(0.065+Inputs!$C$74)*$D24,IF($AN24="MI",0.0425*$D24,IF($AN24="MN",0.0625*$D24,IF($AN24="MO",0.047*$D24,IF($AN24="MT",0.05*$D24,IF($AN24="ND",0.015*$D24,IF($AN24="NE",0.035*$D24,IF($AN24="NJ",IF(Inputs!$C$77="B",SUMPRODUCT(($D24*Inputs!$C$8&gt;INDEX('Methodology &amp; Sources'!$B$155:$J$162,0,4))*($D24*Inputs!$C$8-INDEX('Methodology &amp; Sources'!$B$155:$J$162,0,4))*INDEX('Methodology &amp; Sources'!$B$155:$J$162,0,4+2)),IF(Inputs!$C$77="C",SUMPRODUCT(($D24*Inputs!$C$8&gt;INDEX('Methodology &amp; Sources'!$B$155:$J$162,0,7))*($D24*Inputs!$C$8-INDEX('Methodology &amp; Sources'!$B$155:$J$162,0,7))*INDEX('Methodology &amp; Sources'!$B$155:$J$162,0,7+2)),IF(Inputs!$C$77="D",SUMPRODUCT(($D24*Inputs!$C$8&gt;INDEX('Methodology &amp; Sources'!$B$167:$J$179,0,1))*($D24*Inputs!$C$8-INDEX('Methodology &amp; Sources'!$B$167:$J$179,0,1))*INDEX('Methodology &amp; Sources'!$B$167:$J$179,0,1+2)),IF(Inputs!$C$77="E",SUMPRODUCT(($D24*Inputs!$C$8&gt;INDEX('Methodology &amp; Sources'!$B$167:$J$179,0,4))*($D24*Inputs!$C$8-INDEX('Methodology &amp; Sources'!$B$167:$J$179,0,4))*INDEX('Methodology &amp; Sources'!$B$167:$J$179,0,4+2)),SUMPRODUCT(($D24*Inputs!$C$8&gt;INDEX('Methodology &amp; Sources'!$B$155:$J$162,0,1))*($D24*Inputs!$C$8-INDEX('Methodology &amp; Sources'!$B$155:$J$162,0,1))*INDEX('Methodology &amp; Sources'!$B$155:$J$162,0,1+2))))))/Inputs!$C$8,IF($AN24="NY",0.117*$D24,IF($AN24="OH",0.0275*$D24,IF($AN24="OK",0.045*$D24,IF($AN24="OR",0.08*$D24,IF($AN24="WI",IF($AY24&lt;12760,0.0354,IF($AY24&lt;25520,0.0465,IF($AY24&lt;280950,0.053,0.0765)))*$D24,0))))))))))))))))))))</f>
      </c>
      <c r="BD24" s="7">
        <f>IF($B24="","",$BD23+$Q24+$R24+$S24)</f>
      </c>
      <c r="BE24" s="6">
        <f>IF($B24="",$BE23,$BE23+$BF24)</f>
      </c>
      <c r="BF24" s="6">
        <f>IF($B24="","",IF(AND(IF(YEAR(IF(Inputs!$C$7="Weekly",Inputs!$C$90+7*(($BE23+1)-1),IF(Inputs!$C$7="Biweekly",Inputs!$C$90+14*(($BE23+1)-1),IF(Inputs!$C$7="Semimonthly",DATE(YEAR(Inputs!$C$9),MONTH(Inputs!$C$9)+INT((($BE23+1)-1+'Rest of 2026'!$C$2)/2),MIN(DAY(Inputs!$C$9),DAY(EOMONTH(DATE(YEAR(Inputs!$C$9),MONTH(Inputs!$C$9)+INT((($BE23+1)-1+'Rest of 2026'!$C$2)/2),1),0))))+IF(MOD(($BE23+1)-1+'Rest of 2026'!$C$2,2)=1,15,0),EDATE(Inputs!$C$90,($BE23+1)-1)))))&lt;&gt;Inputs!$C$10,"",IF(Inputs!$C$7="Weekly",Inputs!$C$90+7*(($BE23+1)-1),IF(Inputs!$C$7="Biweekly",Inputs!$C$90+14*(($BE23+1)-1),IF(Inputs!$C$7="Semimonthly",DATE(YEAR(Inputs!$C$9),MONTH(Inputs!$C$9)+INT((($BE23+1)-1+'Rest of 2026'!$C$2)/2),MIN(DAY(Inputs!$C$9),DAY(EOMONTH(DATE(YEAR(Inputs!$C$9),MONTH(Inputs!$C$9)+INT((($BE23+1)-1+'Rest of 2026'!$C$2)/2),1),0))))+IF(MOD(($BE23+1)-1+'Rest of 2026'!$C$2,2)=1,15,0),EDATE(Inputs!$C$90,($BE23+1)-1)))))&lt;&gt;"",$B24=IF(YEAR(IF(Inputs!$C$7="Weekly",Inputs!$C$90+7*(($BE23+1)-1),IF(Inputs!$C$7="Biweekly",Inputs!$C$90+14*(($BE23+1)-1),IF(Inputs!$C$7="Semimonthly",DATE(YEAR(Inputs!$C$9),MONTH(Inputs!$C$9)+INT((($BE23+1)-1+'Rest of 2026'!$C$2)/2),MIN(DAY(Inputs!$C$9),DAY(EOMONTH(DATE(YEAR(Inputs!$C$9),MONTH(Inputs!$C$9)+INT((($BE23+1)-1+'Rest of 2026'!$C$2)/2),1),0))))+IF(MOD(($BE23+1)-1+'Rest of 2026'!$C$2,2)=1,15,0),EDATE(Inputs!$C$90,($BE23+1)-1)))))&lt;&gt;Inputs!$C$10,"",IF(Inputs!$C$7="Weekly",Inputs!$C$90+7*(($BE23+1)-1),IF(Inputs!$C$7="Biweekly",Inputs!$C$90+14*(($BE23+1)-1),IF(Inputs!$C$7="Semimonthly",DATE(YEAR(Inputs!$C$9),MONTH(Inputs!$C$9)+INT((($BE23+1)-1+'Rest of 2026'!$C$2)/2),MIN(DAY(Inputs!$C$9),DAY(EOMONTH(DATE(YEAR(Inputs!$C$9),MONTH(Inputs!$C$9)+INT((($BE23+1)-1+'Rest of 2026'!$C$2)/2),1),0))))+IF(MOD(($BE23+1)-1+'Rest of 2026'!$C$2,2)=1,15,0),EDATE(Inputs!$C$90,($BE23+1)-1)))))),1,0))</f>
      </c>
      <c r="BG24" s="7">
        <f>IF($B24="","",$BG23+$H24)</f>
      </c>
      <c r="BH24" s="7">
        <f>IF($B24="","",$BH23+$I24)</f>
      </c>
      <c r="BI24" s="7">
        <f>IF($B24="","",$BI23+$G24)</f>
      </c>
      <c r="BJ24" s="7">
        <f>IF($B24="","",IFERROR(LOOKUP(2,1/((((Events!$C$6:$C$17="Deduction start"))*(Events!$D$6:$D$17="Health FSA"))*(Events!$B$6:$B$17&lt;=$B24)*(Events!$B$6:$B$17&lt;&gt;"")),Events!$E$6:$E$17),Inputs!$D$38))</f>
      </c>
      <c r="BK24" s="7">
        <f>IF($B24="","",IFERROR(LOOKUP(2,1/((((Events!$C$6:$C$17="Deduction start"))*(Events!$D$6:$D$17="Dependent-care FSA"))*(Events!$B$6:$B$17&lt;=$B24)*(Events!$B$6:$B$17&lt;&gt;"")),Events!$E$6:$E$17),Inputs!$D$39))</f>
      </c>
      <c r="BL24" s="7">
        <f>IF($B24="","",IFERROR(LOOKUP(2,1/((((Events!$C$6:$C$17="Deduction start")+(Events!$C$6:$C$17="Deduction stop"))*(Events!$D$6:$D$17="HSA"))*(Events!$B$6:$B$17&lt;=$B24)*(Events!$B$6:$B$17&lt;&gt;"")),Events!$I$6:$I$17),Inputs!$D$35))</f>
      </c>
      <c r="BM24" s="7">
        <f>IF($B24="","",IFERROR(LOOKUP(2,1/((((Events!$C$6:$C$17="Deduction start")+(Events!$C$6:$C$17="Deduction stop"))*(Events!$D$6:$D$17="Premiums"))*(Events!$B$6:$B$17&lt;=$B24)*(Events!$B$6:$B$17&lt;&gt;"")),Events!$I$6:$I$17),Inputs!$D$40+Inputs!$D$41+Inputs!$D$42))</f>
      </c>
      <c r="BN24" s="7">
        <f>IF($B24="","",IFERROR(LOOKUP(2,1/((((Events!$C$6:$C$17="Deduction start")+(Events!$C$6:$C$17="Deduction stop"))*(Events!$D$6:$D$17="Commuter"))*(Events!$B$6:$B$17&lt;=$B24)*(Events!$B$6:$B$17&lt;&gt;"")),Events!$I$6:$I$17),Inputs!$D$43))</f>
      </c>
      <c r="BO24" s="7">
        <f>IF($B24="","",IFERROR(LOOKUP(2,1/((((Events!$C$6:$C$17="Deduction start")+(Events!$C$6:$C$17="Deduction stop"))*(Events!$D$6:$D$17="Other pre-tax"))*(Events!$B$6:$B$17&lt;=$B24)*(Events!$B$6:$B$17&lt;&gt;"")),Events!$I$6:$I$17),Inputs!$D$44))</f>
      </c>
      <c r="BP24" s="7">
        <f>IF($B24="","",IFERROR(LOOKUP(2,1/((((Events!$C$6:$C$17="Deduction start")+(Events!$C$6:$C$17="Deduction stop"))*(Events!$D$6:$D$17="Other post-tax"))*(Events!$B$6:$B$17&lt;=$B24)*(Events!$B$6:$B$17&lt;&gt;"")),Events!$I$6:$I$17),Inputs!$D$45))</f>
      </c>
      <c r="BQ24" s="6">
        <f>IF($B24="","",IFERROR(LOOKUP(2,1/((((Events!$C$6:$C$17="Deduction start")+(Events!$C$6:$C$17="Deduction stop"))*(Events!$D$6:$D$17="Health FSA"))*(Events!$B$6:$B$17&lt;=$B24)*(Events!$B$6:$B$17&lt;&gt;"")),Events!$J$6:$J$17),0))</f>
      </c>
      <c r="BR24" s="6">
        <f>IF($B24="","",IFERROR(LOOKUP(2,1/((((Events!$C$6:$C$17="Deduction start")+(Events!$C$6:$C$17="Deduction stop"))*(Events!$D$6:$D$17="Dependent-care FSA"))*(Events!$B$6:$B$17&lt;=$B24)*(Events!$B$6:$B$17&lt;&gt;"")),Events!$J$6:$J$17),0))</f>
      </c>
      <c r="BS24" s="6">
        <f>IF($B24="","",IF(SUMPRODUCT((Events!$C$6:$C$17="Deduction start")*(Events!$B$6:$B$17&lt;=$B24)*(Events!$B$6:$B$17&lt;&gt;"")*(Events!$D$6:$D$17="Health FSA"))&gt;0,1,0))</f>
      </c>
      <c r="BT24" s="6">
        <f>IF($B24="","",IF(SUMPRODUCT((Events!$C$6:$C$17="Deduction start")*(Events!$B$6:$B$17&lt;=$B24)*(Events!$B$6:$B$17&lt;&gt;"")*(Events!$D$6:$D$17="Dependent-care FSA"))&gt;0,1,0))</f>
      </c>
      <c r="BU24" s="24">
        <f>IF($B24="","",IF(Inputs!$C$13,SUMPRODUCT(($AH24&gt;=INDEX('Methodology &amp; Sources'!$B$29:$J$36,0,IF(Inputs!$C$12="MFJ",1,IF(Inputs!$C$12="HoH",7,4))))*INDEX('Methodology &amp; Sources'!$B$29:$J$36,0,IF(Inputs!$C$12="MFJ",1,IF(Inputs!$C$12="HoH",7,4))+2)),SUMPRODUCT(($AH24&gt;=INDEX('Methodology &amp; Sources'!$B$19:$J$26,0,IF(Inputs!$C$12="MFJ",1,IF(Inputs!$C$12="HoH",7,4))))*INDEX('Methodology &amp; Sources'!$B$19:$J$26,0,IF(Inputs!$C$12="MFJ",1,IF(Inputs!$C$12="HoH",7,4))+2))))</f>
      </c>
      <c r="BV24" s="24">
        <f>IF($B24="","",IF($BZ24&lt;&gt;"",$BZ24,IF($CA24&lt;&gt;"",$CA24,IF($CB24&lt;&gt;"",$CB24,IF($CC24&lt;&gt;"",$CC24,0)))))</f>
      </c>
      <c r="BW24" s="7">
        <f>IF($B24="","",IF($AN24="MD",IF(OR($AU24="Married",$AU24="Head of household"),SUMPRODUCT(($AZ24&gt;INDEX('Methodology &amp; Sources'!$B$114:$J$120,0,1))*($AZ24-INDEX('Methodology &amp; Sources'!$B$114:$J$120,0,1))*INDEX('Methodology &amp; Sources'!$B$114:$J$120,0,1+2)),SUMPRODUCT(($AZ24&gt;INDEX('Methodology &amp; Sources'!$B$103:$J$109,0,7))*($AZ24-INDEX('Methodology &amp; Sources'!$B$103:$J$109,0,7))*INDEX('Methodology &amp; Sources'!$B$103:$J$109,0,7+2))),IF($AN24="MO",SUMPRODUCT(($AZ24&gt;INDEX('Methodology &amp; Sources'!$B$125:$J$132,0,1))*($AZ24-INDEX('Methodology &amp; Sources'!$B$125:$J$132,0,1))*INDEX('Methodology &amp; Sources'!$B$125:$J$132,0,1+2)),IF($AN24="MT",IF($AU24="Head of household",SUMPRODUCT(($AZ24&gt;INDEX('Methodology &amp; Sources'!$B$137:$J$139,0,1))*($AZ24-INDEX('Methodology &amp; Sources'!$B$137:$J$139,0,1))*INDEX('Methodology &amp; Sources'!$B$137:$J$139,0,1+2)),IF($AU24="Married",SUMPRODUCT(($AZ24&gt;INDEX('Methodology &amp; Sources'!$B$125:$J$132,0,7))*($AZ24-INDEX('Methodology &amp; Sources'!$B$125:$J$132,0,7))*INDEX('Methodology &amp; Sources'!$B$125:$J$132,0,7+2)),SUMPRODUCT(($AZ24&gt;INDEX('Methodology &amp; Sources'!$B$125:$J$132,0,4))*($AZ24-INDEX('Methodology &amp; Sources'!$B$125:$J$132,0,4))*INDEX('Methodology &amp; Sources'!$B$125:$J$132,0,4+2)))),IF($AN24="ND",IF($AU24="Head of household",SUMPRODUCT(($AZ24&gt;INDEX('Methodology &amp; Sources'!$B$144:$J$150,0,1))*($AZ24-INDEX('Methodology &amp; Sources'!$B$144:$J$150,0,1))*INDEX('Methodology &amp; Sources'!$B$144:$J$150,0,1+2)),IF($AU24="Married",SUMPRODUCT(($AZ24&gt;INDEX('Methodology &amp; Sources'!$B$137:$J$139,0,7))*($AZ24-INDEX('Methodology &amp; Sources'!$B$137:$J$139,0,7))*INDEX('Methodology &amp; Sources'!$B$137:$J$139,0,7+2)),SUMPRODUCT(($AZ24&gt;INDEX('Methodology &amp; Sources'!$B$137:$J$139,0,4))*($AZ24-INDEX('Methodology &amp; Sources'!$B$137:$J$139,0,4))*INDEX('Methodology &amp; Sources'!$B$137:$J$139,0,4+2)))),IF($AN24="NJ",IF(Inputs!$C$77="B",SUMPRODUCT(($AZ24&gt;INDEX('Methodology &amp; Sources'!$B$155:$J$162,0,4))*($AZ24-INDEX('Methodology &amp; Sources'!$B$155:$J$162,0,4))*INDEX('Methodology &amp; Sources'!$B$155:$J$162,0,4+2)),IF(Inputs!$C$77="C",SUMPRODUCT(($AZ24&gt;INDEX('Methodology &amp; Sources'!$B$155:$J$162,0,7))*($AZ24-INDEX('Methodology &amp; Sources'!$B$155:$J$162,0,7))*INDEX('Methodology &amp; Sources'!$B$155:$J$162,0,7+2)),IF(Inputs!$C$77="D",SUMPRODUCT(($AZ24&gt;INDEX('Methodology &amp; Sources'!$B$167:$J$179,0,1))*($AZ24-INDEX('Methodology &amp; Sources'!$B$167:$J$179,0,1))*INDEX('Methodology &amp; Sources'!$B$167:$J$179,0,1+2)),IF(Inputs!$C$77="E",SUMPRODUCT(($AZ24&gt;INDEX('Methodology &amp; Sources'!$B$167:$J$179,0,4))*($AZ24-INDEX('Methodology &amp; Sources'!$B$167:$J$179,0,4))*INDEX('Methodology &amp; Sources'!$B$167:$J$179,0,4+2)),SUMPRODUCT(($AZ24&gt;INDEX('Methodology &amp; Sources'!$B$155:$J$162,0,1))*($AZ24-INDEX('Methodology &amp; Sources'!$B$155:$J$162,0,1))*INDEX('Methodology &amp; Sources'!$B$155:$J$162,0,1+2)))))),IF($AN24="NY",IF($AU24="Married",IF($AZ24&gt;=2155350,$AZ24*IF($AZ24&gt;25000000,0.117,IF($AZ24&gt;5000000,0.111,0.1045)),SUMPRODUCT(($AZ24&gt;INDEX('Methodology &amp; Sources'!$B$184:$J$198,0,1))*($AZ24-INDEX('Methodology &amp; Sources'!$B$184:$J$198,0,1))*INDEX('Methodology &amp; Sources'!$B$184:$J$198,0,1+2))),IF($AZ24&gt;=1077550,$AZ24*IF($AZ24&gt;25000000,0.117,IF($AZ24&gt;5000000,0.111,0.1045)),SUMPRODUCT(($AZ24&gt;INDEX('Methodology &amp; Sources'!$B$167:$J$179,0,7))*($AZ24-INDEX('Methodology &amp; Sources'!$B$167:$J$179,0,7))*INDEX('Methodology &amp; Sources'!$B$167:$J$179,0,7+2)))),"")))))))</f>
      </c>
      <c r="BX24" s="7">
        <f>IF($B24="","",IF($AN24="AL",IF(OR($AU24="Married",$AU24="Head of household"),SUMPRODUCT(($AZ24&gt;INDEX('Methodology &amp; Sources'!$B$82:$J$86,0,4))*($AZ24-INDEX('Methodology &amp; Sources'!$B$82:$J$86,0,4))*INDEX('Methodology &amp; Sources'!$B$82:$J$86,0,4+2)),SUMPRODUCT(($AZ24&gt;INDEX('Methodology &amp; Sources'!$B$82:$J$86,0,1))*($AZ24-INDEX('Methodology &amp; Sources'!$B$82:$J$86,0,1))*INDEX('Methodology &amp; Sources'!$B$82:$J$86,0,1+2))),IF($AN24="KS",IF($AU24="Married",SUMPRODUCT(($AZ24&gt;INDEX('Methodology &amp; Sources'!$B$103:$J$109,0,4))*($AZ24-INDEX('Methodology &amp; Sources'!$B$103:$J$109,0,4))*INDEX('Methodology &amp; Sources'!$B$103:$J$109,0,4+2)),SUMPRODUCT(($AZ24&gt;INDEX('Methodology &amp; Sources'!$B$103:$J$109,0,1))*($AZ24-INDEX('Methodology &amp; Sources'!$B$103:$J$109,0,1))*INDEX('Methodology &amp; Sources'!$B$103:$J$109,0,1+2))),IF($AN24="MN",IF($AU24="Married",SUMPRODUCT(($AZ24&gt;INDEX('Methodology &amp; Sources'!$B$114:$J$120,0,7))*($AZ24-INDEX('Methodology &amp; Sources'!$B$114:$J$120,0,7))*INDEX('Methodology &amp; Sources'!$B$114:$J$120,0,7+2)),SUMPRODUCT(($AZ24&gt;INDEX('Methodology &amp; Sources'!$B$114:$J$120,0,4))*($AZ24-INDEX('Methodology &amp; Sources'!$B$114:$J$120,0,4))*INDEX('Methodology &amp; Sources'!$B$114:$J$120,0,4+2))),IF($AN24="NE",MAX(IF($AU24="Married",SUMPRODUCT(($AZ24&gt;INDEX('Methodology &amp; Sources'!$B$144:$J$150,0,7))*($AZ24-INDEX('Methodology &amp; Sources'!$B$144:$J$150,0,7))*INDEX('Methodology &amp; Sources'!$B$144:$J$150,0,7+2)),SUMPRODUCT(($AZ24&gt;INDEX('Methodology &amp; Sources'!$B$144:$J$150,0,4))*($AZ24-INDEX('Methodology &amp; Sources'!$B$144:$J$150,0,4))*INDEX('Methodology &amp; Sources'!$B$144:$J$150,0,4+2))),0.015*$AZ24),IF($AN24="OH",IF($B24&gt;=DATE(2027,8,1),SUMPRODUCT(($AZ24&gt;INDEX('Methodology &amp; Sources'!$B$203:$J$206,0,1))*($AZ24-INDEX('Methodology &amp; Sources'!$B$203:$J$206,0,1))*INDEX('Methodology &amp; Sources'!$B$203:$J$206,0,1+2)),SUMPRODUCT(($AZ24&gt;INDEX('Methodology &amp; Sources'!$B$184:$J$198,0,7))*($AZ24-INDEX('Methodology &amp; Sources'!$B$184:$J$198,0,7))*INDEX('Methodology &amp; Sources'!$B$184:$J$198,0,7+2))),IF($AN24="OK",IF($AU24="Married",SUMPRODUCT(($AZ24&gt;INDEX('Methodology &amp; Sources'!$B$203:$J$206,0,7))*($AZ24-INDEX('Methodology &amp; Sources'!$B$203:$J$206,0,7))*INDEX('Methodology &amp; Sources'!$B$203:$J$206,0,7+2)),SUMPRODUCT(($AZ24&gt;INDEX('Methodology &amp; Sources'!$B$203:$J$206,0,4))*($AZ24-INDEX('Methodology &amp; Sources'!$B$203:$J$206,0,4))*INDEX('Methodology &amp; Sources'!$B$203:$J$206,0,4+2))),IF($AN24="RI",SUMPRODUCT(($AZ24&gt;INDEX('Methodology &amp; Sources'!$B$211:$J$214,0,7))*($AZ24-INDEX('Methodology &amp; Sources'!$B$211:$J$214,0,7))*INDEX('Methodology &amp; Sources'!$B$211:$J$214,0,7+2)),IF($AN24="VT",IF($AU24="Married",SUMPRODUCT(($AZ24&gt;INDEX('Methodology &amp; Sources'!$B$228:$J$232,0,1))*($AZ24-INDEX('Methodology &amp; Sources'!$B$228:$J$232,0,1))*INDEX('Methodology &amp; Sources'!$B$228:$J$232,0,1+2)),SUMPRODUCT(($AZ24&gt;INDEX('Methodology &amp; Sources'!$B$219:$J$223,0,7))*($AZ24-INDEX('Methodology &amp; Sources'!$B$219:$J$223,0,7))*INDEX('Methodology &amp; Sources'!$B$219:$J$223,0,7+2))),IF($AN24="WV",IF($AU24="Married",SUMPRODUCT(($AZ24&gt;INDEX('Methodology &amp; Sources'!$B$237:$J$241,0,7))*($AZ24-INDEX('Methodology &amp; Sources'!$B$237:$J$241,0,7))*INDEX('Methodology &amp; Sources'!$B$237:$J$241,0,7+2)),SUMPRODUCT(($AZ24&gt;INDEX('Methodology &amp; Sources'!$B$228:$J$232,0,7))*($AZ24-INDEX('Methodology &amp; Sources'!$B$228:$J$232,0,7))*INDEX('Methodology &amp; Sources'!$B$228:$J$232,0,7+2))),""))))))))))</f>
      </c>
      <c r="BY24" s="7">
        <f>IF($B24="","",IF($AN24="AR",SUMPRODUCT(($AZ24&gt;INDEX('Methodology &amp; Sources'!$B$82:$J$86,0,7))*($AZ24-INDEX('Methodology &amp; Sources'!$B$82:$J$86,0,7))*INDEX('Methodology &amp; Sources'!$B$82:$J$86,0,7+2)),IF($AN24="DE",SUMPRODUCT(($AZ24&gt;INDEX('Methodology &amp; Sources'!$B$91:$J$98,0,1))*($AZ24-INDEX('Methodology &amp; Sources'!$B$91:$J$98,0,1))*INDEX('Methodology &amp; Sources'!$B$91:$J$98,0,1+2)),IF($AN24="HI",IF($AU24="Married",SUMPRODUCT(($AZ24&gt;INDEX('Methodology &amp; Sources'!$B$91:$J$98,0,7))*($AZ24-INDEX('Methodology &amp; Sources'!$B$91:$J$98,0,7))*INDEX('Methodology &amp; Sources'!$B$91:$J$98,0,7+2)),SUMPRODUCT(($AZ24&gt;INDEX('Methodology &amp; Sources'!$B$91:$J$98,0,4))*($AZ24-INDEX('Methodology &amp; Sources'!$B$91:$J$98,0,4))*INDEX('Methodology &amp; Sources'!$B$91:$J$98,0,4+2))),IF($AN24="SC",SUMPRODUCT(($AZ24&gt;INDEX('Methodology &amp; Sources'!$B$219:$J$223,0,1))*($AZ24-INDEX('Methodology &amp; Sources'!$B$219:$J$223,0,1))*INDEX('Methodology &amp; Sources'!$B$219:$J$223,0,1+2)),IF($AN24="VA",SUMPRODUCT(($AZ24&gt;INDEX('Methodology &amp; Sources'!$B$219:$J$223,0,4))*($AZ24-INDEX('Methodology &amp; Sources'!$B$219:$J$223,0,4))*INDEX('Methodology &amp; Sources'!$B$219:$J$223,0,4+2)),IF($AN24="WI",SUMPRODUCT(($AZ24&gt;INDEX('Methodology &amp; Sources'!$B$228:$J$232,0,4))*($AZ24-INDEX('Methodology &amp; Sources'!$B$228:$J$232,0,4))*INDEX('Methodology &amp; Sources'!$B$228:$J$232,0,4+2)),"")))))))</f>
      </c>
      <c r="BZ24" s="24">
        <f>IF($B24="","",IF($AN24="NJ",IF(Inputs!$C$77="B",SUMPRODUCT(($AZ24&gt;=INDEX('Methodology &amp; Sources'!$B$155:$J$162,0,4))*INDEX('Methodology &amp; Sources'!$B$155:$J$162,0,4+2)),IF(Inputs!$C$77="C",SUMPRODUCT(($AZ24&gt;=INDEX('Methodology &amp; Sources'!$B$155:$J$162,0,7))*INDEX('Methodology &amp; Sources'!$B$155:$J$162,0,7+2)),IF(Inputs!$C$77="D",SUMPRODUCT(($AZ24&gt;=INDEX('Methodology &amp; Sources'!$B$167:$J$179,0,1))*INDEX('Methodology &amp; Sources'!$B$167:$J$179,0,1+2)),IF(Inputs!$C$77="E",SUMPRODUCT(($AZ24&gt;=INDEX('Methodology &amp; Sources'!$B$167:$J$179,0,4))*INDEX('Methodology &amp; Sources'!$B$167:$J$179,0,4+2)),SUMPRODUCT(($AZ24&gt;=INDEX('Methodology &amp; Sources'!$B$155:$J$162,0,1))*INDEX('Methodology &amp; Sources'!$B$155:$J$162,0,1+2)))))),IF($AN24="OR",IF(OR($AU24="Married",AND($AU24="Single",$AS24&gt;=3)),SUMPRODUCT((MAX(0,$AY24-MIN(($P24-'Methodology &amp; Sources'!$C$10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Sources'!$B$211:$J$214,0,4))*INDEX('Methodology &amp; Sources'!$B$211:$J$214,0,4+2)),SUMPRODUCT((MAX(0,$AY24-MIN(($P24-'Methodology &amp; Sources'!$C$10*$D24)*Inputs!$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Sources'!$B$211:$J$214,0,1))*INDEX('Methodology &amp; Sources'!$B$211:$J$214,0,1+2)))*IF(($P24-'Methodology &amp; Sources'!$C$10*$D24)*Inputs!$C$8&gt;=IF(OR($AU24="Married",AND($AU24="Single",$AS24&gt;=3)),IF($AY24&lt;250000,8750,IF($AY24&lt;260000,7000,IF($AY24&lt;270000,5250,IF($AY24&lt;280000,3500,IF($AY24&lt;290000,1750,0))))),IF($AY24&lt;125000,8750,IF($AY24&lt;130000,7000,IF($AY24&lt;135000,5250,IF($AY24&lt;140000,3500,IF($AY24&lt;145000,1750,0)))))),1,1-IF(Inputs!$C$13,SUMPRODUCT(($AH24&gt;=INDEX('Methodology &amp; Sources'!$B$29:$J$36,0,IF(Inputs!$C$12="MFJ",1,IF(Inputs!$C$12="HoH",7,4))))*INDEX('Methodology &amp; Sources'!$B$29:$J$36,0,IF(Inputs!$C$12="MFJ",1,IF(Inputs!$C$12="HoH",7,4))+2)),SUMPRODUCT(($AH24&gt;=INDEX('Methodology &amp; Sources'!$B$19:$J$26,0,IF(Inputs!$C$12="MFJ",1,IF(Inputs!$C$12="HoH",7,4))))*INDEX('Methodology &amp; Sources'!$B$19:$J$26,0,IF(Inputs!$C$12="MFJ",1,IF(Inputs!$C$12="HoH",7,4))+2)))),IF($AN24="MI",IF($AY24&gt;5900*$AS24,0.0425,0),""))))</f>
      </c>
      <c r="CA24" s="24">
        <f>IF($B24="","",IF($AN24="AL",IF(OR($AU24="Married",$AU24="Head of household"),SUMPRODUCT(($AZ24&gt;=INDEX('Methodology &amp; Sources'!$B$82:$J$86,0,4))*INDEX('Methodology &amp; Sources'!$B$82:$J$86,0,4+2)),SUMPRODUCT(($AZ24&gt;=INDEX('Methodology &amp; Sources'!$B$82:$J$86,0,1))*INDEX('Methodology &amp; Sources'!$B$82:$J$86,0,1+2)))*(1-IF(Inputs!$C$13,SUMPRODUCT(($AH24&gt;=INDEX('Methodology &amp; Sources'!$B$29:$J$36,0,IF(Inputs!$C$12="MFJ",1,IF(Inputs!$C$12="HoH",7,4))))*INDEX('Methodology &amp; Sources'!$B$29:$J$36,0,IF(Inputs!$C$12="MFJ",1,IF(Inputs!$C$12="HoH",7,4))+2)),SUMPRODUCT(($AH24&gt;=INDEX('Methodology &amp; Sources'!$B$19:$J$26,0,IF(Inputs!$C$12="MFJ",1,IF(Inputs!$C$12="HoH",7,4))))*INDEX('Methodology &amp; Sources'!$B$19:$J$26,0,IF(Inputs!$C$12="MFJ",1,IF(Inputs!$C$12="HoH",7,4))+2)))),IF($AN24="KS",IF($AU24="Married",SUMPRODUCT(($AZ24&gt;=INDEX('Methodology &amp; Sources'!$B$103:$J$109,0,4))*INDEX('Methodology &amp; Sources'!$B$103:$J$109,0,4+2)),SUMPRODUCT(($AZ24&gt;=INDEX('Methodology &amp; Sources'!$B$103:$J$109,0,1))*INDEX('Methodology &amp; Sources'!$B$103:$J$109,0,1+2))),IF($AN24="MD",IF(OR($AU24="Married",$AU24="Head of household"),SUMPRODUCT(($AZ24&gt;=INDEX('Methodology &amp; Sources'!$B$114:$J$120,0,1))*INDEX('Methodology &amp; Sources'!$B$114:$J$120,0,1+2)),SUMPRODUCT(($AZ24&gt;=INDEX('Methodology &amp; Sources'!$B$103:$J$109,0,7))*INDEX('Methodology &amp; Sources'!$B$103:$J$109,0,7+2)))+Inputs!$C$74,IF($AN24="MT",IF($AU24="Head of household",SUMPRODUCT(($AZ24&gt;=INDEX('Methodology &amp; Sources'!$B$137:$J$139,0,1))*INDEX('Methodology &amp; Sources'!$B$137:$J$139,0,1+2)),IF($AU24="Married",SUMPRODUCT(($AZ24&gt;=INDEX('Methodology &amp; Sources'!$B$125:$J$132,0,7))*INDEX('Methodology &amp; Sources'!$B$125:$J$132,0,7+2)),SUMPRODUCT(($AZ24&gt;=INDEX('Methodology &amp; Sources'!$B$125:$J$132,0,4))*INDEX('Methodology &amp; Sources'!$B$125:$J$132,0,4+2)))),IF($AN24="ND",IF($AU24="Head of household",SUMPRODUCT(($AZ24&gt;=INDEX('Methodology &amp; Sources'!$B$144:$J$150,0,1))*INDEX('Methodology &amp; Sources'!$B$144:$J$150,0,1+2)),IF($AU24="Married",SUMPRODUCT(($AZ24&gt;=INDEX('Methodology &amp; Sources'!$B$137:$J$139,0,7))*INDEX('Methodology &amp; Sources'!$B$137:$J$139,0,7+2)),SUMPRODUCT(($AZ24&gt;=INDEX('Methodology &amp; Sources'!$B$137:$J$139,0,4))*INDEX('Methodology &amp; Sources'!$B$137:$J$139,0,4+2)))),IF($AN24="NY",IF($AU24="Married",IF($AZ24&gt;=2155350,IF($AZ24&gt;25000000,0.117,IF($AZ24&gt;5000000,0.111,0.1045)),SUMPRODUCT(($AZ24&gt;=INDEX('Methodology &amp; Sources'!$B$184:$J$198,0,1))*INDEX('Methodology &amp; Sources'!$B$184:$J$198,0,1+2))),IF($AZ24&gt;=1077550,IF($AZ24&gt;25000000,0.117,IF($AZ24&gt;5000000,0.111,0.1045)),SUMPRODUCT(($AZ24&gt;=INDEX('Methodology &amp; Sources'!$B$167:$J$179,0,7))*INDEX('Methodology &amp; Sources'!$B$167:$J$179,0,7+2)))),"")))))))</f>
      </c>
      <c r="CB24" s="24">
        <f>IF($B24="","",IF($AN24="CA",SUMPRODUCT(($AJ24&gt;=INDEX('Methodology &amp; Sources'!$B$39:$J$48,0,IF($AU24="Married",4,IF($AU24="Head of household",7,1))))*INDEX('Methodology &amp; Sources'!$B$39:$J$48,0,IF($AU24="Married",4,IF($AU24="Head of household",7,1))+2)),IF($AN24="HI",IF($AU24="Married",SUMPRODUCT(($AZ24&gt;=INDEX('Methodology &amp; Sources'!$B$91:$J$98,0,7))*INDEX('Methodology &amp; Sources'!$B$91:$J$98,0,7+2)),SUMPRODUCT(($AZ24&gt;=INDEX('Methodology &amp; Sources'!$B$91:$J$98,0,4))*INDEX('Methodology &amp; Sources'!$B$91:$J$98,0,4+2))),IF($AN24="MN",IF($AU24="Married",SUMPRODUCT(($AZ24&gt;=INDEX('Methodology &amp; Sources'!$B$114:$J$120,0,7))*INDEX('Methodology &amp; Sources'!$B$114:$J$120,0,7+2)),SUMPRODUCT(($AZ24&gt;=INDEX('Methodology &amp; Sources'!$B$114:$J$120,0,4))*INDEX('Methodology &amp; Sources'!$B$114:$J$120,0,4+2))),IF($AN24="MO",SUMPRODUCT(($AZ24&gt;=INDEX('Methodology &amp; Sources'!$B$125:$J$132,0,1))*INDEX('Methodology &amp; Sources'!$B$125:$J$132,0,1+2)),IF($AN24="NE",MAX(IF($AU24="Married",SUMPRODUCT(($AZ24&gt;=INDEX('Methodology &amp; Sources'!$B$144:$J$150,0,7))*INDEX('Methodology &amp; Sources'!$B$144:$J$150,0,7+2)),SUMPRODUCT(($AZ24&gt;=INDEX('Methodology &amp; Sources'!$B$144:$J$150,0,4))*INDEX('Methodology &amp; Sources'!$B$144:$J$150,0,4+2))),0.015),IF($AN24="OH",IF($B24&gt;=DATE(2027,8,1),SUMPRODUCT(($AZ24&gt;=INDEX('Methodology &amp; Sources'!$B$203:$J$206,0,1))*INDEX('Methodology &amp; Sources'!$B$203:$J$206,0,1+2)),SUMPRODUCT(($AZ24&gt;=INDEX('Methodology &amp; Sources'!$B$184:$J$198,0,7))*INDEX('Methodology &amp; Sources'!$B$184:$J$198,0,7+2))),IF($AN24="OK",IF($AU24="Married",SUMPRODUCT(($AZ24&gt;=INDEX('Methodology &amp; Sources'!$B$203:$J$206,0,7))*INDEX('Methodology &amp; Sources'!$B$203:$J$206,0,7+2)),SUMPRODUCT(($AZ24&gt;=INDEX('Methodology &amp; Sources'!$B$203:$J$206,0,4))*INDEX('Methodology &amp; Sources'!$B$203:$J$206,0,4+2))),IF($AN24="RI",SUMPRODUCT(($AZ24&gt;=INDEX('Methodology &amp; Sources'!$B$211:$J$214,0,7))*INDEX('Methodology &amp; Sources'!$B$211:$J$214,0,7+2)),IF($AN24="SC",SUMPRODUCT(($AZ24&gt;=INDEX('Methodology &amp; Sources'!$B$219:$J$223,0,1))*INDEX('Methodology &amp; Sources'!$B$219:$J$223,0,1+2)),IF($AN24="VT",IF($AU24="Married",SUMPRODUCT(($AZ24&gt;=INDEX('Methodology &amp; Sources'!$B$228:$J$232,0,1))*INDEX('Methodology &amp; Sources'!$B$228:$J$232,0,1+2)),SUMPRODUCT(($AZ24&gt;=INDEX('Methodology &amp; Sources'!$B$219:$J$223,0,7))*INDEX('Methodology &amp; Sources'!$B$219:$J$223,0,7+2))),IF($AN24="WV",IF($AU24="Married",SUMPRODUCT(($AZ24&gt;=INDEX('Methodology &amp; Sources'!$B$237:$J$241,0,7))*INDEX('Methodology &amp; Sources'!$B$237:$J$241,0,7+2)),SUMPRODUCT(($AZ24&gt;=INDEX('Methodology &amp; Sources'!$B$228:$J$232,0,7))*INDEX('Methodology &amp; Sources'!$B$228:$J$232,0,7+2))),IF($AN24="IN",(0.0295+Inputs!$C$76),"")))))))))))))</f>
      </c>
      <c r="CC24" s="24">
        <f>IF($B24="","",IF($AN24="AR",SUMPRODUCT(($AZ24&gt;=INDEX('Methodology &amp; Sources'!$B$82:$J$86,0,7))*INDEX('Methodology &amp; Sources'!$B$82:$J$86,0,7+2)),IF($AN24="DE",SUMPRODUCT(($AZ24&gt;=INDEX('Methodology &amp; Sources'!$B$91:$J$98,0,1))*INDEX('Methodology &amp; Sources'!$B$91:$J$98,0,1+2)),IF($AN24="VA",SUMPRODUCT(($AZ24&gt;=INDEX('Methodology &amp; Sources'!$B$219:$J$223,0,4))*INDEX('Methodology &amp; Sources'!$B$219:$J$223,0,4+2)),IF($AN24="WI",SUMPRODUCT(($AZ24&gt;=INDEX('Methodology &amp; Sources'!$B$228:$J$232,0,4))*INDEX('Methodology &amp; Sources'!$B$228:$J$232,0,4+2)),IF($AN24="AZ",Inputs!$C$82,IF($AN24="CO",IF($AY24&gt;IF($AU24="Married",10000,5000),0.044,0),IF($AN24="IA",IF($AY24&gt;IF($AU24="Head of household",19500,IF($AU24="Married",26000,13000)),0.038,0),IF($AN24="ID",IF($AY24&gt;IF($AU24="Married",32000,16094),0.053,0),IF($AN24="IL",IF($AY24&gt;(2925*$AS24+1000*$AT24),0.0495,0),IF($AN24="KY",IF($AI24&gt;3360,0.035,0),IF($AN24="LA",0.0309,IF($AN24="MA",IF(MAX(0,$AY24-MIN(($BD23+$Q24+$R24+$S24),2000)-IF($AS24=0,0,IF($AS24=1,4400,1000*$AS24+3400)))&gt;=1107750,0.09,0.05),IF($AN24="MS",IF($AI24-IF($AU24="Head of household",3400,IF($AU24="Married",4600,2300))-Inputs!$C$85&gt;10000,0.04,0),IF($AN24="PA",0.0307,"")))))))))))))))</f>
      </c>
      <c r="CD24" s="21">
        <f>IF(YEAR(IF(Inputs!$C$7="Weekly",Inputs!$C$90+7*(($BE23+1)-1),IF(Inputs!$C$7="Biweekly",Inputs!$C$90+14*(($BE23+1)-1),IF(Inputs!$C$7="Semimonthly",DATE(YEAR(Inputs!$C$9),MONTH(Inputs!$C$9)+INT((($BE23+1)-1+'Rest of 2026'!$C$2)/2),MIN(DAY(Inputs!$C$9),DAY(EOMONTH(DATE(YEAR(Inputs!$C$9),MONTH(Inputs!$C$9)+INT((($BE23+1)-1+'Rest of 2026'!$C$2)/2),1),0))))+IF(MOD(($BE23+1)-1+'Rest of 2026'!$C$2,2)=1,15,0),EDATE(Inputs!$C$90,($BE23+1)-1)))))&lt;&gt;Inputs!$C$10,"",IF(Inputs!$C$7="Weekly",Inputs!$C$90+7*(($BE23+1)-1),IF(Inputs!$C$7="Biweekly",Inputs!$C$90+14*(($BE23+1)-1),IF(Inputs!$C$7="Semimonthly",DATE(YEAR(Inputs!$C$9),MONTH(Inputs!$C$9)+INT((($BE23+1)-1+'Rest of 2026'!$C$2)/2),MIN(DAY(Inputs!$C$9),DAY(EOMONTH(DATE(YEAR(Inputs!$C$9),MONTH(Inputs!$C$9)+INT((($BE23+1)-1+'Rest of 2026'!$C$2)/2),1),0))))+IF(MOD(($BE23+1)-1+'Rest of 2026'!$C$2,2)=1,15,0),EDATE(Inputs!$C$90,($BE23+1)-1)))))</f>
      </c>
      <c r="CE24" s="21">
        <f>IF(SUMPRODUCT(MIN(IF((Inputs!$C$58:$C$67&gt;MAX($B$6:$B23))*(Inputs!$C$58:$C$67&gt;=DATE(Inputs!$C$10,1,1))*(Inputs!$C$58:$C$67&lt;=DATE(Inputs!$C$10,12,31)),Inputs!$C$58:$C$67,999999)))=999999,"",SUMPRODUCT(MIN(IF((Inputs!$C$58:$C$67&gt;MAX($B$6:$B23))*(Inputs!$C$58:$C$67&gt;=DATE(Inputs!$C$10,1,1))*(Inputs!$C$58:$C$67&lt;=DATE(Inputs!$C$10,12,31)),Inputs!$C$58:$C$67,999999))))</f>
      </c>
    </row>
    <row r="25">
      <c r="A25" t="n">
        <v>20</v>
      </c>
      <c r="B25" s="21">
        <f>IF(AND($CD25="",$CE25=""),"",IF($CE25="",$CD25,IF($CD25="",$CE25,MIN($CD25,$CE25))))</f>
      </c>
      <c r="C25" s="7">
        <f>IF($B25="","",IF($BF25=0,0,IF(Inputs!$C$4="Annual salary",ROUND($AK25/IF(AND(Inputs!$C$88="Actual paydays",MONTH(Inputs!$C$90)=1),MAX(1,MAX($BE$6:$BE$68)),Inputs!$C$8),2),$AK25)))</f>
      </c>
      <c r="D25" s="7">
        <f>IF($B25="","",SUMIF(Inputs!$C$58:$C$67,$B25,Inputs!$D$58:$D$67))</f>
      </c>
      <c r="E25" s="7">
        <f>IF($B25="","",ROUND(MAX(0,MIN(IF($AL25="Percent",$AM25*($C25+$D25),$AM25),MAX(0,Inputs!$C$34-$AC24))),2))</f>
      </c>
      <c r="F25" s="7">
        <f>IF($B25="","",ROUND(MAX(0,MIN(IF(Inputs!$C$32="Percent",Inputs!$D$32*($C25+$D25),Inputs!$D$32),MAX(0,Inputs!$C$34-$AC24-$E25))),2))</f>
      </c>
      <c r="G25" s="7">
        <f>IF($B25="","",IF($BF25=0,0,ROUND(MAX(0,MIN($BL25,Inputs!$C$37-Inputs!$C$99-$BI24)),2)))</f>
      </c>
      <c r="H25" s="7">
        <f>IF($B25="","",IF(OR($BF25=0,$BQ25=1),0,ROUND(MAX(0,MIN(IF($BS25=1,ROUND(MAX(0,MIN($BJ25,'Methodology &amp; Sources'!$C$13)-$BG24)/MAX(1,MAX($BE$6:$BE$68)-($BE24)),2),ROUND(MIN($BJ25,'Methodology &amp; Sources'!$C$13)/Inputs!$C$8,2)),MIN($BJ25,'Methodology &amp; Sources'!$C$13)-$BG24)),2)))</f>
      </c>
      <c r="I25" s="7">
        <f>IF($B25="","",IF(OR($BF25=0,$BR25=1),0,ROUND(MAX(0,MIN(IF($BT25=1,ROUND(MAX(0,MIN($BK25,IF(Inputs!$C$12="MFJ",'Methodology &amp; Sources'!$C$14,'Methodology &amp; Sources'!$C$15))-$BH24)/MAX(1,MAX($BE$6:$BE$68)-($BE24)),2),ROUND(MIN($BK25,IF(Inputs!$C$12="MFJ",'Methodology &amp; Sources'!$C$14,'Methodology &amp; Sources'!$C$15))/Inputs!$C$8,2)),MIN($BK25,IF(Inputs!$C$12="MFJ",'Methodology &amp; Sources'!$C$14,'Methodology &amp; Sources'!$C$15))-$BH24)),2)))</f>
      </c>
      <c r="J25" s="7">
        <f>IF($B25="","",IF($BF25=0,0,$BM25))</f>
      </c>
      <c r="K25" s="7">
        <f>IF($B25="","",IF($BF25=0,0,$BN25+$BO25))</f>
      </c>
      <c r="L25" s="7">
        <f>IF($B25="","",IF($BF25=0,0,Inputs!$D$46))</f>
      </c>
      <c r="M25" s="7">
        <f>IF($B25="","",$C25+$D25+$L25-$E25-$G25-$H25-$I25-$J25-$K25)</f>
      </c>
      <c r="N25" s="7">
        <f>IF($B25="","",$C25+$D25+$L25-$G25-$H25-$I25-$J25-$K25)</f>
      </c>
      <c r="O25" s="7">
        <f>IF($B25="","",$C25+$D25+$L25-$E25-$H25-$I25-$J25-$K25-IF(OR($AN25="CA",$AN25="NJ"),0,$G25))</f>
      </c>
      <c r="P25" s="7">
        <f>IF($B25="","",IF(Inputs!$C$18,0,ROUND(MAX(0,IF(Inputs!$C$13,SUMPRODUCT(($AH25&gt;INDEX('Methodology &amp; Sources'!$B$29:$J$36,0,IF(Inputs!$C$12="MFJ",1,IF(Inputs!$C$12="HoH",7,4))))*($AH25-INDEX('Methodology &amp; Sources'!$B$29:$J$36,0,IF(Inputs!$C$12="MFJ",1,IF(Inputs!$C$12="HoH",7,4))))*INDEX('Methodology &amp; Sources'!$B$29:$J$36,0,IF(Inputs!$C$12="MFJ",1,IF(Inputs!$C$12="HoH",7,4))+2)),SUMPRODUCT(($AH25&gt;INDEX('Methodology &amp; Sources'!$B$19:$J$26,0,IF(Inputs!$C$12="MFJ",1,IF(Inputs!$C$12="HoH",7,4))))*($AH25-INDEX('Methodology &amp; Sources'!$B$19:$J$26,0,IF(Inputs!$C$12="MFJ",1,IF(Inputs!$C$12="HoH",7,4))))*INDEX('Methodology &amp; Sources'!$B$19:$J$26,0,IF(Inputs!$C$12="MFJ",1,IF(Inputs!$C$12="HoH",7,4))+2)))/Inputs!$C$8-$AO25/Inputs!$C$8)+$AR25+IF(Inputs!$C$89="Aggregate",MAX(0,IF(Inputs!$C$13,SUMPRODUCT((($AH25+$D25)&gt;INDEX('Methodology &amp; Sources'!$B$29:$J$36,0,IF(Inputs!$C$12="MFJ",1,IF(Inputs!$C$12="HoH",7,4))))*(($AH25+$D25)-INDEX('Methodology &amp; Sources'!$B$29:$J$36,0,IF(Inputs!$C$12="MFJ",1,IF(Inputs!$C$12="HoH",7,4))))*INDEX('Methodology &amp; Sources'!$B$29:$J$36,0,IF(Inputs!$C$12="MFJ",1,IF(Inputs!$C$12="HoH",7,4))+2)),SUMPRODUCT((($AH25+$D25)&gt;INDEX('Methodology &amp; Sources'!$B$19:$J$26,0,IF(Inputs!$C$12="MFJ",1,IF(Inputs!$C$12="HoH",7,4))))*(($AH25+$D25)-INDEX('Methodology &amp; Sources'!$B$19:$J$26,0,IF(Inputs!$C$12="MFJ",1,IF(Inputs!$C$12="HoH",7,4))))*INDEX('Methodology &amp; Sources'!$B$19:$J$26,0,IF(Inputs!$C$12="MFJ",1,IF(Inputs!$C$12="HoH",7,4))+2)))-IF(Inputs!$C$13,SUMPRODUCT(($AH25&gt;INDEX('Methodology &amp; Sources'!$B$29:$J$36,0,IF(Inputs!$C$12="MFJ",1,IF(Inputs!$C$12="HoH",7,4))))*($AH25-INDEX('Methodology &amp; Sources'!$B$29:$J$36,0,IF(Inputs!$C$12="MFJ",1,IF(Inputs!$C$12="HoH",7,4))))*INDEX('Methodology &amp; Sources'!$B$29:$J$36,0,IF(Inputs!$C$12="MFJ",1,IF(Inputs!$C$12="HoH",7,4))+2)),SUMPRODUCT(($AH25&gt;INDEX('Methodology &amp; Sources'!$B$19:$J$26,0,IF(Inputs!$C$12="MFJ",1,IF(Inputs!$C$12="HoH",7,4))))*($AH25-INDEX('Methodology &amp; Sources'!$B$19:$J$26,0,IF(Inputs!$C$12="MFJ",1,IF(Inputs!$C$12="HoH",7,4))))*INDEX('Methodology &amp; Sources'!$B$19:$J$26,0,IF(Inputs!$C$12="MFJ",1,IF(Inputs!$C$12="HoH",7,4))+2)))),'Methodology &amp; Sources'!$C$10*$D25),2)))</f>
      </c>
      <c r="Q25" s="7">
        <f>IF($B25="","",ROUND('Methodology &amp; Sources'!$C$4*MIN($N25,MAX(0,'Methodology &amp; Sources'!$C$3-($AX25+$AB24-$AW25))),2))</f>
      </c>
      <c r="R25" s="7">
        <f>IF($B25="","",ROUND('Methodology &amp; Sources'!$C$5*$N25,2))</f>
      </c>
      <c r="S25" s="7">
        <f>IF($B25="","",ROUND('Methodology &amp; Sources'!$C$6*MAX(0,MIN($N25,$AG24+$N25-'Methodology &amp; Sources'!$C$7)),2))</f>
      </c>
      <c r="T25" s="7">
        <f>IF($B25="","",IF(Inputs!$C$26,0,IF($AN25="CA",ROUND(IF($AI25&lt;=IF(($AS25+$AT25)&gt;=2,VLOOKUP($AN25,StateTables!$A$6:$AB$56,10,FALSE),VLOOKUP($AN25,StateTables!$A$6:$AB$56,9,FALSE)),0,MAX(0,SUMPRODUCT(($AJ25&gt;INDEX('Methodology &amp; Sources'!$B$39:$J$48,0,IF($AU25="Married",4,IF($AU25="Head of household",7,1))))*($AJ25-INDEX('Methodology &amp; Sources'!$B$39:$J$48,0,IF($AU25="Married",4,IF($AU25="Head of household",7,1))))*INDEX('Methodology &amp; Sources'!$B$39:$J$48,0,IF($AU25="Married",4,IF($AU25="Head of household",7,1))+2))-VLOOKUP($AN25,StateTables!$A$6:$AB$56,11,FALSE)*$AS25)/Inputs!$C$8)+Inputs!$C$25+VLOOKUP($AN25,StateTables!$A$6:$AB$56,13,FALSE)*$D25,2),IF(VLOOKUP($AN25,StateTables!$A$6:$AB$56,4,FALSE)="None",0,IF(ISNUMBER(SEARCH("MANUAL",VLOOKUP($AN25,StateTables!$A$6:$AB$56,5,FALSE))),Inputs!$C$28,ROUND(MAX(0,$BA25+$BB25)/Inputs!$C$8+Inputs!$C$25+$BC25,2))))))</f>
      </c>
      <c r="U25" s="7">
        <f>IF($B25="","",IF(VLOOKUP($AN25,StateTables!$A$6:$AB$56,24,FALSE)="flatq",IF(OR(MONTH($B25)=1,MONTH($B25)=4,MONTH($B25)=7,MONTH($B25)=10),VLOOKUP($AN25,StateTables!$A$6:$AB$56,25,FALSE),0),IF(VLOOKUP($AN25,StateTables!$A$6:$AB$56,24,FALSE)="dbl",MIN(ROUND(0.005*$N25,2),ROUND(0.6*52/Inputs!$C$8,2)),IF(OR(VLOOKUP($AN25,StateTables!$A$6:$AB$56,15,FALSE)="",VLOOKUP($AN25,StateTables!$A$6:$AB$56,15,FALSE)=0),0,ROUND(VLOOKUP($AN25,StateTables!$A$6:$AB$56,15,FALSE)*IF(OR(VLOOKUP($AN25,StateTables!$A$6:$AB$56,16,FALSE)="",VLOOKUP($AN25,StateTables!$A$6:$AB$56,16,FALSE)=0),$N25,MIN($N25,MAX(0,VLOOKUP($AN25,StateTables!$A$6:$AB$56,16,FALSE)-($AX25+$AB24-$AW25)))),2))))+IF(VLOOKUP($AN25,StateTables!$A$6:$AB$56,27,FALSE)="flatq",IF(OR(MONTH($B25)=1,MONTH($B25)=4,MONTH($B25)=7,MONTH($B25)=10),VLOOKUP($AN25,StateTables!$A$6:$AB$56,28,FALSE),0),IF(VLOOKUP($AN25,StateTables!$A$6:$AB$56,27,FALSE)="dbl",MIN(ROUND(0.005*$N25,2),ROUND(0.6*52/Inputs!$C$8,2)),IF(OR(VLOOKUP($AN25,StateTables!$A$6:$AB$56,18,FALSE)="",VLOOKUP($AN25,StateTables!$A$6:$AB$56,18,FALSE)=0),0,ROUND(VLOOKUP($AN25,StateTables!$A$6:$AB$56,18,FALSE)*IF(OR(VLOOKUP($AN25,StateTables!$A$6:$AB$56,19,FALSE)="",VLOOKUP($AN25,StateTables!$A$6:$AB$56,19,FALSE)=0),$N25,MIN($N25,MAX(0,VLOOKUP($AN25,StateTables!$A$6:$AB$56,19,FALSE)-($AX25+$AB24-$AW25)))),2)))))</f>
      </c>
      <c r="V25" s="7">
        <f>IF($B25="","",IF($AN25="NY",IF(Inputs!$C$78,ROUND(SUMPRODUCT((MAX(0,($O25-$D25)*Inputs!$C$8-(IF($AU25="Married",5500,5000)+1000*$AS25))&gt;INDEX('Methodology &amp; Sources'!$B$184:$J$198,0,4))*(MAX(0,($O25-$D25)*Inputs!$C$8-(IF($AU25="Married",5500,5000)+1000*$AS25))-INDEX('Methodology &amp; Sources'!$B$184:$J$198,0,4))*INDEX('Methodology &amp; Sources'!$B$184:$J$198,0,4+2))/Inputs!$C$8+0.0425*$D25,2),0)+IF(Inputs!$C$79="Resident",ROUND(0.1675*$T25,2),IF(Inputs!$C$79="Nonresident",ROUND(0.005*MAX(0,($O25-$D25)-(IF($AU25="Married",7950,7400)+1000*$AS25)/Inputs!$C$8),2),0)),IF($AN25="PA",IF(Inputs!$C$80="None",Inputs!$C$27+ROUND(Inputs!$C$81*($C25+$D25),2),ROUND(IF(Inputs!$C$80="Resident",IF($B25&lt;DATE(2027,7,1),0.03735,0.03735),IF($B25&lt;DATE(2027,7,1),0.03425,0.03425))*($C25+$D25),2)),IF($BF25=0,ROUND(Inputs!$C$81*($C25+$D25),2),Inputs!$C$27+ROUND(Inputs!$C$81*($C25+$D25),2)))))</f>
      </c>
      <c r="W25" s="7">
        <f>IF($B25="","",IF($BF25=0,0,$BP25))</f>
      </c>
      <c r="X25" s="7">
        <f>IF($B25="","",SUM($E25:$K25)+$P25+$Q25+$R25+$S25+$T25+$U25+$V25+$W25)</f>
      </c>
      <c r="Y25" s="22">
        <f>IF($B25="","",$C25+$D25-$X25)</f>
      </c>
      <c r="Z25" s="7">
        <f>IF($B25="","",$Z24+$C25+$D25)</f>
      </c>
      <c r="AA25" s="7">
        <f>IF($B25="","",$AA24+$Y25)</f>
      </c>
      <c r="AB25" s="7">
        <f>IF($B25="","",$AB24+MIN($N25,MAX(0,'Methodology &amp; Sources'!$C$3-($AX25+$AB24-$AW25))))</f>
      </c>
      <c r="AC25" s="7">
        <f>IF($B25="","",$AC24+$E25+$F25)</f>
      </c>
      <c r="AD25" s="3">
        <f>IF($B25="","",IF(AND($AB24&lt;'Methodology &amp; Sources'!$C$3,$AB25&gt;='Methodology &amp; Sources'!$C$3),"★ Social Security maxed on this check — from the next check your net rises by about $"&amp;TEXT(ROUND('Methodology &amp; Sources'!$C$4*$N25,2),"#,##0.00")&amp;". ","")&amp;IF(AND($AC24&lt;Inputs!$C$34,$AC25&gt;=Inputs!$C$34),"★ 401(k) reaches the $"&amp;TEXT(Inputs!$C$34,"#,##0")&amp;" cap on this check — deferrals stop and net pay rises. ","")&amp;IF(AND($AG24&lt;'Methodology &amp; Sources'!$C$7,$AG25&gt;='Methodology &amp; Sources'!$C$7),"★ Wages pass $200,000 — the 0.9% Additional Medicare Tax starts here. ","")&amp;IF(AND($BJ25&gt;0,$H25&gt;0,$BG24&lt;MIN($BJ25,'Methodology &amp; Sources'!$C$13),$BG24+$H25&gt;=MIN($BJ25,'Methodology &amp; Sources'!$C$13)),"★ Health FSA election is now fully deferred for the year. ",""))</f>
      </c>
      <c r="AE25" s="41" t="n"/>
      <c r="AF25" s="7">
        <f>IF(OR($B25="",$AE25=""),"",$AE25-$Y25)</f>
      </c>
      <c r="AG25" s="7">
        <f>IF($B25="","",$AG24+$N25)</f>
      </c>
      <c r="AH25" s="7">
        <f>IF($B25="","",MAX(0,($M25-$D25)*Inputs!$C$8+$AP25-$AQ25-IF(Inputs!$C$13,0,IF(Inputs!$C$12="MFJ",'Methodology &amp; Sources'!$C$8,'Methodology &amp; Sources'!$C$9))))</f>
      </c>
      <c r="AI25" s="7">
        <f>IF($B25="","",$O25*Inputs!$C$8)</f>
      </c>
      <c r="AJ25" s="7">
        <f>IF($B25="","",MAX(0,$AI25-VLOOKUP($AN25,StateTables!$A$6:$AB$56,12,FALSE)*$AT25-IF(($AS25+$AT25)&gt;=2,VLOOKUP($AN25,StateTables!$A$6:$AB$56,8,FALSE),VLOOKUP($AN25,StateTables!$A$6:$AB$56,7,FALSE))))</f>
      </c>
      <c r="AK25" s="7">
        <f>IF($B25="","",IFERROR(LOOKUP(2,1/((Events!$C$6:$C$17="Salary change")*(Events!$B$6:$B$17&lt;=$B25)*(Events!$B$6:$B$17&lt;&gt;"")),Events!$D$6:$D$17),IF(Inputs!$C$4="Annual salary",Inputs!$C$5,Inputs!$C$6)))</f>
      </c>
      <c r="AL25">
        <f>IF($B25="","",IFERROR(LOOKUP(2,1/((Events!$C$6:$C$17="401(k) change")*(Events!$B$6:$B$17&lt;=$B25)*(Events!$B$6:$B$17&lt;&gt;"")),Events!$D$6:$D$17),Inputs!$C$30))</f>
      </c>
      <c r="AM25" s="7">
        <f>IF($B25="","",IFERROR(LOOKUP(2,1/((Events!$C$6:$C$17="401(k) change")*(Events!$B$6:$B$17&lt;=$B25)*(Events!$B$6:$B$17&lt;&gt;"")),Events!$E$6:$E$17),Inputs!$D$30))</f>
      </c>
      <c r="AN25">
        <f>IF($B25="","",IFERROR(LOOKUP(2,1/((Events!$C$6:$C$17="State move")*(Events!$B$6:$B$17&lt;=$B25)*(Events!$B$6:$B$17&lt;&gt;"")),Events!$D$6:$D$17),Inputs!$C$21))</f>
      </c>
      <c r="AO25" s="7">
        <f>IF($B25="","",IFERROR(LOOKUP(2,1/((Events!$C$6:$C$17="W-4 change")*(Events!$B$6:$B$17&lt;=$B25)*(Events!$B$6:$B$17&lt;&gt;"")),Events!$D$6:$D$17),Inputs!$C$14))</f>
      </c>
      <c r="AP25" s="7">
        <f>IF($B25="","",IFERROR(LOOKUP(2,1/((Events!$C$6:$C$17="W-4 change")*(Events!$B$6:$B$17&lt;=$B25)*(Events!$B$6:$B$17&lt;&gt;"")),Events!$E$6:$E$17),Inputs!$C$15))</f>
      </c>
      <c r="AQ25" s="7">
        <f>IF($B25="","",IFERROR(LOOKUP(2,1/((Events!$C$6:$C$17="W-4 change")*(Events!$B$6:$B$17&lt;=$B25)*(Events!$B$6:$B$17&lt;&gt;"")),Events!$F$6:$F$17),Inputs!$C$16))</f>
      </c>
      <c r="AR25" s="7">
        <f>IF($B25="","",IFERROR(LOOKUP(2,1/((Events!$C$6:$C$17="W-4 change")*(Events!$B$6:$B$17&lt;=$B25)*(Events!$B$6:$B$17&lt;&gt;"")),Events!$G$6:$G$17),Inputs!$C$17))</f>
      </c>
      <c r="AS25" s="6">
        <f>IF($B25="","",IFERROR(LOOKUP(2,1/(((Events!$C$6:$C$17="State move")+(Events!$C$6:$C$17="State cert change"))*(Events!$B$6:$B$17&lt;=$B25)*(Events!$B$6:$B$17&lt;&gt;"")),Events!$F$6:$F$17),Inputs!$C$23))</f>
      </c>
      <c r="AT25" s="6">
        <f>IF($B25="","",IFERROR(LOOKUP(2,1/(((Events!$C$6:$C$17="State move")+(Events!$C$6:$C$17="State cert change"))*(Events!$B$6:$B$17&lt;=$B25)*(Events!$B$6:$B$17&lt;&gt;"")),Events!$G$6:$G$17),Inputs!$C$24))</f>
      </c>
      <c r="AU25">
        <f>IF($B25="","",IFERROR(LOOKUP(2,1/((Events!$C$6:$C$17="State move")*(Events!$B$6:$B$17&lt;=$B25)*(Events!$B$6:$B$17&lt;&gt;"")),Events!$E$6:$E$17),Inputs!$C$22))</f>
      </c>
      <c r="AV25" s="6">
        <f>IF($B25="","",1+COUNTIFS(Events!$C$6:$C$17,"Employer change",Events!$B$6:$B$17,"&lt;="&amp;$B25,Events!$B$6:$B$17,"&lt;&gt;"))</f>
      </c>
      <c r="AW25" s="7">
        <f>IF($B25="","",IF($AV25=1,Inputs!$C$94,IF(IFERROR(MATCH(IFERROR(LOOKUP(2,1/((Events!$C$6:$C$17="Employer change")*(Events!$B$6:$B$17&lt;=$B25)*(Events!$B$6:$B$17&lt;&gt;"")),Events!$B$6:$B$17),""),$B$6:$B$68,1),1)&lt;=1,Inputs!$C$94,INDEX($AB$6:$AB$68,MATCH(IFERROR(LOOKUP(2,1/((Events!$C$6:$C$17="Employer change")*(Events!$B$6:$B$17&lt;=$B25)*(Events!$B$6:$B$17&lt;&gt;"")),Events!$B$6:$B$17),""),$B$6:$B$68,1)-1))))</f>
      </c>
      <c r="AX25" s="7">
        <f>IF($B25="","",IF($AV25=1,Inputs!$C$94,IFERROR(LOOKUP(2,1/((Events!$C$6:$C$17="Employer change")*(Events!$B$6:$B$17&lt;=$B25)*(Events!$B$6:$B$17&lt;&gt;"")),Events!$D$6:$D$17),0)))</f>
      </c>
      <c r="AY25" s="7">
        <f>IF($B25="","",($O25-$D25)*Inputs!$C$8)</f>
      </c>
      <c r="AZ25" s="7">
        <f>IF($B25="","",IF($AN25="AL",MAX(0,$AY25-IF($AU25="Married",IF($AY25&lt;=25999,8500,MAX(5000,8500-175*CEILING(($AY25-25999)/500,1))),IF($AU25="Head of household",IF($AY25&lt;=25999,5200,MAX(2500,5200-135*CEILING(($AY25-25999)/500,1))),IF($AY25&lt;=25999,3000,MAX(2500,3000-25*CEILING(($AY25-25999)/500,1)))))-($P25-'Methodology &amp; Sources'!$C$10*$D25)*Inputs!$C$8-IF(OR($AU25="Married",$AU25="Head of household"),3000,1500)-$AT25*IF($AY25&lt;=50000,1000,IF($AY25&lt;=100000,500,300))),IF($AN25="AR",IF(MAX(0,$AY25-2470)&lt;97701,INT(MAX(0,$AY25-2470)/100)*100+50,MAX(0,$AY25-2470)),IF($AN25="DE",MAX(0,$AI25-3250),IF($AN25="HI",MAX(0,$AI25-1144*$AS25-4350),IF($AN25="KS",MAX(0,$AI25-(9160*IF($AU25="Married",2,1)+2320*$AT25+IF($AU25="Head of household",2320,0))),IF($AN25="MD",MAX(0,$AI25-3400-3200*$AS25),IF($AN25="MN",MAX(0,$AY25-5300*$AS25),IF($AN25="MO",MAX(0,$AI25-IF($AU25="Head of household",24150,IF($AU25="Married",IF(Inputs!$C$83,16100,32200),16100))),IF($AN25="MT",$AY25,IF($AN25="ND",($C25+$L25)*Inputs!$C$8,IF($AN25="NE",MAX(0,$AY25-2440*$AS25),IF($AN25="NJ",MAX(0,$AY25-1000*$AS25),IF($AN25="NY",MAX(0,$AY25-(IF($AU25="Married",7950,7400)+1000*$AS25)),IF($AN25="OH",MAX(0,$AY25-650*$AS25),IF($AN25="OK",MAX(0,$AY25-1000*$AS25),IF($AN25="RI",MAX(0,$AI25-1000*$AS25),IF($AN25="SC",MAX(0,$AI25-5000*$AS25-IF($AS25=0,0,MIN(0.1*$AI25,7500))),IF($AN25="VA",MAX(0,$AI25-IF($AU25="Married",17500,8750)-930*$AS25-800*$AT25),IF($AN25="VT",MAX(0,$AI25-5400*$AS25),IF($AN25="WI",MAX(0,$AI25-MAX(0,IF($AU25="Married",9461-0.2*MAX(0,$AI25-25727),6702-0.12*MAX(0,$AI25-17780)))-400*$AS25),IF($AN25="WV",MAX(0,$AI25-2000*$AS25),$AI25))))))))))))))))))))))</f>
      </c>
      <c r="BA25" s="7">
        <f>IF($B25="","",IF($BW25&lt;&gt;"",$BW25,IF($BX25&lt;&gt;"",$BX25,IF($BY25&lt;&gt;"",$BY25,0))))</f>
      </c>
      <c r="BB25" s="7">
        <f>IF($B25="","",IF($AN25="AR",-29*$AS25,IF($AN25="DE",-110*$AS25,IF($AN25="MD",$AZ25*Inputs!$C$74,IF($AN25="AZ",Inputs!$C$82*($M25-$D25)*Inputs!$C$8,IF($AN25="CO",0.044*MAX(0,$AY25-IF($AU25="Married",10000,5000)),IF($AN25="IA",MAX(0,0.038*MAX(0,$AY25-IF($AU25="Head of household",19500,IF($AU25="Married",26000,13000)))-40*$AS25),IF($AN25="ID",0.053*MAX(0,$AY25-IF($AU25="Married",32000,16094)),IF($AN25="IL",0.0495*MAX(0,$AY25-(2925*$AS25+1000*$AT25)),IF($AN25="IN",(0.0295+Inputs!$C$76)*MAX(0,$AY25-(1000*$AS25+1500*$AT25+3000*Inputs!$C$86)),IF($AN25="KY",0.035*MAX(0,$AI25-3360),IF($AN25="LA",IF(Inputs!$C$84="0",0.0309*$AI25,0.0309*MAX(0,$AI25-IF(Inputs!$C$84="2",25750,12875))),IF($AN25="MA",0.05*MIN(MAX(0,$AY25-MIN(($BD24+$Q25+$R25+$S25),2000)-IF($AS25=0,0,IF($AS25=1,4400,1000*$AS25+3400))),1107750)+0.09*MAX(0,MAX(0,$AY25-MIN(($BD24+$Q25+$R25+$S25),2000)-IF($AS25=0,0,IF($AS25=1,4400,1000*$AS25+3400)))-1107750)-IF($AU25="Head of household",120,0)-110*Inputs!$C$75,IF($AN25="MI",0.0425*MAX(0,$AY25-5900*$AS25),IF($AN25="MS",0.04*MAX(0,$AI25-IF($AU25="Head of household",3400,IF($AU25="Married",4600,2300))-Inputs!$C$85-10000),IF($AN25="OR",IF(OR($AU25="Married",AND($AU25="Single",$AS25&gt;=3)),SUMPRODUCT((MAX(0,$AY25-MIN(($P25-'Methodology &amp; Sources'!$C$10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Sources'!$B$211:$J$214,0,4))*(MAX(0,$AY25-MIN(($P25-'Methodology &amp; Sources'!$C$10*$D25)*Inputs!$C$8,IF(OR($AU25="Married",AND($AU25="Single",$AS25&gt;=3)),IF($AY25&lt;250000,8750,IF($AY25&lt;260000,7000,IF($AY25&lt;270000,5250,IF($AY25&lt;280000,3500,IF($AY25&lt;290000,1750,0))))),IF($AY25&lt;125000,8750,IF($AY25&lt;130000,7000,IF($AY25&lt;135000,5250,IF($AY25&lt;140000,3500,IF($AY25&lt;145000,1750,0)))))))-IF(OR($AU25="Married",AND($AU25="Single",$AS25&gt;=3)),5820,2910))-INDEX('Methodology &amp; Sources'!$B$211:$J$214,0,4))*INDEX('Methodology &amp; Sources'!$B$211:$J$214,0,4+2)),SUMPRODUCT((MAX(0,$AY25-MIN(($P25-'Methodology &amp; Sources'!$C$10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Sources'!$B$211:$J$214,0,1))*(MAX(0,$AY25-MIN(($P25-'Methodology &amp; Sources'!$C$10*$D25)*Inputs!$C$8,IF(OR($AU25="Married",AND($AU25="Single",$AS25&gt;=3)),IF($AY25&lt;250000,8750,IF($AY25&lt;260000,7000,IF($AY25&lt;270000,5250,IF($AY25&lt;280000,3500,IF($AY25&lt;290000,1750,0))))),IF($AY25&lt;125000,8750,IF($AY25&lt;130000,7000,IF($AY25&lt;135000,5250,IF($AY25&lt;140000,3500,IF($AY25&lt;145000,1750,0)))))))-IF(OR($AU25="Married",AND($AU25="Single",$AS25&gt;=3)),5820,2910))-INDEX('Methodology &amp; Sources'!$B$211:$J$214,0,1))*INDEX('Methodology &amp; Sources'!$B$211:$J$214,0,1+2)))+263-263*IF(IF($AU25="Married",$AY25&gt;200000,$AY25&gt;100000),0,$AS25),IF($AN25="PA",0.0307*(($O25+$E25+$G25)*Inputs!$C$8),IF($AN25="NY",IF($AU25="Married",IF($AZ25&gt;=2155350,0,IF($AZ25&gt;=1077550,0.48,IF($AZ25&gt;=373200,1.21,IF($AZ25&gt;=323200,0.21,IF($AZ25&gt;=211550,-0.19,IF($AZ25&gt;=157650,-2.8,IF($AZ25&gt;=107650,-0.8,IF($AZ25&gt;=96800,0.05,IF($AZ25&gt;=80650,-0.1,IF($AZ25&gt;=13900,0.4,IF($AZ25&gt;=11700,-0.3,IF($AZ25&gt;=8500,0.5,0)))))))))))),IF($AZ25&gt;=1077550,0,IF($AZ25&gt;=265400,4.29,IF($AZ25&gt;=215400,2.29,IF($AZ25&gt;=157650,2.29,IF($AZ25&gt;=107650,0.29,IF($AZ25&gt;=96800,0.05,IF($AZ25&gt;=80650,-0.1,IF($AZ25&gt;=13900,0.4,IF($AZ25&gt;=11700,-0.3,IF($AZ25&gt;=8500,0.5,0))))))))))),0))))))))))))))))))</f>
      </c>
      <c r="BC25" s="7">
        <f>IF($B25="","",IF($AN25="AL",0.05*$D25,IF($AN25="AR",0.039*$D25,IF($AN25="ID",0.053*$D25,IF($AN25="IN",(0.0295+Inputs!$C$76)*$D25,IF($AN25="KS",0.05*$D25,IF($AN25="MA",0.09*MIN($D25,MAX(0,MAX(0,$AY25-MIN(($BD24+$Q25+$R25+$S25),2000)-IF($AS25=0,0,IF($AS25=1,4400,1000*$AS25+3400)))+$D25-1107750))+0.05*($D25-MIN($D25,MAX(0,MAX(0,$AY25-MIN(($BD24+$Q25+$R25+$S25),2000)-IF($AS25=0,0,IF($AS25=1,4400,1000*$AS25+3400)))+$D25-1107750))),IF($AN25="MD",(0.065+Inputs!$C$74)*$D25,IF($AN25="MI",0.0425*$D25,IF($AN25="MN",0.0625*$D25,IF($AN25="MO",0.047*$D25,IF($AN25="MT",0.05*$D25,IF($AN25="ND",0.015*$D25,IF($AN25="NE",0.035*$D25,IF($AN25="NJ",IF(Inputs!$C$77="B",SUMPRODUCT(($D25*Inputs!$C$8&gt;INDEX('Methodology &amp; Sources'!$B$155:$J$162,0,4))*($D25*Inputs!$C$8-INDEX('Methodology &amp; Sources'!$B$155:$J$162,0,4))*INDEX('Methodology &amp; Sources'!$B$155:$J$162,0,4+2)),IF(Inputs!$C$77="C",SUMPRODUCT(($D25*Inputs!$C$8&gt;INDEX('Methodology &amp; Sources'!$B$155:$J$162,0,7))*($D25*Inputs!$C$8-INDEX('Methodology &amp; Sources'!$B$155:$J$162,0,7))*INDEX('Methodology &amp; Sources'!$B$155:$J$162,0,7+2)),IF(Inputs!$C$77="D",SUMPRODUCT(($D25*Inputs!$C$8&gt;INDEX('Methodology &amp; Sources'!$B$167:$J$179,0,1))*($D25*Inputs!$C$8-INDEX('Methodology &amp; Sources'!$B$167:$J$179,0,1))*INDEX('Methodology &amp; Sources'!$B$167:$J$179,0,1+2)),IF(Inputs!$C$77="E",SUMPRODUCT(($D25*Inputs!$C$8&gt;INDEX('Methodology &amp; Sources'!$B$167:$J$179,0,4))*($D25*Inputs!$C$8-INDEX('Methodology &amp; Sources'!$B$167:$J$179,0,4))*INDEX('Methodology &amp; Sources'!$B$167:$J$179,0,4+2)),SUMPRODUCT(($D25*Inputs!$C$8&gt;INDEX('Methodology &amp; Sources'!$B$155:$J$162,0,1))*($D25*Inputs!$C$8-INDEX('Methodology &amp; Sources'!$B$155:$J$162,0,1))*INDEX('Methodology &amp; Sources'!$B$155:$J$162,0,1+2))))))/Inputs!$C$8,IF($AN25="NY",0.117*$D25,IF($AN25="OH",0.0275*$D25,IF($AN25="OK",0.045*$D25,IF($AN25="OR",0.08*$D25,IF($AN25="WI",IF($AY25&lt;12760,0.0354,IF($AY25&lt;25520,0.0465,IF($AY25&lt;280950,0.053,0.0765)))*$D25,0))))))))))))))))))))</f>
      </c>
      <c r="BD25" s="7">
        <f>IF($B25="","",$BD24+$Q25+$R25+$S25)</f>
      </c>
      <c r="BE25" s="6">
        <f>IF($B25="",$BE24,$BE24+$BF25)</f>
      </c>
      <c r="BF25" s="6">
        <f>IF($B25="","",IF(AND(IF(YEAR(IF(Inputs!$C$7="Weekly",Inputs!$C$90+7*(($BE24+1)-1),IF(Inputs!$C$7="Biweekly",Inputs!$C$90+14*(($BE24+1)-1),IF(Inputs!$C$7="Semimonthly",DATE(YEAR(Inputs!$C$9),MONTH(Inputs!$C$9)+INT((($BE24+1)-1+'Rest of 2026'!$C$2)/2),MIN(DAY(Inputs!$C$9),DAY(EOMONTH(DATE(YEAR(Inputs!$C$9),MONTH(Inputs!$C$9)+INT((($BE24+1)-1+'Rest of 2026'!$C$2)/2),1),0))))+IF(MOD(($BE24+1)-1+'Rest of 2026'!$C$2,2)=1,15,0),EDATE(Inputs!$C$90,($BE24+1)-1)))))&lt;&gt;Inputs!$C$10,"",IF(Inputs!$C$7="Weekly",Inputs!$C$90+7*(($BE24+1)-1),IF(Inputs!$C$7="Biweekly",Inputs!$C$90+14*(($BE24+1)-1),IF(Inputs!$C$7="Semimonthly",DATE(YEAR(Inputs!$C$9),MONTH(Inputs!$C$9)+INT((($BE24+1)-1+'Rest of 2026'!$C$2)/2),MIN(DAY(Inputs!$C$9),DAY(EOMONTH(DATE(YEAR(Inputs!$C$9),MONTH(Inputs!$C$9)+INT((($BE24+1)-1+'Rest of 2026'!$C$2)/2),1),0))))+IF(MOD(($BE24+1)-1+'Rest of 2026'!$C$2,2)=1,15,0),EDATE(Inputs!$C$90,($BE24+1)-1)))))&lt;&gt;"",$B25=IF(YEAR(IF(Inputs!$C$7="Weekly",Inputs!$C$90+7*(($BE24+1)-1),IF(Inputs!$C$7="Biweekly",Inputs!$C$90+14*(($BE24+1)-1),IF(Inputs!$C$7="Semimonthly",DATE(YEAR(Inputs!$C$9),MONTH(Inputs!$C$9)+INT((($BE24+1)-1+'Rest of 2026'!$C$2)/2),MIN(DAY(Inputs!$C$9),DAY(EOMONTH(DATE(YEAR(Inputs!$C$9),MONTH(Inputs!$C$9)+INT((($BE24+1)-1+'Rest of 2026'!$C$2)/2),1),0))))+IF(MOD(($BE24+1)-1+'Rest of 2026'!$C$2,2)=1,15,0),EDATE(Inputs!$C$90,($BE24+1)-1)))))&lt;&gt;Inputs!$C$10,"",IF(Inputs!$C$7="Weekly",Inputs!$C$90+7*(($BE24+1)-1),IF(Inputs!$C$7="Biweekly",Inputs!$C$90+14*(($BE24+1)-1),IF(Inputs!$C$7="Semimonthly",DATE(YEAR(Inputs!$C$9),MONTH(Inputs!$C$9)+INT((($BE24+1)-1+'Rest of 2026'!$C$2)/2),MIN(DAY(Inputs!$C$9),DAY(EOMONTH(DATE(YEAR(Inputs!$C$9),MONTH(Inputs!$C$9)+INT((($BE24+1)-1+'Rest of 2026'!$C$2)/2),1),0))))+IF(MOD(($BE24+1)-1+'Rest of 2026'!$C$2,2)=1,15,0),EDATE(Inputs!$C$90,($BE24+1)-1)))))),1,0))</f>
      </c>
      <c r="BG25" s="7">
        <f>IF($B25="","",$BG24+$H25)</f>
      </c>
      <c r="BH25" s="7">
        <f>IF($B25="","",$BH24+$I25)</f>
      </c>
      <c r="BI25" s="7">
        <f>IF($B25="","",$BI24+$G25)</f>
      </c>
      <c r="BJ25" s="7">
        <f>IF($B25="","",IFERROR(LOOKUP(2,1/((((Events!$C$6:$C$17="Deduction start"))*(Events!$D$6:$D$17="Health FSA"))*(Events!$B$6:$B$17&lt;=$B25)*(Events!$B$6:$B$17&lt;&gt;"")),Events!$E$6:$E$17),Inputs!$D$38))</f>
      </c>
      <c r="BK25" s="7">
        <f>IF($B25="","",IFERROR(LOOKUP(2,1/((((Events!$C$6:$C$17="Deduction start"))*(Events!$D$6:$D$17="Dependent-care FSA"))*(Events!$B$6:$B$17&lt;=$B25)*(Events!$B$6:$B$17&lt;&gt;"")),Events!$E$6:$E$17),Inputs!$D$39))</f>
      </c>
      <c r="BL25" s="7">
        <f>IF($B25="","",IFERROR(LOOKUP(2,1/((((Events!$C$6:$C$17="Deduction start")+(Events!$C$6:$C$17="Deduction stop"))*(Events!$D$6:$D$17="HSA"))*(Events!$B$6:$B$17&lt;=$B25)*(Events!$B$6:$B$17&lt;&gt;"")),Events!$I$6:$I$17),Inputs!$D$35))</f>
      </c>
      <c r="BM25" s="7">
        <f>IF($B25="","",IFERROR(LOOKUP(2,1/((((Events!$C$6:$C$17="Deduction start")+(Events!$C$6:$C$17="Deduction stop"))*(Events!$D$6:$D$17="Premiums"))*(Events!$B$6:$B$17&lt;=$B25)*(Events!$B$6:$B$17&lt;&gt;"")),Events!$I$6:$I$17),Inputs!$D$40+Inputs!$D$41+Inputs!$D$42))</f>
      </c>
      <c r="BN25" s="7">
        <f>IF($B25="","",IFERROR(LOOKUP(2,1/((((Events!$C$6:$C$17="Deduction start")+(Events!$C$6:$C$17="Deduction stop"))*(Events!$D$6:$D$17="Commuter"))*(Events!$B$6:$B$17&lt;=$B25)*(Events!$B$6:$B$17&lt;&gt;"")),Events!$I$6:$I$17),Inputs!$D$43))</f>
      </c>
      <c r="BO25" s="7">
        <f>IF($B25="","",IFERROR(LOOKUP(2,1/((((Events!$C$6:$C$17="Deduction start")+(Events!$C$6:$C$17="Deduction stop"))*(Events!$D$6:$D$17="Other pre-tax"))*(Events!$B$6:$B$17&lt;=$B25)*(Events!$B$6:$B$17&lt;&gt;"")),Events!$I$6:$I$17),Inputs!$D$44))</f>
      </c>
      <c r="BP25" s="7">
        <f>IF($B25="","",IFERROR(LOOKUP(2,1/((((Events!$C$6:$C$17="Deduction start")+(Events!$C$6:$C$17="Deduction stop"))*(Events!$D$6:$D$17="Other post-tax"))*(Events!$B$6:$B$17&lt;=$B25)*(Events!$B$6:$B$17&lt;&gt;"")),Events!$I$6:$I$17),Inputs!$D$45))</f>
      </c>
      <c r="BQ25" s="6">
        <f>IF($B25="","",IFERROR(LOOKUP(2,1/((((Events!$C$6:$C$17="Deduction start")+(Events!$C$6:$C$17="Deduction stop"))*(Events!$D$6:$D$17="Health FSA"))*(Events!$B$6:$B$17&lt;=$B25)*(Events!$B$6:$B$17&lt;&gt;"")),Events!$J$6:$J$17),0))</f>
      </c>
      <c r="BR25" s="6">
        <f>IF($B25="","",IFERROR(LOOKUP(2,1/((((Events!$C$6:$C$17="Deduction start")+(Events!$C$6:$C$17="Deduction stop"))*(Events!$D$6:$D$17="Dependent-care FSA"))*(Events!$B$6:$B$17&lt;=$B25)*(Events!$B$6:$B$17&lt;&gt;"")),Events!$J$6:$J$17),0))</f>
      </c>
      <c r="BS25" s="6">
        <f>IF($B25="","",IF(SUMPRODUCT((Events!$C$6:$C$17="Deduction start")*(Events!$B$6:$B$17&lt;=$B25)*(Events!$B$6:$B$17&lt;&gt;"")*(Events!$D$6:$D$17="Health FSA"))&gt;0,1,0))</f>
      </c>
      <c r="BT25" s="6">
        <f>IF($B25="","",IF(SUMPRODUCT((Events!$C$6:$C$17="Deduction start")*(Events!$B$6:$B$17&lt;=$B25)*(Events!$B$6:$B$17&lt;&gt;"")*(Events!$D$6:$D$17="Dependent-care FSA"))&gt;0,1,0))</f>
      </c>
      <c r="BU25" s="24">
        <f>IF($B25="","",IF(Inputs!$C$13,SUMPRODUCT(($AH25&gt;=INDEX('Methodology &amp; Sources'!$B$29:$J$36,0,IF(Inputs!$C$12="MFJ",1,IF(Inputs!$C$12="HoH",7,4))))*INDEX('Methodology &amp; Sources'!$B$29:$J$36,0,IF(Inputs!$C$12="MFJ",1,IF(Inputs!$C$12="HoH",7,4))+2)),SUMPRODUCT(($AH25&gt;=INDEX('Methodology &amp; Sources'!$B$19:$J$26,0,IF(Inputs!$C$12="MFJ",1,IF(Inputs!$C$12="HoH",7,4))))*INDEX('Methodology &amp; Sources'!$B$19:$J$26,0,IF(Inputs!$C$12="MFJ",1,IF(Inputs!$C$12="HoH",7,4))+2))))</f>
      </c>
      <c r="BV25" s="24">
        <f>IF($B25="","",IF($BZ25&lt;&gt;"",$BZ25,IF($CA25&lt;&gt;"",$CA25,IF($CB25&lt;&gt;"",$CB25,IF($CC25&lt;&gt;"",$CC25,0)))))</f>
      </c>
      <c r="BW25" s="7">
        <f>IF($B25="","",IF($AN25="MD",IF(OR($AU25="Married",$AU25="Head of household"),SUMPRODUCT(($AZ25&gt;INDEX('Methodology &amp; Sources'!$B$114:$J$120,0,1))*($AZ25-INDEX('Methodology &amp; Sources'!$B$114:$J$120,0,1))*INDEX('Methodology &amp; Sources'!$B$114:$J$120,0,1+2)),SUMPRODUCT(($AZ25&gt;INDEX('Methodology &amp; Sources'!$B$103:$J$109,0,7))*($AZ25-INDEX('Methodology &amp; Sources'!$B$103:$J$109,0,7))*INDEX('Methodology &amp; Sources'!$B$103:$J$109,0,7+2))),IF($AN25="MO",SUMPRODUCT(($AZ25&gt;INDEX('Methodology &amp; Sources'!$B$125:$J$132,0,1))*($AZ25-INDEX('Methodology &amp; Sources'!$B$125:$J$132,0,1))*INDEX('Methodology &amp; Sources'!$B$125:$J$132,0,1+2)),IF($AN25="MT",IF($AU25="Head of household",SUMPRODUCT(($AZ25&gt;INDEX('Methodology &amp; Sources'!$B$137:$J$139,0,1))*($AZ25-INDEX('Methodology &amp; Sources'!$B$137:$J$139,0,1))*INDEX('Methodology &amp; Sources'!$B$137:$J$139,0,1+2)),IF($AU25="Married",SUMPRODUCT(($AZ25&gt;INDEX('Methodology &amp; Sources'!$B$125:$J$132,0,7))*($AZ25-INDEX('Methodology &amp; Sources'!$B$125:$J$132,0,7))*INDEX('Methodology &amp; Sources'!$B$125:$J$132,0,7+2)),SUMPRODUCT(($AZ25&gt;INDEX('Methodology &amp; Sources'!$B$125:$J$132,0,4))*($AZ25-INDEX('Methodology &amp; Sources'!$B$125:$J$132,0,4))*INDEX('Methodology &amp; Sources'!$B$125:$J$132,0,4+2)))),IF($AN25="ND",IF($AU25="Head of household",SUMPRODUCT(($AZ25&gt;INDEX('Methodology &amp; Sources'!$B$144:$J$150,0,1))*($AZ25-INDEX('Methodology &amp; Sources'!$B$144:$J$150,0,1))*INDEX('Methodology &amp; Sources'!$B$144:$J$150,0,1+2)),IF($AU25="Married",SUMPRODUCT(($AZ25&gt;INDEX('Methodology &amp; Sources'!$B$137:$J$139,0,7))*($AZ25-INDEX('Methodology &amp; Sources'!$B$137:$J$139,0,7))*INDEX('Methodology &amp; Sources'!$B$137:$J$139,0,7+2)),SUMPRODUCT(($AZ25&gt;INDEX('Methodology &amp; Sources'!$B$137:$J$139,0,4))*($AZ25-INDEX('Methodology &amp; Sources'!$B$137:$J$139,0,4))*INDEX('Methodology &amp; Sources'!$B$137:$J$139,0,4+2)))),IF($AN25="NJ",IF(Inputs!$C$77="B",SUMPRODUCT(($AZ25&gt;INDEX('Methodology &amp; Sources'!$B$155:$J$162,0,4))*($AZ25-INDEX('Methodology &amp; Sources'!$B$155:$J$162,0,4))*INDEX('Methodology &amp; Sources'!$B$155:$J$162,0,4+2)),IF(Inputs!$C$77="C",SUMPRODUCT(($AZ25&gt;INDEX('Methodology &amp; Sources'!$B$155:$J$162,0,7))*($AZ25-INDEX('Methodology &amp; Sources'!$B$155:$J$162,0,7))*INDEX('Methodology &amp; Sources'!$B$155:$J$162,0,7+2)),IF(Inputs!$C$77="D",SUMPRODUCT(($AZ25&gt;INDEX('Methodology &amp; Sources'!$B$167:$J$179,0,1))*($AZ25-INDEX('Methodology &amp; Sources'!$B$167:$J$179,0,1))*INDEX('Methodology &amp; Sources'!$B$167:$J$179,0,1+2)),IF(Inputs!$C$77="E",SUMPRODUCT(($AZ25&gt;INDEX('Methodology &amp; Sources'!$B$167:$J$179,0,4))*($AZ25-INDEX('Methodology &amp; Sources'!$B$167:$J$179,0,4))*INDEX('Methodology &amp; Sources'!$B$167:$J$179,0,4+2)),SUMPRODUCT(($AZ25&gt;INDEX('Methodology &amp; Sources'!$B$155:$J$162,0,1))*($AZ25-INDEX('Methodology &amp; Sources'!$B$155:$J$162,0,1))*INDEX('Methodology &amp; Sources'!$B$155:$J$162,0,1+2)))))),IF($AN25="NY",IF($AU25="Married",IF($AZ25&gt;=2155350,$AZ25*IF($AZ25&gt;25000000,0.117,IF($AZ25&gt;5000000,0.111,0.1045)),SUMPRODUCT(($AZ25&gt;INDEX('Methodology &amp; Sources'!$B$184:$J$198,0,1))*($AZ25-INDEX('Methodology &amp; Sources'!$B$184:$J$198,0,1))*INDEX('Methodology &amp; Sources'!$B$184:$J$198,0,1+2))),IF($AZ25&gt;=1077550,$AZ25*IF($AZ25&gt;25000000,0.117,IF($AZ25&gt;5000000,0.111,0.1045)),SUMPRODUCT(($AZ25&gt;INDEX('Methodology &amp; Sources'!$B$167:$J$179,0,7))*($AZ25-INDEX('Methodology &amp; Sources'!$B$167:$J$179,0,7))*INDEX('Methodology &amp; Sources'!$B$167:$J$179,0,7+2)))),"")))))))</f>
      </c>
      <c r="BX25" s="7">
        <f>IF($B25="","",IF($AN25="AL",IF(OR($AU25="Married",$AU25="Head of household"),SUMPRODUCT(($AZ25&gt;INDEX('Methodology &amp; Sources'!$B$82:$J$86,0,4))*($AZ25-INDEX('Methodology &amp; Sources'!$B$82:$J$86,0,4))*INDEX('Methodology &amp; Sources'!$B$82:$J$86,0,4+2)),SUMPRODUCT(($AZ25&gt;INDEX('Methodology &amp; Sources'!$B$82:$J$86,0,1))*($AZ25-INDEX('Methodology &amp; Sources'!$B$82:$J$86,0,1))*INDEX('Methodology &amp; Sources'!$B$82:$J$86,0,1+2))),IF($AN25="KS",IF($AU25="Married",SUMPRODUCT(($AZ25&gt;INDEX('Methodology &amp; Sources'!$B$103:$J$109,0,4))*($AZ25-INDEX('Methodology &amp; Sources'!$B$103:$J$109,0,4))*INDEX('Methodology &amp; Sources'!$B$103:$J$109,0,4+2)),SUMPRODUCT(($AZ25&gt;INDEX('Methodology &amp; Sources'!$B$103:$J$109,0,1))*($AZ25-INDEX('Methodology &amp; Sources'!$B$103:$J$109,0,1))*INDEX('Methodology &amp; Sources'!$B$103:$J$109,0,1+2))),IF($AN25="MN",IF($AU25="Married",SUMPRODUCT(($AZ25&gt;INDEX('Methodology &amp; Sources'!$B$114:$J$120,0,7))*($AZ25-INDEX('Methodology &amp; Sources'!$B$114:$J$120,0,7))*INDEX('Methodology &amp; Sources'!$B$114:$J$120,0,7+2)),SUMPRODUCT(($AZ25&gt;INDEX('Methodology &amp; Sources'!$B$114:$J$120,0,4))*($AZ25-INDEX('Methodology &amp; Sources'!$B$114:$J$120,0,4))*INDEX('Methodology &amp; Sources'!$B$114:$J$120,0,4+2))),IF($AN25="NE",MAX(IF($AU25="Married",SUMPRODUCT(($AZ25&gt;INDEX('Methodology &amp; Sources'!$B$144:$J$150,0,7))*($AZ25-INDEX('Methodology &amp; Sources'!$B$144:$J$150,0,7))*INDEX('Methodology &amp; Sources'!$B$144:$J$150,0,7+2)),SUMPRODUCT(($AZ25&gt;INDEX('Methodology &amp; Sources'!$B$144:$J$150,0,4))*($AZ25-INDEX('Methodology &amp; Sources'!$B$144:$J$150,0,4))*INDEX('Methodology &amp; Sources'!$B$144:$J$150,0,4+2))),0.015*$AZ25),IF($AN25="OH",IF($B25&gt;=DATE(2027,8,1),SUMPRODUCT(($AZ25&gt;INDEX('Methodology &amp; Sources'!$B$203:$J$206,0,1))*($AZ25-INDEX('Methodology &amp; Sources'!$B$203:$J$206,0,1))*INDEX('Methodology &amp; Sources'!$B$203:$J$206,0,1+2)),SUMPRODUCT(($AZ25&gt;INDEX('Methodology &amp; Sources'!$B$184:$J$198,0,7))*($AZ25-INDEX('Methodology &amp; Sources'!$B$184:$J$198,0,7))*INDEX('Methodology &amp; Sources'!$B$184:$J$198,0,7+2))),IF($AN25="OK",IF($AU25="Married",SUMPRODUCT(($AZ25&gt;INDEX('Methodology &amp; Sources'!$B$203:$J$206,0,7))*($AZ25-INDEX('Methodology &amp; Sources'!$B$203:$J$206,0,7))*INDEX('Methodology &amp; Sources'!$B$203:$J$206,0,7+2)),SUMPRODUCT(($AZ25&gt;INDEX('Methodology &amp; Sources'!$B$203:$J$206,0,4))*($AZ25-INDEX('Methodology &amp; Sources'!$B$203:$J$206,0,4))*INDEX('Methodology &amp; Sources'!$B$203:$J$206,0,4+2))),IF($AN25="RI",SUMPRODUCT(($AZ25&gt;INDEX('Methodology &amp; Sources'!$B$211:$J$214,0,7))*($AZ25-INDEX('Methodology &amp; Sources'!$B$211:$J$214,0,7))*INDEX('Methodology &amp; Sources'!$B$211:$J$214,0,7+2)),IF($AN25="VT",IF($AU25="Married",SUMPRODUCT(($AZ25&gt;INDEX('Methodology &amp; Sources'!$B$228:$J$232,0,1))*($AZ25-INDEX('Methodology &amp; Sources'!$B$228:$J$232,0,1))*INDEX('Methodology &amp; Sources'!$B$228:$J$232,0,1+2)),SUMPRODUCT(($AZ25&gt;INDEX('Methodology &amp; Sources'!$B$219:$J$223,0,7))*($AZ25-INDEX('Methodology &amp; Sources'!$B$219:$J$223,0,7))*INDEX('Methodology &amp; Sources'!$B$219:$J$223,0,7+2))),IF($AN25="WV",IF($AU25="Married",SUMPRODUCT(($AZ25&gt;INDEX('Methodology &amp; Sources'!$B$237:$J$241,0,7))*($AZ25-INDEX('Methodology &amp; Sources'!$B$237:$J$241,0,7))*INDEX('Methodology &amp; Sources'!$B$237:$J$241,0,7+2)),SUMPRODUCT(($AZ25&gt;INDEX('Methodology &amp; Sources'!$B$228:$J$232,0,7))*($AZ25-INDEX('Methodology &amp; Sources'!$B$228:$J$232,0,7))*INDEX('Methodology &amp; Sources'!$B$228:$J$232,0,7+2))),""))))))))))</f>
      </c>
      <c r="BY25" s="7">
        <f>IF($B25="","",IF($AN25="AR",SUMPRODUCT(($AZ25&gt;INDEX('Methodology &amp; Sources'!$B$82:$J$86,0,7))*($AZ25-INDEX('Methodology &amp; Sources'!$B$82:$J$86,0,7))*INDEX('Methodology &amp; Sources'!$B$82:$J$86,0,7+2)),IF($AN25="DE",SUMPRODUCT(($AZ25&gt;INDEX('Methodology &amp; Sources'!$B$91:$J$98,0,1))*($AZ25-INDEX('Methodology &amp; Sources'!$B$91:$J$98,0,1))*INDEX('Methodology &amp; Sources'!$B$91:$J$98,0,1+2)),IF($AN25="HI",IF($AU25="Married",SUMPRODUCT(($AZ25&gt;INDEX('Methodology &amp; Sources'!$B$91:$J$98,0,7))*($AZ25-INDEX('Methodology &amp; Sources'!$B$91:$J$98,0,7))*INDEX('Methodology &amp; Sources'!$B$91:$J$98,0,7+2)),SUMPRODUCT(($AZ25&gt;INDEX('Methodology &amp; Sources'!$B$91:$J$98,0,4))*($AZ25-INDEX('Methodology &amp; Sources'!$B$91:$J$98,0,4))*INDEX('Methodology &amp; Sources'!$B$91:$J$98,0,4+2))),IF($AN25="SC",SUMPRODUCT(($AZ25&gt;INDEX('Methodology &amp; Sources'!$B$219:$J$223,0,1))*($AZ25-INDEX('Methodology &amp; Sources'!$B$219:$J$223,0,1))*INDEX('Methodology &amp; Sources'!$B$219:$J$223,0,1+2)),IF($AN25="VA",SUMPRODUCT(($AZ25&gt;INDEX('Methodology &amp; Sources'!$B$219:$J$223,0,4))*($AZ25-INDEX('Methodology &amp; Sources'!$B$219:$J$223,0,4))*INDEX('Methodology &amp; Sources'!$B$219:$J$223,0,4+2)),IF($AN25="WI",SUMPRODUCT(($AZ25&gt;INDEX('Methodology &amp; Sources'!$B$228:$J$232,0,4))*($AZ25-INDEX('Methodology &amp; Sources'!$B$228:$J$232,0,4))*INDEX('Methodology &amp; Sources'!$B$228:$J$232,0,4+2)),"")))))))</f>
      </c>
      <c r="BZ25" s="24">
        <f>IF($B25="","",IF($AN25="NJ",IF(Inputs!$C$77="B",SUMPRODUCT(($AZ25&gt;=INDEX('Methodology &amp; Sources'!$B$155:$J$162,0,4))*INDEX('Methodology &amp; Sources'!$B$155:$J$162,0,4+2)),IF(Inputs!$C$77="C",SUMPRODUCT(($AZ25&gt;=INDEX('Methodology &amp; Sources'!$B$155:$J$162,0,7))*INDEX('Methodology &amp; Sources'!$B$155:$J$162,0,7+2)),IF(Inputs!$C$77="D",SUMPRODUCT(($AZ25&gt;=INDEX('Methodology &amp; Sources'!$B$167:$J$179,0,1))*INDEX('Methodology &amp; Sources'!$B$167:$J$179,0,1+2)),IF(Inputs!$C$77="E",SUMPRODUCT(($AZ25&gt;=INDEX('Methodology &amp; Sources'!$B$167:$J$179,0,4))*INDEX('Methodology &amp; Sources'!$B$167:$J$179,0,4+2)),SUMPRODUCT(($AZ25&gt;=INDEX('Methodology &amp; Sources'!$B$155:$J$162,0,1))*INDEX('Methodology &amp; Sources'!$B$155:$J$162,0,1+2)))))),IF($AN25="OR",IF(OR($AU25="Married",AND($AU25="Single",$AS25&gt;=3)),SUMPRODUCT((MAX(0,$AY25-MIN(($P25-'Methodology &amp; Sources'!$C$10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Sources'!$B$211:$J$214,0,4))*INDEX('Methodology &amp; Sources'!$B$211:$J$214,0,4+2)),SUMPRODUCT((MAX(0,$AY25-MIN(($P25-'Methodology &amp; Sources'!$C$10*$D25)*Inputs!$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Sources'!$B$211:$J$214,0,1))*INDEX('Methodology &amp; Sources'!$B$211:$J$214,0,1+2)))*IF(($P25-'Methodology &amp; Sources'!$C$10*$D25)*Inputs!$C$8&gt;=IF(OR($AU25="Married",AND($AU25="Single",$AS25&gt;=3)),IF($AY25&lt;250000,8750,IF($AY25&lt;260000,7000,IF($AY25&lt;270000,5250,IF($AY25&lt;280000,3500,IF($AY25&lt;290000,1750,0))))),IF($AY25&lt;125000,8750,IF($AY25&lt;130000,7000,IF($AY25&lt;135000,5250,IF($AY25&lt;140000,3500,IF($AY25&lt;145000,1750,0)))))),1,1-IF(Inputs!$C$13,SUMPRODUCT(($AH25&gt;=INDEX('Methodology &amp; Sources'!$B$29:$J$36,0,IF(Inputs!$C$12="MFJ",1,IF(Inputs!$C$12="HoH",7,4))))*INDEX('Methodology &amp; Sources'!$B$29:$J$36,0,IF(Inputs!$C$12="MFJ",1,IF(Inputs!$C$12="HoH",7,4))+2)),SUMPRODUCT(($AH25&gt;=INDEX('Methodology &amp; Sources'!$B$19:$J$26,0,IF(Inputs!$C$12="MFJ",1,IF(Inputs!$C$12="HoH",7,4))))*INDEX('Methodology &amp; Sources'!$B$19:$J$26,0,IF(Inputs!$C$12="MFJ",1,IF(Inputs!$C$12="HoH",7,4))+2)))),IF($AN25="MI",IF($AY25&gt;5900*$AS25,0.0425,0),""))))</f>
      </c>
      <c r="CA25" s="24">
        <f>IF($B25="","",IF($AN25="AL",IF(OR($AU25="Married",$AU25="Head of household"),SUMPRODUCT(($AZ25&gt;=INDEX('Methodology &amp; Sources'!$B$82:$J$86,0,4))*INDEX('Methodology &amp; Sources'!$B$82:$J$86,0,4+2)),SUMPRODUCT(($AZ25&gt;=INDEX('Methodology &amp; Sources'!$B$82:$J$86,0,1))*INDEX('Methodology &amp; Sources'!$B$82:$J$86,0,1+2)))*(1-IF(Inputs!$C$13,SUMPRODUCT(($AH25&gt;=INDEX('Methodology &amp; Sources'!$B$29:$J$36,0,IF(Inputs!$C$12="MFJ",1,IF(Inputs!$C$12="HoH",7,4))))*INDEX('Methodology &amp; Sources'!$B$29:$J$36,0,IF(Inputs!$C$12="MFJ",1,IF(Inputs!$C$12="HoH",7,4))+2)),SUMPRODUCT(($AH25&gt;=INDEX('Methodology &amp; Sources'!$B$19:$J$26,0,IF(Inputs!$C$12="MFJ",1,IF(Inputs!$C$12="HoH",7,4))))*INDEX('Methodology &amp; Sources'!$B$19:$J$26,0,IF(Inputs!$C$12="MFJ",1,IF(Inputs!$C$12="HoH",7,4))+2)))),IF($AN25="KS",IF($AU25="Married",SUMPRODUCT(($AZ25&gt;=INDEX('Methodology &amp; Sources'!$B$103:$J$109,0,4))*INDEX('Methodology &amp; Sources'!$B$103:$J$109,0,4+2)),SUMPRODUCT(($AZ25&gt;=INDEX('Methodology &amp; Sources'!$B$103:$J$109,0,1))*INDEX('Methodology &amp; Sources'!$B$103:$J$109,0,1+2))),IF($AN25="MD",IF(OR($AU25="Married",$AU25="Head of household"),SUMPRODUCT(($AZ25&gt;=INDEX('Methodology &amp; Sources'!$B$114:$J$120,0,1))*INDEX('Methodology &amp; Sources'!$B$114:$J$120,0,1+2)),SUMPRODUCT(($AZ25&gt;=INDEX('Methodology &amp; Sources'!$B$103:$J$109,0,7))*INDEX('Methodology &amp; Sources'!$B$103:$J$109,0,7+2)))+Inputs!$C$74,IF($AN25="MT",IF($AU25="Head of household",SUMPRODUCT(($AZ25&gt;=INDEX('Methodology &amp; Sources'!$B$137:$J$139,0,1))*INDEX('Methodology &amp; Sources'!$B$137:$J$139,0,1+2)),IF($AU25="Married",SUMPRODUCT(($AZ25&gt;=INDEX('Methodology &amp; Sources'!$B$125:$J$132,0,7))*INDEX('Methodology &amp; Sources'!$B$125:$J$132,0,7+2)),SUMPRODUCT(($AZ25&gt;=INDEX('Methodology &amp; Sources'!$B$125:$J$132,0,4))*INDEX('Methodology &amp; Sources'!$B$125:$J$132,0,4+2)))),IF($AN25="ND",IF($AU25="Head of household",SUMPRODUCT(($AZ25&gt;=INDEX('Methodology &amp; Sources'!$B$144:$J$150,0,1))*INDEX('Methodology &amp; Sources'!$B$144:$J$150,0,1+2)),IF($AU25="Married",SUMPRODUCT(($AZ25&gt;=INDEX('Methodology &amp; Sources'!$B$137:$J$139,0,7))*INDEX('Methodology &amp; Sources'!$B$137:$J$139,0,7+2)),SUMPRODUCT(($AZ25&gt;=INDEX('Methodology &amp; Sources'!$B$137:$J$139,0,4))*INDEX('Methodology &amp; Sources'!$B$137:$J$139,0,4+2)))),IF($AN25="NY",IF($AU25="Married",IF($AZ25&gt;=2155350,IF($AZ25&gt;25000000,0.117,IF($AZ25&gt;5000000,0.111,0.1045)),SUMPRODUCT(($AZ25&gt;=INDEX('Methodology &amp; Sources'!$B$184:$J$198,0,1))*INDEX('Methodology &amp; Sources'!$B$184:$J$198,0,1+2))),IF($AZ25&gt;=1077550,IF($AZ25&gt;25000000,0.117,IF($AZ25&gt;5000000,0.111,0.1045)),SUMPRODUCT(($AZ25&gt;=INDEX('Methodology &amp; Sources'!$B$167:$J$179,0,7))*INDEX('Methodology &amp; Sources'!$B$167:$J$179,0,7+2)))),"")))))))</f>
      </c>
      <c r="CB25" s="24">
        <f>IF($B25="","",IF($AN25="CA",SUMPRODUCT(($AJ25&gt;=INDEX('Methodology &amp; Sources'!$B$39:$J$48,0,IF($AU25="Married",4,IF($AU25="Head of household",7,1))))*INDEX('Methodology &amp; Sources'!$B$39:$J$48,0,IF($AU25="Married",4,IF($AU25="Head of household",7,1))+2)),IF($AN25="HI",IF($AU25="Married",SUMPRODUCT(($AZ25&gt;=INDEX('Methodology &amp; Sources'!$B$91:$J$98,0,7))*INDEX('Methodology &amp; Sources'!$B$91:$J$98,0,7+2)),SUMPRODUCT(($AZ25&gt;=INDEX('Methodology &amp; Sources'!$B$91:$J$98,0,4))*INDEX('Methodology &amp; Sources'!$B$91:$J$98,0,4+2))),IF($AN25="MN",IF($AU25="Married",SUMPRODUCT(($AZ25&gt;=INDEX('Methodology &amp; Sources'!$B$114:$J$120,0,7))*INDEX('Methodology &amp; Sources'!$B$114:$J$120,0,7+2)),SUMPRODUCT(($AZ25&gt;=INDEX('Methodology &amp; Sources'!$B$114:$J$120,0,4))*INDEX('Methodology &amp; Sources'!$B$114:$J$120,0,4+2))),IF($AN25="MO",SUMPRODUCT(($AZ25&gt;=INDEX('Methodology &amp; Sources'!$B$125:$J$132,0,1))*INDEX('Methodology &amp; Sources'!$B$125:$J$132,0,1+2)),IF($AN25="NE",MAX(IF($AU25="Married",SUMPRODUCT(($AZ25&gt;=INDEX('Methodology &amp; Sources'!$B$144:$J$150,0,7))*INDEX('Methodology &amp; Sources'!$B$144:$J$150,0,7+2)),SUMPRODUCT(($AZ25&gt;=INDEX('Methodology &amp; Sources'!$B$144:$J$150,0,4))*INDEX('Methodology &amp; Sources'!$B$144:$J$150,0,4+2))),0.015),IF($AN25="OH",IF($B25&gt;=DATE(2027,8,1),SUMPRODUCT(($AZ25&gt;=INDEX('Methodology &amp; Sources'!$B$203:$J$206,0,1))*INDEX('Methodology &amp; Sources'!$B$203:$J$206,0,1+2)),SUMPRODUCT(($AZ25&gt;=INDEX('Methodology &amp; Sources'!$B$184:$J$198,0,7))*INDEX('Methodology &amp; Sources'!$B$184:$J$198,0,7+2))),IF($AN25="OK",IF($AU25="Married",SUMPRODUCT(($AZ25&gt;=INDEX('Methodology &amp; Sources'!$B$203:$J$206,0,7))*INDEX('Methodology &amp; Sources'!$B$203:$J$206,0,7+2)),SUMPRODUCT(($AZ25&gt;=INDEX('Methodology &amp; Sources'!$B$203:$J$206,0,4))*INDEX('Methodology &amp; Sources'!$B$203:$J$206,0,4+2))),IF($AN25="RI",SUMPRODUCT(($AZ25&gt;=INDEX('Methodology &amp; Sources'!$B$211:$J$214,0,7))*INDEX('Methodology &amp; Sources'!$B$211:$J$214,0,7+2)),IF($AN25="SC",SUMPRODUCT(($AZ25&gt;=INDEX('Methodology &amp; Sources'!$B$219:$J$223,0,1))*INDEX('Methodology &amp; Sources'!$B$219:$J$223,0,1+2)),IF($AN25="VT",IF($AU25="Married",SUMPRODUCT(($AZ25&gt;=INDEX('Methodology &amp; Sources'!$B$228:$J$232,0,1))*INDEX('Methodology &amp; Sources'!$B$228:$J$232,0,1+2)),SUMPRODUCT(($AZ25&gt;=INDEX('Methodology &amp; Sources'!$B$219:$J$223,0,7))*INDEX('Methodology &amp; Sources'!$B$219:$J$223,0,7+2))),IF($AN25="WV",IF($AU25="Married",SUMPRODUCT(($AZ25&gt;=INDEX('Methodology &amp; Sources'!$B$237:$J$241,0,7))*INDEX('Methodology &amp; Sources'!$B$237:$J$241,0,7+2)),SUMPRODUCT(($AZ25&gt;=INDEX('Methodology &amp; Sources'!$B$228:$J$232,0,7))*INDEX('Methodology &amp; Sources'!$B$228:$J$232,0,7+2))),IF($AN25="IN",(0.0295+Inputs!$C$76),"")))))))))))))</f>
      </c>
      <c r="CC25" s="24">
        <f>IF($B25="","",IF($AN25="AR",SUMPRODUCT(($AZ25&gt;=INDEX('Methodology &amp; Sources'!$B$82:$J$86,0,7))*INDEX('Methodology &amp; Sources'!$B$82:$J$86,0,7+2)),IF($AN25="DE",SUMPRODUCT(($AZ25&gt;=INDEX('Methodology &amp; Sources'!$B$91:$J$98,0,1))*INDEX('Methodology &amp; Sources'!$B$91:$J$98,0,1+2)),IF($AN25="VA",SUMPRODUCT(($AZ25&gt;=INDEX('Methodology &amp; Sources'!$B$219:$J$223,0,4))*INDEX('Methodology &amp; Sources'!$B$219:$J$223,0,4+2)),IF($AN25="WI",SUMPRODUCT(($AZ25&gt;=INDEX('Methodology &amp; Sources'!$B$228:$J$232,0,4))*INDEX('Methodology &amp; Sources'!$B$228:$J$232,0,4+2)),IF($AN25="AZ",Inputs!$C$82,IF($AN25="CO",IF($AY25&gt;IF($AU25="Married",10000,5000),0.044,0),IF($AN25="IA",IF($AY25&gt;IF($AU25="Head of household",19500,IF($AU25="Married",26000,13000)),0.038,0),IF($AN25="ID",IF($AY25&gt;IF($AU25="Married",32000,16094),0.053,0),IF($AN25="IL",IF($AY25&gt;(2925*$AS25+1000*$AT25),0.0495,0),IF($AN25="KY",IF($AI25&gt;3360,0.035,0),IF($AN25="LA",0.0309,IF($AN25="MA",IF(MAX(0,$AY25-MIN(($BD24+$Q25+$R25+$S25),2000)-IF($AS25=0,0,IF($AS25=1,4400,1000*$AS25+3400)))&gt;=1107750,0.09,0.05),IF($AN25="MS",IF($AI25-IF($AU25="Head of household",3400,IF($AU25="Married",4600,2300))-Inputs!$C$85&gt;10000,0.04,0),IF($AN25="PA",0.0307,"")))))))))))))))</f>
      </c>
      <c r="CD25" s="21">
        <f>IF(YEAR(IF(Inputs!$C$7="Weekly",Inputs!$C$90+7*(($BE24+1)-1),IF(Inputs!$C$7="Biweekly",Inputs!$C$90+14*(($BE24+1)-1),IF(Inputs!$C$7="Semimonthly",DATE(YEAR(Inputs!$C$9),MONTH(Inputs!$C$9)+INT((($BE24+1)-1+'Rest of 2026'!$C$2)/2),MIN(DAY(Inputs!$C$9),DAY(EOMONTH(DATE(YEAR(Inputs!$C$9),MONTH(Inputs!$C$9)+INT((($BE24+1)-1+'Rest of 2026'!$C$2)/2),1),0))))+IF(MOD(($BE24+1)-1+'Rest of 2026'!$C$2,2)=1,15,0),EDATE(Inputs!$C$90,($BE24+1)-1)))))&lt;&gt;Inputs!$C$10,"",IF(Inputs!$C$7="Weekly",Inputs!$C$90+7*(($BE24+1)-1),IF(Inputs!$C$7="Biweekly",Inputs!$C$90+14*(($BE24+1)-1),IF(Inputs!$C$7="Semimonthly",DATE(YEAR(Inputs!$C$9),MONTH(Inputs!$C$9)+INT((($BE24+1)-1+'Rest of 2026'!$C$2)/2),MIN(DAY(Inputs!$C$9),DAY(EOMONTH(DATE(YEAR(Inputs!$C$9),MONTH(Inputs!$C$9)+INT((($BE24+1)-1+'Rest of 2026'!$C$2)/2),1),0))))+IF(MOD(($BE24+1)-1+'Rest of 2026'!$C$2,2)=1,15,0),EDATE(Inputs!$C$90,($BE24+1)-1)))))</f>
      </c>
      <c r="CE25" s="21">
        <f>IF(SUMPRODUCT(MIN(IF((Inputs!$C$58:$C$67&gt;MAX($B$6:$B24))*(Inputs!$C$58:$C$67&gt;=DATE(Inputs!$C$10,1,1))*(Inputs!$C$58:$C$67&lt;=DATE(Inputs!$C$10,12,31)),Inputs!$C$58:$C$67,999999)))=999999,"",SUMPRODUCT(MIN(IF((Inputs!$C$58:$C$67&gt;MAX($B$6:$B24))*(Inputs!$C$58:$C$67&gt;=DATE(Inputs!$C$10,1,1))*(Inputs!$C$58:$C$67&lt;=DATE(Inputs!$C$10,12,31)),Inputs!$C$58:$C$67,999999))))</f>
      </c>
    </row>
    <row r="26">
      <c r="A26" t="n">
        <v>21</v>
      </c>
      <c r="B26" s="21">
        <f>IF(AND($CD26="",$CE26=""),"",IF($CE26="",$CD26,IF($CD26="",$CE26,MIN($CD26,$CE26))))</f>
      </c>
      <c r="C26" s="7">
        <f>IF($B26="","",IF($BF26=0,0,IF(Inputs!$C$4="Annual salary",ROUND($AK26/IF(AND(Inputs!$C$88="Actual paydays",MONTH(Inputs!$C$90)=1),MAX(1,MAX($BE$6:$BE$68)),Inputs!$C$8),2),$AK26)))</f>
      </c>
      <c r="D26" s="7">
        <f>IF($B26="","",SUMIF(Inputs!$C$58:$C$67,$B26,Inputs!$D$58:$D$67))</f>
      </c>
      <c r="E26" s="7">
        <f>IF($B26="","",ROUND(MAX(0,MIN(IF($AL26="Percent",$AM26*($C26+$D26),$AM26),MAX(0,Inputs!$C$34-$AC25))),2))</f>
      </c>
      <c r="F26" s="7">
        <f>IF($B26="","",ROUND(MAX(0,MIN(IF(Inputs!$C$32="Percent",Inputs!$D$32*($C26+$D26),Inputs!$D$32),MAX(0,Inputs!$C$34-$AC25-$E26))),2))</f>
      </c>
      <c r="G26" s="7">
        <f>IF($B26="","",IF($BF26=0,0,ROUND(MAX(0,MIN($BL26,Inputs!$C$37-Inputs!$C$99-$BI25)),2)))</f>
      </c>
      <c r="H26" s="7">
        <f>IF($B26="","",IF(OR($BF26=0,$BQ26=1),0,ROUND(MAX(0,MIN(IF($BS26=1,ROUND(MAX(0,MIN($BJ26,'Methodology &amp; Sources'!$C$13)-$BG25)/MAX(1,MAX($BE$6:$BE$68)-($BE25)),2),ROUND(MIN($BJ26,'Methodology &amp; Sources'!$C$13)/Inputs!$C$8,2)),MIN($BJ26,'Methodology &amp; Sources'!$C$13)-$BG25)),2)))</f>
      </c>
      <c r="I26" s="7">
        <f>IF($B26="","",IF(OR($BF26=0,$BR26=1),0,ROUND(MAX(0,MIN(IF($BT26=1,ROUND(MAX(0,MIN($BK26,IF(Inputs!$C$12="MFJ",'Methodology &amp; Sources'!$C$14,'Methodology &amp; Sources'!$C$15))-$BH25)/MAX(1,MAX($BE$6:$BE$68)-($BE25)),2),ROUND(MIN($BK26,IF(Inputs!$C$12="MFJ",'Methodology &amp; Sources'!$C$14,'Methodology &amp; Sources'!$C$15))/Inputs!$C$8,2)),MIN($BK26,IF(Inputs!$C$12="MFJ",'Methodology &amp; Sources'!$C$14,'Methodology &amp; Sources'!$C$15))-$BH25)),2)))</f>
      </c>
      <c r="J26" s="7">
        <f>IF($B26="","",IF($BF26=0,0,$BM26))</f>
      </c>
      <c r="K26" s="7">
        <f>IF($B26="","",IF($BF26=0,0,$BN26+$BO26))</f>
      </c>
      <c r="L26" s="7">
        <f>IF($B26="","",IF($BF26=0,0,Inputs!$D$46))</f>
      </c>
      <c r="M26" s="7">
        <f>IF($B26="","",$C26+$D26+$L26-$E26-$G26-$H26-$I26-$J26-$K26)</f>
      </c>
      <c r="N26" s="7">
        <f>IF($B26="","",$C26+$D26+$L26-$G26-$H26-$I26-$J26-$K26)</f>
      </c>
      <c r="O26" s="7">
        <f>IF($B26="","",$C26+$D26+$L26-$E26-$H26-$I26-$J26-$K26-IF(OR($AN26="CA",$AN26="NJ"),0,$G26))</f>
      </c>
      <c r="P26" s="7">
        <f>IF($B26="","",IF(Inputs!$C$18,0,ROUND(MAX(0,IF(Inputs!$C$13,SUMPRODUCT(($AH26&gt;INDEX('Methodology &amp; Sources'!$B$29:$J$36,0,IF(Inputs!$C$12="MFJ",1,IF(Inputs!$C$12="HoH",7,4))))*($AH26-INDEX('Methodology &amp; Sources'!$B$29:$J$36,0,IF(Inputs!$C$12="MFJ",1,IF(Inputs!$C$12="HoH",7,4))))*INDEX('Methodology &amp; Sources'!$B$29:$J$36,0,IF(Inputs!$C$12="MFJ",1,IF(Inputs!$C$12="HoH",7,4))+2)),SUMPRODUCT(($AH26&gt;INDEX('Methodology &amp; Sources'!$B$19:$J$26,0,IF(Inputs!$C$12="MFJ",1,IF(Inputs!$C$12="HoH",7,4))))*($AH26-INDEX('Methodology &amp; Sources'!$B$19:$J$26,0,IF(Inputs!$C$12="MFJ",1,IF(Inputs!$C$12="HoH",7,4))))*INDEX('Methodology &amp; Sources'!$B$19:$J$26,0,IF(Inputs!$C$12="MFJ",1,IF(Inputs!$C$12="HoH",7,4))+2)))/Inputs!$C$8-$AO26/Inputs!$C$8)+$AR26+IF(Inputs!$C$89="Aggregate",MAX(0,IF(Inputs!$C$13,SUMPRODUCT((($AH26+$D26)&gt;INDEX('Methodology &amp; Sources'!$B$29:$J$36,0,IF(Inputs!$C$12="MFJ",1,IF(Inputs!$C$12="HoH",7,4))))*(($AH26+$D26)-INDEX('Methodology &amp; Sources'!$B$29:$J$36,0,IF(Inputs!$C$12="MFJ",1,IF(Inputs!$C$12="HoH",7,4))))*INDEX('Methodology &amp; Sources'!$B$29:$J$36,0,IF(Inputs!$C$12="MFJ",1,IF(Inputs!$C$12="HoH",7,4))+2)),SUMPRODUCT((($AH26+$D26)&gt;INDEX('Methodology &amp; Sources'!$B$19:$J$26,0,IF(Inputs!$C$12="MFJ",1,IF(Inputs!$C$12="HoH",7,4))))*(($AH26+$D26)-INDEX('Methodology &amp; Sources'!$B$19:$J$26,0,IF(Inputs!$C$12="MFJ",1,IF(Inputs!$C$12="HoH",7,4))))*INDEX('Methodology &amp; Sources'!$B$19:$J$26,0,IF(Inputs!$C$12="MFJ",1,IF(Inputs!$C$12="HoH",7,4))+2)))-IF(Inputs!$C$13,SUMPRODUCT(($AH26&gt;INDEX('Methodology &amp; Sources'!$B$29:$J$36,0,IF(Inputs!$C$12="MFJ",1,IF(Inputs!$C$12="HoH",7,4))))*($AH26-INDEX('Methodology &amp; Sources'!$B$29:$J$36,0,IF(Inputs!$C$12="MFJ",1,IF(Inputs!$C$12="HoH",7,4))))*INDEX('Methodology &amp; Sources'!$B$29:$J$36,0,IF(Inputs!$C$12="MFJ",1,IF(Inputs!$C$12="HoH",7,4))+2)),SUMPRODUCT(($AH26&gt;INDEX('Methodology &amp; Sources'!$B$19:$J$26,0,IF(Inputs!$C$12="MFJ",1,IF(Inputs!$C$12="HoH",7,4))))*($AH26-INDEX('Methodology &amp; Sources'!$B$19:$J$26,0,IF(Inputs!$C$12="MFJ",1,IF(Inputs!$C$12="HoH",7,4))))*INDEX('Methodology &amp; Sources'!$B$19:$J$26,0,IF(Inputs!$C$12="MFJ",1,IF(Inputs!$C$12="HoH",7,4))+2)))),'Methodology &amp; Sources'!$C$10*$D26),2)))</f>
      </c>
      <c r="Q26" s="7">
        <f>IF($B26="","",ROUND('Methodology &amp; Sources'!$C$4*MIN($N26,MAX(0,'Methodology &amp; Sources'!$C$3-($AX26+$AB25-$AW26))),2))</f>
      </c>
      <c r="R26" s="7">
        <f>IF($B26="","",ROUND('Methodology &amp; Sources'!$C$5*$N26,2))</f>
      </c>
      <c r="S26" s="7">
        <f>IF($B26="","",ROUND('Methodology &amp; Sources'!$C$6*MAX(0,MIN($N26,$AG25+$N26-'Methodology &amp; Sources'!$C$7)),2))</f>
      </c>
      <c r="T26" s="7">
        <f>IF($B26="","",IF(Inputs!$C$26,0,IF($AN26="CA",ROUND(IF($AI26&lt;=IF(($AS26+$AT26)&gt;=2,VLOOKUP($AN26,StateTables!$A$6:$AB$56,10,FALSE),VLOOKUP($AN26,StateTables!$A$6:$AB$56,9,FALSE)),0,MAX(0,SUMPRODUCT(($AJ26&gt;INDEX('Methodology &amp; Sources'!$B$39:$J$48,0,IF($AU26="Married",4,IF($AU26="Head of household",7,1))))*($AJ26-INDEX('Methodology &amp; Sources'!$B$39:$J$48,0,IF($AU26="Married",4,IF($AU26="Head of household",7,1))))*INDEX('Methodology &amp; Sources'!$B$39:$J$48,0,IF($AU26="Married",4,IF($AU26="Head of household",7,1))+2))-VLOOKUP($AN26,StateTables!$A$6:$AB$56,11,FALSE)*$AS26)/Inputs!$C$8)+Inputs!$C$25+VLOOKUP($AN26,StateTables!$A$6:$AB$56,13,FALSE)*$D26,2),IF(VLOOKUP($AN26,StateTables!$A$6:$AB$56,4,FALSE)="None",0,IF(ISNUMBER(SEARCH("MANUAL",VLOOKUP($AN26,StateTables!$A$6:$AB$56,5,FALSE))),Inputs!$C$28,ROUND(MAX(0,$BA26+$BB26)/Inputs!$C$8+Inputs!$C$25+$BC26,2))))))</f>
      </c>
      <c r="U26" s="7">
        <f>IF($B26="","",IF(VLOOKUP($AN26,StateTables!$A$6:$AB$56,24,FALSE)="flatq",IF(OR(MONTH($B26)=1,MONTH($B26)=4,MONTH($B26)=7,MONTH($B26)=10),VLOOKUP($AN26,StateTables!$A$6:$AB$56,25,FALSE),0),IF(VLOOKUP($AN26,StateTables!$A$6:$AB$56,24,FALSE)="dbl",MIN(ROUND(0.005*$N26,2),ROUND(0.6*52/Inputs!$C$8,2)),IF(OR(VLOOKUP($AN26,StateTables!$A$6:$AB$56,15,FALSE)="",VLOOKUP($AN26,StateTables!$A$6:$AB$56,15,FALSE)=0),0,ROUND(VLOOKUP($AN26,StateTables!$A$6:$AB$56,15,FALSE)*IF(OR(VLOOKUP($AN26,StateTables!$A$6:$AB$56,16,FALSE)="",VLOOKUP($AN26,StateTables!$A$6:$AB$56,16,FALSE)=0),$N26,MIN($N26,MAX(0,VLOOKUP($AN26,StateTables!$A$6:$AB$56,16,FALSE)-($AX26+$AB25-$AW26)))),2))))+IF(VLOOKUP($AN26,StateTables!$A$6:$AB$56,27,FALSE)="flatq",IF(OR(MONTH($B26)=1,MONTH($B26)=4,MONTH($B26)=7,MONTH($B26)=10),VLOOKUP($AN26,StateTables!$A$6:$AB$56,28,FALSE),0),IF(VLOOKUP($AN26,StateTables!$A$6:$AB$56,27,FALSE)="dbl",MIN(ROUND(0.005*$N26,2),ROUND(0.6*52/Inputs!$C$8,2)),IF(OR(VLOOKUP($AN26,StateTables!$A$6:$AB$56,18,FALSE)="",VLOOKUP($AN26,StateTables!$A$6:$AB$56,18,FALSE)=0),0,ROUND(VLOOKUP($AN26,StateTables!$A$6:$AB$56,18,FALSE)*IF(OR(VLOOKUP($AN26,StateTables!$A$6:$AB$56,19,FALSE)="",VLOOKUP($AN26,StateTables!$A$6:$AB$56,19,FALSE)=0),$N26,MIN($N26,MAX(0,VLOOKUP($AN26,StateTables!$A$6:$AB$56,19,FALSE)-($AX26+$AB25-$AW26)))),2)))))</f>
      </c>
      <c r="V26" s="7">
        <f>IF($B26="","",IF($AN26="NY",IF(Inputs!$C$78,ROUND(SUMPRODUCT((MAX(0,($O26-$D26)*Inputs!$C$8-(IF($AU26="Married",5500,5000)+1000*$AS26))&gt;INDEX('Methodology &amp; Sources'!$B$184:$J$198,0,4))*(MAX(0,($O26-$D26)*Inputs!$C$8-(IF($AU26="Married",5500,5000)+1000*$AS26))-INDEX('Methodology &amp; Sources'!$B$184:$J$198,0,4))*INDEX('Methodology &amp; Sources'!$B$184:$J$198,0,4+2))/Inputs!$C$8+0.0425*$D26,2),0)+IF(Inputs!$C$79="Resident",ROUND(0.1675*$T26,2),IF(Inputs!$C$79="Nonresident",ROUND(0.005*MAX(0,($O26-$D26)-(IF($AU26="Married",7950,7400)+1000*$AS26)/Inputs!$C$8),2),0)),IF($AN26="PA",IF(Inputs!$C$80="None",Inputs!$C$27+ROUND(Inputs!$C$81*($C26+$D26),2),ROUND(IF(Inputs!$C$80="Resident",IF($B26&lt;DATE(2027,7,1),0.03735,0.03735),IF($B26&lt;DATE(2027,7,1),0.03425,0.03425))*($C26+$D26),2)),IF($BF26=0,ROUND(Inputs!$C$81*($C26+$D26),2),Inputs!$C$27+ROUND(Inputs!$C$81*($C26+$D26),2)))))</f>
      </c>
      <c r="W26" s="7">
        <f>IF($B26="","",IF($BF26=0,0,$BP26))</f>
      </c>
      <c r="X26" s="7">
        <f>IF($B26="","",SUM($E26:$K26)+$P26+$Q26+$R26+$S26+$T26+$U26+$V26+$W26)</f>
      </c>
      <c r="Y26" s="22">
        <f>IF($B26="","",$C26+$D26-$X26)</f>
      </c>
      <c r="Z26" s="7">
        <f>IF($B26="","",$Z25+$C26+$D26)</f>
      </c>
      <c r="AA26" s="7">
        <f>IF($B26="","",$AA25+$Y26)</f>
      </c>
      <c r="AB26" s="7">
        <f>IF($B26="","",$AB25+MIN($N26,MAX(0,'Methodology &amp; Sources'!$C$3-($AX26+$AB25-$AW26))))</f>
      </c>
      <c r="AC26" s="7">
        <f>IF($B26="","",$AC25+$E26+$F26)</f>
      </c>
      <c r="AD26" s="3">
        <f>IF($B26="","",IF(AND($AB25&lt;'Methodology &amp; Sources'!$C$3,$AB26&gt;='Methodology &amp; Sources'!$C$3),"★ Social Security maxed on this check — from the next check your net rises by about $"&amp;TEXT(ROUND('Methodology &amp; Sources'!$C$4*$N26,2),"#,##0.00")&amp;". ","")&amp;IF(AND($AC25&lt;Inputs!$C$34,$AC26&gt;=Inputs!$C$34),"★ 401(k) reaches the $"&amp;TEXT(Inputs!$C$34,"#,##0")&amp;" cap on this check — deferrals stop and net pay rises. ","")&amp;IF(AND($AG25&lt;'Methodology &amp; Sources'!$C$7,$AG26&gt;='Methodology &amp; Sources'!$C$7),"★ Wages pass $200,000 — the 0.9% Additional Medicare Tax starts here. ","")&amp;IF(AND($BJ26&gt;0,$H26&gt;0,$BG25&lt;MIN($BJ26,'Methodology &amp; Sources'!$C$13),$BG25+$H26&gt;=MIN($BJ26,'Methodology &amp; Sources'!$C$13)),"★ Health FSA election is now fully deferred for the year. ",""))</f>
      </c>
      <c r="AE26" s="41" t="n"/>
      <c r="AF26" s="7">
        <f>IF(OR($B26="",$AE26=""),"",$AE26-$Y26)</f>
      </c>
      <c r="AG26" s="7">
        <f>IF($B26="","",$AG25+$N26)</f>
      </c>
      <c r="AH26" s="7">
        <f>IF($B26="","",MAX(0,($M26-$D26)*Inputs!$C$8+$AP26-$AQ26-IF(Inputs!$C$13,0,IF(Inputs!$C$12="MFJ",'Methodology &amp; Sources'!$C$8,'Methodology &amp; Sources'!$C$9))))</f>
      </c>
      <c r="AI26" s="7">
        <f>IF($B26="","",$O26*Inputs!$C$8)</f>
      </c>
      <c r="AJ26" s="7">
        <f>IF($B26="","",MAX(0,$AI26-VLOOKUP($AN26,StateTables!$A$6:$AB$56,12,FALSE)*$AT26-IF(($AS26+$AT26)&gt;=2,VLOOKUP($AN26,StateTables!$A$6:$AB$56,8,FALSE),VLOOKUP($AN26,StateTables!$A$6:$AB$56,7,FALSE))))</f>
      </c>
      <c r="AK26" s="7">
        <f>IF($B26="","",IFERROR(LOOKUP(2,1/((Events!$C$6:$C$17="Salary change")*(Events!$B$6:$B$17&lt;=$B26)*(Events!$B$6:$B$17&lt;&gt;"")),Events!$D$6:$D$17),IF(Inputs!$C$4="Annual salary",Inputs!$C$5,Inputs!$C$6)))</f>
      </c>
      <c r="AL26">
        <f>IF($B26="","",IFERROR(LOOKUP(2,1/((Events!$C$6:$C$17="401(k) change")*(Events!$B$6:$B$17&lt;=$B26)*(Events!$B$6:$B$17&lt;&gt;"")),Events!$D$6:$D$17),Inputs!$C$30))</f>
      </c>
      <c r="AM26" s="7">
        <f>IF($B26="","",IFERROR(LOOKUP(2,1/((Events!$C$6:$C$17="401(k) change")*(Events!$B$6:$B$17&lt;=$B26)*(Events!$B$6:$B$17&lt;&gt;"")),Events!$E$6:$E$17),Inputs!$D$30))</f>
      </c>
      <c r="AN26">
        <f>IF($B26="","",IFERROR(LOOKUP(2,1/((Events!$C$6:$C$17="State move")*(Events!$B$6:$B$17&lt;=$B26)*(Events!$B$6:$B$17&lt;&gt;"")),Events!$D$6:$D$17),Inputs!$C$21))</f>
      </c>
      <c r="AO26" s="7">
        <f>IF($B26="","",IFERROR(LOOKUP(2,1/((Events!$C$6:$C$17="W-4 change")*(Events!$B$6:$B$17&lt;=$B26)*(Events!$B$6:$B$17&lt;&gt;"")),Events!$D$6:$D$17),Inputs!$C$14))</f>
      </c>
      <c r="AP26" s="7">
        <f>IF($B26="","",IFERROR(LOOKUP(2,1/((Events!$C$6:$C$17="W-4 change")*(Events!$B$6:$B$17&lt;=$B26)*(Events!$B$6:$B$17&lt;&gt;"")),Events!$E$6:$E$17),Inputs!$C$15))</f>
      </c>
      <c r="AQ26" s="7">
        <f>IF($B26="","",IFERROR(LOOKUP(2,1/((Events!$C$6:$C$17="W-4 change")*(Events!$B$6:$B$17&lt;=$B26)*(Events!$B$6:$B$17&lt;&gt;"")),Events!$F$6:$F$17),Inputs!$C$16))</f>
      </c>
      <c r="AR26" s="7">
        <f>IF($B26="","",IFERROR(LOOKUP(2,1/((Events!$C$6:$C$17="W-4 change")*(Events!$B$6:$B$17&lt;=$B26)*(Events!$B$6:$B$17&lt;&gt;"")),Events!$G$6:$G$17),Inputs!$C$17))</f>
      </c>
      <c r="AS26" s="6">
        <f>IF($B26="","",IFERROR(LOOKUP(2,1/(((Events!$C$6:$C$17="State move")+(Events!$C$6:$C$17="State cert change"))*(Events!$B$6:$B$17&lt;=$B26)*(Events!$B$6:$B$17&lt;&gt;"")),Events!$F$6:$F$17),Inputs!$C$23))</f>
      </c>
      <c r="AT26" s="6">
        <f>IF($B26="","",IFERROR(LOOKUP(2,1/(((Events!$C$6:$C$17="State move")+(Events!$C$6:$C$17="State cert change"))*(Events!$B$6:$B$17&lt;=$B26)*(Events!$B$6:$B$17&lt;&gt;"")),Events!$G$6:$G$17),Inputs!$C$24))</f>
      </c>
      <c r="AU26">
        <f>IF($B26="","",IFERROR(LOOKUP(2,1/((Events!$C$6:$C$17="State move")*(Events!$B$6:$B$17&lt;=$B26)*(Events!$B$6:$B$17&lt;&gt;"")),Events!$E$6:$E$17),Inputs!$C$22))</f>
      </c>
      <c r="AV26" s="6">
        <f>IF($B26="","",1+COUNTIFS(Events!$C$6:$C$17,"Employer change",Events!$B$6:$B$17,"&lt;="&amp;$B26,Events!$B$6:$B$17,"&lt;&gt;"))</f>
      </c>
      <c r="AW26" s="7">
        <f>IF($B26="","",IF($AV26=1,Inputs!$C$94,IF(IFERROR(MATCH(IFERROR(LOOKUP(2,1/((Events!$C$6:$C$17="Employer change")*(Events!$B$6:$B$17&lt;=$B26)*(Events!$B$6:$B$17&lt;&gt;"")),Events!$B$6:$B$17),""),$B$6:$B$68,1),1)&lt;=1,Inputs!$C$94,INDEX($AB$6:$AB$68,MATCH(IFERROR(LOOKUP(2,1/((Events!$C$6:$C$17="Employer change")*(Events!$B$6:$B$17&lt;=$B26)*(Events!$B$6:$B$17&lt;&gt;"")),Events!$B$6:$B$17),""),$B$6:$B$68,1)-1))))</f>
      </c>
      <c r="AX26" s="7">
        <f>IF($B26="","",IF($AV26=1,Inputs!$C$94,IFERROR(LOOKUP(2,1/((Events!$C$6:$C$17="Employer change")*(Events!$B$6:$B$17&lt;=$B26)*(Events!$B$6:$B$17&lt;&gt;"")),Events!$D$6:$D$17),0)))</f>
      </c>
      <c r="AY26" s="7">
        <f>IF($B26="","",($O26-$D26)*Inputs!$C$8)</f>
      </c>
      <c r="AZ26" s="7">
        <f>IF($B26="","",IF($AN26="AL",MAX(0,$AY26-IF($AU26="Married",IF($AY26&lt;=25999,8500,MAX(5000,8500-175*CEILING(($AY26-25999)/500,1))),IF($AU26="Head of household",IF($AY26&lt;=25999,5200,MAX(2500,5200-135*CEILING(($AY26-25999)/500,1))),IF($AY26&lt;=25999,3000,MAX(2500,3000-25*CEILING(($AY26-25999)/500,1)))))-($P26-'Methodology &amp; Sources'!$C$10*$D26)*Inputs!$C$8-IF(OR($AU26="Married",$AU26="Head of household"),3000,1500)-$AT26*IF($AY26&lt;=50000,1000,IF($AY26&lt;=100000,500,300))),IF($AN26="AR",IF(MAX(0,$AY26-2470)&lt;97701,INT(MAX(0,$AY26-2470)/100)*100+50,MAX(0,$AY26-2470)),IF($AN26="DE",MAX(0,$AI26-3250),IF($AN26="HI",MAX(0,$AI26-1144*$AS26-4350),IF($AN26="KS",MAX(0,$AI26-(9160*IF($AU26="Married",2,1)+2320*$AT26+IF($AU26="Head of household",2320,0))),IF($AN26="MD",MAX(0,$AI26-3400-3200*$AS26),IF($AN26="MN",MAX(0,$AY26-5300*$AS26),IF($AN26="MO",MAX(0,$AI26-IF($AU26="Head of household",24150,IF($AU26="Married",IF(Inputs!$C$83,16100,32200),16100))),IF($AN26="MT",$AY26,IF($AN26="ND",($C26+$L26)*Inputs!$C$8,IF($AN26="NE",MAX(0,$AY26-2440*$AS26),IF($AN26="NJ",MAX(0,$AY26-1000*$AS26),IF($AN26="NY",MAX(0,$AY26-(IF($AU26="Married",7950,7400)+1000*$AS26)),IF($AN26="OH",MAX(0,$AY26-650*$AS26),IF($AN26="OK",MAX(0,$AY26-1000*$AS26),IF($AN26="RI",MAX(0,$AI26-1000*$AS26),IF($AN26="SC",MAX(0,$AI26-5000*$AS26-IF($AS26=0,0,MIN(0.1*$AI26,7500))),IF($AN26="VA",MAX(0,$AI26-IF($AU26="Married",17500,8750)-930*$AS26-800*$AT26),IF($AN26="VT",MAX(0,$AI26-5400*$AS26),IF($AN26="WI",MAX(0,$AI26-MAX(0,IF($AU26="Married",9461-0.2*MAX(0,$AI26-25727),6702-0.12*MAX(0,$AI26-17780)))-400*$AS26),IF($AN26="WV",MAX(0,$AI26-2000*$AS26),$AI26))))))))))))))))))))))</f>
      </c>
      <c r="BA26" s="7">
        <f>IF($B26="","",IF($BW26&lt;&gt;"",$BW26,IF($BX26&lt;&gt;"",$BX26,IF($BY26&lt;&gt;"",$BY26,0))))</f>
      </c>
      <c r="BB26" s="7">
        <f>IF($B26="","",IF($AN26="AR",-29*$AS26,IF($AN26="DE",-110*$AS26,IF($AN26="MD",$AZ26*Inputs!$C$74,IF($AN26="AZ",Inputs!$C$82*($M26-$D26)*Inputs!$C$8,IF($AN26="CO",0.044*MAX(0,$AY26-IF($AU26="Married",10000,5000)),IF($AN26="IA",MAX(0,0.038*MAX(0,$AY26-IF($AU26="Head of household",19500,IF($AU26="Married",26000,13000)))-40*$AS26),IF($AN26="ID",0.053*MAX(0,$AY26-IF($AU26="Married",32000,16094)),IF($AN26="IL",0.0495*MAX(0,$AY26-(2925*$AS26+1000*$AT26)),IF($AN26="IN",(0.0295+Inputs!$C$76)*MAX(0,$AY26-(1000*$AS26+1500*$AT26+3000*Inputs!$C$86)),IF($AN26="KY",0.035*MAX(0,$AI26-3360),IF($AN26="LA",IF(Inputs!$C$84="0",0.0309*$AI26,0.0309*MAX(0,$AI26-IF(Inputs!$C$84="2",25750,12875))),IF($AN26="MA",0.05*MIN(MAX(0,$AY26-MIN(($BD25+$Q26+$R26+$S26),2000)-IF($AS26=0,0,IF($AS26=1,4400,1000*$AS26+3400))),1107750)+0.09*MAX(0,MAX(0,$AY26-MIN(($BD25+$Q26+$R26+$S26),2000)-IF($AS26=0,0,IF($AS26=1,4400,1000*$AS26+3400)))-1107750)-IF($AU26="Head of household",120,0)-110*Inputs!$C$75,IF($AN26="MI",0.0425*MAX(0,$AY26-5900*$AS26),IF($AN26="MS",0.04*MAX(0,$AI26-IF($AU26="Head of household",3400,IF($AU26="Married",4600,2300))-Inputs!$C$85-10000),IF($AN26="OR",IF(OR($AU26="Married",AND($AU26="Single",$AS26&gt;=3)),SUMPRODUCT((MAX(0,$AY26-MIN(($P26-'Methodology &amp; Sources'!$C$10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Sources'!$B$211:$J$214,0,4))*(MAX(0,$AY26-MIN(($P26-'Methodology &amp; Sources'!$C$10*$D26)*Inputs!$C$8,IF(OR($AU26="Married",AND($AU26="Single",$AS26&gt;=3)),IF($AY26&lt;250000,8750,IF($AY26&lt;260000,7000,IF($AY26&lt;270000,5250,IF($AY26&lt;280000,3500,IF($AY26&lt;290000,1750,0))))),IF($AY26&lt;125000,8750,IF($AY26&lt;130000,7000,IF($AY26&lt;135000,5250,IF($AY26&lt;140000,3500,IF($AY26&lt;145000,1750,0)))))))-IF(OR($AU26="Married",AND($AU26="Single",$AS26&gt;=3)),5820,2910))-INDEX('Methodology &amp; Sources'!$B$211:$J$214,0,4))*INDEX('Methodology &amp; Sources'!$B$211:$J$214,0,4+2)),SUMPRODUCT((MAX(0,$AY26-MIN(($P26-'Methodology &amp; Sources'!$C$10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Sources'!$B$211:$J$214,0,1))*(MAX(0,$AY26-MIN(($P26-'Methodology &amp; Sources'!$C$10*$D26)*Inputs!$C$8,IF(OR($AU26="Married",AND($AU26="Single",$AS26&gt;=3)),IF($AY26&lt;250000,8750,IF($AY26&lt;260000,7000,IF($AY26&lt;270000,5250,IF($AY26&lt;280000,3500,IF($AY26&lt;290000,1750,0))))),IF($AY26&lt;125000,8750,IF($AY26&lt;130000,7000,IF($AY26&lt;135000,5250,IF($AY26&lt;140000,3500,IF($AY26&lt;145000,1750,0)))))))-IF(OR($AU26="Married",AND($AU26="Single",$AS26&gt;=3)),5820,2910))-INDEX('Methodology &amp; Sources'!$B$211:$J$214,0,1))*INDEX('Methodology &amp; Sources'!$B$211:$J$214,0,1+2)))+263-263*IF(IF($AU26="Married",$AY26&gt;200000,$AY26&gt;100000),0,$AS26),IF($AN26="PA",0.0307*(($O26+$E26+$G26)*Inputs!$C$8),IF($AN26="NY",IF($AU26="Married",IF($AZ26&gt;=2155350,0,IF($AZ26&gt;=1077550,0.48,IF($AZ26&gt;=373200,1.21,IF($AZ26&gt;=323200,0.21,IF($AZ26&gt;=211550,-0.19,IF($AZ26&gt;=157650,-2.8,IF($AZ26&gt;=107650,-0.8,IF($AZ26&gt;=96800,0.05,IF($AZ26&gt;=80650,-0.1,IF($AZ26&gt;=13900,0.4,IF($AZ26&gt;=11700,-0.3,IF($AZ26&gt;=8500,0.5,0)))))))))))),IF($AZ26&gt;=1077550,0,IF($AZ26&gt;=265400,4.29,IF($AZ26&gt;=215400,2.29,IF($AZ26&gt;=157650,2.29,IF($AZ26&gt;=107650,0.29,IF($AZ26&gt;=96800,0.05,IF($AZ26&gt;=80650,-0.1,IF($AZ26&gt;=13900,0.4,IF($AZ26&gt;=11700,-0.3,IF($AZ26&gt;=8500,0.5,0))))))))))),0))))))))))))))))))</f>
      </c>
      <c r="BC26" s="7">
        <f>IF($B26="","",IF($AN26="AL",0.05*$D26,IF($AN26="AR",0.039*$D26,IF($AN26="ID",0.053*$D26,IF($AN26="IN",(0.0295+Inputs!$C$76)*$D26,IF($AN26="KS",0.05*$D26,IF($AN26="MA",0.09*MIN($D26,MAX(0,MAX(0,$AY26-MIN(($BD25+$Q26+$R26+$S26),2000)-IF($AS26=0,0,IF($AS26=1,4400,1000*$AS26+3400)))+$D26-1107750))+0.05*($D26-MIN($D26,MAX(0,MAX(0,$AY26-MIN(($BD25+$Q26+$R26+$S26),2000)-IF($AS26=0,0,IF($AS26=1,4400,1000*$AS26+3400)))+$D26-1107750))),IF($AN26="MD",(0.065+Inputs!$C$74)*$D26,IF($AN26="MI",0.0425*$D26,IF($AN26="MN",0.0625*$D26,IF($AN26="MO",0.047*$D26,IF($AN26="MT",0.05*$D26,IF($AN26="ND",0.015*$D26,IF($AN26="NE",0.035*$D26,IF($AN26="NJ",IF(Inputs!$C$77="B",SUMPRODUCT(($D26*Inputs!$C$8&gt;INDEX('Methodology &amp; Sources'!$B$155:$J$162,0,4))*($D26*Inputs!$C$8-INDEX('Methodology &amp; Sources'!$B$155:$J$162,0,4))*INDEX('Methodology &amp; Sources'!$B$155:$J$162,0,4+2)),IF(Inputs!$C$77="C",SUMPRODUCT(($D26*Inputs!$C$8&gt;INDEX('Methodology &amp; Sources'!$B$155:$J$162,0,7))*($D26*Inputs!$C$8-INDEX('Methodology &amp; Sources'!$B$155:$J$162,0,7))*INDEX('Methodology &amp; Sources'!$B$155:$J$162,0,7+2)),IF(Inputs!$C$77="D",SUMPRODUCT(($D26*Inputs!$C$8&gt;INDEX('Methodology &amp; Sources'!$B$167:$J$179,0,1))*($D26*Inputs!$C$8-INDEX('Methodology &amp; Sources'!$B$167:$J$179,0,1))*INDEX('Methodology &amp; Sources'!$B$167:$J$179,0,1+2)),IF(Inputs!$C$77="E",SUMPRODUCT(($D26*Inputs!$C$8&gt;INDEX('Methodology &amp; Sources'!$B$167:$J$179,0,4))*($D26*Inputs!$C$8-INDEX('Methodology &amp; Sources'!$B$167:$J$179,0,4))*INDEX('Methodology &amp; Sources'!$B$167:$J$179,0,4+2)),SUMPRODUCT(($D26*Inputs!$C$8&gt;INDEX('Methodology &amp; Sources'!$B$155:$J$162,0,1))*($D26*Inputs!$C$8-INDEX('Methodology &amp; Sources'!$B$155:$J$162,0,1))*INDEX('Methodology &amp; Sources'!$B$155:$J$162,0,1+2))))))/Inputs!$C$8,IF($AN26="NY",0.117*$D26,IF($AN26="OH",0.0275*$D26,IF($AN26="OK",0.045*$D26,IF($AN26="OR",0.08*$D26,IF($AN26="WI",IF($AY26&lt;12760,0.0354,IF($AY26&lt;25520,0.0465,IF($AY26&lt;280950,0.053,0.0765)))*$D26,0))))))))))))))))))))</f>
      </c>
      <c r="BD26" s="7">
        <f>IF($B26="","",$BD25+$Q26+$R26+$S26)</f>
      </c>
      <c r="BE26" s="6">
        <f>IF($B26="",$BE25,$BE25+$BF26)</f>
      </c>
      <c r="BF26" s="6">
        <f>IF($B26="","",IF(AND(IF(YEAR(IF(Inputs!$C$7="Weekly",Inputs!$C$90+7*(($BE25+1)-1),IF(Inputs!$C$7="Biweekly",Inputs!$C$90+14*(($BE25+1)-1),IF(Inputs!$C$7="Semimonthly",DATE(YEAR(Inputs!$C$9),MONTH(Inputs!$C$9)+INT((($BE25+1)-1+'Rest of 2026'!$C$2)/2),MIN(DAY(Inputs!$C$9),DAY(EOMONTH(DATE(YEAR(Inputs!$C$9),MONTH(Inputs!$C$9)+INT((($BE25+1)-1+'Rest of 2026'!$C$2)/2),1),0))))+IF(MOD(($BE25+1)-1+'Rest of 2026'!$C$2,2)=1,15,0),EDATE(Inputs!$C$90,($BE25+1)-1)))))&lt;&gt;Inputs!$C$10,"",IF(Inputs!$C$7="Weekly",Inputs!$C$90+7*(($BE25+1)-1),IF(Inputs!$C$7="Biweekly",Inputs!$C$90+14*(($BE25+1)-1),IF(Inputs!$C$7="Semimonthly",DATE(YEAR(Inputs!$C$9),MONTH(Inputs!$C$9)+INT((($BE25+1)-1+'Rest of 2026'!$C$2)/2),MIN(DAY(Inputs!$C$9),DAY(EOMONTH(DATE(YEAR(Inputs!$C$9),MONTH(Inputs!$C$9)+INT((($BE25+1)-1+'Rest of 2026'!$C$2)/2),1),0))))+IF(MOD(($BE25+1)-1+'Rest of 2026'!$C$2,2)=1,15,0),EDATE(Inputs!$C$90,($BE25+1)-1)))))&lt;&gt;"",$B26=IF(YEAR(IF(Inputs!$C$7="Weekly",Inputs!$C$90+7*(($BE25+1)-1),IF(Inputs!$C$7="Biweekly",Inputs!$C$90+14*(($BE25+1)-1),IF(Inputs!$C$7="Semimonthly",DATE(YEAR(Inputs!$C$9),MONTH(Inputs!$C$9)+INT((($BE25+1)-1+'Rest of 2026'!$C$2)/2),MIN(DAY(Inputs!$C$9),DAY(EOMONTH(DATE(YEAR(Inputs!$C$9),MONTH(Inputs!$C$9)+INT((($BE25+1)-1+'Rest of 2026'!$C$2)/2),1),0))))+IF(MOD(($BE25+1)-1+'Rest of 2026'!$C$2,2)=1,15,0),EDATE(Inputs!$C$90,($BE25+1)-1)))))&lt;&gt;Inputs!$C$10,"",IF(Inputs!$C$7="Weekly",Inputs!$C$90+7*(($BE25+1)-1),IF(Inputs!$C$7="Biweekly",Inputs!$C$90+14*(($BE25+1)-1),IF(Inputs!$C$7="Semimonthly",DATE(YEAR(Inputs!$C$9),MONTH(Inputs!$C$9)+INT((($BE25+1)-1+'Rest of 2026'!$C$2)/2),MIN(DAY(Inputs!$C$9),DAY(EOMONTH(DATE(YEAR(Inputs!$C$9),MONTH(Inputs!$C$9)+INT((($BE25+1)-1+'Rest of 2026'!$C$2)/2),1),0))))+IF(MOD(($BE25+1)-1+'Rest of 2026'!$C$2,2)=1,15,0),EDATE(Inputs!$C$90,($BE25+1)-1)))))),1,0))</f>
      </c>
      <c r="BG26" s="7">
        <f>IF($B26="","",$BG25+$H26)</f>
      </c>
      <c r="BH26" s="7">
        <f>IF($B26="","",$BH25+$I26)</f>
      </c>
      <c r="BI26" s="7">
        <f>IF($B26="","",$BI25+$G26)</f>
      </c>
      <c r="BJ26" s="7">
        <f>IF($B26="","",IFERROR(LOOKUP(2,1/((((Events!$C$6:$C$17="Deduction start"))*(Events!$D$6:$D$17="Health FSA"))*(Events!$B$6:$B$17&lt;=$B26)*(Events!$B$6:$B$17&lt;&gt;"")),Events!$E$6:$E$17),Inputs!$D$38))</f>
      </c>
      <c r="BK26" s="7">
        <f>IF($B26="","",IFERROR(LOOKUP(2,1/((((Events!$C$6:$C$17="Deduction start"))*(Events!$D$6:$D$17="Dependent-care FSA"))*(Events!$B$6:$B$17&lt;=$B26)*(Events!$B$6:$B$17&lt;&gt;"")),Events!$E$6:$E$17),Inputs!$D$39))</f>
      </c>
      <c r="BL26" s="7">
        <f>IF($B26="","",IFERROR(LOOKUP(2,1/((((Events!$C$6:$C$17="Deduction start")+(Events!$C$6:$C$17="Deduction stop"))*(Events!$D$6:$D$17="HSA"))*(Events!$B$6:$B$17&lt;=$B26)*(Events!$B$6:$B$17&lt;&gt;"")),Events!$I$6:$I$17),Inputs!$D$35))</f>
      </c>
      <c r="BM26" s="7">
        <f>IF($B26="","",IFERROR(LOOKUP(2,1/((((Events!$C$6:$C$17="Deduction start")+(Events!$C$6:$C$17="Deduction stop"))*(Events!$D$6:$D$17="Premiums"))*(Events!$B$6:$B$17&lt;=$B26)*(Events!$B$6:$B$17&lt;&gt;"")),Events!$I$6:$I$17),Inputs!$D$40+Inputs!$D$41+Inputs!$D$42))</f>
      </c>
      <c r="BN26" s="7">
        <f>IF($B26="","",IFERROR(LOOKUP(2,1/((((Events!$C$6:$C$17="Deduction start")+(Events!$C$6:$C$17="Deduction stop"))*(Events!$D$6:$D$17="Commuter"))*(Events!$B$6:$B$17&lt;=$B26)*(Events!$B$6:$B$17&lt;&gt;"")),Events!$I$6:$I$17),Inputs!$D$43))</f>
      </c>
      <c r="BO26" s="7">
        <f>IF($B26="","",IFERROR(LOOKUP(2,1/((((Events!$C$6:$C$17="Deduction start")+(Events!$C$6:$C$17="Deduction stop"))*(Events!$D$6:$D$17="Other pre-tax"))*(Events!$B$6:$B$17&lt;=$B26)*(Events!$B$6:$B$17&lt;&gt;"")),Events!$I$6:$I$17),Inputs!$D$44))</f>
      </c>
      <c r="BP26" s="7">
        <f>IF($B26="","",IFERROR(LOOKUP(2,1/((((Events!$C$6:$C$17="Deduction start")+(Events!$C$6:$C$17="Deduction stop"))*(Events!$D$6:$D$17="Other post-tax"))*(Events!$B$6:$B$17&lt;=$B26)*(Events!$B$6:$B$17&lt;&gt;"")),Events!$I$6:$I$17),Inputs!$D$45))</f>
      </c>
      <c r="BQ26" s="6">
        <f>IF($B26="","",IFERROR(LOOKUP(2,1/((((Events!$C$6:$C$17="Deduction start")+(Events!$C$6:$C$17="Deduction stop"))*(Events!$D$6:$D$17="Health FSA"))*(Events!$B$6:$B$17&lt;=$B26)*(Events!$B$6:$B$17&lt;&gt;"")),Events!$J$6:$J$17),0))</f>
      </c>
      <c r="BR26" s="6">
        <f>IF($B26="","",IFERROR(LOOKUP(2,1/((((Events!$C$6:$C$17="Deduction start")+(Events!$C$6:$C$17="Deduction stop"))*(Events!$D$6:$D$17="Dependent-care FSA"))*(Events!$B$6:$B$17&lt;=$B26)*(Events!$B$6:$B$17&lt;&gt;"")),Events!$J$6:$J$17),0))</f>
      </c>
      <c r="BS26" s="6">
        <f>IF($B26="","",IF(SUMPRODUCT((Events!$C$6:$C$17="Deduction start")*(Events!$B$6:$B$17&lt;=$B26)*(Events!$B$6:$B$17&lt;&gt;"")*(Events!$D$6:$D$17="Health FSA"))&gt;0,1,0))</f>
      </c>
      <c r="BT26" s="6">
        <f>IF($B26="","",IF(SUMPRODUCT((Events!$C$6:$C$17="Deduction start")*(Events!$B$6:$B$17&lt;=$B26)*(Events!$B$6:$B$17&lt;&gt;"")*(Events!$D$6:$D$17="Dependent-care FSA"))&gt;0,1,0))</f>
      </c>
      <c r="BU26" s="24">
        <f>IF($B26="","",IF(Inputs!$C$13,SUMPRODUCT(($AH26&gt;=INDEX('Methodology &amp; Sources'!$B$29:$J$36,0,IF(Inputs!$C$12="MFJ",1,IF(Inputs!$C$12="HoH",7,4))))*INDEX('Methodology &amp; Sources'!$B$29:$J$36,0,IF(Inputs!$C$12="MFJ",1,IF(Inputs!$C$12="HoH",7,4))+2)),SUMPRODUCT(($AH26&gt;=INDEX('Methodology &amp; Sources'!$B$19:$J$26,0,IF(Inputs!$C$12="MFJ",1,IF(Inputs!$C$12="HoH",7,4))))*INDEX('Methodology &amp; Sources'!$B$19:$J$26,0,IF(Inputs!$C$12="MFJ",1,IF(Inputs!$C$12="HoH",7,4))+2))))</f>
      </c>
      <c r="BV26" s="24">
        <f>IF($B26="","",IF($BZ26&lt;&gt;"",$BZ26,IF($CA26&lt;&gt;"",$CA26,IF($CB26&lt;&gt;"",$CB26,IF($CC26&lt;&gt;"",$CC26,0)))))</f>
      </c>
      <c r="BW26" s="7">
        <f>IF($B26="","",IF($AN26="MD",IF(OR($AU26="Married",$AU26="Head of household"),SUMPRODUCT(($AZ26&gt;INDEX('Methodology &amp; Sources'!$B$114:$J$120,0,1))*($AZ26-INDEX('Methodology &amp; Sources'!$B$114:$J$120,0,1))*INDEX('Methodology &amp; Sources'!$B$114:$J$120,0,1+2)),SUMPRODUCT(($AZ26&gt;INDEX('Methodology &amp; Sources'!$B$103:$J$109,0,7))*($AZ26-INDEX('Methodology &amp; Sources'!$B$103:$J$109,0,7))*INDEX('Methodology &amp; Sources'!$B$103:$J$109,0,7+2))),IF($AN26="MO",SUMPRODUCT(($AZ26&gt;INDEX('Methodology &amp; Sources'!$B$125:$J$132,0,1))*($AZ26-INDEX('Methodology &amp; Sources'!$B$125:$J$132,0,1))*INDEX('Methodology &amp; Sources'!$B$125:$J$132,0,1+2)),IF($AN26="MT",IF($AU26="Head of household",SUMPRODUCT(($AZ26&gt;INDEX('Methodology &amp; Sources'!$B$137:$J$139,0,1))*($AZ26-INDEX('Methodology &amp; Sources'!$B$137:$J$139,0,1))*INDEX('Methodology &amp; Sources'!$B$137:$J$139,0,1+2)),IF($AU26="Married",SUMPRODUCT(($AZ26&gt;INDEX('Methodology &amp; Sources'!$B$125:$J$132,0,7))*($AZ26-INDEX('Methodology &amp; Sources'!$B$125:$J$132,0,7))*INDEX('Methodology &amp; Sources'!$B$125:$J$132,0,7+2)),SUMPRODUCT(($AZ26&gt;INDEX('Methodology &amp; Sources'!$B$125:$J$132,0,4))*($AZ26-INDEX('Methodology &amp; Sources'!$B$125:$J$132,0,4))*INDEX('Methodology &amp; Sources'!$B$125:$J$132,0,4+2)))),IF($AN26="ND",IF($AU26="Head of household",SUMPRODUCT(($AZ26&gt;INDEX('Methodology &amp; Sources'!$B$144:$J$150,0,1))*($AZ26-INDEX('Methodology &amp; Sources'!$B$144:$J$150,0,1))*INDEX('Methodology &amp; Sources'!$B$144:$J$150,0,1+2)),IF($AU26="Married",SUMPRODUCT(($AZ26&gt;INDEX('Methodology &amp; Sources'!$B$137:$J$139,0,7))*($AZ26-INDEX('Methodology &amp; Sources'!$B$137:$J$139,0,7))*INDEX('Methodology &amp; Sources'!$B$137:$J$139,0,7+2)),SUMPRODUCT(($AZ26&gt;INDEX('Methodology &amp; Sources'!$B$137:$J$139,0,4))*($AZ26-INDEX('Methodology &amp; Sources'!$B$137:$J$139,0,4))*INDEX('Methodology &amp; Sources'!$B$137:$J$139,0,4+2)))),IF($AN26="NJ",IF(Inputs!$C$77="B",SUMPRODUCT(($AZ26&gt;INDEX('Methodology &amp; Sources'!$B$155:$J$162,0,4))*($AZ26-INDEX('Methodology &amp; Sources'!$B$155:$J$162,0,4))*INDEX('Methodology &amp; Sources'!$B$155:$J$162,0,4+2)),IF(Inputs!$C$77="C",SUMPRODUCT(($AZ26&gt;INDEX('Methodology &amp; Sources'!$B$155:$J$162,0,7))*($AZ26-INDEX('Methodology &amp; Sources'!$B$155:$J$162,0,7))*INDEX('Methodology &amp; Sources'!$B$155:$J$162,0,7+2)),IF(Inputs!$C$77="D",SUMPRODUCT(($AZ26&gt;INDEX('Methodology &amp; Sources'!$B$167:$J$179,0,1))*($AZ26-INDEX('Methodology &amp; Sources'!$B$167:$J$179,0,1))*INDEX('Methodology &amp; Sources'!$B$167:$J$179,0,1+2)),IF(Inputs!$C$77="E",SUMPRODUCT(($AZ26&gt;INDEX('Methodology &amp; Sources'!$B$167:$J$179,0,4))*($AZ26-INDEX('Methodology &amp; Sources'!$B$167:$J$179,0,4))*INDEX('Methodology &amp; Sources'!$B$167:$J$179,0,4+2)),SUMPRODUCT(($AZ26&gt;INDEX('Methodology &amp; Sources'!$B$155:$J$162,0,1))*($AZ26-INDEX('Methodology &amp; Sources'!$B$155:$J$162,0,1))*INDEX('Methodology &amp; Sources'!$B$155:$J$162,0,1+2)))))),IF($AN26="NY",IF($AU26="Married",IF($AZ26&gt;=2155350,$AZ26*IF($AZ26&gt;25000000,0.117,IF($AZ26&gt;5000000,0.111,0.1045)),SUMPRODUCT(($AZ26&gt;INDEX('Methodology &amp; Sources'!$B$184:$J$198,0,1))*($AZ26-INDEX('Methodology &amp; Sources'!$B$184:$J$198,0,1))*INDEX('Methodology &amp; Sources'!$B$184:$J$198,0,1+2))),IF($AZ26&gt;=1077550,$AZ26*IF($AZ26&gt;25000000,0.117,IF($AZ26&gt;5000000,0.111,0.1045)),SUMPRODUCT(($AZ26&gt;INDEX('Methodology &amp; Sources'!$B$167:$J$179,0,7))*($AZ26-INDEX('Methodology &amp; Sources'!$B$167:$J$179,0,7))*INDEX('Methodology &amp; Sources'!$B$167:$J$179,0,7+2)))),"")))))))</f>
      </c>
      <c r="BX26" s="7">
        <f>IF($B26="","",IF($AN26="AL",IF(OR($AU26="Married",$AU26="Head of household"),SUMPRODUCT(($AZ26&gt;INDEX('Methodology &amp; Sources'!$B$82:$J$86,0,4))*($AZ26-INDEX('Methodology &amp; Sources'!$B$82:$J$86,0,4))*INDEX('Methodology &amp; Sources'!$B$82:$J$86,0,4+2)),SUMPRODUCT(($AZ26&gt;INDEX('Methodology &amp; Sources'!$B$82:$J$86,0,1))*($AZ26-INDEX('Methodology &amp; Sources'!$B$82:$J$86,0,1))*INDEX('Methodology &amp; Sources'!$B$82:$J$86,0,1+2))),IF($AN26="KS",IF($AU26="Married",SUMPRODUCT(($AZ26&gt;INDEX('Methodology &amp; Sources'!$B$103:$J$109,0,4))*($AZ26-INDEX('Methodology &amp; Sources'!$B$103:$J$109,0,4))*INDEX('Methodology &amp; Sources'!$B$103:$J$109,0,4+2)),SUMPRODUCT(($AZ26&gt;INDEX('Methodology &amp; Sources'!$B$103:$J$109,0,1))*($AZ26-INDEX('Methodology &amp; Sources'!$B$103:$J$109,0,1))*INDEX('Methodology &amp; Sources'!$B$103:$J$109,0,1+2))),IF($AN26="MN",IF($AU26="Married",SUMPRODUCT(($AZ26&gt;INDEX('Methodology &amp; Sources'!$B$114:$J$120,0,7))*($AZ26-INDEX('Methodology &amp; Sources'!$B$114:$J$120,0,7))*INDEX('Methodology &amp; Sources'!$B$114:$J$120,0,7+2)),SUMPRODUCT(($AZ26&gt;INDEX('Methodology &amp; Sources'!$B$114:$J$120,0,4))*($AZ26-INDEX('Methodology &amp; Sources'!$B$114:$J$120,0,4))*INDEX('Methodology &amp; Sources'!$B$114:$J$120,0,4+2))),IF($AN26="NE",MAX(IF($AU26="Married",SUMPRODUCT(($AZ26&gt;INDEX('Methodology &amp; Sources'!$B$144:$J$150,0,7))*($AZ26-INDEX('Methodology &amp; Sources'!$B$144:$J$150,0,7))*INDEX('Methodology &amp; Sources'!$B$144:$J$150,0,7+2)),SUMPRODUCT(($AZ26&gt;INDEX('Methodology &amp; Sources'!$B$144:$J$150,0,4))*($AZ26-INDEX('Methodology &amp; Sources'!$B$144:$J$150,0,4))*INDEX('Methodology &amp; Sources'!$B$144:$J$150,0,4+2))),0.015*$AZ26),IF($AN26="OH",IF($B26&gt;=DATE(2027,8,1),SUMPRODUCT(($AZ26&gt;INDEX('Methodology &amp; Sources'!$B$203:$J$206,0,1))*($AZ26-INDEX('Methodology &amp; Sources'!$B$203:$J$206,0,1))*INDEX('Methodology &amp; Sources'!$B$203:$J$206,0,1+2)),SUMPRODUCT(($AZ26&gt;INDEX('Methodology &amp; Sources'!$B$184:$J$198,0,7))*($AZ26-INDEX('Methodology &amp; Sources'!$B$184:$J$198,0,7))*INDEX('Methodology &amp; Sources'!$B$184:$J$198,0,7+2))),IF($AN26="OK",IF($AU26="Married",SUMPRODUCT(($AZ26&gt;INDEX('Methodology &amp; Sources'!$B$203:$J$206,0,7))*($AZ26-INDEX('Methodology &amp; Sources'!$B$203:$J$206,0,7))*INDEX('Methodology &amp; Sources'!$B$203:$J$206,0,7+2)),SUMPRODUCT(($AZ26&gt;INDEX('Methodology &amp; Sources'!$B$203:$J$206,0,4))*($AZ26-INDEX('Methodology &amp; Sources'!$B$203:$J$206,0,4))*INDEX('Methodology &amp; Sources'!$B$203:$J$206,0,4+2))),IF($AN26="RI",SUMPRODUCT(($AZ26&gt;INDEX('Methodology &amp; Sources'!$B$211:$J$214,0,7))*($AZ26-INDEX('Methodology &amp; Sources'!$B$211:$J$214,0,7))*INDEX('Methodology &amp; Sources'!$B$211:$J$214,0,7+2)),IF($AN26="VT",IF($AU26="Married",SUMPRODUCT(($AZ26&gt;INDEX('Methodology &amp; Sources'!$B$228:$J$232,0,1))*($AZ26-INDEX('Methodology &amp; Sources'!$B$228:$J$232,0,1))*INDEX('Methodology &amp; Sources'!$B$228:$J$232,0,1+2)),SUMPRODUCT(($AZ26&gt;INDEX('Methodology &amp; Sources'!$B$219:$J$223,0,7))*($AZ26-INDEX('Methodology &amp; Sources'!$B$219:$J$223,0,7))*INDEX('Methodology &amp; Sources'!$B$219:$J$223,0,7+2))),IF($AN26="WV",IF($AU26="Married",SUMPRODUCT(($AZ26&gt;INDEX('Methodology &amp; Sources'!$B$237:$J$241,0,7))*($AZ26-INDEX('Methodology &amp; Sources'!$B$237:$J$241,0,7))*INDEX('Methodology &amp; Sources'!$B$237:$J$241,0,7+2)),SUMPRODUCT(($AZ26&gt;INDEX('Methodology &amp; Sources'!$B$228:$J$232,0,7))*($AZ26-INDEX('Methodology &amp; Sources'!$B$228:$J$232,0,7))*INDEX('Methodology &amp; Sources'!$B$228:$J$232,0,7+2))),""))))))))))</f>
      </c>
      <c r="BY26" s="7">
        <f>IF($B26="","",IF($AN26="AR",SUMPRODUCT(($AZ26&gt;INDEX('Methodology &amp; Sources'!$B$82:$J$86,0,7))*($AZ26-INDEX('Methodology &amp; Sources'!$B$82:$J$86,0,7))*INDEX('Methodology &amp; Sources'!$B$82:$J$86,0,7+2)),IF($AN26="DE",SUMPRODUCT(($AZ26&gt;INDEX('Methodology &amp; Sources'!$B$91:$J$98,0,1))*($AZ26-INDEX('Methodology &amp; Sources'!$B$91:$J$98,0,1))*INDEX('Methodology &amp; Sources'!$B$91:$J$98,0,1+2)),IF($AN26="HI",IF($AU26="Married",SUMPRODUCT(($AZ26&gt;INDEX('Methodology &amp; Sources'!$B$91:$J$98,0,7))*($AZ26-INDEX('Methodology &amp; Sources'!$B$91:$J$98,0,7))*INDEX('Methodology &amp; Sources'!$B$91:$J$98,0,7+2)),SUMPRODUCT(($AZ26&gt;INDEX('Methodology &amp; Sources'!$B$91:$J$98,0,4))*($AZ26-INDEX('Methodology &amp; Sources'!$B$91:$J$98,0,4))*INDEX('Methodology &amp; Sources'!$B$91:$J$98,0,4+2))),IF($AN26="SC",SUMPRODUCT(($AZ26&gt;INDEX('Methodology &amp; Sources'!$B$219:$J$223,0,1))*($AZ26-INDEX('Methodology &amp; Sources'!$B$219:$J$223,0,1))*INDEX('Methodology &amp; Sources'!$B$219:$J$223,0,1+2)),IF($AN26="VA",SUMPRODUCT(($AZ26&gt;INDEX('Methodology &amp; Sources'!$B$219:$J$223,0,4))*($AZ26-INDEX('Methodology &amp; Sources'!$B$219:$J$223,0,4))*INDEX('Methodology &amp; Sources'!$B$219:$J$223,0,4+2)),IF($AN26="WI",SUMPRODUCT(($AZ26&gt;INDEX('Methodology &amp; Sources'!$B$228:$J$232,0,4))*($AZ26-INDEX('Methodology &amp; Sources'!$B$228:$J$232,0,4))*INDEX('Methodology &amp; Sources'!$B$228:$J$232,0,4+2)),"")))))))</f>
      </c>
      <c r="BZ26" s="24">
        <f>IF($B26="","",IF($AN26="NJ",IF(Inputs!$C$77="B",SUMPRODUCT(($AZ26&gt;=INDEX('Methodology &amp; Sources'!$B$155:$J$162,0,4))*INDEX('Methodology &amp; Sources'!$B$155:$J$162,0,4+2)),IF(Inputs!$C$77="C",SUMPRODUCT(($AZ26&gt;=INDEX('Methodology &amp; Sources'!$B$155:$J$162,0,7))*INDEX('Methodology &amp; Sources'!$B$155:$J$162,0,7+2)),IF(Inputs!$C$77="D",SUMPRODUCT(($AZ26&gt;=INDEX('Methodology &amp; Sources'!$B$167:$J$179,0,1))*INDEX('Methodology &amp; Sources'!$B$167:$J$179,0,1+2)),IF(Inputs!$C$77="E",SUMPRODUCT(($AZ26&gt;=INDEX('Methodology &amp; Sources'!$B$167:$J$179,0,4))*INDEX('Methodology &amp; Sources'!$B$167:$J$179,0,4+2)),SUMPRODUCT(($AZ26&gt;=INDEX('Methodology &amp; Sources'!$B$155:$J$162,0,1))*INDEX('Methodology &amp; Sources'!$B$155:$J$162,0,1+2)))))),IF($AN26="OR",IF(OR($AU26="Married",AND($AU26="Single",$AS26&gt;=3)),SUMPRODUCT((MAX(0,$AY26-MIN(($P26-'Methodology &amp; Sources'!$C$10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Sources'!$B$211:$J$214,0,4))*INDEX('Methodology &amp; Sources'!$B$211:$J$214,0,4+2)),SUMPRODUCT((MAX(0,$AY26-MIN(($P26-'Methodology &amp; Sources'!$C$10*$D26)*Inputs!$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Sources'!$B$211:$J$214,0,1))*INDEX('Methodology &amp; Sources'!$B$211:$J$214,0,1+2)))*IF(($P26-'Methodology &amp; Sources'!$C$10*$D26)*Inputs!$C$8&gt;=IF(OR($AU26="Married",AND($AU26="Single",$AS26&gt;=3)),IF($AY26&lt;250000,8750,IF($AY26&lt;260000,7000,IF($AY26&lt;270000,5250,IF($AY26&lt;280000,3500,IF($AY26&lt;290000,1750,0))))),IF($AY26&lt;125000,8750,IF($AY26&lt;130000,7000,IF($AY26&lt;135000,5250,IF($AY26&lt;140000,3500,IF($AY26&lt;145000,1750,0)))))),1,1-IF(Inputs!$C$13,SUMPRODUCT(($AH26&gt;=INDEX('Methodology &amp; Sources'!$B$29:$J$36,0,IF(Inputs!$C$12="MFJ",1,IF(Inputs!$C$12="HoH",7,4))))*INDEX('Methodology &amp; Sources'!$B$29:$J$36,0,IF(Inputs!$C$12="MFJ",1,IF(Inputs!$C$12="HoH",7,4))+2)),SUMPRODUCT(($AH26&gt;=INDEX('Methodology &amp; Sources'!$B$19:$J$26,0,IF(Inputs!$C$12="MFJ",1,IF(Inputs!$C$12="HoH",7,4))))*INDEX('Methodology &amp; Sources'!$B$19:$J$26,0,IF(Inputs!$C$12="MFJ",1,IF(Inputs!$C$12="HoH",7,4))+2)))),IF($AN26="MI",IF($AY26&gt;5900*$AS26,0.0425,0),""))))</f>
      </c>
      <c r="CA26" s="24">
        <f>IF($B26="","",IF($AN26="AL",IF(OR($AU26="Married",$AU26="Head of household"),SUMPRODUCT(($AZ26&gt;=INDEX('Methodology &amp; Sources'!$B$82:$J$86,0,4))*INDEX('Methodology &amp; Sources'!$B$82:$J$86,0,4+2)),SUMPRODUCT(($AZ26&gt;=INDEX('Methodology &amp; Sources'!$B$82:$J$86,0,1))*INDEX('Methodology &amp; Sources'!$B$82:$J$86,0,1+2)))*(1-IF(Inputs!$C$13,SUMPRODUCT(($AH26&gt;=INDEX('Methodology &amp; Sources'!$B$29:$J$36,0,IF(Inputs!$C$12="MFJ",1,IF(Inputs!$C$12="HoH",7,4))))*INDEX('Methodology &amp; Sources'!$B$29:$J$36,0,IF(Inputs!$C$12="MFJ",1,IF(Inputs!$C$12="HoH",7,4))+2)),SUMPRODUCT(($AH26&gt;=INDEX('Methodology &amp; Sources'!$B$19:$J$26,0,IF(Inputs!$C$12="MFJ",1,IF(Inputs!$C$12="HoH",7,4))))*INDEX('Methodology &amp; Sources'!$B$19:$J$26,0,IF(Inputs!$C$12="MFJ",1,IF(Inputs!$C$12="HoH",7,4))+2)))),IF($AN26="KS",IF($AU26="Married",SUMPRODUCT(($AZ26&gt;=INDEX('Methodology &amp; Sources'!$B$103:$J$109,0,4))*INDEX('Methodology &amp; Sources'!$B$103:$J$109,0,4+2)),SUMPRODUCT(($AZ26&gt;=INDEX('Methodology &amp; Sources'!$B$103:$J$109,0,1))*INDEX('Methodology &amp; Sources'!$B$103:$J$109,0,1+2))),IF($AN26="MD",IF(OR($AU26="Married",$AU26="Head of household"),SUMPRODUCT(($AZ26&gt;=INDEX('Methodology &amp; Sources'!$B$114:$J$120,0,1))*INDEX('Methodology &amp; Sources'!$B$114:$J$120,0,1+2)),SUMPRODUCT(($AZ26&gt;=INDEX('Methodology &amp; Sources'!$B$103:$J$109,0,7))*INDEX('Methodology &amp; Sources'!$B$103:$J$109,0,7+2)))+Inputs!$C$74,IF($AN26="MT",IF($AU26="Head of household",SUMPRODUCT(($AZ26&gt;=INDEX('Methodology &amp; Sources'!$B$137:$J$139,0,1))*INDEX('Methodology &amp; Sources'!$B$137:$J$139,0,1+2)),IF($AU26="Married",SUMPRODUCT(($AZ26&gt;=INDEX('Methodology &amp; Sources'!$B$125:$J$132,0,7))*INDEX('Methodology &amp; Sources'!$B$125:$J$132,0,7+2)),SUMPRODUCT(($AZ26&gt;=INDEX('Methodology &amp; Sources'!$B$125:$J$132,0,4))*INDEX('Methodology &amp; Sources'!$B$125:$J$132,0,4+2)))),IF($AN26="ND",IF($AU26="Head of household",SUMPRODUCT(($AZ26&gt;=INDEX('Methodology &amp; Sources'!$B$144:$J$150,0,1))*INDEX('Methodology &amp; Sources'!$B$144:$J$150,0,1+2)),IF($AU26="Married",SUMPRODUCT(($AZ26&gt;=INDEX('Methodology &amp; Sources'!$B$137:$J$139,0,7))*INDEX('Methodology &amp; Sources'!$B$137:$J$139,0,7+2)),SUMPRODUCT(($AZ26&gt;=INDEX('Methodology &amp; Sources'!$B$137:$J$139,0,4))*INDEX('Methodology &amp; Sources'!$B$137:$J$139,0,4+2)))),IF($AN26="NY",IF($AU26="Married",IF($AZ26&gt;=2155350,IF($AZ26&gt;25000000,0.117,IF($AZ26&gt;5000000,0.111,0.1045)),SUMPRODUCT(($AZ26&gt;=INDEX('Methodology &amp; Sources'!$B$184:$J$198,0,1))*INDEX('Methodology &amp; Sources'!$B$184:$J$198,0,1+2))),IF($AZ26&gt;=1077550,IF($AZ26&gt;25000000,0.117,IF($AZ26&gt;5000000,0.111,0.1045)),SUMPRODUCT(($AZ26&gt;=INDEX('Methodology &amp; Sources'!$B$167:$J$179,0,7))*INDEX('Methodology &amp; Sources'!$B$167:$J$179,0,7+2)))),"")))))))</f>
      </c>
      <c r="CB26" s="24">
        <f>IF($B26="","",IF($AN26="CA",SUMPRODUCT(($AJ26&gt;=INDEX('Methodology &amp; Sources'!$B$39:$J$48,0,IF($AU26="Married",4,IF($AU26="Head of household",7,1))))*INDEX('Methodology &amp; Sources'!$B$39:$J$48,0,IF($AU26="Married",4,IF($AU26="Head of household",7,1))+2)),IF($AN26="HI",IF($AU26="Married",SUMPRODUCT(($AZ26&gt;=INDEX('Methodology &amp; Sources'!$B$91:$J$98,0,7))*INDEX('Methodology &amp; Sources'!$B$91:$J$98,0,7+2)),SUMPRODUCT(($AZ26&gt;=INDEX('Methodology &amp; Sources'!$B$91:$J$98,0,4))*INDEX('Methodology &amp; Sources'!$B$91:$J$98,0,4+2))),IF($AN26="MN",IF($AU26="Married",SUMPRODUCT(($AZ26&gt;=INDEX('Methodology &amp; Sources'!$B$114:$J$120,0,7))*INDEX('Methodology &amp; Sources'!$B$114:$J$120,0,7+2)),SUMPRODUCT(($AZ26&gt;=INDEX('Methodology &amp; Sources'!$B$114:$J$120,0,4))*INDEX('Methodology &amp; Sources'!$B$114:$J$120,0,4+2))),IF($AN26="MO",SUMPRODUCT(($AZ26&gt;=INDEX('Methodology &amp; Sources'!$B$125:$J$132,0,1))*INDEX('Methodology &amp; Sources'!$B$125:$J$132,0,1+2)),IF($AN26="NE",MAX(IF($AU26="Married",SUMPRODUCT(($AZ26&gt;=INDEX('Methodology &amp; Sources'!$B$144:$J$150,0,7))*INDEX('Methodology &amp; Sources'!$B$144:$J$150,0,7+2)),SUMPRODUCT(($AZ26&gt;=INDEX('Methodology &amp; Sources'!$B$144:$J$150,0,4))*INDEX('Methodology &amp; Sources'!$B$144:$J$150,0,4+2))),0.015),IF($AN26="OH",IF($B26&gt;=DATE(2027,8,1),SUMPRODUCT(($AZ26&gt;=INDEX('Methodology &amp; Sources'!$B$203:$J$206,0,1))*INDEX('Methodology &amp; Sources'!$B$203:$J$206,0,1+2)),SUMPRODUCT(($AZ26&gt;=INDEX('Methodology &amp; Sources'!$B$184:$J$198,0,7))*INDEX('Methodology &amp; Sources'!$B$184:$J$198,0,7+2))),IF($AN26="OK",IF($AU26="Married",SUMPRODUCT(($AZ26&gt;=INDEX('Methodology &amp; Sources'!$B$203:$J$206,0,7))*INDEX('Methodology &amp; Sources'!$B$203:$J$206,0,7+2)),SUMPRODUCT(($AZ26&gt;=INDEX('Methodology &amp; Sources'!$B$203:$J$206,0,4))*INDEX('Methodology &amp; Sources'!$B$203:$J$206,0,4+2))),IF($AN26="RI",SUMPRODUCT(($AZ26&gt;=INDEX('Methodology &amp; Sources'!$B$211:$J$214,0,7))*INDEX('Methodology &amp; Sources'!$B$211:$J$214,0,7+2)),IF($AN26="SC",SUMPRODUCT(($AZ26&gt;=INDEX('Methodology &amp; Sources'!$B$219:$J$223,0,1))*INDEX('Methodology &amp; Sources'!$B$219:$J$223,0,1+2)),IF($AN26="VT",IF($AU26="Married",SUMPRODUCT(($AZ26&gt;=INDEX('Methodology &amp; Sources'!$B$228:$J$232,0,1))*INDEX('Methodology &amp; Sources'!$B$228:$J$232,0,1+2)),SUMPRODUCT(($AZ26&gt;=INDEX('Methodology &amp; Sources'!$B$219:$J$223,0,7))*INDEX('Methodology &amp; Sources'!$B$219:$J$223,0,7+2))),IF($AN26="WV",IF($AU26="Married",SUMPRODUCT(($AZ26&gt;=INDEX('Methodology &amp; Sources'!$B$237:$J$241,0,7))*INDEX('Methodology &amp; Sources'!$B$237:$J$241,0,7+2)),SUMPRODUCT(($AZ26&gt;=INDEX('Methodology &amp; Sources'!$B$228:$J$232,0,7))*INDEX('Methodology &amp; Sources'!$B$228:$J$232,0,7+2))),IF($AN26="IN",(0.0295+Inputs!$C$76),"")))))))))))))</f>
      </c>
      <c r="CC26" s="24">
        <f>IF($B26="","",IF($AN26="AR",SUMPRODUCT(($AZ26&gt;=INDEX('Methodology &amp; Sources'!$B$82:$J$86,0,7))*INDEX('Methodology &amp; Sources'!$B$82:$J$86,0,7+2)),IF($AN26="DE",SUMPRODUCT(($AZ26&gt;=INDEX('Methodology &amp; Sources'!$B$91:$J$98,0,1))*INDEX('Methodology &amp; Sources'!$B$91:$J$98,0,1+2)),IF($AN26="VA",SUMPRODUCT(($AZ26&gt;=INDEX('Methodology &amp; Sources'!$B$219:$J$223,0,4))*INDEX('Methodology &amp; Sources'!$B$219:$J$223,0,4+2)),IF($AN26="WI",SUMPRODUCT(($AZ26&gt;=INDEX('Methodology &amp; Sources'!$B$228:$J$232,0,4))*INDEX('Methodology &amp; Sources'!$B$228:$J$232,0,4+2)),IF($AN26="AZ",Inputs!$C$82,IF($AN26="CO",IF($AY26&gt;IF($AU26="Married",10000,5000),0.044,0),IF($AN26="IA",IF($AY26&gt;IF($AU26="Head of household",19500,IF($AU26="Married",26000,13000)),0.038,0),IF($AN26="ID",IF($AY26&gt;IF($AU26="Married",32000,16094),0.053,0),IF($AN26="IL",IF($AY26&gt;(2925*$AS26+1000*$AT26),0.0495,0),IF($AN26="KY",IF($AI26&gt;3360,0.035,0),IF($AN26="LA",0.0309,IF($AN26="MA",IF(MAX(0,$AY26-MIN(($BD25+$Q26+$R26+$S26),2000)-IF($AS26=0,0,IF($AS26=1,4400,1000*$AS26+3400)))&gt;=1107750,0.09,0.05),IF($AN26="MS",IF($AI26-IF($AU26="Head of household",3400,IF($AU26="Married",4600,2300))-Inputs!$C$85&gt;10000,0.04,0),IF($AN26="PA",0.0307,"")))))))))))))))</f>
      </c>
      <c r="CD26" s="21">
        <f>IF(YEAR(IF(Inputs!$C$7="Weekly",Inputs!$C$90+7*(($BE25+1)-1),IF(Inputs!$C$7="Biweekly",Inputs!$C$90+14*(($BE25+1)-1),IF(Inputs!$C$7="Semimonthly",DATE(YEAR(Inputs!$C$9),MONTH(Inputs!$C$9)+INT((($BE25+1)-1+'Rest of 2026'!$C$2)/2),MIN(DAY(Inputs!$C$9),DAY(EOMONTH(DATE(YEAR(Inputs!$C$9),MONTH(Inputs!$C$9)+INT((($BE25+1)-1+'Rest of 2026'!$C$2)/2),1),0))))+IF(MOD(($BE25+1)-1+'Rest of 2026'!$C$2,2)=1,15,0),EDATE(Inputs!$C$90,($BE25+1)-1)))))&lt;&gt;Inputs!$C$10,"",IF(Inputs!$C$7="Weekly",Inputs!$C$90+7*(($BE25+1)-1),IF(Inputs!$C$7="Biweekly",Inputs!$C$90+14*(($BE25+1)-1),IF(Inputs!$C$7="Semimonthly",DATE(YEAR(Inputs!$C$9),MONTH(Inputs!$C$9)+INT((($BE25+1)-1+'Rest of 2026'!$C$2)/2),MIN(DAY(Inputs!$C$9),DAY(EOMONTH(DATE(YEAR(Inputs!$C$9),MONTH(Inputs!$C$9)+INT((($BE25+1)-1+'Rest of 2026'!$C$2)/2),1),0))))+IF(MOD(($BE25+1)-1+'Rest of 2026'!$C$2,2)=1,15,0),EDATE(Inputs!$C$90,($BE25+1)-1)))))</f>
      </c>
      <c r="CE26" s="21">
        <f>IF(SUMPRODUCT(MIN(IF((Inputs!$C$58:$C$67&gt;MAX($B$6:$B25))*(Inputs!$C$58:$C$67&gt;=DATE(Inputs!$C$10,1,1))*(Inputs!$C$58:$C$67&lt;=DATE(Inputs!$C$10,12,31)),Inputs!$C$58:$C$67,999999)))=999999,"",SUMPRODUCT(MIN(IF((Inputs!$C$58:$C$67&gt;MAX($B$6:$B25))*(Inputs!$C$58:$C$67&gt;=DATE(Inputs!$C$10,1,1))*(Inputs!$C$58:$C$67&lt;=DATE(Inputs!$C$10,12,31)),Inputs!$C$58:$C$67,999999))))</f>
      </c>
    </row>
    <row r="27">
      <c r="A27" t="n">
        <v>22</v>
      </c>
      <c r="B27" s="21">
        <f>IF(AND($CD27="",$CE27=""),"",IF($CE27="",$CD27,IF($CD27="",$CE27,MIN($CD27,$CE27))))</f>
      </c>
      <c r="C27" s="7">
        <f>IF($B27="","",IF($BF27=0,0,IF(Inputs!$C$4="Annual salary",ROUND($AK27/IF(AND(Inputs!$C$88="Actual paydays",MONTH(Inputs!$C$90)=1),MAX(1,MAX($BE$6:$BE$68)),Inputs!$C$8),2),$AK27)))</f>
      </c>
      <c r="D27" s="7">
        <f>IF($B27="","",SUMIF(Inputs!$C$58:$C$67,$B27,Inputs!$D$58:$D$67))</f>
      </c>
      <c r="E27" s="7">
        <f>IF($B27="","",ROUND(MAX(0,MIN(IF($AL27="Percent",$AM27*($C27+$D27),$AM27),MAX(0,Inputs!$C$34-$AC26))),2))</f>
      </c>
      <c r="F27" s="7">
        <f>IF($B27="","",ROUND(MAX(0,MIN(IF(Inputs!$C$32="Percent",Inputs!$D$32*($C27+$D27),Inputs!$D$32),MAX(0,Inputs!$C$34-$AC26-$E27))),2))</f>
      </c>
      <c r="G27" s="7">
        <f>IF($B27="","",IF($BF27=0,0,ROUND(MAX(0,MIN($BL27,Inputs!$C$37-Inputs!$C$99-$BI26)),2)))</f>
      </c>
      <c r="H27" s="7">
        <f>IF($B27="","",IF(OR($BF27=0,$BQ27=1),0,ROUND(MAX(0,MIN(IF($BS27=1,ROUND(MAX(0,MIN($BJ27,'Methodology &amp; Sources'!$C$13)-$BG26)/MAX(1,MAX($BE$6:$BE$68)-($BE26)),2),ROUND(MIN($BJ27,'Methodology &amp; Sources'!$C$13)/Inputs!$C$8,2)),MIN($BJ27,'Methodology &amp; Sources'!$C$13)-$BG26)),2)))</f>
      </c>
      <c r="I27" s="7">
        <f>IF($B27="","",IF(OR($BF27=0,$BR27=1),0,ROUND(MAX(0,MIN(IF($BT27=1,ROUND(MAX(0,MIN($BK27,IF(Inputs!$C$12="MFJ",'Methodology &amp; Sources'!$C$14,'Methodology &amp; Sources'!$C$15))-$BH26)/MAX(1,MAX($BE$6:$BE$68)-($BE26)),2),ROUND(MIN($BK27,IF(Inputs!$C$12="MFJ",'Methodology &amp; Sources'!$C$14,'Methodology &amp; Sources'!$C$15))/Inputs!$C$8,2)),MIN($BK27,IF(Inputs!$C$12="MFJ",'Methodology &amp; Sources'!$C$14,'Methodology &amp; Sources'!$C$15))-$BH26)),2)))</f>
      </c>
      <c r="J27" s="7">
        <f>IF($B27="","",IF($BF27=0,0,$BM27))</f>
      </c>
      <c r="K27" s="7">
        <f>IF($B27="","",IF($BF27=0,0,$BN27+$BO27))</f>
      </c>
      <c r="L27" s="7">
        <f>IF($B27="","",IF($BF27=0,0,Inputs!$D$46))</f>
      </c>
      <c r="M27" s="7">
        <f>IF($B27="","",$C27+$D27+$L27-$E27-$G27-$H27-$I27-$J27-$K27)</f>
      </c>
      <c r="N27" s="7">
        <f>IF($B27="","",$C27+$D27+$L27-$G27-$H27-$I27-$J27-$K27)</f>
      </c>
      <c r="O27" s="7">
        <f>IF($B27="","",$C27+$D27+$L27-$E27-$H27-$I27-$J27-$K27-IF(OR($AN27="CA",$AN27="NJ"),0,$G27))</f>
      </c>
      <c r="P27" s="7">
        <f>IF($B27="","",IF(Inputs!$C$18,0,ROUND(MAX(0,IF(Inputs!$C$13,SUMPRODUCT(($AH27&gt;INDEX('Methodology &amp; Sources'!$B$29:$J$36,0,IF(Inputs!$C$12="MFJ",1,IF(Inputs!$C$12="HoH",7,4))))*($AH27-INDEX('Methodology &amp; Sources'!$B$29:$J$36,0,IF(Inputs!$C$12="MFJ",1,IF(Inputs!$C$12="HoH",7,4))))*INDEX('Methodology &amp; Sources'!$B$29:$J$36,0,IF(Inputs!$C$12="MFJ",1,IF(Inputs!$C$12="HoH",7,4))+2)),SUMPRODUCT(($AH27&gt;INDEX('Methodology &amp; Sources'!$B$19:$J$26,0,IF(Inputs!$C$12="MFJ",1,IF(Inputs!$C$12="HoH",7,4))))*($AH27-INDEX('Methodology &amp; Sources'!$B$19:$J$26,0,IF(Inputs!$C$12="MFJ",1,IF(Inputs!$C$12="HoH",7,4))))*INDEX('Methodology &amp; Sources'!$B$19:$J$26,0,IF(Inputs!$C$12="MFJ",1,IF(Inputs!$C$12="HoH",7,4))+2)))/Inputs!$C$8-$AO27/Inputs!$C$8)+$AR27+IF(Inputs!$C$89="Aggregate",MAX(0,IF(Inputs!$C$13,SUMPRODUCT((($AH27+$D27)&gt;INDEX('Methodology &amp; Sources'!$B$29:$J$36,0,IF(Inputs!$C$12="MFJ",1,IF(Inputs!$C$12="HoH",7,4))))*(($AH27+$D27)-INDEX('Methodology &amp; Sources'!$B$29:$J$36,0,IF(Inputs!$C$12="MFJ",1,IF(Inputs!$C$12="HoH",7,4))))*INDEX('Methodology &amp; Sources'!$B$29:$J$36,0,IF(Inputs!$C$12="MFJ",1,IF(Inputs!$C$12="HoH",7,4))+2)),SUMPRODUCT((($AH27+$D27)&gt;INDEX('Methodology &amp; Sources'!$B$19:$J$26,0,IF(Inputs!$C$12="MFJ",1,IF(Inputs!$C$12="HoH",7,4))))*(($AH27+$D27)-INDEX('Methodology &amp; Sources'!$B$19:$J$26,0,IF(Inputs!$C$12="MFJ",1,IF(Inputs!$C$12="HoH",7,4))))*INDEX('Methodology &amp; Sources'!$B$19:$J$26,0,IF(Inputs!$C$12="MFJ",1,IF(Inputs!$C$12="HoH",7,4))+2)))-IF(Inputs!$C$13,SUMPRODUCT(($AH27&gt;INDEX('Methodology &amp; Sources'!$B$29:$J$36,0,IF(Inputs!$C$12="MFJ",1,IF(Inputs!$C$12="HoH",7,4))))*($AH27-INDEX('Methodology &amp; Sources'!$B$29:$J$36,0,IF(Inputs!$C$12="MFJ",1,IF(Inputs!$C$12="HoH",7,4))))*INDEX('Methodology &amp; Sources'!$B$29:$J$36,0,IF(Inputs!$C$12="MFJ",1,IF(Inputs!$C$12="HoH",7,4))+2)),SUMPRODUCT(($AH27&gt;INDEX('Methodology &amp; Sources'!$B$19:$J$26,0,IF(Inputs!$C$12="MFJ",1,IF(Inputs!$C$12="HoH",7,4))))*($AH27-INDEX('Methodology &amp; Sources'!$B$19:$J$26,0,IF(Inputs!$C$12="MFJ",1,IF(Inputs!$C$12="HoH",7,4))))*INDEX('Methodology &amp; Sources'!$B$19:$J$26,0,IF(Inputs!$C$12="MFJ",1,IF(Inputs!$C$12="HoH",7,4))+2)))),'Methodology &amp; Sources'!$C$10*$D27),2)))</f>
      </c>
      <c r="Q27" s="7">
        <f>IF($B27="","",ROUND('Methodology &amp; Sources'!$C$4*MIN($N27,MAX(0,'Methodology &amp; Sources'!$C$3-($AX27+$AB26-$AW27))),2))</f>
      </c>
      <c r="R27" s="7">
        <f>IF($B27="","",ROUND('Methodology &amp; Sources'!$C$5*$N27,2))</f>
      </c>
      <c r="S27" s="7">
        <f>IF($B27="","",ROUND('Methodology &amp; Sources'!$C$6*MAX(0,MIN($N27,$AG26+$N27-'Methodology &amp; Sources'!$C$7)),2))</f>
      </c>
      <c r="T27" s="7">
        <f>IF($B27="","",IF(Inputs!$C$26,0,IF($AN27="CA",ROUND(IF($AI27&lt;=IF(($AS27+$AT27)&gt;=2,VLOOKUP($AN27,StateTables!$A$6:$AB$56,10,FALSE),VLOOKUP($AN27,StateTables!$A$6:$AB$56,9,FALSE)),0,MAX(0,SUMPRODUCT(($AJ27&gt;INDEX('Methodology &amp; Sources'!$B$39:$J$48,0,IF($AU27="Married",4,IF($AU27="Head of household",7,1))))*($AJ27-INDEX('Methodology &amp; Sources'!$B$39:$J$48,0,IF($AU27="Married",4,IF($AU27="Head of household",7,1))))*INDEX('Methodology &amp; Sources'!$B$39:$J$48,0,IF($AU27="Married",4,IF($AU27="Head of household",7,1))+2))-VLOOKUP($AN27,StateTables!$A$6:$AB$56,11,FALSE)*$AS27)/Inputs!$C$8)+Inputs!$C$25+VLOOKUP($AN27,StateTables!$A$6:$AB$56,13,FALSE)*$D27,2),IF(VLOOKUP($AN27,StateTables!$A$6:$AB$56,4,FALSE)="None",0,IF(ISNUMBER(SEARCH("MANUAL",VLOOKUP($AN27,StateTables!$A$6:$AB$56,5,FALSE))),Inputs!$C$28,ROUND(MAX(0,$BA27+$BB27)/Inputs!$C$8+Inputs!$C$25+$BC27,2))))))</f>
      </c>
      <c r="U27" s="7">
        <f>IF($B27="","",IF(VLOOKUP($AN27,StateTables!$A$6:$AB$56,24,FALSE)="flatq",IF(OR(MONTH($B27)=1,MONTH($B27)=4,MONTH($B27)=7,MONTH($B27)=10),VLOOKUP($AN27,StateTables!$A$6:$AB$56,25,FALSE),0),IF(VLOOKUP($AN27,StateTables!$A$6:$AB$56,24,FALSE)="dbl",MIN(ROUND(0.005*$N27,2),ROUND(0.6*52/Inputs!$C$8,2)),IF(OR(VLOOKUP($AN27,StateTables!$A$6:$AB$56,15,FALSE)="",VLOOKUP($AN27,StateTables!$A$6:$AB$56,15,FALSE)=0),0,ROUND(VLOOKUP($AN27,StateTables!$A$6:$AB$56,15,FALSE)*IF(OR(VLOOKUP($AN27,StateTables!$A$6:$AB$56,16,FALSE)="",VLOOKUP($AN27,StateTables!$A$6:$AB$56,16,FALSE)=0),$N27,MIN($N27,MAX(0,VLOOKUP($AN27,StateTables!$A$6:$AB$56,16,FALSE)-($AX27+$AB26-$AW27)))),2))))+IF(VLOOKUP($AN27,StateTables!$A$6:$AB$56,27,FALSE)="flatq",IF(OR(MONTH($B27)=1,MONTH($B27)=4,MONTH($B27)=7,MONTH($B27)=10),VLOOKUP($AN27,StateTables!$A$6:$AB$56,28,FALSE),0),IF(VLOOKUP($AN27,StateTables!$A$6:$AB$56,27,FALSE)="dbl",MIN(ROUND(0.005*$N27,2),ROUND(0.6*52/Inputs!$C$8,2)),IF(OR(VLOOKUP($AN27,StateTables!$A$6:$AB$56,18,FALSE)="",VLOOKUP($AN27,StateTables!$A$6:$AB$56,18,FALSE)=0),0,ROUND(VLOOKUP($AN27,StateTables!$A$6:$AB$56,18,FALSE)*IF(OR(VLOOKUP($AN27,StateTables!$A$6:$AB$56,19,FALSE)="",VLOOKUP($AN27,StateTables!$A$6:$AB$56,19,FALSE)=0),$N27,MIN($N27,MAX(0,VLOOKUP($AN27,StateTables!$A$6:$AB$56,19,FALSE)-($AX27+$AB26-$AW27)))),2)))))</f>
      </c>
      <c r="V27" s="7">
        <f>IF($B27="","",IF($AN27="NY",IF(Inputs!$C$78,ROUND(SUMPRODUCT((MAX(0,($O27-$D27)*Inputs!$C$8-(IF($AU27="Married",5500,5000)+1000*$AS27))&gt;INDEX('Methodology &amp; Sources'!$B$184:$J$198,0,4))*(MAX(0,($O27-$D27)*Inputs!$C$8-(IF($AU27="Married",5500,5000)+1000*$AS27))-INDEX('Methodology &amp; Sources'!$B$184:$J$198,0,4))*INDEX('Methodology &amp; Sources'!$B$184:$J$198,0,4+2))/Inputs!$C$8+0.0425*$D27,2),0)+IF(Inputs!$C$79="Resident",ROUND(0.1675*$T27,2),IF(Inputs!$C$79="Nonresident",ROUND(0.005*MAX(0,($O27-$D27)-(IF($AU27="Married",7950,7400)+1000*$AS27)/Inputs!$C$8),2),0)),IF($AN27="PA",IF(Inputs!$C$80="None",Inputs!$C$27+ROUND(Inputs!$C$81*($C27+$D27),2),ROUND(IF(Inputs!$C$80="Resident",IF($B27&lt;DATE(2027,7,1),0.03735,0.03735),IF($B27&lt;DATE(2027,7,1),0.03425,0.03425))*($C27+$D27),2)),IF($BF27=0,ROUND(Inputs!$C$81*($C27+$D27),2),Inputs!$C$27+ROUND(Inputs!$C$81*($C27+$D27),2)))))</f>
      </c>
      <c r="W27" s="7">
        <f>IF($B27="","",IF($BF27=0,0,$BP27))</f>
      </c>
      <c r="X27" s="7">
        <f>IF($B27="","",SUM($E27:$K27)+$P27+$Q27+$R27+$S27+$T27+$U27+$V27+$W27)</f>
      </c>
      <c r="Y27" s="22">
        <f>IF($B27="","",$C27+$D27-$X27)</f>
      </c>
      <c r="Z27" s="7">
        <f>IF($B27="","",$Z26+$C27+$D27)</f>
      </c>
      <c r="AA27" s="7">
        <f>IF($B27="","",$AA26+$Y27)</f>
      </c>
      <c r="AB27" s="7">
        <f>IF($B27="","",$AB26+MIN($N27,MAX(0,'Methodology &amp; Sources'!$C$3-($AX27+$AB26-$AW27))))</f>
      </c>
      <c r="AC27" s="7">
        <f>IF($B27="","",$AC26+$E27+$F27)</f>
      </c>
      <c r="AD27" s="3">
        <f>IF($B27="","",IF(AND($AB26&lt;'Methodology &amp; Sources'!$C$3,$AB27&gt;='Methodology &amp; Sources'!$C$3),"★ Social Security maxed on this check — from the next check your net rises by about $"&amp;TEXT(ROUND('Methodology &amp; Sources'!$C$4*$N27,2),"#,##0.00")&amp;". ","")&amp;IF(AND($AC26&lt;Inputs!$C$34,$AC27&gt;=Inputs!$C$34),"★ 401(k) reaches the $"&amp;TEXT(Inputs!$C$34,"#,##0")&amp;" cap on this check — deferrals stop and net pay rises. ","")&amp;IF(AND($AG26&lt;'Methodology &amp; Sources'!$C$7,$AG27&gt;='Methodology &amp; Sources'!$C$7),"★ Wages pass $200,000 — the 0.9% Additional Medicare Tax starts here. ","")&amp;IF(AND($BJ27&gt;0,$H27&gt;0,$BG26&lt;MIN($BJ27,'Methodology &amp; Sources'!$C$13),$BG26+$H27&gt;=MIN($BJ27,'Methodology &amp; Sources'!$C$13)),"★ Health FSA election is now fully deferred for the year. ",""))</f>
      </c>
      <c r="AE27" s="41" t="n"/>
      <c r="AF27" s="7">
        <f>IF(OR($B27="",$AE27=""),"",$AE27-$Y27)</f>
      </c>
      <c r="AG27" s="7">
        <f>IF($B27="","",$AG26+$N27)</f>
      </c>
      <c r="AH27" s="7">
        <f>IF($B27="","",MAX(0,($M27-$D27)*Inputs!$C$8+$AP27-$AQ27-IF(Inputs!$C$13,0,IF(Inputs!$C$12="MFJ",'Methodology &amp; Sources'!$C$8,'Methodology &amp; Sources'!$C$9))))</f>
      </c>
      <c r="AI27" s="7">
        <f>IF($B27="","",$O27*Inputs!$C$8)</f>
      </c>
      <c r="AJ27" s="7">
        <f>IF($B27="","",MAX(0,$AI27-VLOOKUP($AN27,StateTables!$A$6:$AB$56,12,FALSE)*$AT27-IF(($AS27+$AT27)&gt;=2,VLOOKUP($AN27,StateTables!$A$6:$AB$56,8,FALSE),VLOOKUP($AN27,StateTables!$A$6:$AB$56,7,FALSE))))</f>
      </c>
      <c r="AK27" s="7">
        <f>IF($B27="","",IFERROR(LOOKUP(2,1/((Events!$C$6:$C$17="Salary change")*(Events!$B$6:$B$17&lt;=$B27)*(Events!$B$6:$B$17&lt;&gt;"")),Events!$D$6:$D$17),IF(Inputs!$C$4="Annual salary",Inputs!$C$5,Inputs!$C$6)))</f>
      </c>
      <c r="AL27">
        <f>IF($B27="","",IFERROR(LOOKUP(2,1/((Events!$C$6:$C$17="401(k) change")*(Events!$B$6:$B$17&lt;=$B27)*(Events!$B$6:$B$17&lt;&gt;"")),Events!$D$6:$D$17),Inputs!$C$30))</f>
      </c>
      <c r="AM27" s="7">
        <f>IF($B27="","",IFERROR(LOOKUP(2,1/((Events!$C$6:$C$17="401(k) change")*(Events!$B$6:$B$17&lt;=$B27)*(Events!$B$6:$B$17&lt;&gt;"")),Events!$E$6:$E$17),Inputs!$D$30))</f>
      </c>
      <c r="AN27">
        <f>IF($B27="","",IFERROR(LOOKUP(2,1/((Events!$C$6:$C$17="State move")*(Events!$B$6:$B$17&lt;=$B27)*(Events!$B$6:$B$17&lt;&gt;"")),Events!$D$6:$D$17),Inputs!$C$21))</f>
      </c>
      <c r="AO27" s="7">
        <f>IF($B27="","",IFERROR(LOOKUP(2,1/((Events!$C$6:$C$17="W-4 change")*(Events!$B$6:$B$17&lt;=$B27)*(Events!$B$6:$B$17&lt;&gt;"")),Events!$D$6:$D$17),Inputs!$C$14))</f>
      </c>
      <c r="AP27" s="7">
        <f>IF($B27="","",IFERROR(LOOKUP(2,1/((Events!$C$6:$C$17="W-4 change")*(Events!$B$6:$B$17&lt;=$B27)*(Events!$B$6:$B$17&lt;&gt;"")),Events!$E$6:$E$17),Inputs!$C$15))</f>
      </c>
      <c r="AQ27" s="7">
        <f>IF($B27="","",IFERROR(LOOKUP(2,1/((Events!$C$6:$C$17="W-4 change")*(Events!$B$6:$B$17&lt;=$B27)*(Events!$B$6:$B$17&lt;&gt;"")),Events!$F$6:$F$17),Inputs!$C$16))</f>
      </c>
      <c r="AR27" s="7">
        <f>IF($B27="","",IFERROR(LOOKUP(2,1/((Events!$C$6:$C$17="W-4 change")*(Events!$B$6:$B$17&lt;=$B27)*(Events!$B$6:$B$17&lt;&gt;"")),Events!$G$6:$G$17),Inputs!$C$17))</f>
      </c>
      <c r="AS27" s="6">
        <f>IF($B27="","",IFERROR(LOOKUP(2,1/(((Events!$C$6:$C$17="State move")+(Events!$C$6:$C$17="State cert change"))*(Events!$B$6:$B$17&lt;=$B27)*(Events!$B$6:$B$17&lt;&gt;"")),Events!$F$6:$F$17),Inputs!$C$23))</f>
      </c>
      <c r="AT27" s="6">
        <f>IF($B27="","",IFERROR(LOOKUP(2,1/(((Events!$C$6:$C$17="State move")+(Events!$C$6:$C$17="State cert change"))*(Events!$B$6:$B$17&lt;=$B27)*(Events!$B$6:$B$17&lt;&gt;"")),Events!$G$6:$G$17),Inputs!$C$24))</f>
      </c>
      <c r="AU27">
        <f>IF($B27="","",IFERROR(LOOKUP(2,1/((Events!$C$6:$C$17="State move")*(Events!$B$6:$B$17&lt;=$B27)*(Events!$B$6:$B$17&lt;&gt;"")),Events!$E$6:$E$17),Inputs!$C$22))</f>
      </c>
      <c r="AV27" s="6">
        <f>IF($B27="","",1+COUNTIFS(Events!$C$6:$C$17,"Employer change",Events!$B$6:$B$17,"&lt;="&amp;$B27,Events!$B$6:$B$17,"&lt;&gt;"))</f>
      </c>
      <c r="AW27" s="7">
        <f>IF($B27="","",IF($AV27=1,Inputs!$C$94,IF(IFERROR(MATCH(IFERROR(LOOKUP(2,1/((Events!$C$6:$C$17="Employer change")*(Events!$B$6:$B$17&lt;=$B27)*(Events!$B$6:$B$17&lt;&gt;"")),Events!$B$6:$B$17),""),$B$6:$B$68,1),1)&lt;=1,Inputs!$C$94,INDEX($AB$6:$AB$68,MATCH(IFERROR(LOOKUP(2,1/((Events!$C$6:$C$17="Employer change")*(Events!$B$6:$B$17&lt;=$B27)*(Events!$B$6:$B$17&lt;&gt;"")),Events!$B$6:$B$17),""),$B$6:$B$68,1)-1))))</f>
      </c>
      <c r="AX27" s="7">
        <f>IF($B27="","",IF($AV27=1,Inputs!$C$94,IFERROR(LOOKUP(2,1/((Events!$C$6:$C$17="Employer change")*(Events!$B$6:$B$17&lt;=$B27)*(Events!$B$6:$B$17&lt;&gt;"")),Events!$D$6:$D$17),0)))</f>
      </c>
      <c r="AY27" s="7">
        <f>IF($B27="","",($O27-$D27)*Inputs!$C$8)</f>
      </c>
      <c r="AZ27" s="7">
        <f>IF($B27="","",IF($AN27="AL",MAX(0,$AY27-IF($AU27="Married",IF($AY27&lt;=25999,8500,MAX(5000,8500-175*CEILING(($AY27-25999)/500,1))),IF($AU27="Head of household",IF($AY27&lt;=25999,5200,MAX(2500,5200-135*CEILING(($AY27-25999)/500,1))),IF($AY27&lt;=25999,3000,MAX(2500,3000-25*CEILING(($AY27-25999)/500,1)))))-($P27-'Methodology &amp; Sources'!$C$10*$D27)*Inputs!$C$8-IF(OR($AU27="Married",$AU27="Head of household"),3000,1500)-$AT27*IF($AY27&lt;=50000,1000,IF($AY27&lt;=100000,500,300))),IF($AN27="AR",IF(MAX(0,$AY27-2470)&lt;97701,INT(MAX(0,$AY27-2470)/100)*100+50,MAX(0,$AY27-2470)),IF($AN27="DE",MAX(0,$AI27-3250),IF($AN27="HI",MAX(0,$AI27-1144*$AS27-4350),IF($AN27="KS",MAX(0,$AI27-(9160*IF($AU27="Married",2,1)+2320*$AT27+IF($AU27="Head of household",2320,0))),IF($AN27="MD",MAX(0,$AI27-3400-3200*$AS27),IF($AN27="MN",MAX(0,$AY27-5300*$AS27),IF($AN27="MO",MAX(0,$AI27-IF($AU27="Head of household",24150,IF($AU27="Married",IF(Inputs!$C$83,16100,32200),16100))),IF($AN27="MT",$AY27,IF($AN27="ND",($C27+$L27)*Inputs!$C$8,IF($AN27="NE",MAX(0,$AY27-2440*$AS27),IF($AN27="NJ",MAX(0,$AY27-1000*$AS27),IF($AN27="NY",MAX(0,$AY27-(IF($AU27="Married",7950,7400)+1000*$AS27)),IF($AN27="OH",MAX(0,$AY27-650*$AS27),IF($AN27="OK",MAX(0,$AY27-1000*$AS27),IF($AN27="RI",MAX(0,$AI27-1000*$AS27),IF($AN27="SC",MAX(0,$AI27-5000*$AS27-IF($AS27=0,0,MIN(0.1*$AI27,7500))),IF($AN27="VA",MAX(0,$AI27-IF($AU27="Married",17500,8750)-930*$AS27-800*$AT27),IF($AN27="VT",MAX(0,$AI27-5400*$AS27),IF($AN27="WI",MAX(0,$AI27-MAX(0,IF($AU27="Married",9461-0.2*MAX(0,$AI27-25727),6702-0.12*MAX(0,$AI27-17780)))-400*$AS27),IF($AN27="WV",MAX(0,$AI27-2000*$AS27),$AI27))))))))))))))))))))))</f>
      </c>
      <c r="BA27" s="7">
        <f>IF($B27="","",IF($BW27&lt;&gt;"",$BW27,IF($BX27&lt;&gt;"",$BX27,IF($BY27&lt;&gt;"",$BY27,0))))</f>
      </c>
      <c r="BB27" s="7">
        <f>IF($B27="","",IF($AN27="AR",-29*$AS27,IF($AN27="DE",-110*$AS27,IF($AN27="MD",$AZ27*Inputs!$C$74,IF($AN27="AZ",Inputs!$C$82*($M27-$D27)*Inputs!$C$8,IF($AN27="CO",0.044*MAX(0,$AY27-IF($AU27="Married",10000,5000)),IF($AN27="IA",MAX(0,0.038*MAX(0,$AY27-IF($AU27="Head of household",19500,IF($AU27="Married",26000,13000)))-40*$AS27),IF($AN27="ID",0.053*MAX(0,$AY27-IF($AU27="Married",32000,16094)),IF($AN27="IL",0.0495*MAX(0,$AY27-(2925*$AS27+1000*$AT27)),IF($AN27="IN",(0.0295+Inputs!$C$76)*MAX(0,$AY27-(1000*$AS27+1500*$AT27+3000*Inputs!$C$86)),IF($AN27="KY",0.035*MAX(0,$AI27-3360),IF($AN27="LA",IF(Inputs!$C$84="0",0.0309*$AI27,0.0309*MAX(0,$AI27-IF(Inputs!$C$84="2",25750,12875))),IF($AN27="MA",0.05*MIN(MAX(0,$AY27-MIN(($BD26+$Q27+$R27+$S27),2000)-IF($AS27=0,0,IF($AS27=1,4400,1000*$AS27+3400))),1107750)+0.09*MAX(0,MAX(0,$AY27-MIN(($BD26+$Q27+$R27+$S27),2000)-IF($AS27=0,0,IF($AS27=1,4400,1000*$AS27+3400)))-1107750)-IF($AU27="Head of household",120,0)-110*Inputs!$C$75,IF($AN27="MI",0.0425*MAX(0,$AY27-5900*$AS27),IF($AN27="MS",0.04*MAX(0,$AI27-IF($AU27="Head of household",3400,IF($AU27="Married",4600,2300))-Inputs!$C$85-10000),IF($AN27="OR",IF(OR($AU27="Married",AND($AU27="Single",$AS27&gt;=3)),SUMPRODUCT((MAX(0,$AY27-MIN(($P27-'Methodology &amp; Sources'!$C$10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Sources'!$B$211:$J$214,0,4))*(MAX(0,$AY27-MIN(($P27-'Methodology &amp; Sources'!$C$10*$D27)*Inputs!$C$8,IF(OR($AU27="Married",AND($AU27="Single",$AS27&gt;=3)),IF($AY27&lt;250000,8750,IF($AY27&lt;260000,7000,IF($AY27&lt;270000,5250,IF($AY27&lt;280000,3500,IF($AY27&lt;290000,1750,0))))),IF($AY27&lt;125000,8750,IF($AY27&lt;130000,7000,IF($AY27&lt;135000,5250,IF($AY27&lt;140000,3500,IF($AY27&lt;145000,1750,0)))))))-IF(OR($AU27="Married",AND($AU27="Single",$AS27&gt;=3)),5820,2910))-INDEX('Methodology &amp; Sources'!$B$211:$J$214,0,4))*INDEX('Methodology &amp; Sources'!$B$211:$J$214,0,4+2)),SUMPRODUCT((MAX(0,$AY27-MIN(($P27-'Methodology &amp; Sources'!$C$10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Sources'!$B$211:$J$214,0,1))*(MAX(0,$AY27-MIN(($P27-'Methodology &amp; Sources'!$C$10*$D27)*Inputs!$C$8,IF(OR($AU27="Married",AND($AU27="Single",$AS27&gt;=3)),IF($AY27&lt;250000,8750,IF($AY27&lt;260000,7000,IF($AY27&lt;270000,5250,IF($AY27&lt;280000,3500,IF($AY27&lt;290000,1750,0))))),IF($AY27&lt;125000,8750,IF($AY27&lt;130000,7000,IF($AY27&lt;135000,5250,IF($AY27&lt;140000,3500,IF($AY27&lt;145000,1750,0)))))))-IF(OR($AU27="Married",AND($AU27="Single",$AS27&gt;=3)),5820,2910))-INDEX('Methodology &amp; Sources'!$B$211:$J$214,0,1))*INDEX('Methodology &amp; Sources'!$B$211:$J$214,0,1+2)))+263-263*IF(IF($AU27="Married",$AY27&gt;200000,$AY27&gt;100000),0,$AS27),IF($AN27="PA",0.0307*(($O27+$E27+$G27)*Inputs!$C$8),IF($AN27="NY",IF($AU27="Married",IF($AZ27&gt;=2155350,0,IF($AZ27&gt;=1077550,0.48,IF($AZ27&gt;=373200,1.21,IF($AZ27&gt;=323200,0.21,IF($AZ27&gt;=211550,-0.19,IF($AZ27&gt;=157650,-2.8,IF($AZ27&gt;=107650,-0.8,IF($AZ27&gt;=96800,0.05,IF($AZ27&gt;=80650,-0.1,IF($AZ27&gt;=13900,0.4,IF($AZ27&gt;=11700,-0.3,IF($AZ27&gt;=8500,0.5,0)))))))))))),IF($AZ27&gt;=1077550,0,IF($AZ27&gt;=265400,4.29,IF($AZ27&gt;=215400,2.29,IF($AZ27&gt;=157650,2.29,IF($AZ27&gt;=107650,0.29,IF($AZ27&gt;=96800,0.05,IF($AZ27&gt;=80650,-0.1,IF($AZ27&gt;=13900,0.4,IF($AZ27&gt;=11700,-0.3,IF($AZ27&gt;=8500,0.5,0))))))))))),0))))))))))))))))))</f>
      </c>
      <c r="BC27" s="7">
        <f>IF($B27="","",IF($AN27="AL",0.05*$D27,IF($AN27="AR",0.039*$D27,IF($AN27="ID",0.053*$D27,IF($AN27="IN",(0.0295+Inputs!$C$76)*$D27,IF($AN27="KS",0.05*$D27,IF($AN27="MA",0.09*MIN($D27,MAX(0,MAX(0,$AY27-MIN(($BD26+$Q27+$R27+$S27),2000)-IF($AS27=0,0,IF($AS27=1,4400,1000*$AS27+3400)))+$D27-1107750))+0.05*($D27-MIN($D27,MAX(0,MAX(0,$AY27-MIN(($BD26+$Q27+$R27+$S27),2000)-IF($AS27=0,0,IF($AS27=1,4400,1000*$AS27+3400)))+$D27-1107750))),IF($AN27="MD",(0.065+Inputs!$C$74)*$D27,IF($AN27="MI",0.0425*$D27,IF($AN27="MN",0.0625*$D27,IF($AN27="MO",0.047*$D27,IF($AN27="MT",0.05*$D27,IF($AN27="ND",0.015*$D27,IF($AN27="NE",0.035*$D27,IF($AN27="NJ",IF(Inputs!$C$77="B",SUMPRODUCT(($D27*Inputs!$C$8&gt;INDEX('Methodology &amp; Sources'!$B$155:$J$162,0,4))*($D27*Inputs!$C$8-INDEX('Methodology &amp; Sources'!$B$155:$J$162,0,4))*INDEX('Methodology &amp; Sources'!$B$155:$J$162,0,4+2)),IF(Inputs!$C$77="C",SUMPRODUCT(($D27*Inputs!$C$8&gt;INDEX('Methodology &amp; Sources'!$B$155:$J$162,0,7))*($D27*Inputs!$C$8-INDEX('Methodology &amp; Sources'!$B$155:$J$162,0,7))*INDEX('Methodology &amp; Sources'!$B$155:$J$162,0,7+2)),IF(Inputs!$C$77="D",SUMPRODUCT(($D27*Inputs!$C$8&gt;INDEX('Methodology &amp; Sources'!$B$167:$J$179,0,1))*($D27*Inputs!$C$8-INDEX('Methodology &amp; Sources'!$B$167:$J$179,0,1))*INDEX('Methodology &amp; Sources'!$B$167:$J$179,0,1+2)),IF(Inputs!$C$77="E",SUMPRODUCT(($D27*Inputs!$C$8&gt;INDEX('Methodology &amp; Sources'!$B$167:$J$179,0,4))*($D27*Inputs!$C$8-INDEX('Methodology &amp; Sources'!$B$167:$J$179,0,4))*INDEX('Methodology &amp; Sources'!$B$167:$J$179,0,4+2)),SUMPRODUCT(($D27*Inputs!$C$8&gt;INDEX('Methodology &amp; Sources'!$B$155:$J$162,0,1))*($D27*Inputs!$C$8-INDEX('Methodology &amp; Sources'!$B$155:$J$162,0,1))*INDEX('Methodology &amp; Sources'!$B$155:$J$162,0,1+2))))))/Inputs!$C$8,IF($AN27="NY",0.117*$D27,IF($AN27="OH",0.0275*$D27,IF($AN27="OK",0.045*$D27,IF($AN27="OR",0.08*$D27,IF($AN27="WI",IF($AY27&lt;12760,0.0354,IF($AY27&lt;25520,0.0465,IF($AY27&lt;280950,0.053,0.0765)))*$D27,0))))))))))))))))))))</f>
      </c>
      <c r="BD27" s="7">
        <f>IF($B27="","",$BD26+$Q27+$R27+$S27)</f>
      </c>
      <c r="BE27" s="6">
        <f>IF($B27="",$BE26,$BE26+$BF27)</f>
      </c>
      <c r="BF27" s="6">
        <f>IF($B27="","",IF(AND(IF(YEAR(IF(Inputs!$C$7="Weekly",Inputs!$C$90+7*(($BE26+1)-1),IF(Inputs!$C$7="Biweekly",Inputs!$C$90+14*(($BE26+1)-1),IF(Inputs!$C$7="Semimonthly",DATE(YEAR(Inputs!$C$9),MONTH(Inputs!$C$9)+INT((($BE26+1)-1+'Rest of 2026'!$C$2)/2),MIN(DAY(Inputs!$C$9),DAY(EOMONTH(DATE(YEAR(Inputs!$C$9),MONTH(Inputs!$C$9)+INT((($BE26+1)-1+'Rest of 2026'!$C$2)/2),1),0))))+IF(MOD(($BE26+1)-1+'Rest of 2026'!$C$2,2)=1,15,0),EDATE(Inputs!$C$90,($BE26+1)-1)))))&lt;&gt;Inputs!$C$10,"",IF(Inputs!$C$7="Weekly",Inputs!$C$90+7*(($BE26+1)-1),IF(Inputs!$C$7="Biweekly",Inputs!$C$90+14*(($BE26+1)-1),IF(Inputs!$C$7="Semimonthly",DATE(YEAR(Inputs!$C$9),MONTH(Inputs!$C$9)+INT((($BE26+1)-1+'Rest of 2026'!$C$2)/2),MIN(DAY(Inputs!$C$9),DAY(EOMONTH(DATE(YEAR(Inputs!$C$9),MONTH(Inputs!$C$9)+INT((($BE26+1)-1+'Rest of 2026'!$C$2)/2),1),0))))+IF(MOD(($BE26+1)-1+'Rest of 2026'!$C$2,2)=1,15,0),EDATE(Inputs!$C$90,($BE26+1)-1)))))&lt;&gt;"",$B27=IF(YEAR(IF(Inputs!$C$7="Weekly",Inputs!$C$90+7*(($BE26+1)-1),IF(Inputs!$C$7="Biweekly",Inputs!$C$90+14*(($BE26+1)-1),IF(Inputs!$C$7="Semimonthly",DATE(YEAR(Inputs!$C$9),MONTH(Inputs!$C$9)+INT((($BE26+1)-1+'Rest of 2026'!$C$2)/2),MIN(DAY(Inputs!$C$9),DAY(EOMONTH(DATE(YEAR(Inputs!$C$9),MONTH(Inputs!$C$9)+INT((($BE26+1)-1+'Rest of 2026'!$C$2)/2),1),0))))+IF(MOD(($BE26+1)-1+'Rest of 2026'!$C$2,2)=1,15,0),EDATE(Inputs!$C$90,($BE26+1)-1)))))&lt;&gt;Inputs!$C$10,"",IF(Inputs!$C$7="Weekly",Inputs!$C$90+7*(($BE26+1)-1),IF(Inputs!$C$7="Biweekly",Inputs!$C$90+14*(($BE26+1)-1),IF(Inputs!$C$7="Semimonthly",DATE(YEAR(Inputs!$C$9),MONTH(Inputs!$C$9)+INT((($BE26+1)-1+'Rest of 2026'!$C$2)/2),MIN(DAY(Inputs!$C$9),DAY(EOMONTH(DATE(YEAR(Inputs!$C$9),MONTH(Inputs!$C$9)+INT((($BE26+1)-1+'Rest of 2026'!$C$2)/2),1),0))))+IF(MOD(($BE26+1)-1+'Rest of 2026'!$C$2,2)=1,15,0),EDATE(Inputs!$C$90,($BE26+1)-1)))))),1,0))</f>
      </c>
      <c r="BG27" s="7">
        <f>IF($B27="","",$BG26+$H27)</f>
      </c>
      <c r="BH27" s="7">
        <f>IF($B27="","",$BH26+$I27)</f>
      </c>
      <c r="BI27" s="7">
        <f>IF($B27="","",$BI26+$G27)</f>
      </c>
      <c r="BJ27" s="7">
        <f>IF($B27="","",IFERROR(LOOKUP(2,1/((((Events!$C$6:$C$17="Deduction start"))*(Events!$D$6:$D$17="Health FSA"))*(Events!$B$6:$B$17&lt;=$B27)*(Events!$B$6:$B$17&lt;&gt;"")),Events!$E$6:$E$17),Inputs!$D$38))</f>
      </c>
      <c r="BK27" s="7">
        <f>IF($B27="","",IFERROR(LOOKUP(2,1/((((Events!$C$6:$C$17="Deduction start"))*(Events!$D$6:$D$17="Dependent-care FSA"))*(Events!$B$6:$B$17&lt;=$B27)*(Events!$B$6:$B$17&lt;&gt;"")),Events!$E$6:$E$17),Inputs!$D$39))</f>
      </c>
      <c r="BL27" s="7">
        <f>IF($B27="","",IFERROR(LOOKUP(2,1/((((Events!$C$6:$C$17="Deduction start")+(Events!$C$6:$C$17="Deduction stop"))*(Events!$D$6:$D$17="HSA"))*(Events!$B$6:$B$17&lt;=$B27)*(Events!$B$6:$B$17&lt;&gt;"")),Events!$I$6:$I$17),Inputs!$D$35))</f>
      </c>
      <c r="BM27" s="7">
        <f>IF($B27="","",IFERROR(LOOKUP(2,1/((((Events!$C$6:$C$17="Deduction start")+(Events!$C$6:$C$17="Deduction stop"))*(Events!$D$6:$D$17="Premiums"))*(Events!$B$6:$B$17&lt;=$B27)*(Events!$B$6:$B$17&lt;&gt;"")),Events!$I$6:$I$17),Inputs!$D$40+Inputs!$D$41+Inputs!$D$42))</f>
      </c>
      <c r="BN27" s="7">
        <f>IF($B27="","",IFERROR(LOOKUP(2,1/((((Events!$C$6:$C$17="Deduction start")+(Events!$C$6:$C$17="Deduction stop"))*(Events!$D$6:$D$17="Commuter"))*(Events!$B$6:$B$17&lt;=$B27)*(Events!$B$6:$B$17&lt;&gt;"")),Events!$I$6:$I$17),Inputs!$D$43))</f>
      </c>
      <c r="BO27" s="7">
        <f>IF($B27="","",IFERROR(LOOKUP(2,1/((((Events!$C$6:$C$17="Deduction start")+(Events!$C$6:$C$17="Deduction stop"))*(Events!$D$6:$D$17="Other pre-tax"))*(Events!$B$6:$B$17&lt;=$B27)*(Events!$B$6:$B$17&lt;&gt;"")),Events!$I$6:$I$17),Inputs!$D$44))</f>
      </c>
      <c r="BP27" s="7">
        <f>IF($B27="","",IFERROR(LOOKUP(2,1/((((Events!$C$6:$C$17="Deduction start")+(Events!$C$6:$C$17="Deduction stop"))*(Events!$D$6:$D$17="Other post-tax"))*(Events!$B$6:$B$17&lt;=$B27)*(Events!$B$6:$B$17&lt;&gt;"")),Events!$I$6:$I$17),Inputs!$D$45))</f>
      </c>
      <c r="BQ27" s="6">
        <f>IF($B27="","",IFERROR(LOOKUP(2,1/((((Events!$C$6:$C$17="Deduction start")+(Events!$C$6:$C$17="Deduction stop"))*(Events!$D$6:$D$17="Health FSA"))*(Events!$B$6:$B$17&lt;=$B27)*(Events!$B$6:$B$17&lt;&gt;"")),Events!$J$6:$J$17),0))</f>
      </c>
      <c r="BR27" s="6">
        <f>IF($B27="","",IFERROR(LOOKUP(2,1/((((Events!$C$6:$C$17="Deduction start")+(Events!$C$6:$C$17="Deduction stop"))*(Events!$D$6:$D$17="Dependent-care FSA"))*(Events!$B$6:$B$17&lt;=$B27)*(Events!$B$6:$B$17&lt;&gt;"")),Events!$J$6:$J$17),0))</f>
      </c>
      <c r="BS27" s="6">
        <f>IF($B27="","",IF(SUMPRODUCT((Events!$C$6:$C$17="Deduction start")*(Events!$B$6:$B$17&lt;=$B27)*(Events!$B$6:$B$17&lt;&gt;"")*(Events!$D$6:$D$17="Health FSA"))&gt;0,1,0))</f>
      </c>
      <c r="BT27" s="6">
        <f>IF($B27="","",IF(SUMPRODUCT((Events!$C$6:$C$17="Deduction start")*(Events!$B$6:$B$17&lt;=$B27)*(Events!$B$6:$B$17&lt;&gt;"")*(Events!$D$6:$D$17="Dependent-care FSA"))&gt;0,1,0))</f>
      </c>
      <c r="BU27" s="24">
        <f>IF($B27="","",IF(Inputs!$C$13,SUMPRODUCT(($AH27&gt;=INDEX('Methodology &amp; Sources'!$B$29:$J$36,0,IF(Inputs!$C$12="MFJ",1,IF(Inputs!$C$12="HoH",7,4))))*INDEX('Methodology &amp; Sources'!$B$29:$J$36,0,IF(Inputs!$C$12="MFJ",1,IF(Inputs!$C$12="HoH",7,4))+2)),SUMPRODUCT(($AH27&gt;=INDEX('Methodology &amp; Sources'!$B$19:$J$26,0,IF(Inputs!$C$12="MFJ",1,IF(Inputs!$C$12="HoH",7,4))))*INDEX('Methodology &amp; Sources'!$B$19:$J$26,0,IF(Inputs!$C$12="MFJ",1,IF(Inputs!$C$12="HoH",7,4))+2))))</f>
      </c>
      <c r="BV27" s="24">
        <f>IF($B27="","",IF($BZ27&lt;&gt;"",$BZ27,IF($CA27&lt;&gt;"",$CA27,IF($CB27&lt;&gt;"",$CB27,IF($CC27&lt;&gt;"",$CC27,0)))))</f>
      </c>
      <c r="BW27" s="7">
        <f>IF($B27="","",IF($AN27="MD",IF(OR($AU27="Married",$AU27="Head of household"),SUMPRODUCT(($AZ27&gt;INDEX('Methodology &amp; Sources'!$B$114:$J$120,0,1))*($AZ27-INDEX('Methodology &amp; Sources'!$B$114:$J$120,0,1))*INDEX('Methodology &amp; Sources'!$B$114:$J$120,0,1+2)),SUMPRODUCT(($AZ27&gt;INDEX('Methodology &amp; Sources'!$B$103:$J$109,0,7))*($AZ27-INDEX('Methodology &amp; Sources'!$B$103:$J$109,0,7))*INDEX('Methodology &amp; Sources'!$B$103:$J$109,0,7+2))),IF($AN27="MO",SUMPRODUCT(($AZ27&gt;INDEX('Methodology &amp; Sources'!$B$125:$J$132,0,1))*($AZ27-INDEX('Methodology &amp; Sources'!$B$125:$J$132,0,1))*INDEX('Methodology &amp; Sources'!$B$125:$J$132,0,1+2)),IF($AN27="MT",IF($AU27="Head of household",SUMPRODUCT(($AZ27&gt;INDEX('Methodology &amp; Sources'!$B$137:$J$139,0,1))*($AZ27-INDEX('Methodology &amp; Sources'!$B$137:$J$139,0,1))*INDEX('Methodology &amp; Sources'!$B$137:$J$139,0,1+2)),IF($AU27="Married",SUMPRODUCT(($AZ27&gt;INDEX('Methodology &amp; Sources'!$B$125:$J$132,0,7))*($AZ27-INDEX('Methodology &amp; Sources'!$B$125:$J$132,0,7))*INDEX('Methodology &amp; Sources'!$B$125:$J$132,0,7+2)),SUMPRODUCT(($AZ27&gt;INDEX('Methodology &amp; Sources'!$B$125:$J$132,0,4))*($AZ27-INDEX('Methodology &amp; Sources'!$B$125:$J$132,0,4))*INDEX('Methodology &amp; Sources'!$B$125:$J$132,0,4+2)))),IF($AN27="ND",IF($AU27="Head of household",SUMPRODUCT(($AZ27&gt;INDEX('Methodology &amp; Sources'!$B$144:$J$150,0,1))*($AZ27-INDEX('Methodology &amp; Sources'!$B$144:$J$150,0,1))*INDEX('Methodology &amp; Sources'!$B$144:$J$150,0,1+2)),IF($AU27="Married",SUMPRODUCT(($AZ27&gt;INDEX('Methodology &amp; Sources'!$B$137:$J$139,0,7))*($AZ27-INDEX('Methodology &amp; Sources'!$B$137:$J$139,0,7))*INDEX('Methodology &amp; Sources'!$B$137:$J$139,0,7+2)),SUMPRODUCT(($AZ27&gt;INDEX('Methodology &amp; Sources'!$B$137:$J$139,0,4))*($AZ27-INDEX('Methodology &amp; Sources'!$B$137:$J$139,0,4))*INDEX('Methodology &amp; Sources'!$B$137:$J$139,0,4+2)))),IF($AN27="NJ",IF(Inputs!$C$77="B",SUMPRODUCT(($AZ27&gt;INDEX('Methodology &amp; Sources'!$B$155:$J$162,0,4))*($AZ27-INDEX('Methodology &amp; Sources'!$B$155:$J$162,0,4))*INDEX('Methodology &amp; Sources'!$B$155:$J$162,0,4+2)),IF(Inputs!$C$77="C",SUMPRODUCT(($AZ27&gt;INDEX('Methodology &amp; Sources'!$B$155:$J$162,0,7))*($AZ27-INDEX('Methodology &amp; Sources'!$B$155:$J$162,0,7))*INDEX('Methodology &amp; Sources'!$B$155:$J$162,0,7+2)),IF(Inputs!$C$77="D",SUMPRODUCT(($AZ27&gt;INDEX('Methodology &amp; Sources'!$B$167:$J$179,0,1))*($AZ27-INDEX('Methodology &amp; Sources'!$B$167:$J$179,0,1))*INDEX('Methodology &amp; Sources'!$B$167:$J$179,0,1+2)),IF(Inputs!$C$77="E",SUMPRODUCT(($AZ27&gt;INDEX('Methodology &amp; Sources'!$B$167:$J$179,0,4))*($AZ27-INDEX('Methodology &amp; Sources'!$B$167:$J$179,0,4))*INDEX('Methodology &amp; Sources'!$B$167:$J$179,0,4+2)),SUMPRODUCT(($AZ27&gt;INDEX('Methodology &amp; Sources'!$B$155:$J$162,0,1))*($AZ27-INDEX('Methodology &amp; Sources'!$B$155:$J$162,0,1))*INDEX('Methodology &amp; Sources'!$B$155:$J$162,0,1+2)))))),IF($AN27="NY",IF($AU27="Married",IF($AZ27&gt;=2155350,$AZ27*IF($AZ27&gt;25000000,0.117,IF($AZ27&gt;5000000,0.111,0.1045)),SUMPRODUCT(($AZ27&gt;INDEX('Methodology &amp; Sources'!$B$184:$J$198,0,1))*($AZ27-INDEX('Methodology &amp; Sources'!$B$184:$J$198,0,1))*INDEX('Methodology &amp; Sources'!$B$184:$J$198,0,1+2))),IF($AZ27&gt;=1077550,$AZ27*IF($AZ27&gt;25000000,0.117,IF($AZ27&gt;5000000,0.111,0.1045)),SUMPRODUCT(($AZ27&gt;INDEX('Methodology &amp; Sources'!$B$167:$J$179,0,7))*($AZ27-INDEX('Methodology &amp; Sources'!$B$167:$J$179,0,7))*INDEX('Methodology &amp; Sources'!$B$167:$J$179,0,7+2)))),"")))))))</f>
      </c>
      <c r="BX27" s="7">
        <f>IF($B27="","",IF($AN27="AL",IF(OR($AU27="Married",$AU27="Head of household"),SUMPRODUCT(($AZ27&gt;INDEX('Methodology &amp; Sources'!$B$82:$J$86,0,4))*($AZ27-INDEX('Methodology &amp; Sources'!$B$82:$J$86,0,4))*INDEX('Methodology &amp; Sources'!$B$82:$J$86,0,4+2)),SUMPRODUCT(($AZ27&gt;INDEX('Methodology &amp; Sources'!$B$82:$J$86,0,1))*($AZ27-INDEX('Methodology &amp; Sources'!$B$82:$J$86,0,1))*INDEX('Methodology &amp; Sources'!$B$82:$J$86,0,1+2))),IF($AN27="KS",IF($AU27="Married",SUMPRODUCT(($AZ27&gt;INDEX('Methodology &amp; Sources'!$B$103:$J$109,0,4))*($AZ27-INDEX('Methodology &amp; Sources'!$B$103:$J$109,0,4))*INDEX('Methodology &amp; Sources'!$B$103:$J$109,0,4+2)),SUMPRODUCT(($AZ27&gt;INDEX('Methodology &amp; Sources'!$B$103:$J$109,0,1))*($AZ27-INDEX('Methodology &amp; Sources'!$B$103:$J$109,0,1))*INDEX('Methodology &amp; Sources'!$B$103:$J$109,0,1+2))),IF($AN27="MN",IF($AU27="Married",SUMPRODUCT(($AZ27&gt;INDEX('Methodology &amp; Sources'!$B$114:$J$120,0,7))*($AZ27-INDEX('Methodology &amp; Sources'!$B$114:$J$120,0,7))*INDEX('Methodology &amp; Sources'!$B$114:$J$120,0,7+2)),SUMPRODUCT(($AZ27&gt;INDEX('Methodology &amp; Sources'!$B$114:$J$120,0,4))*($AZ27-INDEX('Methodology &amp; Sources'!$B$114:$J$120,0,4))*INDEX('Methodology &amp; Sources'!$B$114:$J$120,0,4+2))),IF($AN27="NE",MAX(IF($AU27="Married",SUMPRODUCT(($AZ27&gt;INDEX('Methodology &amp; Sources'!$B$144:$J$150,0,7))*($AZ27-INDEX('Methodology &amp; Sources'!$B$144:$J$150,0,7))*INDEX('Methodology &amp; Sources'!$B$144:$J$150,0,7+2)),SUMPRODUCT(($AZ27&gt;INDEX('Methodology &amp; Sources'!$B$144:$J$150,0,4))*($AZ27-INDEX('Methodology &amp; Sources'!$B$144:$J$150,0,4))*INDEX('Methodology &amp; Sources'!$B$144:$J$150,0,4+2))),0.015*$AZ27),IF($AN27="OH",IF($B27&gt;=DATE(2027,8,1),SUMPRODUCT(($AZ27&gt;INDEX('Methodology &amp; Sources'!$B$203:$J$206,0,1))*($AZ27-INDEX('Methodology &amp; Sources'!$B$203:$J$206,0,1))*INDEX('Methodology &amp; Sources'!$B$203:$J$206,0,1+2)),SUMPRODUCT(($AZ27&gt;INDEX('Methodology &amp; Sources'!$B$184:$J$198,0,7))*($AZ27-INDEX('Methodology &amp; Sources'!$B$184:$J$198,0,7))*INDEX('Methodology &amp; Sources'!$B$184:$J$198,0,7+2))),IF($AN27="OK",IF($AU27="Married",SUMPRODUCT(($AZ27&gt;INDEX('Methodology &amp; Sources'!$B$203:$J$206,0,7))*($AZ27-INDEX('Methodology &amp; Sources'!$B$203:$J$206,0,7))*INDEX('Methodology &amp; Sources'!$B$203:$J$206,0,7+2)),SUMPRODUCT(($AZ27&gt;INDEX('Methodology &amp; Sources'!$B$203:$J$206,0,4))*($AZ27-INDEX('Methodology &amp; Sources'!$B$203:$J$206,0,4))*INDEX('Methodology &amp; Sources'!$B$203:$J$206,0,4+2))),IF($AN27="RI",SUMPRODUCT(($AZ27&gt;INDEX('Methodology &amp; Sources'!$B$211:$J$214,0,7))*($AZ27-INDEX('Methodology &amp; Sources'!$B$211:$J$214,0,7))*INDEX('Methodology &amp; Sources'!$B$211:$J$214,0,7+2)),IF($AN27="VT",IF($AU27="Married",SUMPRODUCT(($AZ27&gt;INDEX('Methodology &amp; Sources'!$B$228:$J$232,0,1))*($AZ27-INDEX('Methodology &amp; Sources'!$B$228:$J$232,0,1))*INDEX('Methodology &amp; Sources'!$B$228:$J$232,0,1+2)),SUMPRODUCT(($AZ27&gt;INDEX('Methodology &amp; Sources'!$B$219:$J$223,0,7))*($AZ27-INDEX('Methodology &amp; Sources'!$B$219:$J$223,0,7))*INDEX('Methodology &amp; Sources'!$B$219:$J$223,0,7+2))),IF($AN27="WV",IF($AU27="Married",SUMPRODUCT(($AZ27&gt;INDEX('Methodology &amp; Sources'!$B$237:$J$241,0,7))*($AZ27-INDEX('Methodology &amp; Sources'!$B$237:$J$241,0,7))*INDEX('Methodology &amp; Sources'!$B$237:$J$241,0,7+2)),SUMPRODUCT(($AZ27&gt;INDEX('Methodology &amp; Sources'!$B$228:$J$232,0,7))*($AZ27-INDEX('Methodology &amp; Sources'!$B$228:$J$232,0,7))*INDEX('Methodology &amp; Sources'!$B$228:$J$232,0,7+2))),""))))))))))</f>
      </c>
      <c r="BY27" s="7">
        <f>IF($B27="","",IF($AN27="AR",SUMPRODUCT(($AZ27&gt;INDEX('Methodology &amp; Sources'!$B$82:$J$86,0,7))*($AZ27-INDEX('Methodology &amp; Sources'!$B$82:$J$86,0,7))*INDEX('Methodology &amp; Sources'!$B$82:$J$86,0,7+2)),IF($AN27="DE",SUMPRODUCT(($AZ27&gt;INDEX('Methodology &amp; Sources'!$B$91:$J$98,0,1))*($AZ27-INDEX('Methodology &amp; Sources'!$B$91:$J$98,0,1))*INDEX('Methodology &amp; Sources'!$B$91:$J$98,0,1+2)),IF($AN27="HI",IF($AU27="Married",SUMPRODUCT(($AZ27&gt;INDEX('Methodology &amp; Sources'!$B$91:$J$98,0,7))*($AZ27-INDEX('Methodology &amp; Sources'!$B$91:$J$98,0,7))*INDEX('Methodology &amp; Sources'!$B$91:$J$98,0,7+2)),SUMPRODUCT(($AZ27&gt;INDEX('Methodology &amp; Sources'!$B$91:$J$98,0,4))*($AZ27-INDEX('Methodology &amp; Sources'!$B$91:$J$98,0,4))*INDEX('Methodology &amp; Sources'!$B$91:$J$98,0,4+2))),IF($AN27="SC",SUMPRODUCT(($AZ27&gt;INDEX('Methodology &amp; Sources'!$B$219:$J$223,0,1))*($AZ27-INDEX('Methodology &amp; Sources'!$B$219:$J$223,0,1))*INDEX('Methodology &amp; Sources'!$B$219:$J$223,0,1+2)),IF($AN27="VA",SUMPRODUCT(($AZ27&gt;INDEX('Methodology &amp; Sources'!$B$219:$J$223,0,4))*($AZ27-INDEX('Methodology &amp; Sources'!$B$219:$J$223,0,4))*INDEX('Methodology &amp; Sources'!$B$219:$J$223,0,4+2)),IF($AN27="WI",SUMPRODUCT(($AZ27&gt;INDEX('Methodology &amp; Sources'!$B$228:$J$232,0,4))*($AZ27-INDEX('Methodology &amp; Sources'!$B$228:$J$232,0,4))*INDEX('Methodology &amp; Sources'!$B$228:$J$232,0,4+2)),"")))))))</f>
      </c>
      <c r="BZ27" s="24">
        <f>IF($B27="","",IF($AN27="NJ",IF(Inputs!$C$77="B",SUMPRODUCT(($AZ27&gt;=INDEX('Methodology &amp; Sources'!$B$155:$J$162,0,4))*INDEX('Methodology &amp; Sources'!$B$155:$J$162,0,4+2)),IF(Inputs!$C$77="C",SUMPRODUCT(($AZ27&gt;=INDEX('Methodology &amp; Sources'!$B$155:$J$162,0,7))*INDEX('Methodology &amp; Sources'!$B$155:$J$162,0,7+2)),IF(Inputs!$C$77="D",SUMPRODUCT(($AZ27&gt;=INDEX('Methodology &amp; Sources'!$B$167:$J$179,0,1))*INDEX('Methodology &amp; Sources'!$B$167:$J$179,0,1+2)),IF(Inputs!$C$77="E",SUMPRODUCT(($AZ27&gt;=INDEX('Methodology &amp; Sources'!$B$167:$J$179,0,4))*INDEX('Methodology &amp; Sources'!$B$167:$J$179,0,4+2)),SUMPRODUCT(($AZ27&gt;=INDEX('Methodology &amp; Sources'!$B$155:$J$162,0,1))*INDEX('Methodology &amp; Sources'!$B$155:$J$162,0,1+2)))))),IF($AN27="OR",IF(OR($AU27="Married",AND($AU27="Single",$AS27&gt;=3)),SUMPRODUCT((MAX(0,$AY27-MIN(($P27-'Methodology &amp; Sources'!$C$10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Sources'!$B$211:$J$214,0,4))*INDEX('Methodology &amp; Sources'!$B$211:$J$214,0,4+2)),SUMPRODUCT((MAX(0,$AY27-MIN(($P27-'Methodology &amp; Sources'!$C$10*$D27)*Inputs!$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Sources'!$B$211:$J$214,0,1))*INDEX('Methodology &amp; Sources'!$B$211:$J$214,0,1+2)))*IF(($P27-'Methodology &amp; Sources'!$C$10*$D27)*Inputs!$C$8&gt;=IF(OR($AU27="Married",AND($AU27="Single",$AS27&gt;=3)),IF($AY27&lt;250000,8750,IF($AY27&lt;260000,7000,IF($AY27&lt;270000,5250,IF($AY27&lt;280000,3500,IF($AY27&lt;290000,1750,0))))),IF($AY27&lt;125000,8750,IF($AY27&lt;130000,7000,IF($AY27&lt;135000,5250,IF($AY27&lt;140000,3500,IF($AY27&lt;145000,1750,0)))))),1,1-IF(Inputs!$C$13,SUMPRODUCT(($AH27&gt;=INDEX('Methodology &amp; Sources'!$B$29:$J$36,0,IF(Inputs!$C$12="MFJ",1,IF(Inputs!$C$12="HoH",7,4))))*INDEX('Methodology &amp; Sources'!$B$29:$J$36,0,IF(Inputs!$C$12="MFJ",1,IF(Inputs!$C$12="HoH",7,4))+2)),SUMPRODUCT(($AH27&gt;=INDEX('Methodology &amp; Sources'!$B$19:$J$26,0,IF(Inputs!$C$12="MFJ",1,IF(Inputs!$C$12="HoH",7,4))))*INDEX('Methodology &amp; Sources'!$B$19:$J$26,0,IF(Inputs!$C$12="MFJ",1,IF(Inputs!$C$12="HoH",7,4))+2)))),IF($AN27="MI",IF($AY27&gt;5900*$AS27,0.0425,0),""))))</f>
      </c>
      <c r="CA27" s="24">
        <f>IF($B27="","",IF($AN27="AL",IF(OR($AU27="Married",$AU27="Head of household"),SUMPRODUCT(($AZ27&gt;=INDEX('Methodology &amp; Sources'!$B$82:$J$86,0,4))*INDEX('Methodology &amp; Sources'!$B$82:$J$86,0,4+2)),SUMPRODUCT(($AZ27&gt;=INDEX('Methodology &amp; Sources'!$B$82:$J$86,0,1))*INDEX('Methodology &amp; Sources'!$B$82:$J$86,0,1+2)))*(1-IF(Inputs!$C$13,SUMPRODUCT(($AH27&gt;=INDEX('Methodology &amp; Sources'!$B$29:$J$36,0,IF(Inputs!$C$12="MFJ",1,IF(Inputs!$C$12="HoH",7,4))))*INDEX('Methodology &amp; Sources'!$B$29:$J$36,0,IF(Inputs!$C$12="MFJ",1,IF(Inputs!$C$12="HoH",7,4))+2)),SUMPRODUCT(($AH27&gt;=INDEX('Methodology &amp; Sources'!$B$19:$J$26,0,IF(Inputs!$C$12="MFJ",1,IF(Inputs!$C$12="HoH",7,4))))*INDEX('Methodology &amp; Sources'!$B$19:$J$26,0,IF(Inputs!$C$12="MFJ",1,IF(Inputs!$C$12="HoH",7,4))+2)))),IF($AN27="KS",IF($AU27="Married",SUMPRODUCT(($AZ27&gt;=INDEX('Methodology &amp; Sources'!$B$103:$J$109,0,4))*INDEX('Methodology &amp; Sources'!$B$103:$J$109,0,4+2)),SUMPRODUCT(($AZ27&gt;=INDEX('Methodology &amp; Sources'!$B$103:$J$109,0,1))*INDEX('Methodology &amp; Sources'!$B$103:$J$109,0,1+2))),IF($AN27="MD",IF(OR($AU27="Married",$AU27="Head of household"),SUMPRODUCT(($AZ27&gt;=INDEX('Methodology &amp; Sources'!$B$114:$J$120,0,1))*INDEX('Methodology &amp; Sources'!$B$114:$J$120,0,1+2)),SUMPRODUCT(($AZ27&gt;=INDEX('Methodology &amp; Sources'!$B$103:$J$109,0,7))*INDEX('Methodology &amp; Sources'!$B$103:$J$109,0,7+2)))+Inputs!$C$74,IF($AN27="MT",IF($AU27="Head of household",SUMPRODUCT(($AZ27&gt;=INDEX('Methodology &amp; Sources'!$B$137:$J$139,0,1))*INDEX('Methodology &amp; Sources'!$B$137:$J$139,0,1+2)),IF($AU27="Married",SUMPRODUCT(($AZ27&gt;=INDEX('Methodology &amp; Sources'!$B$125:$J$132,0,7))*INDEX('Methodology &amp; Sources'!$B$125:$J$132,0,7+2)),SUMPRODUCT(($AZ27&gt;=INDEX('Methodology &amp; Sources'!$B$125:$J$132,0,4))*INDEX('Methodology &amp; Sources'!$B$125:$J$132,0,4+2)))),IF($AN27="ND",IF($AU27="Head of household",SUMPRODUCT(($AZ27&gt;=INDEX('Methodology &amp; Sources'!$B$144:$J$150,0,1))*INDEX('Methodology &amp; Sources'!$B$144:$J$150,0,1+2)),IF($AU27="Married",SUMPRODUCT(($AZ27&gt;=INDEX('Methodology &amp; Sources'!$B$137:$J$139,0,7))*INDEX('Methodology &amp; Sources'!$B$137:$J$139,0,7+2)),SUMPRODUCT(($AZ27&gt;=INDEX('Methodology &amp; Sources'!$B$137:$J$139,0,4))*INDEX('Methodology &amp; Sources'!$B$137:$J$139,0,4+2)))),IF($AN27="NY",IF($AU27="Married",IF($AZ27&gt;=2155350,IF($AZ27&gt;25000000,0.117,IF($AZ27&gt;5000000,0.111,0.1045)),SUMPRODUCT(($AZ27&gt;=INDEX('Methodology &amp; Sources'!$B$184:$J$198,0,1))*INDEX('Methodology &amp; Sources'!$B$184:$J$198,0,1+2))),IF($AZ27&gt;=1077550,IF($AZ27&gt;25000000,0.117,IF($AZ27&gt;5000000,0.111,0.1045)),SUMPRODUCT(($AZ27&gt;=INDEX('Methodology &amp; Sources'!$B$167:$J$179,0,7))*INDEX('Methodology &amp; Sources'!$B$167:$J$179,0,7+2)))),"")))))))</f>
      </c>
      <c r="CB27" s="24">
        <f>IF($B27="","",IF($AN27="CA",SUMPRODUCT(($AJ27&gt;=INDEX('Methodology &amp; Sources'!$B$39:$J$48,0,IF($AU27="Married",4,IF($AU27="Head of household",7,1))))*INDEX('Methodology &amp; Sources'!$B$39:$J$48,0,IF($AU27="Married",4,IF($AU27="Head of household",7,1))+2)),IF($AN27="HI",IF($AU27="Married",SUMPRODUCT(($AZ27&gt;=INDEX('Methodology &amp; Sources'!$B$91:$J$98,0,7))*INDEX('Methodology &amp; Sources'!$B$91:$J$98,0,7+2)),SUMPRODUCT(($AZ27&gt;=INDEX('Methodology &amp; Sources'!$B$91:$J$98,0,4))*INDEX('Methodology &amp; Sources'!$B$91:$J$98,0,4+2))),IF($AN27="MN",IF($AU27="Married",SUMPRODUCT(($AZ27&gt;=INDEX('Methodology &amp; Sources'!$B$114:$J$120,0,7))*INDEX('Methodology &amp; Sources'!$B$114:$J$120,0,7+2)),SUMPRODUCT(($AZ27&gt;=INDEX('Methodology &amp; Sources'!$B$114:$J$120,0,4))*INDEX('Methodology &amp; Sources'!$B$114:$J$120,0,4+2))),IF($AN27="MO",SUMPRODUCT(($AZ27&gt;=INDEX('Methodology &amp; Sources'!$B$125:$J$132,0,1))*INDEX('Methodology &amp; Sources'!$B$125:$J$132,0,1+2)),IF($AN27="NE",MAX(IF($AU27="Married",SUMPRODUCT(($AZ27&gt;=INDEX('Methodology &amp; Sources'!$B$144:$J$150,0,7))*INDEX('Methodology &amp; Sources'!$B$144:$J$150,0,7+2)),SUMPRODUCT(($AZ27&gt;=INDEX('Methodology &amp; Sources'!$B$144:$J$150,0,4))*INDEX('Methodology &amp; Sources'!$B$144:$J$150,0,4+2))),0.015),IF($AN27="OH",IF($B27&gt;=DATE(2027,8,1),SUMPRODUCT(($AZ27&gt;=INDEX('Methodology &amp; Sources'!$B$203:$J$206,0,1))*INDEX('Methodology &amp; Sources'!$B$203:$J$206,0,1+2)),SUMPRODUCT(($AZ27&gt;=INDEX('Methodology &amp; Sources'!$B$184:$J$198,0,7))*INDEX('Methodology &amp; Sources'!$B$184:$J$198,0,7+2))),IF($AN27="OK",IF($AU27="Married",SUMPRODUCT(($AZ27&gt;=INDEX('Methodology &amp; Sources'!$B$203:$J$206,0,7))*INDEX('Methodology &amp; Sources'!$B$203:$J$206,0,7+2)),SUMPRODUCT(($AZ27&gt;=INDEX('Methodology &amp; Sources'!$B$203:$J$206,0,4))*INDEX('Methodology &amp; Sources'!$B$203:$J$206,0,4+2))),IF($AN27="RI",SUMPRODUCT(($AZ27&gt;=INDEX('Methodology &amp; Sources'!$B$211:$J$214,0,7))*INDEX('Methodology &amp; Sources'!$B$211:$J$214,0,7+2)),IF($AN27="SC",SUMPRODUCT(($AZ27&gt;=INDEX('Methodology &amp; Sources'!$B$219:$J$223,0,1))*INDEX('Methodology &amp; Sources'!$B$219:$J$223,0,1+2)),IF($AN27="VT",IF($AU27="Married",SUMPRODUCT(($AZ27&gt;=INDEX('Methodology &amp; Sources'!$B$228:$J$232,0,1))*INDEX('Methodology &amp; Sources'!$B$228:$J$232,0,1+2)),SUMPRODUCT(($AZ27&gt;=INDEX('Methodology &amp; Sources'!$B$219:$J$223,0,7))*INDEX('Methodology &amp; Sources'!$B$219:$J$223,0,7+2))),IF($AN27="WV",IF($AU27="Married",SUMPRODUCT(($AZ27&gt;=INDEX('Methodology &amp; Sources'!$B$237:$J$241,0,7))*INDEX('Methodology &amp; Sources'!$B$237:$J$241,0,7+2)),SUMPRODUCT(($AZ27&gt;=INDEX('Methodology &amp; Sources'!$B$228:$J$232,0,7))*INDEX('Methodology &amp; Sources'!$B$228:$J$232,0,7+2))),IF($AN27="IN",(0.0295+Inputs!$C$76),"")))))))))))))</f>
      </c>
      <c r="CC27" s="24">
        <f>IF($B27="","",IF($AN27="AR",SUMPRODUCT(($AZ27&gt;=INDEX('Methodology &amp; Sources'!$B$82:$J$86,0,7))*INDEX('Methodology &amp; Sources'!$B$82:$J$86,0,7+2)),IF($AN27="DE",SUMPRODUCT(($AZ27&gt;=INDEX('Methodology &amp; Sources'!$B$91:$J$98,0,1))*INDEX('Methodology &amp; Sources'!$B$91:$J$98,0,1+2)),IF($AN27="VA",SUMPRODUCT(($AZ27&gt;=INDEX('Methodology &amp; Sources'!$B$219:$J$223,0,4))*INDEX('Methodology &amp; Sources'!$B$219:$J$223,0,4+2)),IF($AN27="WI",SUMPRODUCT(($AZ27&gt;=INDEX('Methodology &amp; Sources'!$B$228:$J$232,0,4))*INDEX('Methodology &amp; Sources'!$B$228:$J$232,0,4+2)),IF($AN27="AZ",Inputs!$C$82,IF($AN27="CO",IF($AY27&gt;IF($AU27="Married",10000,5000),0.044,0),IF($AN27="IA",IF($AY27&gt;IF($AU27="Head of household",19500,IF($AU27="Married",26000,13000)),0.038,0),IF($AN27="ID",IF($AY27&gt;IF($AU27="Married",32000,16094),0.053,0),IF($AN27="IL",IF($AY27&gt;(2925*$AS27+1000*$AT27),0.0495,0),IF($AN27="KY",IF($AI27&gt;3360,0.035,0),IF($AN27="LA",0.0309,IF($AN27="MA",IF(MAX(0,$AY27-MIN(($BD26+$Q27+$R27+$S27),2000)-IF($AS27=0,0,IF($AS27=1,4400,1000*$AS27+3400)))&gt;=1107750,0.09,0.05),IF($AN27="MS",IF($AI27-IF($AU27="Head of household",3400,IF($AU27="Married",4600,2300))-Inputs!$C$85&gt;10000,0.04,0),IF($AN27="PA",0.0307,"")))))))))))))))</f>
      </c>
      <c r="CD27" s="21">
        <f>IF(YEAR(IF(Inputs!$C$7="Weekly",Inputs!$C$90+7*(($BE26+1)-1),IF(Inputs!$C$7="Biweekly",Inputs!$C$90+14*(($BE26+1)-1),IF(Inputs!$C$7="Semimonthly",DATE(YEAR(Inputs!$C$9),MONTH(Inputs!$C$9)+INT((($BE26+1)-1+'Rest of 2026'!$C$2)/2),MIN(DAY(Inputs!$C$9),DAY(EOMONTH(DATE(YEAR(Inputs!$C$9),MONTH(Inputs!$C$9)+INT((($BE26+1)-1+'Rest of 2026'!$C$2)/2),1),0))))+IF(MOD(($BE26+1)-1+'Rest of 2026'!$C$2,2)=1,15,0),EDATE(Inputs!$C$90,($BE26+1)-1)))))&lt;&gt;Inputs!$C$10,"",IF(Inputs!$C$7="Weekly",Inputs!$C$90+7*(($BE26+1)-1),IF(Inputs!$C$7="Biweekly",Inputs!$C$90+14*(($BE26+1)-1),IF(Inputs!$C$7="Semimonthly",DATE(YEAR(Inputs!$C$9),MONTH(Inputs!$C$9)+INT((($BE26+1)-1+'Rest of 2026'!$C$2)/2),MIN(DAY(Inputs!$C$9),DAY(EOMONTH(DATE(YEAR(Inputs!$C$9),MONTH(Inputs!$C$9)+INT((($BE26+1)-1+'Rest of 2026'!$C$2)/2),1),0))))+IF(MOD(($BE26+1)-1+'Rest of 2026'!$C$2,2)=1,15,0),EDATE(Inputs!$C$90,($BE26+1)-1)))))</f>
      </c>
      <c r="CE27" s="21">
        <f>IF(SUMPRODUCT(MIN(IF((Inputs!$C$58:$C$67&gt;MAX($B$6:$B26))*(Inputs!$C$58:$C$67&gt;=DATE(Inputs!$C$10,1,1))*(Inputs!$C$58:$C$67&lt;=DATE(Inputs!$C$10,12,31)),Inputs!$C$58:$C$67,999999)))=999999,"",SUMPRODUCT(MIN(IF((Inputs!$C$58:$C$67&gt;MAX($B$6:$B26))*(Inputs!$C$58:$C$67&gt;=DATE(Inputs!$C$10,1,1))*(Inputs!$C$58:$C$67&lt;=DATE(Inputs!$C$10,12,31)),Inputs!$C$58:$C$67,999999))))</f>
      </c>
    </row>
    <row r="28">
      <c r="A28" t="n">
        <v>23</v>
      </c>
      <c r="B28" s="21">
        <f>IF(AND($CD28="",$CE28=""),"",IF($CE28="",$CD28,IF($CD28="",$CE28,MIN($CD28,$CE28))))</f>
      </c>
      <c r="C28" s="7">
        <f>IF($B28="","",IF($BF28=0,0,IF(Inputs!$C$4="Annual salary",ROUND($AK28/IF(AND(Inputs!$C$88="Actual paydays",MONTH(Inputs!$C$90)=1),MAX(1,MAX($BE$6:$BE$68)),Inputs!$C$8),2),$AK28)))</f>
      </c>
      <c r="D28" s="7">
        <f>IF($B28="","",SUMIF(Inputs!$C$58:$C$67,$B28,Inputs!$D$58:$D$67))</f>
      </c>
      <c r="E28" s="7">
        <f>IF($B28="","",ROUND(MAX(0,MIN(IF($AL28="Percent",$AM28*($C28+$D28),$AM28),MAX(0,Inputs!$C$34-$AC27))),2))</f>
      </c>
      <c r="F28" s="7">
        <f>IF($B28="","",ROUND(MAX(0,MIN(IF(Inputs!$C$32="Percent",Inputs!$D$32*($C28+$D28),Inputs!$D$32),MAX(0,Inputs!$C$34-$AC27-$E28))),2))</f>
      </c>
      <c r="G28" s="7">
        <f>IF($B28="","",IF($BF28=0,0,ROUND(MAX(0,MIN($BL28,Inputs!$C$37-Inputs!$C$99-$BI27)),2)))</f>
      </c>
      <c r="H28" s="7">
        <f>IF($B28="","",IF(OR($BF28=0,$BQ28=1),0,ROUND(MAX(0,MIN(IF($BS28=1,ROUND(MAX(0,MIN($BJ28,'Methodology &amp; Sources'!$C$13)-$BG27)/MAX(1,MAX($BE$6:$BE$68)-($BE27)),2),ROUND(MIN($BJ28,'Methodology &amp; Sources'!$C$13)/Inputs!$C$8,2)),MIN($BJ28,'Methodology &amp; Sources'!$C$13)-$BG27)),2)))</f>
      </c>
      <c r="I28" s="7">
        <f>IF($B28="","",IF(OR($BF28=0,$BR28=1),0,ROUND(MAX(0,MIN(IF($BT28=1,ROUND(MAX(0,MIN($BK28,IF(Inputs!$C$12="MFJ",'Methodology &amp; Sources'!$C$14,'Methodology &amp; Sources'!$C$15))-$BH27)/MAX(1,MAX($BE$6:$BE$68)-($BE27)),2),ROUND(MIN($BK28,IF(Inputs!$C$12="MFJ",'Methodology &amp; Sources'!$C$14,'Methodology &amp; Sources'!$C$15))/Inputs!$C$8,2)),MIN($BK28,IF(Inputs!$C$12="MFJ",'Methodology &amp; Sources'!$C$14,'Methodology &amp; Sources'!$C$15))-$BH27)),2)))</f>
      </c>
      <c r="J28" s="7">
        <f>IF($B28="","",IF($BF28=0,0,$BM28))</f>
      </c>
      <c r="K28" s="7">
        <f>IF($B28="","",IF($BF28=0,0,$BN28+$BO28))</f>
      </c>
      <c r="L28" s="7">
        <f>IF($B28="","",IF($BF28=0,0,Inputs!$D$46))</f>
      </c>
      <c r="M28" s="7">
        <f>IF($B28="","",$C28+$D28+$L28-$E28-$G28-$H28-$I28-$J28-$K28)</f>
      </c>
      <c r="N28" s="7">
        <f>IF($B28="","",$C28+$D28+$L28-$G28-$H28-$I28-$J28-$K28)</f>
      </c>
      <c r="O28" s="7">
        <f>IF($B28="","",$C28+$D28+$L28-$E28-$H28-$I28-$J28-$K28-IF(OR($AN28="CA",$AN28="NJ"),0,$G28))</f>
      </c>
      <c r="P28" s="7">
        <f>IF($B28="","",IF(Inputs!$C$18,0,ROUND(MAX(0,IF(Inputs!$C$13,SUMPRODUCT(($AH28&gt;INDEX('Methodology &amp; Sources'!$B$29:$J$36,0,IF(Inputs!$C$12="MFJ",1,IF(Inputs!$C$12="HoH",7,4))))*($AH28-INDEX('Methodology &amp; Sources'!$B$29:$J$36,0,IF(Inputs!$C$12="MFJ",1,IF(Inputs!$C$12="HoH",7,4))))*INDEX('Methodology &amp; Sources'!$B$29:$J$36,0,IF(Inputs!$C$12="MFJ",1,IF(Inputs!$C$12="HoH",7,4))+2)),SUMPRODUCT(($AH28&gt;INDEX('Methodology &amp; Sources'!$B$19:$J$26,0,IF(Inputs!$C$12="MFJ",1,IF(Inputs!$C$12="HoH",7,4))))*($AH28-INDEX('Methodology &amp; Sources'!$B$19:$J$26,0,IF(Inputs!$C$12="MFJ",1,IF(Inputs!$C$12="HoH",7,4))))*INDEX('Methodology &amp; Sources'!$B$19:$J$26,0,IF(Inputs!$C$12="MFJ",1,IF(Inputs!$C$12="HoH",7,4))+2)))/Inputs!$C$8-$AO28/Inputs!$C$8)+$AR28+IF(Inputs!$C$89="Aggregate",MAX(0,IF(Inputs!$C$13,SUMPRODUCT((($AH28+$D28)&gt;INDEX('Methodology &amp; Sources'!$B$29:$J$36,0,IF(Inputs!$C$12="MFJ",1,IF(Inputs!$C$12="HoH",7,4))))*(($AH28+$D28)-INDEX('Methodology &amp; Sources'!$B$29:$J$36,0,IF(Inputs!$C$12="MFJ",1,IF(Inputs!$C$12="HoH",7,4))))*INDEX('Methodology &amp; Sources'!$B$29:$J$36,0,IF(Inputs!$C$12="MFJ",1,IF(Inputs!$C$12="HoH",7,4))+2)),SUMPRODUCT((($AH28+$D28)&gt;INDEX('Methodology &amp; Sources'!$B$19:$J$26,0,IF(Inputs!$C$12="MFJ",1,IF(Inputs!$C$12="HoH",7,4))))*(($AH28+$D28)-INDEX('Methodology &amp; Sources'!$B$19:$J$26,0,IF(Inputs!$C$12="MFJ",1,IF(Inputs!$C$12="HoH",7,4))))*INDEX('Methodology &amp; Sources'!$B$19:$J$26,0,IF(Inputs!$C$12="MFJ",1,IF(Inputs!$C$12="HoH",7,4))+2)))-IF(Inputs!$C$13,SUMPRODUCT(($AH28&gt;INDEX('Methodology &amp; Sources'!$B$29:$J$36,0,IF(Inputs!$C$12="MFJ",1,IF(Inputs!$C$12="HoH",7,4))))*($AH28-INDEX('Methodology &amp; Sources'!$B$29:$J$36,0,IF(Inputs!$C$12="MFJ",1,IF(Inputs!$C$12="HoH",7,4))))*INDEX('Methodology &amp; Sources'!$B$29:$J$36,0,IF(Inputs!$C$12="MFJ",1,IF(Inputs!$C$12="HoH",7,4))+2)),SUMPRODUCT(($AH28&gt;INDEX('Methodology &amp; Sources'!$B$19:$J$26,0,IF(Inputs!$C$12="MFJ",1,IF(Inputs!$C$12="HoH",7,4))))*($AH28-INDEX('Methodology &amp; Sources'!$B$19:$J$26,0,IF(Inputs!$C$12="MFJ",1,IF(Inputs!$C$12="HoH",7,4))))*INDEX('Methodology &amp; Sources'!$B$19:$J$26,0,IF(Inputs!$C$12="MFJ",1,IF(Inputs!$C$12="HoH",7,4))+2)))),'Methodology &amp; Sources'!$C$10*$D28),2)))</f>
      </c>
      <c r="Q28" s="7">
        <f>IF($B28="","",ROUND('Methodology &amp; Sources'!$C$4*MIN($N28,MAX(0,'Methodology &amp; Sources'!$C$3-($AX28+$AB27-$AW28))),2))</f>
      </c>
      <c r="R28" s="7">
        <f>IF($B28="","",ROUND('Methodology &amp; Sources'!$C$5*$N28,2))</f>
      </c>
      <c r="S28" s="7">
        <f>IF($B28="","",ROUND('Methodology &amp; Sources'!$C$6*MAX(0,MIN($N28,$AG27+$N28-'Methodology &amp; Sources'!$C$7)),2))</f>
      </c>
      <c r="T28" s="7">
        <f>IF($B28="","",IF(Inputs!$C$26,0,IF($AN28="CA",ROUND(IF($AI28&lt;=IF(($AS28+$AT28)&gt;=2,VLOOKUP($AN28,StateTables!$A$6:$AB$56,10,FALSE),VLOOKUP($AN28,StateTables!$A$6:$AB$56,9,FALSE)),0,MAX(0,SUMPRODUCT(($AJ28&gt;INDEX('Methodology &amp; Sources'!$B$39:$J$48,0,IF($AU28="Married",4,IF($AU28="Head of household",7,1))))*($AJ28-INDEX('Methodology &amp; Sources'!$B$39:$J$48,0,IF($AU28="Married",4,IF($AU28="Head of household",7,1))))*INDEX('Methodology &amp; Sources'!$B$39:$J$48,0,IF($AU28="Married",4,IF($AU28="Head of household",7,1))+2))-VLOOKUP($AN28,StateTables!$A$6:$AB$56,11,FALSE)*$AS28)/Inputs!$C$8)+Inputs!$C$25+VLOOKUP($AN28,StateTables!$A$6:$AB$56,13,FALSE)*$D28,2),IF(VLOOKUP($AN28,StateTables!$A$6:$AB$56,4,FALSE)="None",0,IF(ISNUMBER(SEARCH("MANUAL",VLOOKUP($AN28,StateTables!$A$6:$AB$56,5,FALSE))),Inputs!$C$28,ROUND(MAX(0,$BA28+$BB28)/Inputs!$C$8+Inputs!$C$25+$BC28,2))))))</f>
      </c>
      <c r="U28" s="7">
        <f>IF($B28="","",IF(VLOOKUP($AN28,StateTables!$A$6:$AB$56,24,FALSE)="flatq",IF(OR(MONTH($B28)=1,MONTH($B28)=4,MONTH($B28)=7,MONTH($B28)=10),VLOOKUP($AN28,StateTables!$A$6:$AB$56,25,FALSE),0),IF(VLOOKUP($AN28,StateTables!$A$6:$AB$56,24,FALSE)="dbl",MIN(ROUND(0.005*$N28,2),ROUND(0.6*52/Inputs!$C$8,2)),IF(OR(VLOOKUP($AN28,StateTables!$A$6:$AB$56,15,FALSE)="",VLOOKUP($AN28,StateTables!$A$6:$AB$56,15,FALSE)=0),0,ROUND(VLOOKUP($AN28,StateTables!$A$6:$AB$56,15,FALSE)*IF(OR(VLOOKUP($AN28,StateTables!$A$6:$AB$56,16,FALSE)="",VLOOKUP($AN28,StateTables!$A$6:$AB$56,16,FALSE)=0),$N28,MIN($N28,MAX(0,VLOOKUP($AN28,StateTables!$A$6:$AB$56,16,FALSE)-($AX28+$AB27-$AW28)))),2))))+IF(VLOOKUP($AN28,StateTables!$A$6:$AB$56,27,FALSE)="flatq",IF(OR(MONTH($B28)=1,MONTH($B28)=4,MONTH($B28)=7,MONTH($B28)=10),VLOOKUP($AN28,StateTables!$A$6:$AB$56,28,FALSE),0),IF(VLOOKUP($AN28,StateTables!$A$6:$AB$56,27,FALSE)="dbl",MIN(ROUND(0.005*$N28,2),ROUND(0.6*52/Inputs!$C$8,2)),IF(OR(VLOOKUP($AN28,StateTables!$A$6:$AB$56,18,FALSE)="",VLOOKUP($AN28,StateTables!$A$6:$AB$56,18,FALSE)=0),0,ROUND(VLOOKUP($AN28,StateTables!$A$6:$AB$56,18,FALSE)*IF(OR(VLOOKUP($AN28,StateTables!$A$6:$AB$56,19,FALSE)="",VLOOKUP($AN28,StateTables!$A$6:$AB$56,19,FALSE)=0),$N28,MIN($N28,MAX(0,VLOOKUP($AN28,StateTables!$A$6:$AB$56,19,FALSE)-($AX28+$AB27-$AW28)))),2)))))</f>
      </c>
      <c r="V28" s="7">
        <f>IF($B28="","",IF($AN28="NY",IF(Inputs!$C$78,ROUND(SUMPRODUCT((MAX(0,($O28-$D28)*Inputs!$C$8-(IF($AU28="Married",5500,5000)+1000*$AS28))&gt;INDEX('Methodology &amp; Sources'!$B$184:$J$198,0,4))*(MAX(0,($O28-$D28)*Inputs!$C$8-(IF($AU28="Married",5500,5000)+1000*$AS28))-INDEX('Methodology &amp; Sources'!$B$184:$J$198,0,4))*INDEX('Methodology &amp; Sources'!$B$184:$J$198,0,4+2))/Inputs!$C$8+0.0425*$D28,2),0)+IF(Inputs!$C$79="Resident",ROUND(0.1675*$T28,2),IF(Inputs!$C$79="Nonresident",ROUND(0.005*MAX(0,($O28-$D28)-(IF($AU28="Married",7950,7400)+1000*$AS28)/Inputs!$C$8),2),0)),IF($AN28="PA",IF(Inputs!$C$80="None",Inputs!$C$27+ROUND(Inputs!$C$81*($C28+$D28),2),ROUND(IF(Inputs!$C$80="Resident",IF($B28&lt;DATE(2027,7,1),0.03735,0.03735),IF($B28&lt;DATE(2027,7,1),0.03425,0.03425))*($C28+$D28),2)),IF($BF28=0,ROUND(Inputs!$C$81*($C28+$D28),2),Inputs!$C$27+ROUND(Inputs!$C$81*($C28+$D28),2)))))</f>
      </c>
      <c r="W28" s="7">
        <f>IF($B28="","",IF($BF28=0,0,$BP28))</f>
      </c>
      <c r="X28" s="7">
        <f>IF($B28="","",SUM($E28:$K28)+$P28+$Q28+$R28+$S28+$T28+$U28+$V28+$W28)</f>
      </c>
      <c r="Y28" s="22">
        <f>IF($B28="","",$C28+$D28-$X28)</f>
      </c>
      <c r="Z28" s="7">
        <f>IF($B28="","",$Z27+$C28+$D28)</f>
      </c>
      <c r="AA28" s="7">
        <f>IF($B28="","",$AA27+$Y28)</f>
      </c>
      <c r="AB28" s="7">
        <f>IF($B28="","",$AB27+MIN($N28,MAX(0,'Methodology &amp; Sources'!$C$3-($AX28+$AB27-$AW28))))</f>
      </c>
      <c r="AC28" s="7">
        <f>IF($B28="","",$AC27+$E28+$F28)</f>
      </c>
      <c r="AD28" s="3">
        <f>IF($B28="","",IF(AND($AB27&lt;'Methodology &amp; Sources'!$C$3,$AB28&gt;='Methodology &amp; Sources'!$C$3),"★ Social Security maxed on this check — from the next check your net rises by about $"&amp;TEXT(ROUND('Methodology &amp; Sources'!$C$4*$N28,2),"#,##0.00")&amp;". ","")&amp;IF(AND($AC27&lt;Inputs!$C$34,$AC28&gt;=Inputs!$C$34),"★ 401(k) reaches the $"&amp;TEXT(Inputs!$C$34,"#,##0")&amp;" cap on this check — deferrals stop and net pay rises. ","")&amp;IF(AND($AG27&lt;'Methodology &amp; Sources'!$C$7,$AG28&gt;='Methodology &amp; Sources'!$C$7),"★ Wages pass $200,000 — the 0.9% Additional Medicare Tax starts here. ","")&amp;IF(AND($BJ28&gt;0,$H28&gt;0,$BG27&lt;MIN($BJ28,'Methodology &amp; Sources'!$C$13),$BG27+$H28&gt;=MIN($BJ28,'Methodology &amp; Sources'!$C$13)),"★ Health FSA election is now fully deferred for the year. ",""))</f>
      </c>
      <c r="AE28" s="41" t="n"/>
      <c r="AF28" s="7">
        <f>IF(OR($B28="",$AE28=""),"",$AE28-$Y28)</f>
      </c>
      <c r="AG28" s="7">
        <f>IF($B28="","",$AG27+$N28)</f>
      </c>
      <c r="AH28" s="7">
        <f>IF($B28="","",MAX(0,($M28-$D28)*Inputs!$C$8+$AP28-$AQ28-IF(Inputs!$C$13,0,IF(Inputs!$C$12="MFJ",'Methodology &amp; Sources'!$C$8,'Methodology &amp; Sources'!$C$9))))</f>
      </c>
      <c r="AI28" s="7">
        <f>IF($B28="","",$O28*Inputs!$C$8)</f>
      </c>
      <c r="AJ28" s="7">
        <f>IF($B28="","",MAX(0,$AI28-VLOOKUP($AN28,StateTables!$A$6:$AB$56,12,FALSE)*$AT28-IF(($AS28+$AT28)&gt;=2,VLOOKUP($AN28,StateTables!$A$6:$AB$56,8,FALSE),VLOOKUP($AN28,StateTables!$A$6:$AB$56,7,FALSE))))</f>
      </c>
      <c r="AK28" s="7">
        <f>IF($B28="","",IFERROR(LOOKUP(2,1/((Events!$C$6:$C$17="Salary change")*(Events!$B$6:$B$17&lt;=$B28)*(Events!$B$6:$B$17&lt;&gt;"")),Events!$D$6:$D$17),IF(Inputs!$C$4="Annual salary",Inputs!$C$5,Inputs!$C$6)))</f>
      </c>
      <c r="AL28">
        <f>IF($B28="","",IFERROR(LOOKUP(2,1/((Events!$C$6:$C$17="401(k) change")*(Events!$B$6:$B$17&lt;=$B28)*(Events!$B$6:$B$17&lt;&gt;"")),Events!$D$6:$D$17),Inputs!$C$30))</f>
      </c>
      <c r="AM28" s="7">
        <f>IF($B28="","",IFERROR(LOOKUP(2,1/((Events!$C$6:$C$17="401(k) change")*(Events!$B$6:$B$17&lt;=$B28)*(Events!$B$6:$B$17&lt;&gt;"")),Events!$E$6:$E$17),Inputs!$D$30))</f>
      </c>
      <c r="AN28">
        <f>IF($B28="","",IFERROR(LOOKUP(2,1/((Events!$C$6:$C$17="State move")*(Events!$B$6:$B$17&lt;=$B28)*(Events!$B$6:$B$17&lt;&gt;"")),Events!$D$6:$D$17),Inputs!$C$21))</f>
      </c>
      <c r="AO28" s="7">
        <f>IF($B28="","",IFERROR(LOOKUP(2,1/((Events!$C$6:$C$17="W-4 change")*(Events!$B$6:$B$17&lt;=$B28)*(Events!$B$6:$B$17&lt;&gt;"")),Events!$D$6:$D$17),Inputs!$C$14))</f>
      </c>
      <c r="AP28" s="7">
        <f>IF($B28="","",IFERROR(LOOKUP(2,1/((Events!$C$6:$C$17="W-4 change")*(Events!$B$6:$B$17&lt;=$B28)*(Events!$B$6:$B$17&lt;&gt;"")),Events!$E$6:$E$17),Inputs!$C$15))</f>
      </c>
      <c r="AQ28" s="7">
        <f>IF($B28="","",IFERROR(LOOKUP(2,1/((Events!$C$6:$C$17="W-4 change")*(Events!$B$6:$B$17&lt;=$B28)*(Events!$B$6:$B$17&lt;&gt;"")),Events!$F$6:$F$17),Inputs!$C$16))</f>
      </c>
      <c r="AR28" s="7">
        <f>IF($B28="","",IFERROR(LOOKUP(2,1/((Events!$C$6:$C$17="W-4 change")*(Events!$B$6:$B$17&lt;=$B28)*(Events!$B$6:$B$17&lt;&gt;"")),Events!$G$6:$G$17),Inputs!$C$17))</f>
      </c>
      <c r="AS28" s="6">
        <f>IF($B28="","",IFERROR(LOOKUP(2,1/(((Events!$C$6:$C$17="State move")+(Events!$C$6:$C$17="State cert change"))*(Events!$B$6:$B$17&lt;=$B28)*(Events!$B$6:$B$17&lt;&gt;"")),Events!$F$6:$F$17),Inputs!$C$23))</f>
      </c>
      <c r="AT28" s="6">
        <f>IF($B28="","",IFERROR(LOOKUP(2,1/(((Events!$C$6:$C$17="State move")+(Events!$C$6:$C$17="State cert change"))*(Events!$B$6:$B$17&lt;=$B28)*(Events!$B$6:$B$17&lt;&gt;"")),Events!$G$6:$G$17),Inputs!$C$24))</f>
      </c>
      <c r="AU28">
        <f>IF($B28="","",IFERROR(LOOKUP(2,1/((Events!$C$6:$C$17="State move")*(Events!$B$6:$B$17&lt;=$B28)*(Events!$B$6:$B$17&lt;&gt;"")),Events!$E$6:$E$17),Inputs!$C$22))</f>
      </c>
      <c r="AV28" s="6">
        <f>IF($B28="","",1+COUNTIFS(Events!$C$6:$C$17,"Employer change",Events!$B$6:$B$17,"&lt;="&amp;$B28,Events!$B$6:$B$17,"&lt;&gt;"))</f>
      </c>
      <c r="AW28" s="7">
        <f>IF($B28="","",IF($AV28=1,Inputs!$C$94,IF(IFERROR(MATCH(IFERROR(LOOKUP(2,1/((Events!$C$6:$C$17="Employer change")*(Events!$B$6:$B$17&lt;=$B28)*(Events!$B$6:$B$17&lt;&gt;"")),Events!$B$6:$B$17),""),$B$6:$B$68,1),1)&lt;=1,Inputs!$C$94,INDEX($AB$6:$AB$68,MATCH(IFERROR(LOOKUP(2,1/((Events!$C$6:$C$17="Employer change")*(Events!$B$6:$B$17&lt;=$B28)*(Events!$B$6:$B$17&lt;&gt;"")),Events!$B$6:$B$17),""),$B$6:$B$68,1)-1))))</f>
      </c>
      <c r="AX28" s="7">
        <f>IF($B28="","",IF($AV28=1,Inputs!$C$94,IFERROR(LOOKUP(2,1/((Events!$C$6:$C$17="Employer change")*(Events!$B$6:$B$17&lt;=$B28)*(Events!$B$6:$B$17&lt;&gt;"")),Events!$D$6:$D$17),0)))</f>
      </c>
      <c r="AY28" s="7">
        <f>IF($B28="","",($O28-$D28)*Inputs!$C$8)</f>
      </c>
      <c r="AZ28" s="7">
        <f>IF($B28="","",IF($AN28="AL",MAX(0,$AY28-IF($AU28="Married",IF($AY28&lt;=25999,8500,MAX(5000,8500-175*CEILING(($AY28-25999)/500,1))),IF($AU28="Head of household",IF($AY28&lt;=25999,5200,MAX(2500,5200-135*CEILING(($AY28-25999)/500,1))),IF($AY28&lt;=25999,3000,MAX(2500,3000-25*CEILING(($AY28-25999)/500,1)))))-($P28-'Methodology &amp; Sources'!$C$10*$D28)*Inputs!$C$8-IF(OR($AU28="Married",$AU28="Head of household"),3000,1500)-$AT28*IF($AY28&lt;=50000,1000,IF($AY28&lt;=100000,500,300))),IF($AN28="AR",IF(MAX(0,$AY28-2470)&lt;97701,INT(MAX(0,$AY28-2470)/100)*100+50,MAX(0,$AY28-2470)),IF($AN28="DE",MAX(0,$AI28-3250),IF($AN28="HI",MAX(0,$AI28-1144*$AS28-4350),IF($AN28="KS",MAX(0,$AI28-(9160*IF($AU28="Married",2,1)+2320*$AT28+IF($AU28="Head of household",2320,0))),IF($AN28="MD",MAX(0,$AI28-3400-3200*$AS28),IF($AN28="MN",MAX(0,$AY28-5300*$AS28),IF($AN28="MO",MAX(0,$AI28-IF($AU28="Head of household",24150,IF($AU28="Married",IF(Inputs!$C$83,16100,32200),16100))),IF($AN28="MT",$AY28,IF($AN28="ND",($C28+$L28)*Inputs!$C$8,IF($AN28="NE",MAX(0,$AY28-2440*$AS28),IF($AN28="NJ",MAX(0,$AY28-1000*$AS28),IF($AN28="NY",MAX(0,$AY28-(IF($AU28="Married",7950,7400)+1000*$AS28)),IF($AN28="OH",MAX(0,$AY28-650*$AS28),IF($AN28="OK",MAX(0,$AY28-1000*$AS28),IF($AN28="RI",MAX(0,$AI28-1000*$AS28),IF($AN28="SC",MAX(0,$AI28-5000*$AS28-IF($AS28=0,0,MIN(0.1*$AI28,7500))),IF($AN28="VA",MAX(0,$AI28-IF($AU28="Married",17500,8750)-930*$AS28-800*$AT28),IF($AN28="VT",MAX(0,$AI28-5400*$AS28),IF($AN28="WI",MAX(0,$AI28-MAX(0,IF($AU28="Married",9461-0.2*MAX(0,$AI28-25727),6702-0.12*MAX(0,$AI28-17780)))-400*$AS28),IF($AN28="WV",MAX(0,$AI28-2000*$AS28),$AI28))))))))))))))))))))))</f>
      </c>
      <c r="BA28" s="7">
        <f>IF($B28="","",IF($BW28&lt;&gt;"",$BW28,IF($BX28&lt;&gt;"",$BX28,IF($BY28&lt;&gt;"",$BY28,0))))</f>
      </c>
      <c r="BB28" s="7">
        <f>IF($B28="","",IF($AN28="AR",-29*$AS28,IF($AN28="DE",-110*$AS28,IF($AN28="MD",$AZ28*Inputs!$C$74,IF($AN28="AZ",Inputs!$C$82*($M28-$D28)*Inputs!$C$8,IF($AN28="CO",0.044*MAX(0,$AY28-IF($AU28="Married",10000,5000)),IF($AN28="IA",MAX(0,0.038*MAX(0,$AY28-IF($AU28="Head of household",19500,IF($AU28="Married",26000,13000)))-40*$AS28),IF($AN28="ID",0.053*MAX(0,$AY28-IF($AU28="Married",32000,16094)),IF($AN28="IL",0.0495*MAX(0,$AY28-(2925*$AS28+1000*$AT28)),IF($AN28="IN",(0.0295+Inputs!$C$76)*MAX(0,$AY28-(1000*$AS28+1500*$AT28+3000*Inputs!$C$86)),IF($AN28="KY",0.035*MAX(0,$AI28-3360),IF($AN28="LA",IF(Inputs!$C$84="0",0.0309*$AI28,0.0309*MAX(0,$AI28-IF(Inputs!$C$84="2",25750,12875))),IF($AN28="MA",0.05*MIN(MAX(0,$AY28-MIN(($BD27+$Q28+$R28+$S28),2000)-IF($AS28=0,0,IF($AS28=1,4400,1000*$AS28+3400))),1107750)+0.09*MAX(0,MAX(0,$AY28-MIN(($BD27+$Q28+$R28+$S28),2000)-IF($AS28=0,0,IF($AS28=1,4400,1000*$AS28+3400)))-1107750)-IF($AU28="Head of household",120,0)-110*Inputs!$C$75,IF($AN28="MI",0.0425*MAX(0,$AY28-5900*$AS28),IF($AN28="MS",0.04*MAX(0,$AI28-IF($AU28="Head of household",3400,IF($AU28="Married",4600,2300))-Inputs!$C$85-10000),IF($AN28="OR",IF(OR($AU28="Married",AND($AU28="Single",$AS28&gt;=3)),SUMPRODUCT((MAX(0,$AY28-MIN(($P28-'Methodology &amp; Sources'!$C$10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Sources'!$B$211:$J$214,0,4))*(MAX(0,$AY28-MIN(($P28-'Methodology &amp; Sources'!$C$10*$D28)*Inputs!$C$8,IF(OR($AU28="Married",AND($AU28="Single",$AS28&gt;=3)),IF($AY28&lt;250000,8750,IF($AY28&lt;260000,7000,IF($AY28&lt;270000,5250,IF($AY28&lt;280000,3500,IF($AY28&lt;290000,1750,0))))),IF($AY28&lt;125000,8750,IF($AY28&lt;130000,7000,IF($AY28&lt;135000,5250,IF($AY28&lt;140000,3500,IF($AY28&lt;145000,1750,0)))))))-IF(OR($AU28="Married",AND($AU28="Single",$AS28&gt;=3)),5820,2910))-INDEX('Methodology &amp; Sources'!$B$211:$J$214,0,4))*INDEX('Methodology &amp; Sources'!$B$211:$J$214,0,4+2)),SUMPRODUCT((MAX(0,$AY28-MIN(($P28-'Methodology &amp; Sources'!$C$10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Sources'!$B$211:$J$214,0,1))*(MAX(0,$AY28-MIN(($P28-'Methodology &amp; Sources'!$C$10*$D28)*Inputs!$C$8,IF(OR($AU28="Married",AND($AU28="Single",$AS28&gt;=3)),IF($AY28&lt;250000,8750,IF($AY28&lt;260000,7000,IF($AY28&lt;270000,5250,IF($AY28&lt;280000,3500,IF($AY28&lt;290000,1750,0))))),IF($AY28&lt;125000,8750,IF($AY28&lt;130000,7000,IF($AY28&lt;135000,5250,IF($AY28&lt;140000,3500,IF($AY28&lt;145000,1750,0)))))))-IF(OR($AU28="Married",AND($AU28="Single",$AS28&gt;=3)),5820,2910))-INDEX('Methodology &amp; Sources'!$B$211:$J$214,0,1))*INDEX('Methodology &amp; Sources'!$B$211:$J$214,0,1+2)))+263-263*IF(IF($AU28="Married",$AY28&gt;200000,$AY28&gt;100000),0,$AS28),IF($AN28="PA",0.0307*(($O28+$E28+$G28)*Inputs!$C$8),IF($AN28="NY",IF($AU28="Married",IF($AZ28&gt;=2155350,0,IF($AZ28&gt;=1077550,0.48,IF($AZ28&gt;=373200,1.21,IF($AZ28&gt;=323200,0.21,IF($AZ28&gt;=211550,-0.19,IF($AZ28&gt;=157650,-2.8,IF($AZ28&gt;=107650,-0.8,IF($AZ28&gt;=96800,0.05,IF($AZ28&gt;=80650,-0.1,IF($AZ28&gt;=13900,0.4,IF($AZ28&gt;=11700,-0.3,IF($AZ28&gt;=8500,0.5,0)))))))))))),IF($AZ28&gt;=1077550,0,IF($AZ28&gt;=265400,4.29,IF($AZ28&gt;=215400,2.29,IF($AZ28&gt;=157650,2.29,IF($AZ28&gt;=107650,0.29,IF($AZ28&gt;=96800,0.05,IF($AZ28&gt;=80650,-0.1,IF($AZ28&gt;=13900,0.4,IF($AZ28&gt;=11700,-0.3,IF($AZ28&gt;=8500,0.5,0))))))))))),0))))))))))))))))))</f>
      </c>
      <c r="BC28" s="7">
        <f>IF($B28="","",IF($AN28="AL",0.05*$D28,IF($AN28="AR",0.039*$D28,IF($AN28="ID",0.053*$D28,IF($AN28="IN",(0.0295+Inputs!$C$76)*$D28,IF($AN28="KS",0.05*$D28,IF($AN28="MA",0.09*MIN($D28,MAX(0,MAX(0,$AY28-MIN(($BD27+$Q28+$R28+$S28),2000)-IF($AS28=0,0,IF($AS28=1,4400,1000*$AS28+3400)))+$D28-1107750))+0.05*($D28-MIN($D28,MAX(0,MAX(0,$AY28-MIN(($BD27+$Q28+$R28+$S28),2000)-IF($AS28=0,0,IF($AS28=1,4400,1000*$AS28+3400)))+$D28-1107750))),IF($AN28="MD",(0.065+Inputs!$C$74)*$D28,IF($AN28="MI",0.0425*$D28,IF($AN28="MN",0.0625*$D28,IF($AN28="MO",0.047*$D28,IF($AN28="MT",0.05*$D28,IF($AN28="ND",0.015*$D28,IF($AN28="NE",0.035*$D28,IF($AN28="NJ",IF(Inputs!$C$77="B",SUMPRODUCT(($D28*Inputs!$C$8&gt;INDEX('Methodology &amp; Sources'!$B$155:$J$162,0,4))*($D28*Inputs!$C$8-INDEX('Methodology &amp; Sources'!$B$155:$J$162,0,4))*INDEX('Methodology &amp; Sources'!$B$155:$J$162,0,4+2)),IF(Inputs!$C$77="C",SUMPRODUCT(($D28*Inputs!$C$8&gt;INDEX('Methodology &amp; Sources'!$B$155:$J$162,0,7))*($D28*Inputs!$C$8-INDEX('Methodology &amp; Sources'!$B$155:$J$162,0,7))*INDEX('Methodology &amp; Sources'!$B$155:$J$162,0,7+2)),IF(Inputs!$C$77="D",SUMPRODUCT(($D28*Inputs!$C$8&gt;INDEX('Methodology &amp; Sources'!$B$167:$J$179,0,1))*($D28*Inputs!$C$8-INDEX('Methodology &amp; Sources'!$B$167:$J$179,0,1))*INDEX('Methodology &amp; Sources'!$B$167:$J$179,0,1+2)),IF(Inputs!$C$77="E",SUMPRODUCT(($D28*Inputs!$C$8&gt;INDEX('Methodology &amp; Sources'!$B$167:$J$179,0,4))*($D28*Inputs!$C$8-INDEX('Methodology &amp; Sources'!$B$167:$J$179,0,4))*INDEX('Methodology &amp; Sources'!$B$167:$J$179,0,4+2)),SUMPRODUCT(($D28*Inputs!$C$8&gt;INDEX('Methodology &amp; Sources'!$B$155:$J$162,0,1))*($D28*Inputs!$C$8-INDEX('Methodology &amp; Sources'!$B$155:$J$162,0,1))*INDEX('Methodology &amp; Sources'!$B$155:$J$162,0,1+2))))))/Inputs!$C$8,IF($AN28="NY",0.117*$D28,IF($AN28="OH",0.0275*$D28,IF($AN28="OK",0.045*$D28,IF($AN28="OR",0.08*$D28,IF($AN28="WI",IF($AY28&lt;12760,0.0354,IF($AY28&lt;25520,0.0465,IF($AY28&lt;280950,0.053,0.0765)))*$D28,0))))))))))))))))))))</f>
      </c>
      <c r="BD28" s="7">
        <f>IF($B28="","",$BD27+$Q28+$R28+$S28)</f>
      </c>
      <c r="BE28" s="6">
        <f>IF($B28="",$BE27,$BE27+$BF28)</f>
      </c>
      <c r="BF28" s="6">
        <f>IF($B28="","",IF(AND(IF(YEAR(IF(Inputs!$C$7="Weekly",Inputs!$C$90+7*(($BE27+1)-1),IF(Inputs!$C$7="Biweekly",Inputs!$C$90+14*(($BE27+1)-1),IF(Inputs!$C$7="Semimonthly",DATE(YEAR(Inputs!$C$9),MONTH(Inputs!$C$9)+INT((($BE27+1)-1+'Rest of 2026'!$C$2)/2),MIN(DAY(Inputs!$C$9),DAY(EOMONTH(DATE(YEAR(Inputs!$C$9),MONTH(Inputs!$C$9)+INT((($BE27+1)-1+'Rest of 2026'!$C$2)/2),1),0))))+IF(MOD(($BE27+1)-1+'Rest of 2026'!$C$2,2)=1,15,0),EDATE(Inputs!$C$90,($BE27+1)-1)))))&lt;&gt;Inputs!$C$10,"",IF(Inputs!$C$7="Weekly",Inputs!$C$90+7*(($BE27+1)-1),IF(Inputs!$C$7="Biweekly",Inputs!$C$90+14*(($BE27+1)-1),IF(Inputs!$C$7="Semimonthly",DATE(YEAR(Inputs!$C$9),MONTH(Inputs!$C$9)+INT((($BE27+1)-1+'Rest of 2026'!$C$2)/2),MIN(DAY(Inputs!$C$9),DAY(EOMONTH(DATE(YEAR(Inputs!$C$9),MONTH(Inputs!$C$9)+INT((($BE27+1)-1+'Rest of 2026'!$C$2)/2),1),0))))+IF(MOD(($BE27+1)-1+'Rest of 2026'!$C$2,2)=1,15,0),EDATE(Inputs!$C$90,($BE27+1)-1)))))&lt;&gt;"",$B28=IF(YEAR(IF(Inputs!$C$7="Weekly",Inputs!$C$90+7*(($BE27+1)-1),IF(Inputs!$C$7="Biweekly",Inputs!$C$90+14*(($BE27+1)-1),IF(Inputs!$C$7="Semimonthly",DATE(YEAR(Inputs!$C$9),MONTH(Inputs!$C$9)+INT((($BE27+1)-1+'Rest of 2026'!$C$2)/2),MIN(DAY(Inputs!$C$9),DAY(EOMONTH(DATE(YEAR(Inputs!$C$9),MONTH(Inputs!$C$9)+INT((($BE27+1)-1+'Rest of 2026'!$C$2)/2),1),0))))+IF(MOD(($BE27+1)-1+'Rest of 2026'!$C$2,2)=1,15,0),EDATE(Inputs!$C$90,($BE27+1)-1)))))&lt;&gt;Inputs!$C$10,"",IF(Inputs!$C$7="Weekly",Inputs!$C$90+7*(($BE27+1)-1),IF(Inputs!$C$7="Biweekly",Inputs!$C$90+14*(($BE27+1)-1),IF(Inputs!$C$7="Semimonthly",DATE(YEAR(Inputs!$C$9),MONTH(Inputs!$C$9)+INT((($BE27+1)-1+'Rest of 2026'!$C$2)/2),MIN(DAY(Inputs!$C$9),DAY(EOMONTH(DATE(YEAR(Inputs!$C$9),MONTH(Inputs!$C$9)+INT((($BE27+1)-1+'Rest of 2026'!$C$2)/2),1),0))))+IF(MOD(($BE27+1)-1+'Rest of 2026'!$C$2,2)=1,15,0),EDATE(Inputs!$C$90,($BE27+1)-1)))))),1,0))</f>
      </c>
      <c r="BG28" s="7">
        <f>IF($B28="","",$BG27+$H28)</f>
      </c>
      <c r="BH28" s="7">
        <f>IF($B28="","",$BH27+$I28)</f>
      </c>
      <c r="BI28" s="7">
        <f>IF($B28="","",$BI27+$G28)</f>
      </c>
      <c r="BJ28" s="7">
        <f>IF($B28="","",IFERROR(LOOKUP(2,1/((((Events!$C$6:$C$17="Deduction start"))*(Events!$D$6:$D$17="Health FSA"))*(Events!$B$6:$B$17&lt;=$B28)*(Events!$B$6:$B$17&lt;&gt;"")),Events!$E$6:$E$17),Inputs!$D$38))</f>
      </c>
      <c r="BK28" s="7">
        <f>IF($B28="","",IFERROR(LOOKUP(2,1/((((Events!$C$6:$C$17="Deduction start"))*(Events!$D$6:$D$17="Dependent-care FSA"))*(Events!$B$6:$B$17&lt;=$B28)*(Events!$B$6:$B$17&lt;&gt;"")),Events!$E$6:$E$17),Inputs!$D$39))</f>
      </c>
      <c r="BL28" s="7">
        <f>IF($B28="","",IFERROR(LOOKUP(2,1/((((Events!$C$6:$C$17="Deduction start")+(Events!$C$6:$C$17="Deduction stop"))*(Events!$D$6:$D$17="HSA"))*(Events!$B$6:$B$17&lt;=$B28)*(Events!$B$6:$B$17&lt;&gt;"")),Events!$I$6:$I$17),Inputs!$D$35))</f>
      </c>
      <c r="BM28" s="7">
        <f>IF($B28="","",IFERROR(LOOKUP(2,1/((((Events!$C$6:$C$17="Deduction start")+(Events!$C$6:$C$17="Deduction stop"))*(Events!$D$6:$D$17="Premiums"))*(Events!$B$6:$B$17&lt;=$B28)*(Events!$B$6:$B$17&lt;&gt;"")),Events!$I$6:$I$17),Inputs!$D$40+Inputs!$D$41+Inputs!$D$42))</f>
      </c>
      <c r="BN28" s="7">
        <f>IF($B28="","",IFERROR(LOOKUP(2,1/((((Events!$C$6:$C$17="Deduction start")+(Events!$C$6:$C$17="Deduction stop"))*(Events!$D$6:$D$17="Commuter"))*(Events!$B$6:$B$17&lt;=$B28)*(Events!$B$6:$B$17&lt;&gt;"")),Events!$I$6:$I$17),Inputs!$D$43))</f>
      </c>
      <c r="BO28" s="7">
        <f>IF($B28="","",IFERROR(LOOKUP(2,1/((((Events!$C$6:$C$17="Deduction start")+(Events!$C$6:$C$17="Deduction stop"))*(Events!$D$6:$D$17="Other pre-tax"))*(Events!$B$6:$B$17&lt;=$B28)*(Events!$B$6:$B$17&lt;&gt;"")),Events!$I$6:$I$17),Inputs!$D$44))</f>
      </c>
      <c r="BP28" s="7">
        <f>IF($B28="","",IFERROR(LOOKUP(2,1/((((Events!$C$6:$C$17="Deduction start")+(Events!$C$6:$C$17="Deduction stop"))*(Events!$D$6:$D$17="Other post-tax"))*(Events!$B$6:$B$17&lt;=$B28)*(Events!$B$6:$B$17&lt;&gt;"")),Events!$I$6:$I$17),Inputs!$D$45))</f>
      </c>
      <c r="BQ28" s="6">
        <f>IF($B28="","",IFERROR(LOOKUP(2,1/((((Events!$C$6:$C$17="Deduction start")+(Events!$C$6:$C$17="Deduction stop"))*(Events!$D$6:$D$17="Health FSA"))*(Events!$B$6:$B$17&lt;=$B28)*(Events!$B$6:$B$17&lt;&gt;"")),Events!$J$6:$J$17),0))</f>
      </c>
      <c r="BR28" s="6">
        <f>IF($B28="","",IFERROR(LOOKUP(2,1/((((Events!$C$6:$C$17="Deduction start")+(Events!$C$6:$C$17="Deduction stop"))*(Events!$D$6:$D$17="Dependent-care FSA"))*(Events!$B$6:$B$17&lt;=$B28)*(Events!$B$6:$B$17&lt;&gt;"")),Events!$J$6:$J$17),0))</f>
      </c>
      <c r="BS28" s="6">
        <f>IF($B28="","",IF(SUMPRODUCT((Events!$C$6:$C$17="Deduction start")*(Events!$B$6:$B$17&lt;=$B28)*(Events!$B$6:$B$17&lt;&gt;"")*(Events!$D$6:$D$17="Health FSA"))&gt;0,1,0))</f>
      </c>
      <c r="BT28" s="6">
        <f>IF($B28="","",IF(SUMPRODUCT((Events!$C$6:$C$17="Deduction start")*(Events!$B$6:$B$17&lt;=$B28)*(Events!$B$6:$B$17&lt;&gt;"")*(Events!$D$6:$D$17="Dependent-care FSA"))&gt;0,1,0))</f>
      </c>
      <c r="BU28" s="24">
        <f>IF($B28="","",IF(Inputs!$C$13,SUMPRODUCT(($AH28&gt;=INDEX('Methodology &amp; Sources'!$B$29:$J$36,0,IF(Inputs!$C$12="MFJ",1,IF(Inputs!$C$12="HoH",7,4))))*INDEX('Methodology &amp; Sources'!$B$29:$J$36,0,IF(Inputs!$C$12="MFJ",1,IF(Inputs!$C$12="HoH",7,4))+2)),SUMPRODUCT(($AH28&gt;=INDEX('Methodology &amp; Sources'!$B$19:$J$26,0,IF(Inputs!$C$12="MFJ",1,IF(Inputs!$C$12="HoH",7,4))))*INDEX('Methodology &amp; Sources'!$B$19:$J$26,0,IF(Inputs!$C$12="MFJ",1,IF(Inputs!$C$12="HoH",7,4))+2))))</f>
      </c>
      <c r="BV28" s="24">
        <f>IF($B28="","",IF($BZ28&lt;&gt;"",$BZ28,IF($CA28&lt;&gt;"",$CA28,IF($CB28&lt;&gt;"",$CB28,IF($CC28&lt;&gt;"",$CC28,0)))))</f>
      </c>
      <c r="BW28" s="7">
        <f>IF($B28="","",IF($AN28="MD",IF(OR($AU28="Married",$AU28="Head of household"),SUMPRODUCT(($AZ28&gt;INDEX('Methodology &amp; Sources'!$B$114:$J$120,0,1))*($AZ28-INDEX('Methodology &amp; Sources'!$B$114:$J$120,0,1))*INDEX('Methodology &amp; Sources'!$B$114:$J$120,0,1+2)),SUMPRODUCT(($AZ28&gt;INDEX('Methodology &amp; Sources'!$B$103:$J$109,0,7))*($AZ28-INDEX('Methodology &amp; Sources'!$B$103:$J$109,0,7))*INDEX('Methodology &amp; Sources'!$B$103:$J$109,0,7+2))),IF($AN28="MO",SUMPRODUCT(($AZ28&gt;INDEX('Methodology &amp; Sources'!$B$125:$J$132,0,1))*($AZ28-INDEX('Methodology &amp; Sources'!$B$125:$J$132,0,1))*INDEX('Methodology &amp; Sources'!$B$125:$J$132,0,1+2)),IF($AN28="MT",IF($AU28="Head of household",SUMPRODUCT(($AZ28&gt;INDEX('Methodology &amp; Sources'!$B$137:$J$139,0,1))*($AZ28-INDEX('Methodology &amp; Sources'!$B$137:$J$139,0,1))*INDEX('Methodology &amp; Sources'!$B$137:$J$139,0,1+2)),IF($AU28="Married",SUMPRODUCT(($AZ28&gt;INDEX('Methodology &amp; Sources'!$B$125:$J$132,0,7))*($AZ28-INDEX('Methodology &amp; Sources'!$B$125:$J$132,0,7))*INDEX('Methodology &amp; Sources'!$B$125:$J$132,0,7+2)),SUMPRODUCT(($AZ28&gt;INDEX('Methodology &amp; Sources'!$B$125:$J$132,0,4))*($AZ28-INDEX('Methodology &amp; Sources'!$B$125:$J$132,0,4))*INDEX('Methodology &amp; Sources'!$B$125:$J$132,0,4+2)))),IF($AN28="ND",IF($AU28="Head of household",SUMPRODUCT(($AZ28&gt;INDEX('Methodology &amp; Sources'!$B$144:$J$150,0,1))*($AZ28-INDEX('Methodology &amp; Sources'!$B$144:$J$150,0,1))*INDEX('Methodology &amp; Sources'!$B$144:$J$150,0,1+2)),IF($AU28="Married",SUMPRODUCT(($AZ28&gt;INDEX('Methodology &amp; Sources'!$B$137:$J$139,0,7))*($AZ28-INDEX('Methodology &amp; Sources'!$B$137:$J$139,0,7))*INDEX('Methodology &amp; Sources'!$B$137:$J$139,0,7+2)),SUMPRODUCT(($AZ28&gt;INDEX('Methodology &amp; Sources'!$B$137:$J$139,0,4))*($AZ28-INDEX('Methodology &amp; Sources'!$B$137:$J$139,0,4))*INDEX('Methodology &amp; Sources'!$B$137:$J$139,0,4+2)))),IF($AN28="NJ",IF(Inputs!$C$77="B",SUMPRODUCT(($AZ28&gt;INDEX('Methodology &amp; Sources'!$B$155:$J$162,0,4))*($AZ28-INDEX('Methodology &amp; Sources'!$B$155:$J$162,0,4))*INDEX('Methodology &amp; Sources'!$B$155:$J$162,0,4+2)),IF(Inputs!$C$77="C",SUMPRODUCT(($AZ28&gt;INDEX('Methodology &amp; Sources'!$B$155:$J$162,0,7))*($AZ28-INDEX('Methodology &amp; Sources'!$B$155:$J$162,0,7))*INDEX('Methodology &amp; Sources'!$B$155:$J$162,0,7+2)),IF(Inputs!$C$77="D",SUMPRODUCT(($AZ28&gt;INDEX('Methodology &amp; Sources'!$B$167:$J$179,0,1))*($AZ28-INDEX('Methodology &amp; Sources'!$B$167:$J$179,0,1))*INDEX('Methodology &amp; Sources'!$B$167:$J$179,0,1+2)),IF(Inputs!$C$77="E",SUMPRODUCT(($AZ28&gt;INDEX('Methodology &amp; Sources'!$B$167:$J$179,0,4))*($AZ28-INDEX('Methodology &amp; Sources'!$B$167:$J$179,0,4))*INDEX('Methodology &amp; Sources'!$B$167:$J$179,0,4+2)),SUMPRODUCT(($AZ28&gt;INDEX('Methodology &amp; Sources'!$B$155:$J$162,0,1))*($AZ28-INDEX('Methodology &amp; Sources'!$B$155:$J$162,0,1))*INDEX('Methodology &amp; Sources'!$B$155:$J$162,0,1+2)))))),IF($AN28="NY",IF($AU28="Married",IF($AZ28&gt;=2155350,$AZ28*IF($AZ28&gt;25000000,0.117,IF($AZ28&gt;5000000,0.111,0.1045)),SUMPRODUCT(($AZ28&gt;INDEX('Methodology &amp; Sources'!$B$184:$J$198,0,1))*($AZ28-INDEX('Methodology &amp; Sources'!$B$184:$J$198,0,1))*INDEX('Methodology &amp; Sources'!$B$184:$J$198,0,1+2))),IF($AZ28&gt;=1077550,$AZ28*IF($AZ28&gt;25000000,0.117,IF($AZ28&gt;5000000,0.111,0.1045)),SUMPRODUCT(($AZ28&gt;INDEX('Methodology &amp; Sources'!$B$167:$J$179,0,7))*($AZ28-INDEX('Methodology &amp; Sources'!$B$167:$J$179,0,7))*INDEX('Methodology &amp; Sources'!$B$167:$J$179,0,7+2)))),"")))))))</f>
      </c>
      <c r="BX28" s="7">
        <f>IF($B28="","",IF($AN28="AL",IF(OR($AU28="Married",$AU28="Head of household"),SUMPRODUCT(($AZ28&gt;INDEX('Methodology &amp; Sources'!$B$82:$J$86,0,4))*($AZ28-INDEX('Methodology &amp; Sources'!$B$82:$J$86,0,4))*INDEX('Methodology &amp; Sources'!$B$82:$J$86,0,4+2)),SUMPRODUCT(($AZ28&gt;INDEX('Methodology &amp; Sources'!$B$82:$J$86,0,1))*($AZ28-INDEX('Methodology &amp; Sources'!$B$82:$J$86,0,1))*INDEX('Methodology &amp; Sources'!$B$82:$J$86,0,1+2))),IF($AN28="KS",IF($AU28="Married",SUMPRODUCT(($AZ28&gt;INDEX('Methodology &amp; Sources'!$B$103:$J$109,0,4))*($AZ28-INDEX('Methodology &amp; Sources'!$B$103:$J$109,0,4))*INDEX('Methodology &amp; Sources'!$B$103:$J$109,0,4+2)),SUMPRODUCT(($AZ28&gt;INDEX('Methodology &amp; Sources'!$B$103:$J$109,0,1))*($AZ28-INDEX('Methodology &amp; Sources'!$B$103:$J$109,0,1))*INDEX('Methodology &amp; Sources'!$B$103:$J$109,0,1+2))),IF($AN28="MN",IF($AU28="Married",SUMPRODUCT(($AZ28&gt;INDEX('Methodology &amp; Sources'!$B$114:$J$120,0,7))*($AZ28-INDEX('Methodology &amp; Sources'!$B$114:$J$120,0,7))*INDEX('Methodology &amp; Sources'!$B$114:$J$120,0,7+2)),SUMPRODUCT(($AZ28&gt;INDEX('Methodology &amp; Sources'!$B$114:$J$120,0,4))*($AZ28-INDEX('Methodology &amp; Sources'!$B$114:$J$120,0,4))*INDEX('Methodology &amp; Sources'!$B$114:$J$120,0,4+2))),IF($AN28="NE",MAX(IF($AU28="Married",SUMPRODUCT(($AZ28&gt;INDEX('Methodology &amp; Sources'!$B$144:$J$150,0,7))*($AZ28-INDEX('Methodology &amp; Sources'!$B$144:$J$150,0,7))*INDEX('Methodology &amp; Sources'!$B$144:$J$150,0,7+2)),SUMPRODUCT(($AZ28&gt;INDEX('Methodology &amp; Sources'!$B$144:$J$150,0,4))*($AZ28-INDEX('Methodology &amp; Sources'!$B$144:$J$150,0,4))*INDEX('Methodology &amp; Sources'!$B$144:$J$150,0,4+2))),0.015*$AZ28),IF($AN28="OH",IF($B28&gt;=DATE(2027,8,1),SUMPRODUCT(($AZ28&gt;INDEX('Methodology &amp; Sources'!$B$203:$J$206,0,1))*($AZ28-INDEX('Methodology &amp; Sources'!$B$203:$J$206,0,1))*INDEX('Methodology &amp; Sources'!$B$203:$J$206,0,1+2)),SUMPRODUCT(($AZ28&gt;INDEX('Methodology &amp; Sources'!$B$184:$J$198,0,7))*($AZ28-INDEX('Methodology &amp; Sources'!$B$184:$J$198,0,7))*INDEX('Methodology &amp; Sources'!$B$184:$J$198,0,7+2))),IF($AN28="OK",IF($AU28="Married",SUMPRODUCT(($AZ28&gt;INDEX('Methodology &amp; Sources'!$B$203:$J$206,0,7))*($AZ28-INDEX('Methodology &amp; Sources'!$B$203:$J$206,0,7))*INDEX('Methodology &amp; Sources'!$B$203:$J$206,0,7+2)),SUMPRODUCT(($AZ28&gt;INDEX('Methodology &amp; Sources'!$B$203:$J$206,0,4))*($AZ28-INDEX('Methodology &amp; Sources'!$B$203:$J$206,0,4))*INDEX('Methodology &amp; Sources'!$B$203:$J$206,0,4+2))),IF($AN28="RI",SUMPRODUCT(($AZ28&gt;INDEX('Methodology &amp; Sources'!$B$211:$J$214,0,7))*($AZ28-INDEX('Methodology &amp; Sources'!$B$211:$J$214,0,7))*INDEX('Methodology &amp; Sources'!$B$211:$J$214,0,7+2)),IF($AN28="VT",IF($AU28="Married",SUMPRODUCT(($AZ28&gt;INDEX('Methodology &amp; Sources'!$B$228:$J$232,0,1))*($AZ28-INDEX('Methodology &amp; Sources'!$B$228:$J$232,0,1))*INDEX('Methodology &amp; Sources'!$B$228:$J$232,0,1+2)),SUMPRODUCT(($AZ28&gt;INDEX('Methodology &amp; Sources'!$B$219:$J$223,0,7))*($AZ28-INDEX('Methodology &amp; Sources'!$B$219:$J$223,0,7))*INDEX('Methodology &amp; Sources'!$B$219:$J$223,0,7+2))),IF($AN28="WV",IF($AU28="Married",SUMPRODUCT(($AZ28&gt;INDEX('Methodology &amp; Sources'!$B$237:$J$241,0,7))*($AZ28-INDEX('Methodology &amp; Sources'!$B$237:$J$241,0,7))*INDEX('Methodology &amp; Sources'!$B$237:$J$241,0,7+2)),SUMPRODUCT(($AZ28&gt;INDEX('Methodology &amp; Sources'!$B$228:$J$232,0,7))*($AZ28-INDEX('Methodology &amp; Sources'!$B$228:$J$232,0,7))*INDEX('Methodology &amp; Sources'!$B$228:$J$232,0,7+2))),""))))))))))</f>
      </c>
      <c r="BY28" s="7">
        <f>IF($B28="","",IF($AN28="AR",SUMPRODUCT(($AZ28&gt;INDEX('Methodology &amp; Sources'!$B$82:$J$86,0,7))*($AZ28-INDEX('Methodology &amp; Sources'!$B$82:$J$86,0,7))*INDEX('Methodology &amp; Sources'!$B$82:$J$86,0,7+2)),IF($AN28="DE",SUMPRODUCT(($AZ28&gt;INDEX('Methodology &amp; Sources'!$B$91:$J$98,0,1))*($AZ28-INDEX('Methodology &amp; Sources'!$B$91:$J$98,0,1))*INDEX('Methodology &amp; Sources'!$B$91:$J$98,0,1+2)),IF($AN28="HI",IF($AU28="Married",SUMPRODUCT(($AZ28&gt;INDEX('Methodology &amp; Sources'!$B$91:$J$98,0,7))*($AZ28-INDEX('Methodology &amp; Sources'!$B$91:$J$98,0,7))*INDEX('Methodology &amp; Sources'!$B$91:$J$98,0,7+2)),SUMPRODUCT(($AZ28&gt;INDEX('Methodology &amp; Sources'!$B$91:$J$98,0,4))*($AZ28-INDEX('Methodology &amp; Sources'!$B$91:$J$98,0,4))*INDEX('Methodology &amp; Sources'!$B$91:$J$98,0,4+2))),IF($AN28="SC",SUMPRODUCT(($AZ28&gt;INDEX('Methodology &amp; Sources'!$B$219:$J$223,0,1))*($AZ28-INDEX('Methodology &amp; Sources'!$B$219:$J$223,0,1))*INDEX('Methodology &amp; Sources'!$B$219:$J$223,0,1+2)),IF($AN28="VA",SUMPRODUCT(($AZ28&gt;INDEX('Methodology &amp; Sources'!$B$219:$J$223,0,4))*($AZ28-INDEX('Methodology &amp; Sources'!$B$219:$J$223,0,4))*INDEX('Methodology &amp; Sources'!$B$219:$J$223,0,4+2)),IF($AN28="WI",SUMPRODUCT(($AZ28&gt;INDEX('Methodology &amp; Sources'!$B$228:$J$232,0,4))*($AZ28-INDEX('Methodology &amp; Sources'!$B$228:$J$232,0,4))*INDEX('Methodology &amp; Sources'!$B$228:$J$232,0,4+2)),"")))))))</f>
      </c>
      <c r="BZ28" s="24">
        <f>IF($B28="","",IF($AN28="NJ",IF(Inputs!$C$77="B",SUMPRODUCT(($AZ28&gt;=INDEX('Methodology &amp; Sources'!$B$155:$J$162,0,4))*INDEX('Methodology &amp; Sources'!$B$155:$J$162,0,4+2)),IF(Inputs!$C$77="C",SUMPRODUCT(($AZ28&gt;=INDEX('Methodology &amp; Sources'!$B$155:$J$162,0,7))*INDEX('Methodology &amp; Sources'!$B$155:$J$162,0,7+2)),IF(Inputs!$C$77="D",SUMPRODUCT(($AZ28&gt;=INDEX('Methodology &amp; Sources'!$B$167:$J$179,0,1))*INDEX('Methodology &amp; Sources'!$B$167:$J$179,0,1+2)),IF(Inputs!$C$77="E",SUMPRODUCT(($AZ28&gt;=INDEX('Methodology &amp; Sources'!$B$167:$J$179,0,4))*INDEX('Methodology &amp; Sources'!$B$167:$J$179,0,4+2)),SUMPRODUCT(($AZ28&gt;=INDEX('Methodology &amp; Sources'!$B$155:$J$162,0,1))*INDEX('Methodology &amp; Sources'!$B$155:$J$162,0,1+2)))))),IF($AN28="OR",IF(OR($AU28="Married",AND($AU28="Single",$AS28&gt;=3)),SUMPRODUCT((MAX(0,$AY28-MIN(($P28-'Methodology &amp; Sources'!$C$10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Sources'!$B$211:$J$214,0,4))*INDEX('Methodology &amp; Sources'!$B$211:$J$214,0,4+2)),SUMPRODUCT((MAX(0,$AY28-MIN(($P28-'Methodology &amp; Sources'!$C$10*$D28)*Inputs!$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Sources'!$B$211:$J$214,0,1))*INDEX('Methodology &amp; Sources'!$B$211:$J$214,0,1+2)))*IF(($P28-'Methodology &amp; Sources'!$C$10*$D28)*Inputs!$C$8&gt;=IF(OR($AU28="Married",AND($AU28="Single",$AS28&gt;=3)),IF($AY28&lt;250000,8750,IF($AY28&lt;260000,7000,IF($AY28&lt;270000,5250,IF($AY28&lt;280000,3500,IF($AY28&lt;290000,1750,0))))),IF($AY28&lt;125000,8750,IF($AY28&lt;130000,7000,IF($AY28&lt;135000,5250,IF($AY28&lt;140000,3500,IF($AY28&lt;145000,1750,0)))))),1,1-IF(Inputs!$C$13,SUMPRODUCT(($AH28&gt;=INDEX('Methodology &amp; Sources'!$B$29:$J$36,0,IF(Inputs!$C$12="MFJ",1,IF(Inputs!$C$12="HoH",7,4))))*INDEX('Methodology &amp; Sources'!$B$29:$J$36,0,IF(Inputs!$C$12="MFJ",1,IF(Inputs!$C$12="HoH",7,4))+2)),SUMPRODUCT(($AH28&gt;=INDEX('Methodology &amp; Sources'!$B$19:$J$26,0,IF(Inputs!$C$12="MFJ",1,IF(Inputs!$C$12="HoH",7,4))))*INDEX('Methodology &amp; Sources'!$B$19:$J$26,0,IF(Inputs!$C$12="MFJ",1,IF(Inputs!$C$12="HoH",7,4))+2)))),IF($AN28="MI",IF($AY28&gt;5900*$AS28,0.0425,0),""))))</f>
      </c>
      <c r="CA28" s="24">
        <f>IF($B28="","",IF($AN28="AL",IF(OR($AU28="Married",$AU28="Head of household"),SUMPRODUCT(($AZ28&gt;=INDEX('Methodology &amp; Sources'!$B$82:$J$86,0,4))*INDEX('Methodology &amp; Sources'!$B$82:$J$86,0,4+2)),SUMPRODUCT(($AZ28&gt;=INDEX('Methodology &amp; Sources'!$B$82:$J$86,0,1))*INDEX('Methodology &amp; Sources'!$B$82:$J$86,0,1+2)))*(1-IF(Inputs!$C$13,SUMPRODUCT(($AH28&gt;=INDEX('Methodology &amp; Sources'!$B$29:$J$36,0,IF(Inputs!$C$12="MFJ",1,IF(Inputs!$C$12="HoH",7,4))))*INDEX('Methodology &amp; Sources'!$B$29:$J$36,0,IF(Inputs!$C$12="MFJ",1,IF(Inputs!$C$12="HoH",7,4))+2)),SUMPRODUCT(($AH28&gt;=INDEX('Methodology &amp; Sources'!$B$19:$J$26,0,IF(Inputs!$C$12="MFJ",1,IF(Inputs!$C$12="HoH",7,4))))*INDEX('Methodology &amp; Sources'!$B$19:$J$26,0,IF(Inputs!$C$12="MFJ",1,IF(Inputs!$C$12="HoH",7,4))+2)))),IF($AN28="KS",IF($AU28="Married",SUMPRODUCT(($AZ28&gt;=INDEX('Methodology &amp; Sources'!$B$103:$J$109,0,4))*INDEX('Methodology &amp; Sources'!$B$103:$J$109,0,4+2)),SUMPRODUCT(($AZ28&gt;=INDEX('Methodology &amp; Sources'!$B$103:$J$109,0,1))*INDEX('Methodology &amp; Sources'!$B$103:$J$109,0,1+2))),IF($AN28="MD",IF(OR($AU28="Married",$AU28="Head of household"),SUMPRODUCT(($AZ28&gt;=INDEX('Methodology &amp; Sources'!$B$114:$J$120,0,1))*INDEX('Methodology &amp; Sources'!$B$114:$J$120,0,1+2)),SUMPRODUCT(($AZ28&gt;=INDEX('Methodology &amp; Sources'!$B$103:$J$109,0,7))*INDEX('Methodology &amp; Sources'!$B$103:$J$109,0,7+2)))+Inputs!$C$74,IF($AN28="MT",IF($AU28="Head of household",SUMPRODUCT(($AZ28&gt;=INDEX('Methodology &amp; Sources'!$B$137:$J$139,0,1))*INDEX('Methodology &amp; Sources'!$B$137:$J$139,0,1+2)),IF($AU28="Married",SUMPRODUCT(($AZ28&gt;=INDEX('Methodology &amp; Sources'!$B$125:$J$132,0,7))*INDEX('Methodology &amp; Sources'!$B$125:$J$132,0,7+2)),SUMPRODUCT(($AZ28&gt;=INDEX('Methodology &amp; Sources'!$B$125:$J$132,0,4))*INDEX('Methodology &amp; Sources'!$B$125:$J$132,0,4+2)))),IF($AN28="ND",IF($AU28="Head of household",SUMPRODUCT(($AZ28&gt;=INDEX('Methodology &amp; Sources'!$B$144:$J$150,0,1))*INDEX('Methodology &amp; Sources'!$B$144:$J$150,0,1+2)),IF($AU28="Married",SUMPRODUCT(($AZ28&gt;=INDEX('Methodology &amp; Sources'!$B$137:$J$139,0,7))*INDEX('Methodology &amp; Sources'!$B$137:$J$139,0,7+2)),SUMPRODUCT(($AZ28&gt;=INDEX('Methodology &amp; Sources'!$B$137:$J$139,0,4))*INDEX('Methodology &amp; Sources'!$B$137:$J$139,0,4+2)))),IF($AN28="NY",IF($AU28="Married",IF($AZ28&gt;=2155350,IF($AZ28&gt;25000000,0.117,IF($AZ28&gt;5000000,0.111,0.1045)),SUMPRODUCT(($AZ28&gt;=INDEX('Methodology &amp; Sources'!$B$184:$J$198,0,1))*INDEX('Methodology &amp; Sources'!$B$184:$J$198,0,1+2))),IF($AZ28&gt;=1077550,IF($AZ28&gt;25000000,0.117,IF($AZ28&gt;5000000,0.111,0.1045)),SUMPRODUCT(($AZ28&gt;=INDEX('Methodology &amp; Sources'!$B$167:$J$179,0,7))*INDEX('Methodology &amp; Sources'!$B$167:$J$179,0,7+2)))),"")))))))</f>
      </c>
      <c r="CB28" s="24">
        <f>IF($B28="","",IF($AN28="CA",SUMPRODUCT(($AJ28&gt;=INDEX('Methodology &amp; Sources'!$B$39:$J$48,0,IF($AU28="Married",4,IF($AU28="Head of household",7,1))))*INDEX('Methodology &amp; Sources'!$B$39:$J$48,0,IF($AU28="Married",4,IF($AU28="Head of household",7,1))+2)),IF($AN28="HI",IF($AU28="Married",SUMPRODUCT(($AZ28&gt;=INDEX('Methodology &amp; Sources'!$B$91:$J$98,0,7))*INDEX('Methodology &amp; Sources'!$B$91:$J$98,0,7+2)),SUMPRODUCT(($AZ28&gt;=INDEX('Methodology &amp; Sources'!$B$91:$J$98,0,4))*INDEX('Methodology &amp; Sources'!$B$91:$J$98,0,4+2))),IF($AN28="MN",IF($AU28="Married",SUMPRODUCT(($AZ28&gt;=INDEX('Methodology &amp; Sources'!$B$114:$J$120,0,7))*INDEX('Methodology &amp; Sources'!$B$114:$J$120,0,7+2)),SUMPRODUCT(($AZ28&gt;=INDEX('Methodology &amp; Sources'!$B$114:$J$120,0,4))*INDEX('Methodology &amp; Sources'!$B$114:$J$120,0,4+2))),IF($AN28="MO",SUMPRODUCT(($AZ28&gt;=INDEX('Methodology &amp; Sources'!$B$125:$J$132,0,1))*INDEX('Methodology &amp; Sources'!$B$125:$J$132,0,1+2)),IF($AN28="NE",MAX(IF($AU28="Married",SUMPRODUCT(($AZ28&gt;=INDEX('Methodology &amp; Sources'!$B$144:$J$150,0,7))*INDEX('Methodology &amp; Sources'!$B$144:$J$150,0,7+2)),SUMPRODUCT(($AZ28&gt;=INDEX('Methodology &amp; Sources'!$B$144:$J$150,0,4))*INDEX('Methodology &amp; Sources'!$B$144:$J$150,0,4+2))),0.015),IF($AN28="OH",IF($B28&gt;=DATE(2027,8,1),SUMPRODUCT(($AZ28&gt;=INDEX('Methodology &amp; Sources'!$B$203:$J$206,0,1))*INDEX('Methodology &amp; Sources'!$B$203:$J$206,0,1+2)),SUMPRODUCT(($AZ28&gt;=INDEX('Methodology &amp; Sources'!$B$184:$J$198,0,7))*INDEX('Methodology &amp; Sources'!$B$184:$J$198,0,7+2))),IF($AN28="OK",IF($AU28="Married",SUMPRODUCT(($AZ28&gt;=INDEX('Methodology &amp; Sources'!$B$203:$J$206,0,7))*INDEX('Methodology &amp; Sources'!$B$203:$J$206,0,7+2)),SUMPRODUCT(($AZ28&gt;=INDEX('Methodology &amp; Sources'!$B$203:$J$206,0,4))*INDEX('Methodology &amp; Sources'!$B$203:$J$206,0,4+2))),IF($AN28="RI",SUMPRODUCT(($AZ28&gt;=INDEX('Methodology &amp; Sources'!$B$211:$J$214,0,7))*INDEX('Methodology &amp; Sources'!$B$211:$J$214,0,7+2)),IF($AN28="SC",SUMPRODUCT(($AZ28&gt;=INDEX('Methodology &amp; Sources'!$B$219:$J$223,0,1))*INDEX('Methodology &amp; Sources'!$B$219:$J$223,0,1+2)),IF($AN28="VT",IF($AU28="Married",SUMPRODUCT(($AZ28&gt;=INDEX('Methodology &amp; Sources'!$B$228:$J$232,0,1))*INDEX('Methodology &amp; Sources'!$B$228:$J$232,0,1+2)),SUMPRODUCT(($AZ28&gt;=INDEX('Methodology &amp; Sources'!$B$219:$J$223,0,7))*INDEX('Methodology &amp; Sources'!$B$219:$J$223,0,7+2))),IF($AN28="WV",IF($AU28="Married",SUMPRODUCT(($AZ28&gt;=INDEX('Methodology &amp; Sources'!$B$237:$J$241,0,7))*INDEX('Methodology &amp; Sources'!$B$237:$J$241,0,7+2)),SUMPRODUCT(($AZ28&gt;=INDEX('Methodology &amp; Sources'!$B$228:$J$232,0,7))*INDEX('Methodology &amp; Sources'!$B$228:$J$232,0,7+2))),IF($AN28="IN",(0.0295+Inputs!$C$76),"")))))))))))))</f>
      </c>
      <c r="CC28" s="24">
        <f>IF($B28="","",IF($AN28="AR",SUMPRODUCT(($AZ28&gt;=INDEX('Methodology &amp; Sources'!$B$82:$J$86,0,7))*INDEX('Methodology &amp; Sources'!$B$82:$J$86,0,7+2)),IF($AN28="DE",SUMPRODUCT(($AZ28&gt;=INDEX('Methodology &amp; Sources'!$B$91:$J$98,0,1))*INDEX('Methodology &amp; Sources'!$B$91:$J$98,0,1+2)),IF($AN28="VA",SUMPRODUCT(($AZ28&gt;=INDEX('Methodology &amp; Sources'!$B$219:$J$223,0,4))*INDEX('Methodology &amp; Sources'!$B$219:$J$223,0,4+2)),IF($AN28="WI",SUMPRODUCT(($AZ28&gt;=INDEX('Methodology &amp; Sources'!$B$228:$J$232,0,4))*INDEX('Methodology &amp; Sources'!$B$228:$J$232,0,4+2)),IF($AN28="AZ",Inputs!$C$82,IF($AN28="CO",IF($AY28&gt;IF($AU28="Married",10000,5000),0.044,0),IF($AN28="IA",IF($AY28&gt;IF($AU28="Head of household",19500,IF($AU28="Married",26000,13000)),0.038,0),IF($AN28="ID",IF($AY28&gt;IF($AU28="Married",32000,16094),0.053,0),IF($AN28="IL",IF($AY28&gt;(2925*$AS28+1000*$AT28),0.0495,0),IF($AN28="KY",IF($AI28&gt;3360,0.035,0),IF($AN28="LA",0.0309,IF($AN28="MA",IF(MAX(0,$AY28-MIN(($BD27+$Q28+$R28+$S28),2000)-IF($AS28=0,0,IF($AS28=1,4400,1000*$AS28+3400)))&gt;=1107750,0.09,0.05),IF($AN28="MS",IF($AI28-IF($AU28="Head of household",3400,IF($AU28="Married",4600,2300))-Inputs!$C$85&gt;10000,0.04,0),IF($AN28="PA",0.0307,"")))))))))))))))</f>
      </c>
      <c r="CD28" s="21">
        <f>IF(YEAR(IF(Inputs!$C$7="Weekly",Inputs!$C$90+7*(($BE27+1)-1),IF(Inputs!$C$7="Biweekly",Inputs!$C$90+14*(($BE27+1)-1),IF(Inputs!$C$7="Semimonthly",DATE(YEAR(Inputs!$C$9),MONTH(Inputs!$C$9)+INT((($BE27+1)-1+'Rest of 2026'!$C$2)/2),MIN(DAY(Inputs!$C$9),DAY(EOMONTH(DATE(YEAR(Inputs!$C$9),MONTH(Inputs!$C$9)+INT((($BE27+1)-1+'Rest of 2026'!$C$2)/2),1),0))))+IF(MOD(($BE27+1)-1+'Rest of 2026'!$C$2,2)=1,15,0),EDATE(Inputs!$C$90,($BE27+1)-1)))))&lt;&gt;Inputs!$C$10,"",IF(Inputs!$C$7="Weekly",Inputs!$C$90+7*(($BE27+1)-1),IF(Inputs!$C$7="Biweekly",Inputs!$C$90+14*(($BE27+1)-1),IF(Inputs!$C$7="Semimonthly",DATE(YEAR(Inputs!$C$9),MONTH(Inputs!$C$9)+INT((($BE27+1)-1+'Rest of 2026'!$C$2)/2),MIN(DAY(Inputs!$C$9),DAY(EOMONTH(DATE(YEAR(Inputs!$C$9),MONTH(Inputs!$C$9)+INT((($BE27+1)-1+'Rest of 2026'!$C$2)/2),1),0))))+IF(MOD(($BE27+1)-1+'Rest of 2026'!$C$2,2)=1,15,0),EDATE(Inputs!$C$90,($BE27+1)-1)))))</f>
      </c>
      <c r="CE28" s="21">
        <f>IF(SUMPRODUCT(MIN(IF((Inputs!$C$58:$C$67&gt;MAX($B$6:$B27))*(Inputs!$C$58:$C$67&gt;=DATE(Inputs!$C$10,1,1))*(Inputs!$C$58:$C$67&lt;=DATE(Inputs!$C$10,12,31)),Inputs!$C$58:$C$67,999999)))=999999,"",SUMPRODUCT(MIN(IF((Inputs!$C$58:$C$67&gt;MAX($B$6:$B27))*(Inputs!$C$58:$C$67&gt;=DATE(Inputs!$C$10,1,1))*(Inputs!$C$58:$C$67&lt;=DATE(Inputs!$C$10,12,31)),Inputs!$C$58:$C$67,999999))))</f>
      </c>
    </row>
    <row r="29">
      <c r="A29" t="n">
        <v>24</v>
      </c>
      <c r="B29" s="21">
        <f>IF(AND($CD29="",$CE29=""),"",IF($CE29="",$CD29,IF($CD29="",$CE29,MIN($CD29,$CE29))))</f>
      </c>
      <c r="C29" s="7">
        <f>IF($B29="","",IF($BF29=0,0,IF(Inputs!$C$4="Annual salary",ROUND($AK29/IF(AND(Inputs!$C$88="Actual paydays",MONTH(Inputs!$C$90)=1),MAX(1,MAX($BE$6:$BE$68)),Inputs!$C$8),2),$AK29)))</f>
      </c>
      <c r="D29" s="7">
        <f>IF($B29="","",SUMIF(Inputs!$C$58:$C$67,$B29,Inputs!$D$58:$D$67))</f>
      </c>
      <c r="E29" s="7">
        <f>IF($B29="","",ROUND(MAX(0,MIN(IF($AL29="Percent",$AM29*($C29+$D29),$AM29),MAX(0,Inputs!$C$34-$AC28))),2))</f>
      </c>
      <c r="F29" s="7">
        <f>IF($B29="","",ROUND(MAX(0,MIN(IF(Inputs!$C$32="Percent",Inputs!$D$32*($C29+$D29),Inputs!$D$32),MAX(0,Inputs!$C$34-$AC28-$E29))),2))</f>
      </c>
      <c r="G29" s="7">
        <f>IF($B29="","",IF($BF29=0,0,ROUND(MAX(0,MIN($BL29,Inputs!$C$37-Inputs!$C$99-$BI28)),2)))</f>
      </c>
      <c r="H29" s="7">
        <f>IF($B29="","",IF(OR($BF29=0,$BQ29=1),0,ROUND(MAX(0,MIN(IF($BS29=1,ROUND(MAX(0,MIN($BJ29,'Methodology &amp; Sources'!$C$13)-$BG28)/MAX(1,MAX($BE$6:$BE$68)-($BE28)),2),ROUND(MIN($BJ29,'Methodology &amp; Sources'!$C$13)/Inputs!$C$8,2)),MIN($BJ29,'Methodology &amp; Sources'!$C$13)-$BG28)),2)))</f>
      </c>
      <c r="I29" s="7">
        <f>IF($B29="","",IF(OR($BF29=0,$BR29=1),0,ROUND(MAX(0,MIN(IF($BT29=1,ROUND(MAX(0,MIN($BK29,IF(Inputs!$C$12="MFJ",'Methodology &amp; Sources'!$C$14,'Methodology &amp; Sources'!$C$15))-$BH28)/MAX(1,MAX($BE$6:$BE$68)-($BE28)),2),ROUND(MIN($BK29,IF(Inputs!$C$12="MFJ",'Methodology &amp; Sources'!$C$14,'Methodology &amp; Sources'!$C$15))/Inputs!$C$8,2)),MIN($BK29,IF(Inputs!$C$12="MFJ",'Methodology &amp; Sources'!$C$14,'Methodology &amp; Sources'!$C$15))-$BH28)),2)))</f>
      </c>
      <c r="J29" s="7">
        <f>IF($B29="","",IF($BF29=0,0,$BM29))</f>
      </c>
      <c r="K29" s="7">
        <f>IF($B29="","",IF($BF29=0,0,$BN29+$BO29))</f>
      </c>
      <c r="L29" s="7">
        <f>IF($B29="","",IF($BF29=0,0,Inputs!$D$46))</f>
      </c>
      <c r="M29" s="7">
        <f>IF($B29="","",$C29+$D29+$L29-$E29-$G29-$H29-$I29-$J29-$K29)</f>
      </c>
      <c r="N29" s="7">
        <f>IF($B29="","",$C29+$D29+$L29-$G29-$H29-$I29-$J29-$K29)</f>
      </c>
      <c r="O29" s="7">
        <f>IF($B29="","",$C29+$D29+$L29-$E29-$H29-$I29-$J29-$K29-IF(OR($AN29="CA",$AN29="NJ"),0,$G29))</f>
      </c>
      <c r="P29" s="7">
        <f>IF($B29="","",IF(Inputs!$C$18,0,ROUND(MAX(0,IF(Inputs!$C$13,SUMPRODUCT(($AH29&gt;INDEX('Methodology &amp; Sources'!$B$29:$J$36,0,IF(Inputs!$C$12="MFJ",1,IF(Inputs!$C$12="HoH",7,4))))*($AH29-INDEX('Methodology &amp; Sources'!$B$29:$J$36,0,IF(Inputs!$C$12="MFJ",1,IF(Inputs!$C$12="HoH",7,4))))*INDEX('Methodology &amp; Sources'!$B$29:$J$36,0,IF(Inputs!$C$12="MFJ",1,IF(Inputs!$C$12="HoH",7,4))+2)),SUMPRODUCT(($AH29&gt;INDEX('Methodology &amp; Sources'!$B$19:$J$26,0,IF(Inputs!$C$12="MFJ",1,IF(Inputs!$C$12="HoH",7,4))))*($AH29-INDEX('Methodology &amp; Sources'!$B$19:$J$26,0,IF(Inputs!$C$12="MFJ",1,IF(Inputs!$C$12="HoH",7,4))))*INDEX('Methodology &amp; Sources'!$B$19:$J$26,0,IF(Inputs!$C$12="MFJ",1,IF(Inputs!$C$12="HoH",7,4))+2)))/Inputs!$C$8-$AO29/Inputs!$C$8)+$AR29+IF(Inputs!$C$89="Aggregate",MAX(0,IF(Inputs!$C$13,SUMPRODUCT((($AH29+$D29)&gt;INDEX('Methodology &amp; Sources'!$B$29:$J$36,0,IF(Inputs!$C$12="MFJ",1,IF(Inputs!$C$12="HoH",7,4))))*(($AH29+$D29)-INDEX('Methodology &amp; Sources'!$B$29:$J$36,0,IF(Inputs!$C$12="MFJ",1,IF(Inputs!$C$12="HoH",7,4))))*INDEX('Methodology &amp; Sources'!$B$29:$J$36,0,IF(Inputs!$C$12="MFJ",1,IF(Inputs!$C$12="HoH",7,4))+2)),SUMPRODUCT((($AH29+$D29)&gt;INDEX('Methodology &amp; Sources'!$B$19:$J$26,0,IF(Inputs!$C$12="MFJ",1,IF(Inputs!$C$12="HoH",7,4))))*(($AH29+$D29)-INDEX('Methodology &amp; Sources'!$B$19:$J$26,0,IF(Inputs!$C$12="MFJ",1,IF(Inputs!$C$12="HoH",7,4))))*INDEX('Methodology &amp; Sources'!$B$19:$J$26,0,IF(Inputs!$C$12="MFJ",1,IF(Inputs!$C$12="HoH",7,4))+2)))-IF(Inputs!$C$13,SUMPRODUCT(($AH29&gt;INDEX('Methodology &amp; Sources'!$B$29:$J$36,0,IF(Inputs!$C$12="MFJ",1,IF(Inputs!$C$12="HoH",7,4))))*($AH29-INDEX('Methodology &amp; Sources'!$B$29:$J$36,0,IF(Inputs!$C$12="MFJ",1,IF(Inputs!$C$12="HoH",7,4))))*INDEX('Methodology &amp; Sources'!$B$29:$J$36,0,IF(Inputs!$C$12="MFJ",1,IF(Inputs!$C$12="HoH",7,4))+2)),SUMPRODUCT(($AH29&gt;INDEX('Methodology &amp; Sources'!$B$19:$J$26,0,IF(Inputs!$C$12="MFJ",1,IF(Inputs!$C$12="HoH",7,4))))*($AH29-INDEX('Methodology &amp; Sources'!$B$19:$J$26,0,IF(Inputs!$C$12="MFJ",1,IF(Inputs!$C$12="HoH",7,4))))*INDEX('Methodology &amp; Sources'!$B$19:$J$26,0,IF(Inputs!$C$12="MFJ",1,IF(Inputs!$C$12="HoH",7,4))+2)))),'Methodology &amp; Sources'!$C$10*$D29),2)))</f>
      </c>
      <c r="Q29" s="7">
        <f>IF($B29="","",ROUND('Methodology &amp; Sources'!$C$4*MIN($N29,MAX(0,'Methodology &amp; Sources'!$C$3-($AX29+$AB28-$AW29))),2))</f>
      </c>
      <c r="R29" s="7">
        <f>IF($B29="","",ROUND('Methodology &amp; Sources'!$C$5*$N29,2))</f>
      </c>
      <c r="S29" s="7">
        <f>IF($B29="","",ROUND('Methodology &amp; Sources'!$C$6*MAX(0,MIN($N29,$AG28+$N29-'Methodology &amp; Sources'!$C$7)),2))</f>
      </c>
      <c r="T29" s="7">
        <f>IF($B29="","",IF(Inputs!$C$26,0,IF($AN29="CA",ROUND(IF($AI29&lt;=IF(($AS29+$AT29)&gt;=2,VLOOKUP($AN29,StateTables!$A$6:$AB$56,10,FALSE),VLOOKUP($AN29,StateTables!$A$6:$AB$56,9,FALSE)),0,MAX(0,SUMPRODUCT(($AJ29&gt;INDEX('Methodology &amp; Sources'!$B$39:$J$48,0,IF($AU29="Married",4,IF($AU29="Head of household",7,1))))*($AJ29-INDEX('Methodology &amp; Sources'!$B$39:$J$48,0,IF($AU29="Married",4,IF($AU29="Head of household",7,1))))*INDEX('Methodology &amp; Sources'!$B$39:$J$48,0,IF($AU29="Married",4,IF($AU29="Head of household",7,1))+2))-VLOOKUP($AN29,StateTables!$A$6:$AB$56,11,FALSE)*$AS29)/Inputs!$C$8)+Inputs!$C$25+VLOOKUP($AN29,StateTables!$A$6:$AB$56,13,FALSE)*$D29,2),IF(VLOOKUP($AN29,StateTables!$A$6:$AB$56,4,FALSE)="None",0,IF(ISNUMBER(SEARCH("MANUAL",VLOOKUP($AN29,StateTables!$A$6:$AB$56,5,FALSE))),Inputs!$C$28,ROUND(MAX(0,$BA29+$BB29)/Inputs!$C$8+Inputs!$C$25+$BC29,2))))))</f>
      </c>
      <c r="U29" s="7">
        <f>IF($B29="","",IF(VLOOKUP($AN29,StateTables!$A$6:$AB$56,24,FALSE)="flatq",IF(OR(MONTH($B29)=1,MONTH($B29)=4,MONTH($B29)=7,MONTH($B29)=10),VLOOKUP($AN29,StateTables!$A$6:$AB$56,25,FALSE),0),IF(VLOOKUP($AN29,StateTables!$A$6:$AB$56,24,FALSE)="dbl",MIN(ROUND(0.005*$N29,2),ROUND(0.6*52/Inputs!$C$8,2)),IF(OR(VLOOKUP($AN29,StateTables!$A$6:$AB$56,15,FALSE)="",VLOOKUP($AN29,StateTables!$A$6:$AB$56,15,FALSE)=0),0,ROUND(VLOOKUP($AN29,StateTables!$A$6:$AB$56,15,FALSE)*IF(OR(VLOOKUP($AN29,StateTables!$A$6:$AB$56,16,FALSE)="",VLOOKUP($AN29,StateTables!$A$6:$AB$56,16,FALSE)=0),$N29,MIN($N29,MAX(0,VLOOKUP($AN29,StateTables!$A$6:$AB$56,16,FALSE)-($AX29+$AB28-$AW29)))),2))))+IF(VLOOKUP($AN29,StateTables!$A$6:$AB$56,27,FALSE)="flatq",IF(OR(MONTH($B29)=1,MONTH($B29)=4,MONTH($B29)=7,MONTH($B29)=10),VLOOKUP($AN29,StateTables!$A$6:$AB$56,28,FALSE),0),IF(VLOOKUP($AN29,StateTables!$A$6:$AB$56,27,FALSE)="dbl",MIN(ROUND(0.005*$N29,2),ROUND(0.6*52/Inputs!$C$8,2)),IF(OR(VLOOKUP($AN29,StateTables!$A$6:$AB$56,18,FALSE)="",VLOOKUP($AN29,StateTables!$A$6:$AB$56,18,FALSE)=0),0,ROUND(VLOOKUP($AN29,StateTables!$A$6:$AB$56,18,FALSE)*IF(OR(VLOOKUP($AN29,StateTables!$A$6:$AB$56,19,FALSE)="",VLOOKUP($AN29,StateTables!$A$6:$AB$56,19,FALSE)=0),$N29,MIN($N29,MAX(0,VLOOKUP($AN29,StateTables!$A$6:$AB$56,19,FALSE)-($AX29+$AB28-$AW29)))),2)))))</f>
      </c>
      <c r="V29" s="7">
        <f>IF($B29="","",IF($AN29="NY",IF(Inputs!$C$78,ROUND(SUMPRODUCT((MAX(0,($O29-$D29)*Inputs!$C$8-(IF($AU29="Married",5500,5000)+1000*$AS29))&gt;INDEX('Methodology &amp; Sources'!$B$184:$J$198,0,4))*(MAX(0,($O29-$D29)*Inputs!$C$8-(IF($AU29="Married",5500,5000)+1000*$AS29))-INDEX('Methodology &amp; Sources'!$B$184:$J$198,0,4))*INDEX('Methodology &amp; Sources'!$B$184:$J$198,0,4+2))/Inputs!$C$8+0.0425*$D29,2),0)+IF(Inputs!$C$79="Resident",ROUND(0.1675*$T29,2),IF(Inputs!$C$79="Nonresident",ROUND(0.005*MAX(0,($O29-$D29)-(IF($AU29="Married",7950,7400)+1000*$AS29)/Inputs!$C$8),2),0)),IF($AN29="PA",IF(Inputs!$C$80="None",Inputs!$C$27+ROUND(Inputs!$C$81*($C29+$D29),2),ROUND(IF(Inputs!$C$80="Resident",IF($B29&lt;DATE(2027,7,1),0.03735,0.03735),IF($B29&lt;DATE(2027,7,1),0.03425,0.03425))*($C29+$D29),2)),IF($BF29=0,ROUND(Inputs!$C$81*($C29+$D29),2),Inputs!$C$27+ROUND(Inputs!$C$81*($C29+$D29),2)))))</f>
      </c>
      <c r="W29" s="7">
        <f>IF($B29="","",IF($BF29=0,0,$BP29))</f>
      </c>
      <c r="X29" s="7">
        <f>IF($B29="","",SUM($E29:$K29)+$P29+$Q29+$R29+$S29+$T29+$U29+$V29+$W29)</f>
      </c>
      <c r="Y29" s="22">
        <f>IF($B29="","",$C29+$D29-$X29)</f>
      </c>
      <c r="Z29" s="7">
        <f>IF($B29="","",$Z28+$C29+$D29)</f>
      </c>
      <c r="AA29" s="7">
        <f>IF($B29="","",$AA28+$Y29)</f>
      </c>
      <c r="AB29" s="7">
        <f>IF($B29="","",$AB28+MIN($N29,MAX(0,'Methodology &amp; Sources'!$C$3-($AX29+$AB28-$AW29))))</f>
      </c>
      <c r="AC29" s="7">
        <f>IF($B29="","",$AC28+$E29+$F29)</f>
      </c>
      <c r="AD29" s="3">
        <f>IF($B29="","",IF(AND($AB28&lt;'Methodology &amp; Sources'!$C$3,$AB29&gt;='Methodology &amp; Sources'!$C$3),"★ Social Security maxed on this check — from the next check your net rises by about $"&amp;TEXT(ROUND('Methodology &amp; Sources'!$C$4*$N29,2),"#,##0.00")&amp;". ","")&amp;IF(AND($AC28&lt;Inputs!$C$34,$AC29&gt;=Inputs!$C$34),"★ 401(k) reaches the $"&amp;TEXT(Inputs!$C$34,"#,##0")&amp;" cap on this check — deferrals stop and net pay rises. ","")&amp;IF(AND($AG28&lt;'Methodology &amp; Sources'!$C$7,$AG29&gt;='Methodology &amp; Sources'!$C$7),"★ Wages pass $200,000 — the 0.9% Additional Medicare Tax starts here. ","")&amp;IF(AND($BJ29&gt;0,$H29&gt;0,$BG28&lt;MIN($BJ29,'Methodology &amp; Sources'!$C$13),$BG28+$H29&gt;=MIN($BJ29,'Methodology &amp; Sources'!$C$13)),"★ Health FSA election is now fully deferred for the year. ",""))</f>
      </c>
      <c r="AE29" s="41" t="n"/>
      <c r="AF29" s="7">
        <f>IF(OR($B29="",$AE29=""),"",$AE29-$Y29)</f>
      </c>
      <c r="AG29" s="7">
        <f>IF($B29="","",$AG28+$N29)</f>
      </c>
      <c r="AH29" s="7">
        <f>IF($B29="","",MAX(0,($M29-$D29)*Inputs!$C$8+$AP29-$AQ29-IF(Inputs!$C$13,0,IF(Inputs!$C$12="MFJ",'Methodology &amp; Sources'!$C$8,'Methodology &amp; Sources'!$C$9))))</f>
      </c>
      <c r="AI29" s="7">
        <f>IF($B29="","",$O29*Inputs!$C$8)</f>
      </c>
      <c r="AJ29" s="7">
        <f>IF($B29="","",MAX(0,$AI29-VLOOKUP($AN29,StateTables!$A$6:$AB$56,12,FALSE)*$AT29-IF(($AS29+$AT29)&gt;=2,VLOOKUP($AN29,StateTables!$A$6:$AB$56,8,FALSE),VLOOKUP($AN29,StateTables!$A$6:$AB$56,7,FALSE))))</f>
      </c>
      <c r="AK29" s="7">
        <f>IF($B29="","",IFERROR(LOOKUP(2,1/((Events!$C$6:$C$17="Salary change")*(Events!$B$6:$B$17&lt;=$B29)*(Events!$B$6:$B$17&lt;&gt;"")),Events!$D$6:$D$17),IF(Inputs!$C$4="Annual salary",Inputs!$C$5,Inputs!$C$6)))</f>
      </c>
      <c r="AL29">
        <f>IF($B29="","",IFERROR(LOOKUP(2,1/((Events!$C$6:$C$17="401(k) change")*(Events!$B$6:$B$17&lt;=$B29)*(Events!$B$6:$B$17&lt;&gt;"")),Events!$D$6:$D$17),Inputs!$C$30))</f>
      </c>
      <c r="AM29" s="7">
        <f>IF($B29="","",IFERROR(LOOKUP(2,1/((Events!$C$6:$C$17="401(k) change")*(Events!$B$6:$B$17&lt;=$B29)*(Events!$B$6:$B$17&lt;&gt;"")),Events!$E$6:$E$17),Inputs!$D$30))</f>
      </c>
      <c r="AN29">
        <f>IF($B29="","",IFERROR(LOOKUP(2,1/((Events!$C$6:$C$17="State move")*(Events!$B$6:$B$17&lt;=$B29)*(Events!$B$6:$B$17&lt;&gt;"")),Events!$D$6:$D$17),Inputs!$C$21))</f>
      </c>
      <c r="AO29" s="7">
        <f>IF($B29="","",IFERROR(LOOKUP(2,1/((Events!$C$6:$C$17="W-4 change")*(Events!$B$6:$B$17&lt;=$B29)*(Events!$B$6:$B$17&lt;&gt;"")),Events!$D$6:$D$17),Inputs!$C$14))</f>
      </c>
      <c r="AP29" s="7">
        <f>IF($B29="","",IFERROR(LOOKUP(2,1/((Events!$C$6:$C$17="W-4 change")*(Events!$B$6:$B$17&lt;=$B29)*(Events!$B$6:$B$17&lt;&gt;"")),Events!$E$6:$E$17),Inputs!$C$15))</f>
      </c>
      <c r="AQ29" s="7">
        <f>IF($B29="","",IFERROR(LOOKUP(2,1/((Events!$C$6:$C$17="W-4 change")*(Events!$B$6:$B$17&lt;=$B29)*(Events!$B$6:$B$17&lt;&gt;"")),Events!$F$6:$F$17),Inputs!$C$16))</f>
      </c>
      <c r="AR29" s="7">
        <f>IF($B29="","",IFERROR(LOOKUP(2,1/((Events!$C$6:$C$17="W-4 change")*(Events!$B$6:$B$17&lt;=$B29)*(Events!$B$6:$B$17&lt;&gt;"")),Events!$G$6:$G$17),Inputs!$C$17))</f>
      </c>
      <c r="AS29" s="6">
        <f>IF($B29="","",IFERROR(LOOKUP(2,1/(((Events!$C$6:$C$17="State move")+(Events!$C$6:$C$17="State cert change"))*(Events!$B$6:$B$17&lt;=$B29)*(Events!$B$6:$B$17&lt;&gt;"")),Events!$F$6:$F$17),Inputs!$C$23))</f>
      </c>
      <c r="AT29" s="6">
        <f>IF($B29="","",IFERROR(LOOKUP(2,1/(((Events!$C$6:$C$17="State move")+(Events!$C$6:$C$17="State cert change"))*(Events!$B$6:$B$17&lt;=$B29)*(Events!$B$6:$B$17&lt;&gt;"")),Events!$G$6:$G$17),Inputs!$C$24))</f>
      </c>
      <c r="AU29">
        <f>IF($B29="","",IFERROR(LOOKUP(2,1/((Events!$C$6:$C$17="State move")*(Events!$B$6:$B$17&lt;=$B29)*(Events!$B$6:$B$17&lt;&gt;"")),Events!$E$6:$E$17),Inputs!$C$22))</f>
      </c>
      <c r="AV29" s="6">
        <f>IF($B29="","",1+COUNTIFS(Events!$C$6:$C$17,"Employer change",Events!$B$6:$B$17,"&lt;="&amp;$B29,Events!$B$6:$B$17,"&lt;&gt;"))</f>
      </c>
      <c r="AW29" s="7">
        <f>IF($B29="","",IF($AV29=1,Inputs!$C$94,IF(IFERROR(MATCH(IFERROR(LOOKUP(2,1/((Events!$C$6:$C$17="Employer change")*(Events!$B$6:$B$17&lt;=$B29)*(Events!$B$6:$B$17&lt;&gt;"")),Events!$B$6:$B$17),""),$B$6:$B$68,1),1)&lt;=1,Inputs!$C$94,INDEX($AB$6:$AB$68,MATCH(IFERROR(LOOKUP(2,1/((Events!$C$6:$C$17="Employer change")*(Events!$B$6:$B$17&lt;=$B29)*(Events!$B$6:$B$17&lt;&gt;"")),Events!$B$6:$B$17),""),$B$6:$B$68,1)-1))))</f>
      </c>
      <c r="AX29" s="7">
        <f>IF($B29="","",IF($AV29=1,Inputs!$C$94,IFERROR(LOOKUP(2,1/((Events!$C$6:$C$17="Employer change")*(Events!$B$6:$B$17&lt;=$B29)*(Events!$B$6:$B$17&lt;&gt;"")),Events!$D$6:$D$17),0)))</f>
      </c>
      <c r="AY29" s="7">
        <f>IF($B29="","",($O29-$D29)*Inputs!$C$8)</f>
      </c>
      <c r="AZ29" s="7">
        <f>IF($B29="","",IF($AN29="AL",MAX(0,$AY29-IF($AU29="Married",IF($AY29&lt;=25999,8500,MAX(5000,8500-175*CEILING(($AY29-25999)/500,1))),IF($AU29="Head of household",IF($AY29&lt;=25999,5200,MAX(2500,5200-135*CEILING(($AY29-25999)/500,1))),IF($AY29&lt;=25999,3000,MAX(2500,3000-25*CEILING(($AY29-25999)/500,1)))))-($P29-'Methodology &amp; Sources'!$C$10*$D29)*Inputs!$C$8-IF(OR($AU29="Married",$AU29="Head of household"),3000,1500)-$AT29*IF($AY29&lt;=50000,1000,IF($AY29&lt;=100000,500,300))),IF($AN29="AR",IF(MAX(0,$AY29-2470)&lt;97701,INT(MAX(0,$AY29-2470)/100)*100+50,MAX(0,$AY29-2470)),IF($AN29="DE",MAX(0,$AI29-3250),IF($AN29="HI",MAX(0,$AI29-1144*$AS29-4350),IF($AN29="KS",MAX(0,$AI29-(9160*IF($AU29="Married",2,1)+2320*$AT29+IF($AU29="Head of household",2320,0))),IF($AN29="MD",MAX(0,$AI29-3400-3200*$AS29),IF($AN29="MN",MAX(0,$AY29-5300*$AS29),IF($AN29="MO",MAX(0,$AI29-IF($AU29="Head of household",24150,IF($AU29="Married",IF(Inputs!$C$83,16100,32200),16100))),IF($AN29="MT",$AY29,IF($AN29="ND",($C29+$L29)*Inputs!$C$8,IF($AN29="NE",MAX(0,$AY29-2440*$AS29),IF($AN29="NJ",MAX(0,$AY29-1000*$AS29),IF($AN29="NY",MAX(0,$AY29-(IF($AU29="Married",7950,7400)+1000*$AS29)),IF($AN29="OH",MAX(0,$AY29-650*$AS29),IF($AN29="OK",MAX(0,$AY29-1000*$AS29),IF($AN29="RI",MAX(0,$AI29-1000*$AS29),IF($AN29="SC",MAX(0,$AI29-5000*$AS29-IF($AS29=0,0,MIN(0.1*$AI29,7500))),IF($AN29="VA",MAX(0,$AI29-IF($AU29="Married",17500,8750)-930*$AS29-800*$AT29),IF($AN29="VT",MAX(0,$AI29-5400*$AS29),IF($AN29="WI",MAX(0,$AI29-MAX(0,IF($AU29="Married",9461-0.2*MAX(0,$AI29-25727),6702-0.12*MAX(0,$AI29-17780)))-400*$AS29),IF($AN29="WV",MAX(0,$AI29-2000*$AS29),$AI29))))))))))))))))))))))</f>
      </c>
      <c r="BA29" s="7">
        <f>IF($B29="","",IF($BW29&lt;&gt;"",$BW29,IF($BX29&lt;&gt;"",$BX29,IF($BY29&lt;&gt;"",$BY29,0))))</f>
      </c>
      <c r="BB29" s="7">
        <f>IF($B29="","",IF($AN29="AR",-29*$AS29,IF($AN29="DE",-110*$AS29,IF($AN29="MD",$AZ29*Inputs!$C$74,IF($AN29="AZ",Inputs!$C$82*($M29-$D29)*Inputs!$C$8,IF($AN29="CO",0.044*MAX(0,$AY29-IF($AU29="Married",10000,5000)),IF($AN29="IA",MAX(0,0.038*MAX(0,$AY29-IF($AU29="Head of household",19500,IF($AU29="Married",26000,13000)))-40*$AS29),IF($AN29="ID",0.053*MAX(0,$AY29-IF($AU29="Married",32000,16094)),IF($AN29="IL",0.0495*MAX(0,$AY29-(2925*$AS29+1000*$AT29)),IF($AN29="IN",(0.0295+Inputs!$C$76)*MAX(0,$AY29-(1000*$AS29+1500*$AT29+3000*Inputs!$C$86)),IF($AN29="KY",0.035*MAX(0,$AI29-3360),IF($AN29="LA",IF(Inputs!$C$84="0",0.0309*$AI29,0.0309*MAX(0,$AI29-IF(Inputs!$C$84="2",25750,12875))),IF($AN29="MA",0.05*MIN(MAX(0,$AY29-MIN(($BD28+$Q29+$R29+$S29),2000)-IF($AS29=0,0,IF($AS29=1,4400,1000*$AS29+3400))),1107750)+0.09*MAX(0,MAX(0,$AY29-MIN(($BD28+$Q29+$R29+$S29),2000)-IF($AS29=0,0,IF($AS29=1,4400,1000*$AS29+3400)))-1107750)-IF($AU29="Head of household",120,0)-110*Inputs!$C$75,IF($AN29="MI",0.0425*MAX(0,$AY29-5900*$AS29),IF($AN29="MS",0.04*MAX(0,$AI29-IF($AU29="Head of household",3400,IF($AU29="Married",4600,2300))-Inputs!$C$85-10000),IF($AN29="OR",IF(OR($AU29="Married",AND($AU29="Single",$AS29&gt;=3)),SUMPRODUCT((MAX(0,$AY29-MIN(($P29-'Methodology &amp; Sources'!$C$10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Sources'!$B$211:$J$214,0,4))*(MAX(0,$AY29-MIN(($P29-'Methodology &amp; Sources'!$C$10*$D29)*Inputs!$C$8,IF(OR($AU29="Married",AND($AU29="Single",$AS29&gt;=3)),IF($AY29&lt;250000,8750,IF($AY29&lt;260000,7000,IF($AY29&lt;270000,5250,IF($AY29&lt;280000,3500,IF($AY29&lt;290000,1750,0))))),IF($AY29&lt;125000,8750,IF($AY29&lt;130000,7000,IF($AY29&lt;135000,5250,IF($AY29&lt;140000,3500,IF($AY29&lt;145000,1750,0)))))))-IF(OR($AU29="Married",AND($AU29="Single",$AS29&gt;=3)),5820,2910))-INDEX('Methodology &amp; Sources'!$B$211:$J$214,0,4))*INDEX('Methodology &amp; Sources'!$B$211:$J$214,0,4+2)),SUMPRODUCT((MAX(0,$AY29-MIN(($P29-'Methodology &amp; Sources'!$C$10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Sources'!$B$211:$J$214,0,1))*(MAX(0,$AY29-MIN(($P29-'Methodology &amp; Sources'!$C$10*$D29)*Inputs!$C$8,IF(OR($AU29="Married",AND($AU29="Single",$AS29&gt;=3)),IF($AY29&lt;250000,8750,IF($AY29&lt;260000,7000,IF($AY29&lt;270000,5250,IF($AY29&lt;280000,3500,IF($AY29&lt;290000,1750,0))))),IF($AY29&lt;125000,8750,IF($AY29&lt;130000,7000,IF($AY29&lt;135000,5250,IF($AY29&lt;140000,3500,IF($AY29&lt;145000,1750,0)))))))-IF(OR($AU29="Married",AND($AU29="Single",$AS29&gt;=3)),5820,2910))-INDEX('Methodology &amp; Sources'!$B$211:$J$214,0,1))*INDEX('Methodology &amp; Sources'!$B$211:$J$214,0,1+2)))+263-263*IF(IF($AU29="Married",$AY29&gt;200000,$AY29&gt;100000),0,$AS29),IF($AN29="PA",0.0307*(($O29+$E29+$G29)*Inputs!$C$8),IF($AN29="NY",IF($AU29="Married",IF($AZ29&gt;=2155350,0,IF($AZ29&gt;=1077550,0.48,IF($AZ29&gt;=373200,1.21,IF($AZ29&gt;=323200,0.21,IF($AZ29&gt;=211550,-0.19,IF($AZ29&gt;=157650,-2.8,IF($AZ29&gt;=107650,-0.8,IF($AZ29&gt;=96800,0.05,IF($AZ29&gt;=80650,-0.1,IF($AZ29&gt;=13900,0.4,IF($AZ29&gt;=11700,-0.3,IF($AZ29&gt;=8500,0.5,0)))))))))))),IF($AZ29&gt;=1077550,0,IF($AZ29&gt;=265400,4.29,IF($AZ29&gt;=215400,2.29,IF($AZ29&gt;=157650,2.29,IF($AZ29&gt;=107650,0.29,IF($AZ29&gt;=96800,0.05,IF($AZ29&gt;=80650,-0.1,IF($AZ29&gt;=13900,0.4,IF($AZ29&gt;=11700,-0.3,IF($AZ29&gt;=8500,0.5,0))))))))))),0))))))))))))))))))</f>
      </c>
      <c r="BC29" s="7">
        <f>IF($B29="","",IF($AN29="AL",0.05*$D29,IF($AN29="AR",0.039*$D29,IF($AN29="ID",0.053*$D29,IF($AN29="IN",(0.0295+Inputs!$C$76)*$D29,IF($AN29="KS",0.05*$D29,IF($AN29="MA",0.09*MIN($D29,MAX(0,MAX(0,$AY29-MIN(($BD28+$Q29+$R29+$S29),2000)-IF($AS29=0,0,IF($AS29=1,4400,1000*$AS29+3400)))+$D29-1107750))+0.05*($D29-MIN($D29,MAX(0,MAX(0,$AY29-MIN(($BD28+$Q29+$R29+$S29),2000)-IF($AS29=0,0,IF($AS29=1,4400,1000*$AS29+3400)))+$D29-1107750))),IF($AN29="MD",(0.065+Inputs!$C$74)*$D29,IF($AN29="MI",0.0425*$D29,IF($AN29="MN",0.0625*$D29,IF($AN29="MO",0.047*$D29,IF($AN29="MT",0.05*$D29,IF($AN29="ND",0.015*$D29,IF($AN29="NE",0.035*$D29,IF($AN29="NJ",IF(Inputs!$C$77="B",SUMPRODUCT(($D29*Inputs!$C$8&gt;INDEX('Methodology &amp; Sources'!$B$155:$J$162,0,4))*($D29*Inputs!$C$8-INDEX('Methodology &amp; Sources'!$B$155:$J$162,0,4))*INDEX('Methodology &amp; Sources'!$B$155:$J$162,0,4+2)),IF(Inputs!$C$77="C",SUMPRODUCT(($D29*Inputs!$C$8&gt;INDEX('Methodology &amp; Sources'!$B$155:$J$162,0,7))*($D29*Inputs!$C$8-INDEX('Methodology &amp; Sources'!$B$155:$J$162,0,7))*INDEX('Methodology &amp; Sources'!$B$155:$J$162,0,7+2)),IF(Inputs!$C$77="D",SUMPRODUCT(($D29*Inputs!$C$8&gt;INDEX('Methodology &amp; Sources'!$B$167:$J$179,0,1))*($D29*Inputs!$C$8-INDEX('Methodology &amp; Sources'!$B$167:$J$179,0,1))*INDEX('Methodology &amp; Sources'!$B$167:$J$179,0,1+2)),IF(Inputs!$C$77="E",SUMPRODUCT(($D29*Inputs!$C$8&gt;INDEX('Methodology &amp; Sources'!$B$167:$J$179,0,4))*($D29*Inputs!$C$8-INDEX('Methodology &amp; Sources'!$B$167:$J$179,0,4))*INDEX('Methodology &amp; Sources'!$B$167:$J$179,0,4+2)),SUMPRODUCT(($D29*Inputs!$C$8&gt;INDEX('Methodology &amp; Sources'!$B$155:$J$162,0,1))*($D29*Inputs!$C$8-INDEX('Methodology &amp; Sources'!$B$155:$J$162,0,1))*INDEX('Methodology &amp; Sources'!$B$155:$J$162,0,1+2))))))/Inputs!$C$8,IF($AN29="NY",0.117*$D29,IF($AN29="OH",0.0275*$D29,IF($AN29="OK",0.045*$D29,IF($AN29="OR",0.08*$D29,IF($AN29="WI",IF($AY29&lt;12760,0.0354,IF($AY29&lt;25520,0.0465,IF($AY29&lt;280950,0.053,0.0765)))*$D29,0))))))))))))))))))))</f>
      </c>
      <c r="BD29" s="7">
        <f>IF($B29="","",$BD28+$Q29+$R29+$S29)</f>
      </c>
      <c r="BE29" s="6">
        <f>IF($B29="",$BE28,$BE28+$BF29)</f>
      </c>
      <c r="BF29" s="6">
        <f>IF($B29="","",IF(AND(IF(YEAR(IF(Inputs!$C$7="Weekly",Inputs!$C$90+7*(($BE28+1)-1),IF(Inputs!$C$7="Biweekly",Inputs!$C$90+14*(($BE28+1)-1),IF(Inputs!$C$7="Semimonthly",DATE(YEAR(Inputs!$C$9),MONTH(Inputs!$C$9)+INT((($BE28+1)-1+'Rest of 2026'!$C$2)/2),MIN(DAY(Inputs!$C$9),DAY(EOMONTH(DATE(YEAR(Inputs!$C$9),MONTH(Inputs!$C$9)+INT((($BE28+1)-1+'Rest of 2026'!$C$2)/2),1),0))))+IF(MOD(($BE28+1)-1+'Rest of 2026'!$C$2,2)=1,15,0),EDATE(Inputs!$C$90,($BE28+1)-1)))))&lt;&gt;Inputs!$C$10,"",IF(Inputs!$C$7="Weekly",Inputs!$C$90+7*(($BE28+1)-1),IF(Inputs!$C$7="Biweekly",Inputs!$C$90+14*(($BE28+1)-1),IF(Inputs!$C$7="Semimonthly",DATE(YEAR(Inputs!$C$9),MONTH(Inputs!$C$9)+INT((($BE28+1)-1+'Rest of 2026'!$C$2)/2),MIN(DAY(Inputs!$C$9),DAY(EOMONTH(DATE(YEAR(Inputs!$C$9),MONTH(Inputs!$C$9)+INT((($BE28+1)-1+'Rest of 2026'!$C$2)/2),1),0))))+IF(MOD(($BE28+1)-1+'Rest of 2026'!$C$2,2)=1,15,0),EDATE(Inputs!$C$90,($BE28+1)-1)))))&lt;&gt;"",$B29=IF(YEAR(IF(Inputs!$C$7="Weekly",Inputs!$C$90+7*(($BE28+1)-1),IF(Inputs!$C$7="Biweekly",Inputs!$C$90+14*(($BE28+1)-1),IF(Inputs!$C$7="Semimonthly",DATE(YEAR(Inputs!$C$9),MONTH(Inputs!$C$9)+INT((($BE28+1)-1+'Rest of 2026'!$C$2)/2),MIN(DAY(Inputs!$C$9),DAY(EOMONTH(DATE(YEAR(Inputs!$C$9),MONTH(Inputs!$C$9)+INT((($BE28+1)-1+'Rest of 2026'!$C$2)/2),1),0))))+IF(MOD(($BE28+1)-1+'Rest of 2026'!$C$2,2)=1,15,0),EDATE(Inputs!$C$90,($BE28+1)-1)))))&lt;&gt;Inputs!$C$10,"",IF(Inputs!$C$7="Weekly",Inputs!$C$90+7*(($BE28+1)-1),IF(Inputs!$C$7="Biweekly",Inputs!$C$90+14*(($BE28+1)-1),IF(Inputs!$C$7="Semimonthly",DATE(YEAR(Inputs!$C$9),MONTH(Inputs!$C$9)+INT((($BE28+1)-1+'Rest of 2026'!$C$2)/2),MIN(DAY(Inputs!$C$9),DAY(EOMONTH(DATE(YEAR(Inputs!$C$9),MONTH(Inputs!$C$9)+INT((($BE28+1)-1+'Rest of 2026'!$C$2)/2),1),0))))+IF(MOD(($BE28+1)-1+'Rest of 2026'!$C$2,2)=1,15,0),EDATE(Inputs!$C$90,($BE28+1)-1)))))),1,0))</f>
      </c>
      <c r="BG29" s="7">
        <f>IF($B29="","",$BG28+$H29)</f>
      </c>
      <c r="BH29" s="7">
        <f>IF($B29="","",$BH28+$I29)</f>
      </c>
      <c r="BI29" s="7">
        <f>IF($B29="","",$BI28+$G29)</f>
      </c>
      <c r="BJ29" s="7">
        <f>IF($B29="","",IFERROR(LOOKUP(2,1/((((Events!$C$6:$C$17="Deduction start"))*(Events!$D$6:$D$17="Health FSA"))*(Events!$B$6:$B$17&lt;=$B29)*(Events!$B$6:$B$17&lt;&gt;"")),Events!$E$6:$E$17),Inputs!$D$38))</f>
      </c>
      <c r="BK29" s="7">
        <f>IF($B29="","",IFERROR(LOOKUP(2,1/((((Events!$C$6:$C$17="Deduction start"))*(Events!$D$6:$D$17="Dependent-care FSA"))*(Events!$B$6:$B$17&lt;=$B29)*(Events!$B$6:$B$17&lt;&gt;"")),Events!$E$6:$E$17),Inputs!$D$39))</f>
      </c>
      <c r="BL29" s="7">
        <f>IF($B29="","",IFERROR(LOOKUP(2,1/((((Events!$C$6:$C$17="Deduction start")+(Events!$C$6:$C$17="Deduction stop"))*(Events!$D$6:$D$17="HSA"))*(Events!$B$6:$B$17&lt;=$B29)*(Events!$B$6:$B$17&lt;&gt;"")),Events!$I$6:$I$17),Inputs!$D$35))</f>
      </c>
      <c r="BM29" s="7">
        <f>IF($B29="","",IFERROR(LOOKUP(2,1/((((Events!$C$6:$C$17="Deduction start")+(Events!$C$6:$C$17="Deduction stop"))*(Events!$D$6:$D$17="Premiums"))*(Events!$B$6:$B$17&lt;=$B29)*(Events!$B$6:$B$17&lt;&gt;"")),Events!$I$6:$I$17),Inputs!$D$40+Inputs!$D$41+Inputs!$D$42))</f>
      </c>
      <c r="BN29" s="7">
        <f>IF($B29="","",IFERROR(LOOKUP(2,1/((((Events!$C$6:$C$17="Deduction start")+(Events!$C$6:$C$17="Deduction stop"))*(Events!$D$6:$D$17="Commuter"))*(Events!$B$6:$B$17&lt;=$B29)*(Events!$B$6:$B$17&lt;&gt;"")),Events!$I$6:$I$17),Inputs!$D$43))</f>
      </c>
      <c r="BO29" s="7">
        <f>IF($B29="","",IFERROR(LOOKUP(2,1/((((Events!$C$6:$C$17="Deduction start")+(Events!$C$6:$C$17="Deduction stop"))*(Events!$D$6:$D$17="Other pre-tax"))*(Events!$B$6:$B$17&lt;=$B29)*(Events!$B$6:$B$17&lt;&gt;"")),Events!$I$6:$I$17),Inputs!$D$44))</f>
      </c>
      <c r="BP29" s="7">
        <f>IF($B29="","",IFERROR(LOOKUP(2,1/((((Events!$C$6:$C$17="Deduction start")+(Events!$C$6:$C$17="Deduction stop"))*(Events!$D$6:$D$17="Other post-tax"))*(Events!$B$6:$B$17&lt;=$B29)*(Events!$B$6:$B$17&lt;&gt;"")),Events!$I$6:$I$17),Inputs!$D$45))</f>
      </c>
      <c r="BQ29" s="6">
        <f>IF($B29="","",IFERROR(LOOKUP(2,1/((((Events!$C$6:$C$17="Deduction start")+(Events!$C$6:$C$17="Deduction stop"))*(Events!$D$6:$D$17="Health FSA"))*(Events!$B$6:$B$17&lt;=$B29)*(Events!$B$6:$B$17&lt;&gt;"")),Events!$J$6:$J$17),0))</f>
      </c>
      <c r="BR29" s="6">
        <f>IF($B29="","",IFERROR(LOOKUP(2,1/((((Events!$C$6:$C$17="Deduction start")+(Events!$C$6:$C$17="Deduction stop"))*(Events!$D$6:$D$17="Dependent-care FSA"))*(Events!$B$6:$B$17&lt;=$B29)*(Events!$B$6:$B$17&lt;&gt;"")),Events!$J$6:$J$17),0))</f>
      </c>
      <c r="BS29" s="6">
        <f>IF($B29="","",IF(SUMPRODUCT((Events!$C$6:$C$17="Deduction start")*(Events!$B$6:$B$17&lt;=$B29)*(Events!$B$6:$B$17&lt;&gt;"")*(Events!$D$6:$D$17="Health FSA"))&gt;0,1,0))</f>
      </c>
      <c r="BT29" s="6">
        <f>IF($B29="","",IF(SUMPRODUCT((Events!$C$6:$C$17="Deduction start")*(Events!$B$6:$B$17&lt;=$B29)*(Events!$B$6:$B$17&lt;&gt;"")*(Events!$D$6:$D$17="Dependent-care FSA"))&gt;0,1,0))</f>
      </c>
      <c r="BU29" s="24">
        <f>IF($B29="","",IF(Inputs!$C$13,SUMPRODUCT(($AH29&gt;=INDEX('Methodology &amp; Sources'!$B$29:$J$36,0,IF(Inputs!$C$12="MFJ",1,IF(Inputs!$C$12="HoH",7,4))))*INDEX('Methodology &amp; Sources'!$B$29:$J$36,0,IF(Inputs!$C$12="MFJ",1,IF(Inputs!$C$12="HoH",7,4))+2)),SUMPRODUCT(($AH29&gt;=INDEX('Methodology &amp; Sources'!$B$19:$J$26,0,IF(Inputs!$C$12="MFJ",1,IF(Inputs!$C$12="HoH",7,4))))*INDEX('Methodology &amp; Sources'!$B$19:$J$26,0,IF(Inputs!$C$12="MFJ",1,IF(Inputs!$C$12="HoH",7,4))+2))))</f>
      </c>
      <c r="BV29" s="24">
        <f>IF($B29="","",IF($BZ29&lt;&gt;"",$BZ29,IF($CA29&lt;&gt;"",$CA29,IF($CB29&lt;&gt;"",$CB29,IF($CC29&lt;&gt;"",$CC29,0)))))</f>
      </c>
      <c r="BW29" s="7">
        <f>IF($B29="","",IF($AN29="MD",IF(OR($AU29="Married",$AU29="Head of household"),SUMPRODUCT(($AZ29&gt;INDEX('Methodology &amp; Sources'!$B$114:$J$120,0,1))*($AZ29-INDEX('Methodology &amp; Sources'!$B$114:$J$120,0,1))*INDEX('Methodology &amp; Sources'!$B$114:$J$120,0,1+2)),SUMPRODUCT(($AZ29&gt;INDEX('Methodology &amp; Sources'!$B$103:$J$109,0,7))*($AZ29-INDEX('Methodology &amp; Sources'!$B$103:$J$109,0,7))*INDEX('Methodology &amp; Sources'!$B$103:$J$109,0,7+2))),IF($AN29="MO",SUMPRODUCT(($AZ29&gt;INDEX('Methodology &amp; Sources'!$B$125:$J$132,0,1))*($AZ29-INDEX('Methodology &amp; Sources'!$B$125:$J$132,0,1))*INDEX('Methodology &amp; Sources'!$B$125:$J$132,0,1+2)),IF($AN29="MT",IF($AU29="Head of household",SUMPRODUCT(($AZ29&gt;INDEX('Methodology &amp; Sources'!$B$137:$J$139,0,1))*($AZ29-INDEX('Methodology &amp; Sources'!$B$137:$J$139,0,1))*INDEX('Methodology &amp; Sources'!$B$137:$J$139,0,1+2)),IF($AU29="Married",SUMPRODUCT(($AZ29&gt;INDEX('Methodology &amp; Sources'!$B$125:$J$132,0,7))*($AZ29-INDEX('Methodology &amp; Sources'!$B$125:$J$132,0,7))*INDEX('Methodology &amp; Sources'!$B$125:$J$132,0,7+2)),SUMPRODUCT(($AZ29&gt;INDEX('Methodology &amp; Sources'!$B$125:$J$132,0,4))*($AZ29-INDEX('Methodology &amp; Sources'!$B$125:$J$132,0,4))*INDEX('Methodology &amp; Sources'!$B$125:$J$132,0,4+2)))),IF($AN29="ND",IF($AU29="Head of household",SUMPRODUCT(($AZ29&gt;INDEX('Methodology &amp; Sources'!$B$144:$J$150,0,1))*($AZ29-INDEX('Methodology &amp; Sources'!$B$144:$J$150,0,1))*INDEX('Methodology &amp; Sources'!$B$144:$J$150,0,1+2)),IF($AU29="Married",SUMPRODUCT(($AZ29&gt;INDEX('Methodology &amp; Sources'!$B$137:$J$139,0,7))*($AZ29-INDEX('Methodology &amp; Sources'!$B$137:$J$139,0,7))*INDEX('Methodology &amp; Sources'!$B$137:$J$139,0,7+2)),SUMPRODUCT(($AZ29&gt;INDEX('Methodology &amp; Sources'!$B$137:$J$139,0,4))*($AZ29-INDEX('Methodology &amp; Sources'!$B$137:$J$139,0,4))*INDEX('Methodology &amp; Sources'!$B$137:$J$139,0,4+2)))),IF($AN29="NJ",IF(Inputs!$C$77="B",SUMPRODUCT(($AZ29&gt;INDEX('Methodology &amp; Sources'!$B$155:$J$162,0,4))*($AZ29-INDEX('Methodology &amp; Sources'!$B$155:$J$162,0,4))*INDEX('Methodology &amp; Sources'!$B$155:$J$162,0,4+2)),IF(Inputs!$C$77="C",SUMPRODUCT(($AZ29&gt;INDEX('Methodology &amp; Sources'!$B$155:$J$162,0,7))*($AZ29-INDEX('Methodology &amp; Sources'!$B$155:$J$162,0,7))*INDEX('Methodology &amp; Sources'!$B$155:$J$162,0,7+2)),IF(Inputs!$C$77="D",SUMPRODUCT(($AZ29&gt;INDEX('Methodology &amp; Sources'!$B$167:$J$179,0,1))*($AZ29-INDEX('Methodology &amp; Sources'!$B$167:$J$179,0,1))*INDEX('Methodology &amp; Sources'!$B$167:$J$179,0,1+2)),IF(Inputs!$C$77="E",SUMPRODUCT(($AZ29&gt;INDEX('Methodology &amp; Sources'!$B$167:$J$179,0,4))*($AZ29-INDEX('Methodology &amp; Sources'!$B$167:$J$179,0,4))*INDEX('Methodology &amp; Sources'!$B$167:$J$179,0,4+2)),SUMPRODUCT(($AZ29&gt;INDEX('Methodology &amp; Sources'!$B$155:$J$162,0,1))*($AZ29-INDEX('Methodology &amp; Sources'!$B$155:$J$162,0,1))*INDEX('Methodology &amp; Sources'!$B$155:$J$162,0,1+2)))))),IF($AN29="NY",IF($AU29="Married",IF($AZ29&gt;=2155350,$AZ29*IF($AZ29&gt;25000000,0.117,IF($AZ29&gt;5000000,0.111,0.1045)),SUMPRODUCT(($AZ29&gt;INDEX('Methodology &amp; Sources'!$B$184:$J$198,0,1))*($AZ29-INDEX('Methodology &amp; Sources'!$B$184:$J$198,0,1))*INDEX('Methodology &amp; Sources'!$B$184:$J$198,0,1+2))),IF($AZ29&gt;=1077550,$AZ29*IF($AZ29&gt;25000000,0.117,IF($AZ29&gt;5000000,0.111,0.1045)),SUMPRODUCT(($AZ29&gt;INDEX('Methodology &amp; Sources'!$B$167:$J$179,0,7))*($AZ29-INDEX('Methodology &amp; Sources'!$B$167:$J$179,0,7))*INDEX('Methodology &amp; Sources'!$B$167:$J$179,0,7+2)))),"")))))))</f>
      </c>
      <c r="BX29" s="7">
        <f>IF($B29="","",IF($AN29="AL",IF(OR($AU29="Married",$AU29="Head of household"),SUMPRODUCT(($AZ29&gt;INDEX('Methodology &amp; Sources'!$B$82:$J$86,0,4))*($AZ29-INDEX('Methodology &amp; Sources'!$B$82:$J$86,0,4))*INDEX('Methodology &amp; Sources'!$B$82:$J$86,0,4+2)),SUMPRODUCT(($AZ29&gt;INDEX('Methodology &amp; Sources'!$B$82:$J$86,0,1))*($AZ29-INDEX('Methodology &amp; Sources'!$B$82:$J$86,0,1))*INDEX('Methodology &amp; Sources'!$B$82:$J$86,0,1+2))),IF($AN29="KS",IF($AU29="Married",SUMPRODUCT(($AZ29&gt;INDEX('Methodology &amp; Sources'!$B$103:$J$109,0,4))*($AZ29-INDEX('Methodology &amp; Sources'!$B$103:$J$109,0,4))*INDEX('Methodology &amp; Sources'!$B$103:$J$109,0,4+2)),SUMPRODUCT(($AZ29&gt;INDEX('Methodology &amp; Sources'!$B$103:$J$109,0,1))*($AZ29-INDEX('Methodology &amp; Sources'!$B$103:$J$109,0,1))*INDEX('Methodology &amp; Sources'!$B$103:$J$109,0,1+2))),IF($AN29="MN",IF($AU29="Married",SUMPRODUCT(($AZ29&gt;INDEX('Methodology &amp; Sources'!$B$114:$J$120,0,7))*($AZ29-INDEX('Methodology &amp; Sources'!$B$114:$J$120,0,7))*INDEX('Methodology &amp; Sources'!$B$114:$J$120,0,7+2)),SUMPRODUCT(($AZ29&gt;INDEX('Methodology &amp; Sources'!$B$114:$J$120,0,4))*($AZ29-INDEX('Methodology &amp; Sources'!$B$114:$J$120,0,4))*INDEX('Methodology &amp; Sources'!$B$114:$J$120,0,4+2))),IF($AN29="NE",MAX(IF($AU29="Married",SUMPRODUCT(($AZ29&gt;INDEX('Methodology &amp; Sources'!$B$144:$J$150,0,7))*($AZ29-INDEX('Methodology &amp; Sources'!$B$144:$J$150,0,7))*INDEX('Methodology &amp; Sources'!$B$144:$J$150,0,7+2)),SUMPRODUCT(($AZ29&gt;INDEX('Methodology &amp; Sources'!$B$144:$J$150,0,4))*($AZ29-INDEX('Methodology &amp; Sources'!$B$144:$J$150,0,4))*INDEX('Methodology &amp; Sources'!$B$144:$J$150,0,4+2))),0.015*$AZ29),IF($AN29="OH",IF($B29&gt;=DATE(2027,8,1),SUMPRODUCT(($AZ29&gt;INDEX('Methodology &amp; Sources'!$B$203:$J$206,0,1))*($AZ29-INDEX('Methodology &amp; Sources'!$B$203:$J$206,0,1))*INDEX('Methodology &amp; Sources'!$B$203:$J$206,0,1+2)),SUMPRODUCT(($AZ29&gt;INDEX('Methodology &amp; Sources'!$B$184:$J$198,0,7))*($AZ29-INDEX('Methodology &amp; Sources'!$B$184:$J$198,0,7))*INDEX('Methodology &amp; Sources'!$B$184:$J$198,0,7+2))),IF($AN29="OK",IF($AU29="Married",SUMPRODUCT(($AZ29&gt;INDEX('Methodology &amp; Sources'!$B$203:$J$206,0,7))*($AZ29-INDEX('Methodology &amp; Sources'!$B$203:$J$206,0,7))*INDEX('Methodology &amp; Sources'!$B$203:$J$206,0,7+2)),SUMPRODUCT(($AZ29&gt;INDEX('Methodology &amp; Sources'!$B$203:$J$206,0,4))*($AZ29-INDEX('Methodology &amp; Sources'!$B$203:$J$206,0,4))*INDEX('Methodology &amp; Sources'!$B$203:$J$206,0,4+2))),IF($AN29="RI",SUMPRODUCT(($AZ29&gt;INDEX('Methodology &amp; Sources'!$B$211:$J$214,0,7))*($AZ29-INDEX('Methodology &amp; Sources'!$B$211:$J$214,0,7))*INDEX('Methodology &amp; Sources'!$B$211:$J$214,0,7+2)),IF($AN29="VT",IF($AU29="Married",SUMPRODUCT(($AZ29&gt;INDEX('Methodology &amp; Sources'!$B$228:$J$232,0,1))*($AZ29-INDEX('Methodology &amp; Sources'!$B$228:$J$232,0,1))*INDEX('Methodology &amp; Sources'!$B$228:$J$232,0,1+2)),SUMPRODUCT(($AZ29&gt;INDEX('Methodology &amp; Sources'!$B$219:$J$223,0,7))*($AZ29-INDEX('Methodology &amp; Sources'!$B$219:$J$223,0,7))*INDEX('Methodology &amp; Sources'!$B$219:$J$223,0,7+2))),IF($AN29="WV",IF($AU29="Married",SUMPRODUCT(($AZ29&gt;INDEX('Methodology &amp; Sources'!$B$237:$J$241,0,7))*($AZ29-INDEX('Methodology &amp; Sources'!$B$237:$J$241,0,7))*INDEX('Methodology &amp; Sources'!$B$237:$J$241,0,7+2)),SUMPRODUCT(($AZ29&gt;INDEX('Methodology &amp; Sources'!$B$228:$J$232,0,7))*($AZ29-INDEX('Methodology &amp; Sources'!$B$228:$J$232,0,7))*INDEX('Methodology &amp; Sources'!$B$228:$J$232,0,7+2))),""))))))))))</f>
      </c>
      <c r="BY29" s="7">
        <f>IF($B29="","",IF($AN29="AR",SUMPRODUCT(($AZ29&gt;INDEX('Methodology &amp; Sources'!$B$82:$J$86,0,7))*($AZ29-INDEX('Methodology &amp; Sources'!$B$82:$J$86,0,7))*INDEX('Methodology &amp; Sources'!$B$82:$J$86,0,7+2)),IF($AN29="DE",SUMPRODUCT(($AZ29&gt;INDEX('Methodology &amp; Sources'!$B$91:$J$98,0,1))*($AZ29-INDEX('Methodology &amp; Sources'!$B$91:$J$98,0,1))*INDEX('Methodology &amp; Sources'!$B$91:$J$98,0,1+2)),IF($AN29="HI",IF($AU29="Married",SUMPRODUCT(($AZ29&gt;INDEX('Methodology &amp; Sources'!$B$91:$J$98,0,7))*($AZ29-INDEX('Methodology &amp; Sources'!$B$91:$J$98,0,7))*INDEX('Methodology &amp; Sources'!$B$91:$J$98,0,7+2)),SUMPRODUCT(($AZ29&gt;INDEX('Methodology &amp; Sources'!$B$91:$J$98,0,4))*($AZ29-INDEX('Methodology &amp; Sources'!$B$91:$J$98,0,4))*INDEX('Methodology &amp; Sources'!$B$91:$J$98,0,4+2))),IF($AN29="SC",SUMPRODUCT(($AZ29&gt;INDEX('Methodology &amp; Sources'!$B$219:$J$223,0,1))*($AZ29-INDEX('Methodology &amp; Sources'!$B$219:$J$223,0,1))*INDEX('Methodology &amp; Sources'!$B$219:$J$223,0,1+2)),IF($AN29="VA",SUMPRODUCT(($AZ29&gt;INDEX('Methodology &amp; Sources'!$B$219:$J$223,0,4))*($AZ29-INDEX('Methodology &amp; Sources'!$B$219:$J$223,0,4))*INDEX('Methodology &amp; Sources'!$B$219:$J$223,0,4+2)),IF($AN29="WI",SUMPRODUCT(($AZ29&gt;INDEX('Methodology &amp; Sources'!$B$228:$J$232,0,4))*($AZ29-INDEX('Methodology &amp; Sources'!$B$228:$J$232,0,4))*INDEX('Methodology &amp; Sources'!$B$228:$J$232,0,4+2)),"")))))))</f>
      </c>
      <c r="BZ29" s="24">
        <f>IF($B29="","",IF($AN29="NJ",IF(Inputs!$C$77="B",SUMPRODUCT(($AZ29&gt;=INDEX('Methodology &amp; Sources'!$B$155:$J$162,0,4))*INDEX('Methodology &amp; Sources'!$B$155:$J$162,0,4+2)),IF(Inputs!$C$77="C",SUMPRODUCT(($AZ29&gt;=INDEX('Methodology &amp; Sources'!$B$155:$J$162,0,7))*INDEX('Methodology &amp; Sources'!$B$155:$J$162,0,7+2)),IF(Inputs!$C$77="D",SUMPRODUCT(($AZ29&gt;=INDEX('Methodology &amp; Sources'!$B$167:$J$179,0,1))*INDEX('Methodology &amp; Sources'!$B$167:$J$179,0,1+2)),IF(Inputs!$C$77="E",SUMPRODUCT(($AZ29&gt;=INDEX('Methodology &amp; Sources'!$B$167:$J$179,0,4))*INDEX('Methodology &amp; Sources'!$B$167:$J$179,0,4+2)),SUMPRODUCT(($AZ29&gt;=INDEX('Methodology &amp; Sources'!$B$155:$J$162,0,1))*INDEX('Methodology &amp; Sources'!$B$155:$J$162,0,1+2)))))),IF($AN29="OR",IF(OR($AU29="Married",AND($AU29="Single",$AS29&gt;=3)),SUMPRODUCT((MAX(0,$AY29-MIN(($P29-'Methodology &amp; Sources'!$C$10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Sources'!$B$211:$J$214,0,4))*INDEX('Methodology &amp; Sources'!$B$211:$J$214,0,4+2)),SUMPRODUCT((MAX(0,$AY29-MIN(($P29-'Methodology &amp; Sources'!$C$10*$D29)*Inputs!$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Sources'!$B$211:$J$214,0,1))*INDEX('Methodology &amp; Sources'!$B$211:$J$214,0,1+2)))*IF(($P29-'Methodology &amp; Sources'!$C$10*$D29)*Inputs!$C$8&gt;=IF(OR($AU29="Married",AND($AU29="Single",$AS29&gt;=3)),IF($AY29&lt;250000,8750,IF($AY29&lt;260000,7000,IF($AY29&lt;270000,5250,IF($AY29&lt;280000,3500,IF($AY29&lt;290000,1750,0))))),IF($AY29&lt;125000,8750,IF($AY29&lt;130000,7000,IF($AY29&lt;135000,5250,IF($AY29&lt;140000,3500,IF($AY29&lt;145000,1750,0)))))),1,1-IF(Inputs!$C$13,SUMPRODUCT(($AH29&gt;=INDEX('Methodology &amp; Sources'!$B$29:$J$36,0,IF(Inputs!$C$12="MFJ",1,IF(Inputs!$C$12="HoH",7,4))))*INDEX('Methodology &amp; Sources'!$B$29:$J$36,0,IF(Inputs!$C$12="MFJ",1,IF(Inputs!$C$12="HoH",7,4))+2)),SUMPRODUCT(($AH29&gt;=INDEX('Methodology &amp; Sources'!$B$19:$J$26,0,IF(Inputs!$C$12="MFJ",1,IF(Inputs!$C$12="HoH",7,4))))*INDEX('Methodology &amp; Sources'!$B$19:$J$26,0,IF(Inputs!$C$12="MFJ",1,IF(Inputs!$C$12="HoH",7,4))+2)))),IF($AN29="MI",IF($AY29&gt;5900*$AS29,0.0425,0),""))))</f>
      </c>
      <c r="CA29" s="24">
        <f>IF($B29="","",IF($AN29="AL",IF(OR($AU29="Married",$AU29="Head of household"),SUMPRODUCT(($AZ29&gt;=INDEX('Methodology &amp; Sources'!$B$82:$J$86,0,4))*INDEX('Methodology &amp; Sources'!$B$82:$J$86,0,4+2)),SUMPRODUCT(($AZ29&gt;=INDEX('Methodology &amp; Sources'!$B$82:$J$86,0,1))*INDEX('Methodology &amp; Sources'!$B$82:$J$86,0,1+2)))*(1-IF(Inputs!$C$13,SUMPRODUCT(($AH29&gt;=INDEX('Methodology &amp; Sources'!$B$29:$J$36,0,IF(Inputs!$C$12="MFJ",1,IF(Inputs!$C$12="HoH",7,4))))*INDEX('Methodology &amp; Sources'!$B$29:$J$36,0,IF(Inputs!$C$12="MFJ",1,IF(Inputs!$C$12="HoH",7,4))+2)),SUMPRODUCT(($AH29&gt;=INDEX('Methodology &amp; Sources'!$B$19:$J$26,0,IF(Inputs!$C$12="MFJ",1,IF(Inputs!$C$12="HoH",7,4))))*INDEX('Methodology &amp; Sources'!$B$19:$J$26,0,IF(Inputs!$C$12="MFJ",1,IF(Inputs!$C$12="HoH",7,4))+2)))),IF($AN29="KS",IF($AU29="Married",SUMPRODUCT(($AZ29&gt;=INDEX('Methodology &amp; Sources'!$B$103:$J$109,0,4))*INDEX('Methodology &amp; Sources'!$B$103:$J$109,0,4+2)),SUMPRODUCT(($AZ29&gt;=INDEX('Methodology &amp; Sources'!$B$103:$J$109,0,1))*INDEX('Methodology &amp; Sources'!$B$103:$J$109,0,1+2))),IF($AN29="MD",IF(OR($AU29="Married",$AU29="Head of household"),SUMPRODUCT(($AZ29&gt;=INDEX('Methodology &amp; Sources'!$B$114:$J$120,0,1))*INDEX('Methodology &amp; Sources'!$B$114:$J$120,0,1+2)),SUMPRODUCT(($AZ29&gt;=INDEX('Methodology &amp; Sources'!$B$103:$J$109,0,7))*INDEX('Methodology &amp; Sources'!$B$103:$J$109,0,7+2)))+Inputs!$C$74,IF($AN29="MT",IF($AU29="Head of household",SUMPRODUCT(($AZ29&gt;=INDEX('Methodology &amp; Sources'!$B$137:$J$139,0,1))*INDEX('Methodology &amp; Sources'!$B$137:$J$139,0,1+2)),IF($AU29="Married",SUMPRODUCT(($AZ29&gt;=INDEX('Methodology &amp; Sources'!$B$125:$J$132,0,7))*INDEX('Methodology &amp; Sources'!$B$125:$J$132,0,7+2)),SUMPRODUCT(($AZ29&gt;=INDEX('Methodology &amp; Sources'!$B$125:$J$132,0,4))*INDEX('Methodology &amp; Sources'!$B$125:$J$132,0,4+2)))),IF($AN29="ND",IF($AU29="Head of household",SUMPRODUCT(($AZ29&gt;=INDEX('Methodology &amp; Sources'!$B$144:$J$150,0,1))*INDEX('Methodology &amp; Sources'!$B$144:$J$150,0,1+2)),IF($AU29="Married",SUMPRODUCT(($AZ29&gt;=INDEX('Methodology &amp; Sources'!$B$137:$J$139,0,7))*INDEX('Methodology &amp; Sources'!$B$137:$J$139,0,7+2)),SUMPRODUCT(($AZ29&gt;=INDEX('Methodology &amp; Sources'!$B$137:$J$139,0,4))*INDEX('Methodology &amp; Sources'!$B$137:$J$139,0,4+2)))),IF($AN29="NY",IF($AU29="Married",IF($AZ29&gt;=2155350,IF($AZ29&gt;25000000,0.117,IF($AZ29&gt;5000000,0.111,0.1045)),SUMPRODUCT(($AZ29&gt;=INDEX('Methodology &amp; Sources'!$B$184:$J$198,0,1))*INDEX('Methodology &amp; Sources'!$B$184:$J$198,0,1+2))),IF($AZ29&gt;=1077550,IF($AZ29&gt;25000000,0.117,IF($AZ29&gt;5000000,0.111,0.1045)),SUMPRODUCT(($AZ29&gt;=INDEX('Methodology &amp; Sources'!$B$167:$J$179,0,7))*INDEX('Methodology &amp; Sources'!$B$167:$J$179,0,7+2)))),"")))))))</f>
      </c>
      <c r="CB29" s="24">
        <f>IF($B29="","",IF($AN29="CA",SUMPRODUCT(($AJ29&gt;=INDEX('Methodology &amp; Sources'!$B$39:$J$48,0,IF($AU29="Married",4,IF($AU29="Head of household",7,1))))*INDEX('Methodology &amp; Sources'!$B$39:$J$48,0,IF($AU29="Married",4,IF($AU29="Head of household",7,1))+2)),IF($AN29="HI",IF($AU29="Married",SUMPRODUCT(($AZ29&gt;=INDEX('Methodology &amp; Sources'!$B$91:$J$98,0,7))*INDEX('Methodology &amp; Sources'!$B$91:$J$98,0,7+2)),SUMPRODUCT(($AZ29&gt;=INDEX('Methodology &amp; Sources'!$B$91:$J$98,0,4))*INDEX('Methodology &amp; Sources'!$B$91:$J$98,0,4+2))),IF($AN29="MN",IF($AU29="Married",SUMPRODUCT(($AZ29&gt;=INDEX('Methodology &amp; Sources'!$B$114:$J$120,0,7))*INDEX('Methodology &amp; Sources'!$B$114:$J$120,0,7+2)),SUMPRODUCT(($AZ29&gt;=INDEX('Methodology &amp; Sources'!$B$114:$J$120,0,4))*INDEX('Methodology &amp; Sources'!$B$114:$J$120,0,4+2))),IF($AN29="MO",SUMPRODUCT(($AZ29&gt;=INDEX('Methodology &amp; Sources'!$B$125:$J$132,0,1))*INDEX('Methodology &amp; Sources'!$B$125:$J$132,0,1+2)),IF($AN29="NE",MAX(IF($AU29="Married",SUMPRODUCT(($AZ29&gt;=INDEX('Methodology &amp; Sources'!$B$144:$J$150,0,7))*INDEX('Methodology &amp; Sources'!$B$144:$J$150,0,7+2)),SUMPRODUCT(($AZ29&gt;=INDEX('Methodology &amp; Sources'!$B$144:$J$150,0,4))*INDEX('Methodology &amp; Sources'!$B$144:$J$150,0,4+2))),0.015),IF($AN29="OH",IF($B29&gt;=DATE(2027,8,1),SUMPRODUCT(($AZ29&gt;=INDEX('Methodology &amp; Sources'!$B$203:$J$206,0,1))*INDEX('Methodology &amp; Sources'!$B$203:$J$206,0,1+2)),SUMPRODUCT(($AZ29&gt;=INDEX('Methodology &amp; Sources'!$B$184:$J$198,0,7))*INDEX('Methodology &amp; Sources'!$B$184:$J$198,0,7+2))),IF($AN29="OK",IF($AU29="Married",SUMPRODUCT(($AZ29&gt;=INDEX('Methodology &amp; Sources'!$B$203:$J$206,0,7))*INDEX('Methodology &amp; Sources'!$B$203:$J$206,0,7+2)),SUMPRODUCT(($AZ29&gt;=INDEX('Methodology &amp; Sources'!$B$203:$J$206,0,4))*INDEX('Methodology &amp; Sources'!$B$203:$J$206,0,4+2))),IF($AN29="RI",SUMPRODUCT(($AZ29&gt;=INDEX('Methodology &amp; Sources'!$B$211:$J$214,0,7))*INDEX('Methodology &amp; Sources'!$B$211:$J$214,0,7+2)),IF($AN29="SC",SUMPRODUCT(($AZ29&gt;=INDEX('Methodology &amp; Sources'!$B$219:$J$223,0,1))*INDEX('Methodology &amp; Sources'!$B$219:$J$223,0,1+2)),IF($AN29="VT",IF($AU29="Married",SUMPRODUCT(($AZ29&gt;=INDEX('Methodology &amp; Sources'!$B$228:$J$232,0,1))*INDEX('Methodology &amp; Sources'!$B$228:$J$232,0,1+2)),SUMPRODUCT(($AZ29&gt;=INDEX('Methodology &amp; Sources'!$B$219:$J$223,0,7))*INDEX('Methodology &amp; Sources'!$B$219:$J$223,0,7+2))),IF($AN29="WV",IF($AU29="Married",SUMPRODUCT(($AZ29&gt;=INDEX('Methodology &amp; Sources'!$B$237:$J$241,0,7))*INDEX('Methodology &amp; Sources'!$B$237:$J$241,0,7+2)),SUMPRODUCT(($AZ29&gt;=INDEX('Methodology &amp; Sources'!$B$228:$J$232,0,7))*INDEX('Methodology &amp; Sources'!$B$228:$J$232,0,7+2))),IF($AN29="IN",(0.0295+Inputs!$C$76),"")))))))))))))</f>
      </c>
      <c r="CC29" s="24">
        <f>IF($B29="","",IF($AN29="AR",SUMPRODUCT(($AZ29&gt;=INDEX('Methodology &amp; Sources'!$B$82:$J$86,0,7))*INDEX('Methodology &amp; Sources'!$B$82:$J$86,0,7+2)),IF($AN29="DE",SUMPRODUCT(($AZ29&gt;=INDEX('Methodology &amp; Sources'!$B$91:$J$98,0,1))*INDEX('Methodology &amp; Sources'!$B$91:$J$98,0,1+2)),IF($AN29="VA",SUMPRODUCT(($AZ29&gt;=INDEX('Methodology &amp; Sources'!$B$219:$J$223,0,4))*INDEX('Methodology &amp; Sources'!$B$219:$J$223,0,4+2)),IF($AN29="WI",SUMPRODUCT(($AZ29&gt;=INDEX('Methodology &amp; Sources'!$B$228:$J$232,0,4))*INDEX('Methodology &amp; Sources'!$B$228:$J$232,0,4+2)),IF($AN29="AZ",Inputs!$C$82,IF($AN29="CO",IF($AY29&gt;IF($AU29="Married",10000,5000),0.044,0),IF($AN29="IA",IF($AY29&gt;IF($AU29="Head of household",19500,IF($AU29="Married",26000,13000)),0.038,0),IF($AN29="ID",IF($AY29&gt;IF($AU29="Married",32000,16094),0.053,0),IF($AN29="IL",IF($AY29&gt;(2925*$AS29+1000*$AT29),0.0495,0),IF($AN29="KY",IF($AI29&gt;3360,0.035,0),IF($AN29="LA",0.0309,IF($AN29="MA",IF(MAX(0,$AY29-MIN(($BD28+$Q29+$R29+$S29),2000)-IF($AS29=0,0,IF($AS29=1,4400,1000*$AS29+3400)))&gt;=1107750,0.09,0.05),IF($AN29="MS",IF($AI29-IF($AU29="Head of household",3400,IF($AU29="Married",4600,2300))-Inputs!$C$85&gt;10000,0.04,0),IF($AN29="PA",0.0307,"")))))))))))))))</f>
      </c>
      <c r="CD29" s="21">
        <f>IF(YEAR(IF(Inputs!$C$7="Weekly",Inputs!$C$90+7*(($BE28+1)-1),IF(Inputs!$C$7="Biweekly",Inputs!$C$90+14*(($BE28+1)-1),IF(Inputs!$C$7="Semimonthly",DATE(YEAR(Inputs!$C$9),MONTH(Inputs!$C$9)+INT((($BE28+1)-1+'Rest of 2026'!$C$2)/2),MIN(DAY(Inputs!$C$9),DAY(EOMONTH(DATE(YEAR(Inputs!$C$9),MONTH(Inputs!$C$9)+INT((($BE28+1)-1+'Rest of 2026'!$C$2)/2),1),0))))+IF(MOD(($BE28+1)-1+'Rest of 2026'!$C$2,2)=1,15,0),EDATE(Inputs!$C$90,($BE28+1)-1)))))&lt;&gt;Inputs!$C$10,"",IF(Inputs!$C$7="Weekly",Inputs!$C$90+7*(($BE28+1)-1),IF(Inputs!$C$7="Biweekly",Inputs!$C$90+14*(($BE28+1)-1),IF(Inputs!$C$7="Semimonthly",DATE(YEAR(Inputs!$C$9),MONTH(Inputs!$C$9)+INT((($BE28+1)-1+'Rest of 2026'!$C$2)/2),MIN(DAY(Inputs!$C$9),DAY(EOMONTH(DATE(YEAR(Inputs!$C$9),MONTH(Inputs!$C$9)+INT((($BE28+1)-1+'Rest of 2026'!$C$2)/2),1),0))))+IF(MOD(($BE28+1)-1+'Rest of 2026'!$C$2,2)=1,15,0),EDATE(Inputs!$C$90,($BE28+1)-1)))))</f>
      </c>
      <c r="CE29" s="21">
        <f>IF(SUMPRODUCT(MIN(IF((Inputs!$C$58:$C$67&gt;MAX($B$6:$B28))*(Inputs!$C$58:$C$67&gt;=DATE(Inputs!$C$10,1,1))*(Inputs!$C$58:$C$67&lt;=DATE(Inputs!$C$10,12,31)),Inputs!$C$58:$C$67,999999)))=999999,"",SUMPRODUCT(MIN(IF((Inputs!$C$58:$C$67&gt;MAX($B$6:$B28))*(Inputs!$C$58:$C$67&gt;=DATE(Inputs!$C$10,1,1))*(Inputs!$C$58:$C$67&lt;=DATE(Inputs!$C$10,12,31)),Inputs!$C$58:$C$67,999999))))</f>
      </c>
    </row>
    <row r="30">
      <c r="A30" t="n">
        <v>25</v>
      </c>
      <c r="B30" s="21">
        <f>IF(AND($CD30="",$CE30=""),"",IF($CE30="",$CD30,IF($CD30="",$CE30,MIN($CD30,$CE30))))</f>
      </c>
      <c r="C30" s="7">
        <f>IF($B30="","",IF($BF30=0,0,IF(Inputs!$C$4="Annual salary",ROUND($AK30/IF(AND(Inputs!$C$88="Actual paydays",MONTH(Inputs!$C$90)=1),MAX(1,MAX($BE$6:$BE$68)),Inputs!$C$8),2),$AK30)))</f>
      </c>
      <c r="D30" s="7">
        <f>IF($B30="","",SUMIF(Inputs!$C$58:$C$67,$B30,Inputs!$D$58:$D$67))</f>
      </c>
      <c r="E30" s="7">
        <f>IF($B30="","",ROUND(MAX(0,MIN(IF($AL30="Percent",$AM30*($C30+$D30),$AM30),MAX(0,Inputs!$C$34-$AC29))),2))</f>
      </c>
      <c r="F30" s="7">
        <f>IF($B30="","",ROUND(MAX(0,MIN(IF(Inputs!$C$32="Percent",Inputs!$D$32*($C30+$D30),Inputs!$D$32),MAX(0,Inputs!$C$34-$AC29-$E30))),2))</f>
      </c>
      <c r="G30" s="7">
        <f>IF($B30="","",IF($BF30=0,0,ROUND(MAX(0,MIN($BL30,Inputs!$C$37-Inputs!$C$99-$BI29)),2)))</f>
      </c>
      <c r="H30" s="7">
        <f>IF($B30="","",IF(OR($BF30=0,$BQ30=1),0,ROUND(MAX(0,MIN(IF($BS30=1,ROUND(MAX(0,MIN($BJ30,'Methodology &amp; Sources'!$C$13)-$BG29)/MAX(1,MAX($BE$6:$BE$68)-($BE29)),2),ROUND(MIN($BJ30,'Methodology &amp; Sources'!$C$13)/Inputs!$C$8,2)),MIN($BJ30,'Methodology &amp; Sources'!$C$13)-$BG29)),2)))</f>
      </c>
      <c r="I30" s="7">
        <f>IF($B30="","",IF(OR($BF30=0,$BR30=1),0,ROUND(MAX(0,MIN(IF($BT30=1,ROUND(MAX(0,MIN($BK30,IF(Inputs!$C$12="MFJ",'Methodology &amp; Sources'!$C$14,'Methodology &amp; Sources'!$C$15))-$BH29)/MAX(1,MAX($BE$6:$BE$68)-($BE29)),2),ROUND(MIN($BK30,IF(Inputs!$C$12="MFJ",'Methodology &amp; Sources'!$C$14,'Methodology &amp; Sources'!$C$15))/Inputs!$C$8,2)),MIN($BK30,IF(Inputs!$C$12="MFJ",'Methodology &amp; Sources'!$C$14,'Methodology &amp; Sources'!$C$15))-$BH29)),2)))</f>
      </c>
      <c r="J30" s="7">
        <f>IF($B30="","",IF($BF30=0,0,$BM30))</f>
      </c>
      <c r="K30" s="7">
        <f>IF($B30="","",IF($BF30=0,0,$BN30+$BO30))</f>
      </c>
      <c r="L30" s="7">
        <f>IF($B30="","",IF($BF30=0,0,Inputs!$D$46))</f>
      </c>
      <c r="M30" s="7">
        <f>IF($B30="","",$C30+$D30+$L30-$E30-$G30-$H30-$I30-$J30-$K30)</f>
      </c>
      <c r="N30" s="7">
        <f>IF($B30="","",$C30+$D30+$L30-$G30-$H30-$I30-$J30-$K30)</f>
      </c>
      <c r="O30" s="7">
        <f>IF($B30="","",$C30+$D30+$L30-$E30-$H30-$I30-$J30-$K30-IF(OR($AN30="CA",$AN30="NJ"),0,$G30))</f>
      </c>
      <c r="P30" s="7">
        <f>IF($B30="","",IF(Inputs!$C$18,0,ROUND(MAX(0,IF(Inputs!$C$13,SUMPRODUCT(($AH30&gt;INDEX('Methodology &amp; Sources'!$B$29:$J$36,0,IF(Inputs!$C$12="MFJ",1,IF(Inputs!$C$12="HoH",7,4))))*($AH30-INDEX('Methodology &amp; Sources'!$B$29:$J$36,0,IF(Inputs!$C$12="MFJ",1,IF(Inputs!$C$12="HoH",7,4))))*INDEX('Methodology &amp; Sources'!$B$29:$J$36,0,IF(Inputs!$C$12="MFJ",1,IF(Inputs!$C$12="HoH",7,4))+2)),SUMPRODUCT(($AH30&gt;INDEX('Methodology &amp; Sources'!$B$19:$J$26,0,IF(Inputs!$C$12="MFJ",1,IF(Inputs!$C$12="HoH",7,4))))*($AH30-INDEX('Methodology &amp; Sources'!$B$19:$J$26,0,IF(Inputs!$C$12="MFJ",1,IF(Inputs!$C$12="HoH",7,4))))*INDEX('Methodology &amp; Sources'!$B$19:$J$26,0,IF(Inputs!$C$12="MFJ",1,IF(Inputs!$C$12="HoH",7,4))+2)))/Inputs!$C$8-$AO30/Inputs!$C$8)+$AR30+IF(Inputs!$C$89="Aggregate",MAX(0,IF(Inputs!$C$13,SUMPRODUCT((($AH30+$D30)&gt;INDEX('Methodology &amp; Sources'!$B$29:$J$36,0,IF(Inputs!$C$12="MFJ",1,IF(Inputs!$C$12="HoH",7,4))))*(($AH30+$D30)-INDEX('Methodology &amp; Sources'!$B$29:$J$36,0,IF(Inputs!$C$12="MFJ",1,IF(Inputs!$C$12="HoH",7,4))))*INDEX('Methodology &amp; Sources'!$B$29:$J$36,0,IF(Inputs!$C$12="MFJ",1,IF(Inputs!$C$12="HoH",7,4))+2)),SUMPRODUCT((($AH30+$D30)&gt;INDEX('Methodology &amp; Sources'!$B$19:$J$26,0,IF(Inputs!$C$12="MFJ",1,IF(Inputs!$C$12="HoH",7,4))))*(($AH30+$D30)-INDEX('Methodology &amp; Sources'!$B$19:$J$26,0,IF(Inputs!$C$12="MFJ",1,IF(Inputs!$C$12="HoH",7,4))))*INDEX('Methodology &amp; Sources'!$B$19:$J$26,0,IF(Inputs!$C$12="MFJ",1,IF(Inputs!$C$12="HoH",7,4))+2)))-IF(Inputs!$C$13,SUMPRODUCT(($AH30&gt;INDEX('Methodology &amp; Sources'!$B$29:$J$36,0,IF(Inputs!$C$12="MFJ",1,IF(Inputs!$C$12="HoH",7,4))))*($AH30-INDEX('Methodology &amp; Sources'!$B$29:$J$36,0,IF(Inputs!$C$12="MFJ",1,IF(Inputs!$C$12="HoH",7,4))))*INDEX('Methodology &amp; Sources'!$B$29:$J$36,0,IF(Inputs!$C$12="MFJ",1,IF(Inputs!$C$12="HoH",7,4))+2)),SUMPRODUCT(($AH30&gt;INDEX('Methodology &amp; Sources'!$B$19:$J$26,0,IF(Inputs!$C$12="MFJ",1,IF(Inputs!$C$12="HoH",7,4))))*($AH30-INDEX('Methodology &amp; Sources'!$B$19:$J$26,0,IF(Inputs!$C$12="MFJ",1,IF(Inputs!$C$12="HoH",7,4))))*INDEX('Methodology &amp; Sources'!$B$19:$J$26,0,IF(Inputs!$C$12="MFJ",1,IF(Inputs!$C$12="HoH",7,4))+2)))),'Methodology &amp; Sources'!$C$10*$D30),2)))</f>
      </c>
      <c r="Q30" s="7">
        <f>IF($B30="","",ROUND('Methodology &amp; Sources'!$C$4*MIN($N30,MAX(0,'Methodology &amp; Sources'!$C$3-($AX30+$AB29-$AW30))),2))</f>
      </c>
      <c r="R30" s="7">
        <f>IF($B30="","",ROUND('Methodology &amp; Sources'!$C$5*$N30,2))</f>
      </c>
      <c r="S30" s="7">
        <f>IF($B30="","",ROUND('Methodology &amp; Sources'!$C$6*MAX(0,MIN($N30,$AG29+$N30-'Methodology &amp; Sources'!$C$7)),2))</f>
      </c>
      <c r="T30" s="7">
        <f>IF($B30="","",IF(Inputs!$C$26,0,IF($AN30="CA",ROUND(IF($AI30&lt;=IF(($AS30+$AT30)&gt;=2,VLOOKUP($AN30,StateTables!$A$6:$AB$56,10,FALSE),VLOOKUP($AN30,StateTables!$A$6:$AB$56,9,FALSE)),0,MAX(0,SUMPRODUCT(($AJ30&gt;INDEX('Methodology &amp; Sources'!$B$39:$J$48,0,IF($AU30="Married",4,IF($AU30="Head of household",7,1))))*($AJ30-INDEX('Methodology &amp; Sources'!$B$39:$J$48,0,IF($AU30="Married",4,IF($AU30="Head of household",7,1))))*INDEX('Methodology &amp; Sources'!$B$39:$J$48,0,IF($AU30="Married",4,IF($AU30="Head of household",7,1))+2))-VLOOKUP($AN30,StateTables!$A$6:$AB$56,11,FALSE)*$AS30)/Inputs!$C$8)+Inputs!$C$25+VLOOKUP($AN30,StateTables!$A$6:$AB$56,13,FALSE)*$D30,2),IF(VLOOKUP($AN30,StateTables!$A$6:$AB$56,4,FALSE)="None",0,IF(ISNUMBER(SEARCH("MANUAL",VLOOKUP($AN30,StateTables!$A$6:$AB$56,5,FALSE))),Inputs!$C$28,ROUND(MAX(0,$BA30+$BB30)/Inputs!$C$8+Inputs!$C$25+$BC30,2))))))</f>
      </c>
      <c r="U30" s="7">
        <f>IF($B30="","",IF(VLOOKUP($AN30,StateTables!$A$6:$AB$56,24,FALSE)="flatq",IF(OR(MONTH($B30)=1,MONTH($B30)=4,MONTH($B30)=7,MONTH($B30)=10),VLOOKUP($AN30,StateTables!$A$6:$AB$56,25,FALSE),0),IF(VLOOKUP($AN30,StateTables!$A$6:$AB$56,24,FALSE)="dbl",MIN(ROUND(0.005*$N30,2),ROUND(0.6*52/Inputs!$C$8,2)),IF(OR(VLOOKUP($AN30,StateTables!$A$6:$AB$56,15,FALSE)="",VLOOKUP($AN30,StateTables!$A$6:$AB$56,15,FALSE)=0),0,ROUND(VLOOKUP($AN30,StateTables!$A$6:$AB$56,15,FALSE)*IF(OR(VLOOKUP($AN30,StateTables!$A$6:$AB$56,16,FALSE)="",VLOOKUP($AN30,StateTables!$A$6:$AB$56,16,FALSE)=0),$N30,MIN($N30,MAX(0,VLOOKUP($AN30,StateTables!$A$6:$AB$56,16,FALSE)-($AX30+$AB29-$AW30)))),2))))+IF(VLOOKUP($AN30,StateTables!$A$6:$AB$56,27,FALSE)="flatq",IF(OR(MONTH($B30)=1,MONTH($B30)=4,MONTH($B30)=7,MONTH($B30)=10),VLOOKUP($AN30,StateTables!$A$6:$AB$56,28,FALSE),0),IF(VLOOKUP($AN30,StateTables!$A$6:$AB$56,27,FALSE)="dbl",MIN(ROUND(0.005*$N30,2),ROUND(0.6*52/Inputs!$C$8,2)),IF(OR(VLOOKUP($AN30,StateTables!$A$6:$AB$56,18,FALSE)="",VLOOKUP($AN30,StateTables!$A$6:$AB$56,18,FALSE)=0),0,ROUND(VLOOKUP($AN30,StateTables!$A$6:$AB$56,18,FALSE)*IF(OR(VLOOKUP($AN30,StateTables!$A$6:$AB$56,19,FALSE)="",VLOOKUP($AN30,StateTables!$A$6:$AB$56,19,FALSE)=0),$N30,MIN($N30,MAX(0,VLOOKUP($AN30,StateTables!$A$6:$AB$56,19,FALSE)-($AX30+$AB29-$AW30)))),2)))))</f>
      </c>
      <c r="V30" s="7">
        <f>IF($B30="","",IF($AN30="NY",IF(Inputs!$C$78,ROUND(SUMPRODUCT((MAX(0,($O30-$D30)*Inputs!$C$8-(IF($AU30="Married",5500,5000)+1000*$AS30))&gt;INDEX('Methodology &amp; Sources'!$B$184:$J$198,0,4))*(MAX(0,($O30-$D30)*Inputs!$C$8-(IF($AU30="Married",5500,5000)+1000*$AS30))-INDEX('Methodology &amp; Sources'!$B$184:$J$198,0,4))*INDEX('Methodology &amp; Sources'!$B$184:$J$198,0,4+2))/Inputs!$C$8+0.0425*$D30,2),0)+IF(Inputs!$C$79="Resident",ROUND(0.1675*$T30,2),IF(Inputs!$C$79="Nonresident",ROUND(0.005*MAX(0,($O30-$D30)-(IF($AU30="Married",7950,7400)+1000*$AS30)/Inputs!$C$8),2),0)),IF($AN30="PA",IF(Inputs!$C$80="None",Inputs!$C$27+ROUND(Inputs!$C$81*($C30+$D30),2),ROUND(IF(Inputs!$C$80="Resident",IF($B30&lt;DATE(2027,7,1),0.03735,0.03735),IF($B30&lt;DATE(2027,7,1),0.03425,0.03425))*($C30+$D30),2)),IF($BF30=0,ROUND(Inputs!$C$81*($C30+$D30),2),Inputs!$C$27+ROUND(Inputs!$C$81*($C30+$D30),2)))))</f>
      </c>
      <c r="W30" s="7">
        <f>IF($B30="","",IF($BF30=0,0,$BP30))</f>
      </c>
      <c r="X30" s="7">
        <f>IF($B30="","",SUM($E30:$K30)+$P30+$Q30+$R30+$S30+$T30+$U30+$V30+$W30)</f>
      </c>
      <c r="Y30" s="22">
        <f>IF($B30="","",$C30+$D30-$X30)</f>
      </c>
      <c r="Z30" s="7">
        <f>IF($B30="","",$Z29+$C30+$D30)</f>
      </c>
      <c r="AA30" s="7">
        <f>IF($B30="","",$AA29+$Y30)</f>
      </c>
      <c r="AB30" s="7">
        <f>IF($B30="","",$AB29+MIN($N30,MAX(0,'Methodology &amp; Sources'!$C$3-($AX30+$AB29-$AW30))))</f>
      </c>
      <c r="AC30" s="7">
        <f>IF($B30="","",$AC29+$E30+$F30)</f>
      </c>
      <c r="AD30" s="3">
        <f>IF($B30="","",IF(AND($AB29&lt;'Methodology &amp; Sources'!$C$3,$AB30&gt;='Methodology &amp; Sources'!$C$3),"★ Social Security maxed on this check — from the next check your net rises by about $"&amp;TEXT(ROUND('Methodology &amp; Sources'!$C$4*$N30,2),"#,##0.00")&amp;". ","")&amp;IF(AND($AC29&lt;Inputs!$C$34,$AC30&gt;=Inputs!$C$34),"★ 401(k) reaches the $"&amp;TEXT(Inputs!$C$34,"#,##0")&amp;" cap on this check — deferrals stop and net pay rises. ","")&amp;IF(AND($AG29&lt;'Methodology &amp; Sources'!$C$7,$AG30&gt;='Methodology &amp; Sources'!$C$7),"★ Wages pass $200,000 — the 0.9% Additional Medicare Tax starts here. ","")&amp;IF(AND($BJ30&gt;0,$H30&gt;0,$BG29&lt;MIN($BJ30,'Methodology &amp; Sources'!$C$13),$BG29+$H30&gt;=MIN($BJ30,'Methodology &amp; Sources'!$C$13)),"★ Health FSA election is now fully deferred for the year. ",""))</f>
      </c>
      <c r="AE30" s="41" t="n"/>
      <c r="AF30" s="7">
        <f>IF(OR($B30="",$AE30=""),"",$AE30-$Y30)</f>
      </c>
      <c r="AG30" s="7">
        <f>IF($B30="","",$AG29+$N30)</f>
      </c>
      <c r="AH30" s="7">
        <f>IF($B30="","",MAX(0,($M30-$D30)*Inputs!$C$8+$AP30-$AQ30-IF(Inputs!$C$13,0,IF(Inputs!$C$12="MFJ",'Methodology &amp; Sources'!$C$8,'Methodology &amp; Sources'!$C$9))))</f>
      </c>
      <c r="AI30" s="7">
        <f>IF($B30="","",$O30*Inputs!$C$8)</f>
      </c>
      <c r="AJ30" s="7">
        <f>IF($B30="","",MAX(0,$AI30-VLOOKUP($AN30,StateTables!$A$6:$AB$56,12,FALSE)*$AT30-IF(($AS30+$AT30)&gt;=2,VLOOKUP($AN30,StateTables!$A$6:$AB$56,8,FALSE),VLOOKUP($AN30,StateTables!$A$6:$AB$56,7,FALSE))))</f>
      </c>
      <c r="AK30" s="7">
        <f>IF($B30="","",IFERROR(LOOKUP(2,1/((Events!$C$6:$C$17="Salary change")*(Events!$B$6:$B$17&lt;=$B30)*(Events!$B$6:$B$17&lt;&gt;"")),Events!$D$6:$D$17),IF(Inputs!$C$4="Annual salary",Inputs!$C$5,Inputs!$C$6)))</f>
      </c>
      <c r="AL30">
        <f>IF($B30="","",IFERROR(LOOKUP(2,1/((Events!$C$6:$C$17="401(k) change")*(Events!$B$6:$B$17&lt;=$B30)*(Events!$B$6:$B$17&lt;&gt;"")),Events!$D$6:$D$17),Inputs!$C$30))</f>
      </c>
      <c r="AM30" s="7">
        <f>IF($B30="","",IFERROR(LOOKUP(2,1/((Events!$C$6:$C$17="401(k) change")*(Events!$B$6:$B$17&lt;=$B30)*(Events!$B$6:$B$17&lt;&gt;"")),Events!$E$6:$E$17),Inputs!$D$30))</f>
      </c>
      <c r="AN30">
        <f>IF($B30="","",IFERROR(LOOKUP(2,1/((Events!$C$6:$C$17="State move")*(Events!$B$6:$B$17&lt;=$B30)*(Events!$B$6:$B$17&lt;&gt;"")),Events!$D$6:$D$17),Inputs!$C$21))</f>
      </c>
      <c r="AO30" s="7">
        <f>IF($B30="","",IFERROR(LOOKUP(2,1/((Events!$C$6:$C$17="W-4 change")*(Events!$B$6:$B$17&lt;=$B30)*(Events!$B$6:$B$17&lt;&gt;"")),Events!$D$6:$D$17),Inputs!$C$14))</f>
      </c>
      <c r="AP30" s="7">
        <f>IF($B30="","",IFERROR(LOOKUP(2,1/((Events!$C$6:$C$17="W-4 change")*(Events!$B$6:$B$17&lt;=$B30)*(Events!$B$6:$B$17&lt;&gt;"")),Events!$E$6:$E$17),Inputs!$C$15))</f>
      </c>
      <c r="AQ30" s="7">
        <f>IF($B30="","",IFERROR(LOOKUP(2,1/((Events!$C$6:$C$17="W-4 change")*(Events!$B$6:$B$17&lt;=$B30)*(Events!$B$6:$B$17&lt;&gt;"")),Events!$F$6:$F$17),Inputs!$C$16))</f>
      </c>
      <c r="AR30" s="7">
        <f>IF($B30="","",IFERROR(LOOKUP(2,1/((Events!$C$6:$C$17="W-4 change")*(Events!$B$6:$B$17&lt;=$B30)*(Events!$B$6:$B$17&lt;&gt;"")),Events!$G$6:$G$17),Inputs!$C$17))</f>
      </c>
      <c r="AS30" s="6">
        <f>IF($B30="","",IFERROR(LOOKUP(2,1/(((Events!$C$6:$C$17="State move")+(Events!$C$6:$C$17="State cert change"))*(Events!$B$6:$B$17&lt;=$B30)*(Events!$B$6:$B$17&lt;&gt;"")),Events!$F$6:$F$17),Inputs!$C$23))</f>
      </c>
      <c r="AT30" s="6">
        <f>IF($B30="","",IFERROR(LOOKUP(2,1/(((Events!$C$6:$C$17="State move")+(Events!$C$6:$C$17="State cert change"))*(Events!$B$6:$B$17&lt;=$B30)*(Events!$B$6:$B$17&lt;&gt;"")),Events!$G$6:$G$17),Inputs!$C$24))</f>
      </c>
      <c r="AU30">
        <f>IF($B30="","",IFERROR(LOOKUP(2,1/((Events!$C$6:$C$17="State move")*(Events!$B$6:$B$17&lt;=$B30)*(Events!$B$6:$B$17&lt;&gt;"")),Events!$E$6:$E$17),Inputs!$C$22))</f>
      </c>
      <c r="AV30" s="6">
        <f>IF($B30="","",1+COUNTIFS(Events!$C$6:$C$17,"Employer change",Events!$B$6:$B$17,"&lt;="&amp;$B30,Events!$B$6:$B$17,"&lt;&gt;"))</f>
      </c>
      <c r="AW30" s="7">
        <f>IF($B30="","",IF($AV30=1,Inputs!$C$94,IF(IFERROR(MATCH(IFERROR(LOOKUP(2,1/((Events!$C$6:$C$17="Employer change")*(Events!$B$6:$B$17&lt;=$B30)*(Events!$B$6:$B$17&lt;&gt;"")),Events!$B$6:$B$17),""),$B$6:$B$68,1),1)&lt;=1,Inputs!$C$94,INDEX($AB$6:$AB$68,MATCH(IFERROR(LOOKUP(2,1/((Events!$C$6:$C$17="Employer change")*(Events!$B$6:$B$17&lt;=$B30)*(Events!$B$6:$B$17&lt;&gt;"")),Events!$B$6:$B$17),""),$B$6:$B$68,1)-1))))</f>
      </c>
      <c r="AX30" s="7">
        <f>IF($B30="","",IF($AV30=1,Inputs!$C$94,IFERROR(LOOKUP(2,1/((Events!$C$6:$C$17="Employer change")*(Events!$B$6:$B$17&lt;=$B30)*(Events!$B$6:$B$17&lt;&gt;"")),Events!$D$6:$D$17),0)))</f>
      </c>
      <c r="AY30" s="7">
        <f>IF($B30="","",($O30-$D30)*Inputs!$C$8)</f>
      </c>
      <c r="AZ30" s="7">
        <f>IF($B30="","",IF($AN30="AL",MAX(0,$AY30-IF($AU30="Married",IF($AY30&lt;=25999,8500,MAX(5000,8500-175*CEILING(($AY30-25999)/500,1))),IF($AU30="Head of household",IF($AY30&lt;=25999,5200,MAX(2500,5200-135*CEILING(($AY30-25999)/500,1))),IF($AY30&lt;=25999,3000,MAX(2500,3000-25*CEILING(($AY30-25999)/500,1)))))-($P30-'Methodology &amp; Sources'!$C$10*$D30)*Inputs!$C$8-IF(OR($AU30="Married",$AU30="Head of household"),3000,1500)-$AT30*IF($AY30&lt;=50000,1000,IF($AY30&lt;=100000,500,300))),IF($AN30="AR",IF(MAX(0,$AY30-2470)&lt;97701,INT(MAX(0,$AY30-2470)/100)*100+50,MAX(0,$AY30-2470)),IF($AN30="DE",MAX(0,$AI30-3250),IF($AN30="HI",MAX(0,$AI30-1144*$AS30-4350),IF($AN30="KS",MAX(0,$AI30-(9160*IF($AU30="Married",2,1)+2320*$AT30+IF($AU30="Head of household",2320,0))),IF($AN30="MD",MAX(0,$AI30-3400-3200*$AS30),IF($AN30="MN",MAX(0,$AY30-5300*$AS30),IF($AN30="MO",MAX(0,$AI30-IF($AU30="Head of household",24150,IF($AU30="Married",IF(Inputs!$C$83,16100,32200),16100))),IF($AN30="MT",$AY30,IF($AN30="ND",($C30+$L30)*Inputs!$C$8,IF($AN30="NE",MAX(0,$AY30-2440*$AS30),IF($AN30="NJ",MAX(0,$AY30-1000*$AS30),IF($AN30="NY",MAX(0,$AY30-(IF($AU30="Married",7950,7400)+1000*$AS30)),IF($AN30="OH",MAX(0,$AY30-650*$AS30),IF($AN30="OK",MAX(0,$AY30-1000*$AS30),IF($AN30="RI",MAX(0,$AI30-1000*$AS30),IF($AN30="SC",MAX(0,$AI30-5000*$AS30-IF($AS30=0,0,MIN(0.1*$AI30,7500))),IF($AN30="VA",MAX(0,$AI30-IF($AU30="Married",17500,8750)-930*$AS30-800*$AT30),IF($AN30="VT",MAX(0,$AI30-5400*$AS30),IF($AN30="WI",MAX(0,$AI30-MAX(0,IF($AU30="Married",9461-0.2*MAX(0,$AI30-25727),6702-0.12*MAX(0,$AI30-17780)))-400*$AS30),IF($AN30="WV",MAX(0,$AI30-2000*$AS30),$AI30))))))))))))))))))))))</f>
      </c>
      <c r="BA30" s="7">
        <f>IF($B30="","",IF($BW30&lt;&gt;"",$BW30,IF($BX30&lt;&gt;"",$BX30,IF($BY30&lt;&gt;"",$BY30,0))))</f>
      </c>
      <c r="BB30" s="7">
        <f>IF($B30="","",IF($AN30="AR",-29*$AS30,IF($AN30="DE",-110*$AS30,IF($AN30="MD",$AZ30*Inputs!$C$74,IF($AN30="AZ",Inputs!$C$82*($M30-$D30)*Inputs!$C$8,IF($AN30="CO",0.044*MAX(0,$AY30-IF($AU30="Married",10000,5000)),IF($AN30="IA",MAX(0,0.038*MAX(0,$AY30-IF($AU30="Head of household",19500,IF($AU30="Married",26000,13000)))-40*$AS30),IF($AN30="ID",0.053*MAX(0,$AY30-IF($AU30="Married",32000,16094)),IF($AN30="IL",0.0495*MAX(0,$AY30-(2925*$AS30+1000*$AT30)),IF($AN30="IN",(0.0295+Inputs!$C$76)*MAX(0,$AY30-(1000*$AS30+1500*$AT30+3000*Inputs!$C$86)),IF($AN30="KY",0.035*MAX(0,$AI30-3360),IF($AN30="LA",IF(Inputs!$C$84="0",0.0309*$AI30,0.0309*MAX(0,$AI30-IF(Inputs!$C$84="2",25750,12875))),IF($AN30="MA",0.05*MIN(MAX(0,$AY30-MIN(($BD29+$Q30+$R30+$S30),2000)-IF($AS30=0,0,IF($AS30=1,4400,1000*$AS30+3400))),1107750)+0.09*MAX(0,MAX(0,$AY30-MIN(($BD29+$Q30+$R30+$S30),2000)-IF($AS30=0,0,IF($AS30=1,4400,1000*$AS30+3400)))-1107750)-IF($AU30="Head of household",120,0)-110*Inputs!$C$75,IF($AN30="MI",0.0425*MAX(0,$AY30-5900*$AS30),IF($AN30="MS",0.04*MAX(0,$AI30-IF($AU30="Head of household",3400,IF($AU30="Married",4600,2300))-Inputs!$C$85-10000),IF($AN30="OR",IF(OR($AU30="Married",AND($AU30="Single",$AS30&gt;=3)),SUMPRODUCT((MAX(0,$AY30-MIN(($P30-'Methodology &amp; Sources'!$C$10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Sources'!$B$211:$J$214,0,4))*(MAX(0,$AY30-MIN(($P30-'Methodology &amp; Sources'!$C$10*$D30)*Inputs!$C$8,IF(OR($AU30="Married",AND($AU30="Single",$AS30&gt;=3)),IF($AY30&lt;250000,8750,IF($AY30&lt;260000,7000,IF($AY30&lt;270000,5250,IF($AY30&lt;280000,3500,IF($AY30&lt;290000,1750,0))))),IF($AY30&lt;125000,8750,IF($AY30&lt;130000,7000,IF($AY30&lt;135000,5250,IF($AY30&lt;140000,3500,IF($AY30&lt;145000,1750,0)))))))-IF(OR($AU30="Married",AND($AU30="Single",$AS30&gt;=3)),5820,2910))-INDEX('Methodology &amp; Sources'!$B$211:$J$214,0,4))*INDEX('Methodology &amp; Sources'!$B$211:$J$214,0,4+2)),SUMPRODUCT((MAX(0,$AY30-MIN(($P30-'Methodology &amp; Sources'!$C$10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Sources'!$B$211:$J$214,0,1))*(MAX(0,$AY30-MIN(($P30-'Methodology &amp; Sources'!$C$10*$D30)*Inputs!$C$8,IF(OR($AU30="Married",AND($AU30="Single",$AS30&gt;=3)),IF($AY30&lt;250000,8750,IF($AY30&lt;260000,7000,IF($AY30&lt;270000,5250,IF($AY30&lt;280000,3500,IF($AY30&lt;290000,1750,0))))),IF($AY30&lt;125000,8750,IF($AY30&lt;130000,7000,IF($AY30&lt;135000,5250,IF($AY30&lt;140000,3500,IF($AY30&lt;145000,1750,0)))))))-IF(OR($AU30="Married",AND($AU30="Single",$AS30&gt;=3)),5820,2910))-INDEX('Methodology &amp; Sources'!$B$211:$J$214,0,1))*INDEX('Methodology &amp; Sources'!$B$211:$J$214,0,1+2)))+263-263*IF(IF($AU30="Married",$AY30&gt;200000,$AY30&gt;100000),0,$AS30),IF($AN30="PA",0.0307*(($O30+$E30+$G30)*Inputs!$C$8),IF($AN30="NY",IF($AU30="Married",IF($AZ30&gt;=2155350,0,IF($AZ30&gt;=1077550,0.48,IF($AZ30&gt;=373200,1.21,IF($AZ30&gt;=323200,0.21,IF($AZ30&gt;=211550,-0.19,IF($AZ30&gt;=157650,-2.8,IF($AZ30&gt;=107650,-0.8,IF($AZ30&gt;=96800,0.05,IF($AZ30&gt;=80650,-0.1,IF($AZ30&gt;=13900,0.4,IF($AZ30&gt;=11700,-0.3,IF($AZ30&gt;=8500,0.5,0)))))))))))),IF($AZ30&gt;=1077550,0,IF($AZ30&gt;=265400,4.29,IF($AZ30&gt;=215400,2.29,IF($AZ30&gt;=157650,2.29,IF($AZ30&gt;=107650,0.29,IF($AZ30&gt;=96800,0.05,IF($AZ30&gt;=80650,-0.1,IF($AZ30&gt;=13900,0.4,IF($AZ30&gt;=11700,-0.3,IF($AZ30&gt;=8500,0.5,0))))))))))),0))))))))))))))))))</f>
      </c>
      <c r="BC30" s="7">
        <f>IF($B30="","",IF($AN30="AL",0.05*$D30,IF($AN30="AR",0.039*$D30,IF($AN30="ID",0.053*$D30,IF($AN30="IN",(0.0295+Inputs!$C$76)*$D30,IF($AN30="KS",0.05*$D30,IF($AN30="MA",0.09*MIN($D30,MAX(0,MAX(0,$AY30-MIN(($BD29+$Q30+$R30+$S30),2000)-IF($AS30=0,0,IF($AS30=1,4400,1000*$AS30+3400)))+$D30-1107750))+0.05*($D30-MIN($D30,MAX(0,MAX(0,$AY30-MIN(($BD29+$Q30+$R30+$S30),2000)-IF($AS30=0,0,IF($AS30=1,4400,1000*$AS30+3400)))+$D30-1107750))),IF($AN30="MD",(0.065+Inputs!$C$74)*$D30,IF($AN30="MI",0.0425*$D30,IF($AN30="MN",0.0625*$D30,IF($AN30="MO",0.047*$D30,IF($AN30="MT",0.05*$D30,IF($AN30="ND",0.015*$D30,IF($AN30="NE",0.035*$D30,IF($AN30="NJ",IF(Inputs!$C$77="B",SUMPRODUCT(($D30*Inputs!$C$8&gt;INDEX('Methodology &amp; Sources'!$B$155:$J$162,0,4))*($D30*Inputs!$C$8-INDEX('Methodology &amp; Sources'!$B$155:$J$162,0,4))*INDEX('Methodology &amp; Sources'!$B$155:$J$162,0,4+2)),IF(Inputs!$C$77="C",SUMPRODUCT(($D30*Inputs!$C$8&gt;INDEX('Methodology &amp; Sources'!$B$155:$J$162,0,7))*($D30*Inputs!$C$8-INDEX('Methodology &amp; Sources'!$B$155:$J$162,0,7))*INDEX('Methodology &amp; Sources'!$B$155:$J$162,0,7+2)),IF(Inputs!$C$77="D",SUMPRODUCT(($D30*Inputs!$C$8&gt;INDEX('Methodology &amp; Sources'!$B$167:$J$179,0,1))*($D30*Inputs!$C$8-INDEX('Methodology &amp; Sources'!$B$167:$J$179,0,1))*INDEX('Methodology &amp; Sources'!$B$167:$J$179,0,1+2)),IF(Inputs!$C$77="E",SUMPRODUCT(($D30*Inputs!$C$8&gt;INDEX('Methodology &amp; Sources'!$B$167:$J$179,0,4))*($D30*Inputs!$C$8-INDEX('Methodology &amp; Sources'!$B$167:$J$179,0,4))*INDEX('Methodology &amp; Sources'!$B$167:$J$179,0,4+2)),SUMPRODUCT(($D30*Inputs!$C$8&gt;INDEX('Methodology &amp; Sources'!$B$155:$J$162,0,1))*($D30*Inputs!$C$8-INDEX('Methodology &amp; Sources'!$B$155:$J$162,0,1))*INDEX('Methodology &amp; Sources'!$B$155:$J$162,0,1+2))))))/Inputs!$C$8,IF($AN30="NY",0.117*$D30,IF($AN30="OH",0.0275*$D30,IF($AN30="OK",0.045*$D30,IF($AN30="OR",0.08*$D30,IF($AN30="WI",IF($AY30&lt;12760,0.0354,IF($AY30&lt;25520,0.0465,IF($AY30&lt;280950,0.053,0.0765)))*$D30,0))))))))))))))))))))</f>
      </c>
      <c r="BD30" s="7">
        <f>IF($B30="","",$BD29+$Q30+$R30+$S30)</f>
      </c>
      <c r="BE30" s="6">
        <f>IF($B30="",$BE29,$BE29+$BF30)</f>
      </c>
      <c r="BF30" s="6">
        <f>IF($B30="","",IF(AND(IF(YEAR(IF(Inputs!$C$7="Weekly",Inputs!$C$90+7*(($BE29+1)-1),IF(Inputs!$C$7="Biweekly",Inputs!$C$90+14*(($BE29+1)-1),IF(Inputs!$C$7="Semimonthly",DATE(YEAR(Inputs!$C$9),MONTH(Inputs!$C$9)+INT((($BE29+1)-1+'Rest of 2026'!$C$2)/2),MIN(DAY(Inputs!$C$9),DAY(EOMONTH(DATE(YEAR(Inputs!$C$9),MONTH(Inputs!$C$9)+INT((($BE29+1)-1+'Rest of 2026'!$C$2)/2),1),0))))+IF(MOD(($BE29+1)-1+'Rest of 2026'!$C$2,2)=1,15,0),EDATE(Inputs!$C$90,($BE29+1)-1)))))&lt;&gt;Inputs!$C$10,"",IF(Inputs!$C$7="Weekly",Inputs!$C$90+7*(($BE29+1)-1),IF(Inputs!$C$7="Biweekly",Inputs!$C$90+14*(($BE29+1)-1),IF(Inputs!$C$7="Semimonthly",DATE(YEAR(Inputs!$C$9),MONTH(Inputs!$C$9)+INT((($BE29+1)-1+'Rest of 2026'!$C$2)/2),MIN(DAY(Inputs!$C$9),DAY(EOMONTH(DATE(YEAR(Inputs!$C$9),MONTH(Inputs!$C$9)+INT((($BE29+1)-1+'Rest of 2026'!$C$2)/2),1),0))))+IF(MOD(($BE29+1)-1+'Rest of 2026'!$C$2,2)=1,15,0),EDATE(Inputs!$C$90,($BE29+1)-1)))))&lt;&gt;"",$B30=IF(YEAR(IF(Inputs!$C$7="Weekly",Inputs!$C$90+7*(($BE29+1)-1),IF(Inputs!$C$7="Biweekly",Inputs!$C$90+14*(($BE29+1)-1),IF(Inputs!$C$7="Semimonthly",DATE(YEAR(Inputs!$C$9),MONTH(Inputs!$C$9)+INT((($BE29+1)-1+'Rest of 2026'!$C$2)/2),MIN(DAY(Inputs!$C$9),DAY(EOMONTH(DATE(YEAR(Inputs!$C$9),MONTH(Inputs!$C$9)+INT((($BE29+1)-1+'Rest of 2026'!$C$2)/2),1),0))))+IF(MOD(($BE29+1)-1+'Rest of 2026'!$C$2,2)=1,15,0),EDATE(Inputs!$C$90,($BE29+1)-1)))))&lt;&gt;Inputs!$C$10,"",IF(Inputs!$C$7="Weekly",Inputs!$C$90+7*(($BE29+1)-1),IF(Inputs!$C$7="Biweekly",Inputs!$C$90+14*(($BE29+1)-1),IF(Inputs!$C$7="Semimonthly",DATE(YEAR(Inputs!$C$9),MONTH(Inputs!$C$9)+INT((($BE29+1)-1+'Rest of 2026'!$C$2)/2),MIN(DAY(Inputs!$C$9),DAY(EOMONTH(DATE(YEAR(Inputs!$C$9),MONTH(Inputs!$C$9)+INT((($BE29+1)-1+'Rest of 2026'!$C$2)/2),1),0))))+IF(MOD(($BE29+1)-1+'Rest of 2026'!$C$2,2)=1,15,0),EDATE(Inputs!$C$90,($BE29+1)-1)))))),1,0))</f>
      </c>
      <c r="BG30" s="7">
        <f>IF($B30="","",$BG29+$H30)</f>
      </c>
      <c r="BH30" s="7">
        <f>IF($B30="","",$BH29+$I30)</f>
      </c>
      <c r="BI30" s="7">
        <f>IF($B30="","",$BI29+$G30)</f>
      </c>
      <c r="BJ30" s="7">
        <f>IF($B30="","",IFERROR(LOOKUP(2,1/((((Events!$C$6:$C$17="Deduction start"))*(Events!$D$6:$D$17="Health FSA"))*(Events!$B$6:$B$17&lt;=$B30)*(Events!$B$6:$B$17&lt;&gt;"")),Events!$E$6:$E$17),Inputs!$D$38))</f>
      </c>
      <c r="BK30" s="7">
        <f>IF($B30="","",IFERROR(LOOKUP(2,1/((((Events!$C$6:$C$17="Deduction start"))*(Events!$D$6:$D$17="Dependent-care FSA"))*(Events!$B$6:$B$17&lt;=$B30)*(Events!$B$6:$B$17&lt;&gt;"")),Events!$E$6:$E$17),Inputs!$D$39))</f>
      </c>
      <c r="BL30" s="7">
        <f>IF($B30="","",IFERROR(LOOKUP(2,1/((((Events!$C$6:$C$17="Deduction start")+(Events!$C$6:$C$17="Deduction stop"))*(Events!$D$6:$D$17="HSA"))*(Events!$B$6:$B$17&lt;=$B30)*(Events!$B$6:$B$17&lt;&gt;"")),Events!$I$6:$I$17),Inputs!$D$35))</f>
      </c>
      <c r="BM30" s="7">
        <f>IF($B30="","",IFERROR(LOOKUP(2,1/((((Events!$C$6:$C$17="Deduction start")+(Events!$C$6:$C$17="Deduction stop"))*(Events!$D$6:$D$17="Premiums"))*(Events!$B$6:$B$17&lt;=$B30)*(Events!$B$6:$B$17&lt;&gt;"")),Events!$I$6:$I$17),Inputs!$D$40+Inputs!$D$41+Inputs!$D$42))</f>
      </c>
      <c r="BN30" s="7">
        <f>IF($B30="","",IFERROR(LOOKUP(2,1/((((Events!$C$6:$C$17="Deduction start")+(Events!$C$6:$C$17="Deduction stop"))*(Events!$D$6:$D$17="Commuter"))*(Events!$B$6:$B$17&lt;=$B30)*(Events!$B$6:$B$17&lt;&gt;"")),Events!$I$6:$I$17),Inputs!$D$43))</f>
      </c>
      <c r="BO30" s="7">
        <f>IF($B30="","",IFERROR(LOOKUP(2,1/((((Events!$C$6:$C$17="Deduction start")+(Events!$C$6:$C$17="Deduction stop"))*(Events!$D$6:$D$17="Other pre-tax"))*(Events!$B$6:$B$17&lt;=$B30)*(Events!$B$6:$B$17&lt;&gt;"")),Events!$I$6:$I$17),Inputs!$D$44))</f>
      </c>
      <c r="BP30" s="7">
        <f>IF($B30="","",IFERROR(LOOKUP(2,1/((((Events!$C$6:$C$17="Deduction start")+(Events!$C$6:$C$17="Deduction stop"))*(Events!$D$6:$D$17="Other post-tax"))*(Events!$B$6:$B$17&lt;=$B30)*(Events!$B$6:$B$17&lt;&gt;"")),Events!$I$6:$I$17),Inputs!$D$45))</f>
      </c>
      <c r="BQ30" s="6">
        <f>IF($B30="","",IFERROR(LOOKUP(2,1/((((Events!$C$6:$C$17="Deduction start")+(Events!$C$6:$C$17="Deduction stop"))*(Events!$D$6:$D$17="Health FSA"))*(Events!$B$6:$B$17&lt;=$B30)*(Events!$B$6:$B$17&lt;&gt;"")),Events!$J$6:$J$17),0))</f>
      </c>
      <c r="BR30" s="6">
        <f>IF($B30="","",IFERROR(LOOKUP(2,1/((((Events!$C$6:$C$17="Deduction start")+(Events!$C$6:$C$17="Deduction stop"))*(Events!$D$6:$D$17="Dependent-care FSA"))*(Events!$B$6:$B$17&lt;=$B30)*(Events!$B$6:$B$17&lt;&gt;"")),Events!$J$6:$J$17),0))</f>
      </c>
      <c r="BS30" s="6">
        <f>IF($B30="","",IF(SUMPRODUCT((Events!$C$6:$C$17="Deduction start")*(Events!$B$6:$B$17&lt;=$B30)*(Events!$B$6:$B$17&lt;&gt;"")*(Events!$D$6:$D$17="Health FSA"))&gt;0,1,0))</f>
      </c>
      <c r="BT30" s="6">
        <f>IF($B30="","",IF(SUMPRODUCT((Events!$C$6:$C$17="Deduction start")*(Events!$B$6:$B$17&lt;=$B30)*(Events!$B$6:$B$17&lt;&gt;"")*(Events!$D$6:$D$17="Dependent-care FSA"))&gt;0,1,0))</f>
      </c>
      <c r="BU30" s="24">
        <f>IF($B30="","",IF(Inputs!$C$13,SUMPRODUCT(($AH30&gt;=INDEX('Methodology &amp; Sources'!$B$29:$J$36,0,IF(Inputs!$C$12="MFJ",1,IF(Inputs!$C$12="HoH",7,4))))*INDEX('Methodology &amp; Sources'!$B$29:$J$36,0,IF(Inputs!$C$12="MFJ",1,IF(Inputs!$C$12="HoH",7,4))+2)),SUMPRODUCT(($AH30&gt;=INDEX('Methodology &amp; Sources'!$B$19:$J$26,0,IF(Inputs!$C$12="MFJ",1,IF(Inputs!$C$12="HoH",7,4))))*INDEX('Methodology &amp; Sources'!$B$19:$J$26,0,IF(Inputs!$C$12="MFJ",1,IF(Inputs!$C$12="HoH",7,4))+2))))</f>
      </c>
      <c r="BV30" s="24">
        <f>IF($B30="","",IF($BZ30&lt;&gt;"",$BZ30,IF($CA30&lt;&gt;"",$CA30,IF($CB30&lt;&gt;"",$CB30,IF($CC30&lt;&gt;"",$CC30,0)))))</f>
      </c>
      <c r="BW30" s="7">
        <f>IF($B30="","",IF($AN30="MD",IF(OR($AU30="Married",$AU30="Head of household"),SUMPRODUCT(($AZ30&gt;INDEX('Methodology &amp; Sources'!$B$114:$J$120,0,1))*($AZ30-INDEX('Methodology &amp; Sources'!$B$114:$J$120,0,1))*INDEX('Methodology &amp; Sources'!$B$114:$J$120,0,1+2)),SUMPRODUCT(($AZ30&gt;INDEX('Methodology &amp; Sources'!$B$103:$J$109,0,7))*($AZ30-INDEX('Methodology &amp; Sources'!$B$103:$J$109,0,7))*INDEX('Methodology &amp; Sources'!$B$103:$J$109,0,7+2))),IF($AN30="MO",SUMPRODUCT(($AZ30&gt;INDEX('Methodology &amp; Sources'!$B$125:$J$132,0,1))*($AZ30-INDEX('Methodology &amp; Sources'!$B$125:$J$132,0,1))*INDEX('Methodology &amp; Sources'!$B$125:$J$132,0,1+2)),IF($AN30="MT",IF($AU30="Head of household",SUMPRODUCT(($AZ30&gt;INDEX('Methodology &amp; Sources'!$B$137:$J$139,0,1))*($AZ30-INDEX('Methodology &amp; Sources'!$B$137:$J$139,0,1))*INDEX('Methodology &amp; Sources'!$B$137:$J$139,0,1+2)),IF($AU30="Married",SUMPRODUCT(($AZ30&gt;INDEX('Methodology &amp; Sources'!$B$125:$J$132,0,7))*($AZ30-INDEX('Methodology &amp; Sources'!$B$125:$J$132,0,7))*INDEX('Methodology &amp; Sources'!$B$125:$J$132,0,7+2)),SUMPRODUCT(($AZ30&gt;INDEX('Methodology &amp; Sources'!$B$125:$J$132,0,4))*($AZ30-INDEX('Methodology &amp; Sources'!$B$125:$J$132,0,4))*INDEX('Methodology &amp; Sources'!$B$125:$J$132,0,4+2)))),IF($AN30="ND",IF($AU30="Head of household",SUMPRODUCT(($AZ30&gt;INDEX('Methodology &amp; Sources'!$B$144:$J$150,0,1))*($AZ30-INDEX('Methodology &amp; Sources'!$B$144:$J$150,0,1))*INDEX('Methodology &amp; Sources'!$B$144:$J$150,0,1+2)),IF($AU30="Married",SUMPRODUCT(($AZ30&gt;INDEX('Methodology &amp; Sources'!$B$137:$J$139,0,7))*($AZ30-INDEX('Methodology &amp; Sources'!$B$137:$J$139,0,7))*INDEX('Methodology &amp; Sources'!$B$137:$J$139,0,7+2)),SUMPRODUCT(($AZ30&gt;INDEX('Methodology &amp; Sources'!$B$137:$J$139,0,4))*($AZ30-INDEX('Methodology &amp; Sources'!$B$137:$J$139,0,4))*INDEX('Methodology &amp; Sources'!$B$137:$J$139,0,4+2)))),IF($AN30="NJ",IF(Inputs!$C$77="B",SUMPRODUCT(($AZ30&gt;INDEX('Methodology &amp; Sources'!$B$155:$J$162,0,4))*($AZ30-INDEX('Methodology &amp; Sources'!$B$155:$J$162,0,4))*INDEX('Methodology &amp; Sources'!$B$155:$J$162,0,4+2)),IF(Inputs!$C$77="C",SUMPRODUCT(($AZ30&gt;INDEX('Methodology &amp; Sources'!$B$155:$J$162,0,7))*($AZ30-INDEX('Methodology &amp; Sources'!$B$155:$J$162,0,7))*INDEX('Methodology &amp; Sources'!$B$155:$J$162,0,7+2)),IF(Inputs!$C$77="D",SUMPRODUCT(($AZ30&gt;INDEX('Methodology &amp; Sources'!$B$167:$J$179,0,1))*($AZ30-INDEX('Methodology &amp; Sources'!$B$167:$J$179,0,1))*INDEX('Methodology &amp; Sources'!$B$167:$J$179,0,1+2)),IF(Inputs!$C$77="E",SUMPRODUCT(($AZ30&gt;INDEX('Methodology &amp; Sources'!$B$167:$J$179,0,4))*($AZ30-INDEX('Methodology &amp; Sources'!$B$167:$J$179,0,4))*INDEX('Methodology &amp; Sources'!$B$167:$J$179,0,4+2)),SUMPRODUCT(($AZ30&gt;INDEX('Methodology &amp; Sources'!$B$155:$J$162,0,1))*($AZ30-INDEX('Methodology &amp; Sources'!$B$155:$J$162,0,1))*INDEX('Methodology &amp; Sources'!$B$155:$J$162,0,1+2)))))),IF($AN30="NY",IF($AU30="Married",IF($AZ30&gt;=2155350,$AZ30*IF($AZ30&gt;25000000,0.117,IF($AZ30&gt;5000000,0.111,0.1045)),SUMPRODUCT(($AZ30&gt;INDEX('Methodology &amp; Sources'!$B$184:$J$198,0,1))*($AZ30-INDEX('Methodology &amp; Sources'!$B$184:$J$198,0,1))*INDEX('Methodology &amp; Sources'!$B$184:$J$198,0,1+2))),IF($AZ30&gt;=1077550,$AZ30*IF($AZ30&gt;25000000,0.117,IF($AZ30&gt;5000000,0.111,0.1045)),SUMPRODUCT(($AZ30&gt;INDEX('Methodology &amp; Sources'!$B$167:$J$179,0,7))*($AZ30-INDEX('Methodology &amp; Sources'!$B$167:$J$179,0,7))*INDEX('Methodology &amp; Sources'!$B$167:$J$179,0,7+2)))),"")))))))</f>
      </c>
      <c r="BX30" s="7">
        <f>IF($B30="","",IF($AN30="AL",IF(OR($AU30="Married",$AU30="Head of household"),SUMPRODUCT(($AZ30&gt;INDEX('Methodology &amp; Sources'!$B$82:$J$86,0,4))*($AZ30-INDEX('Methodology &amp; Sources'!$B$82:$J$86,0,4))*INDEX('Methodology &amp; Sources'!$B$82:$J$86,0,4+2)),SUMPRODUCT(($AZ30&gt;INDEX('Methodology &amp; Sources'!$B$82:$J$86,0,1))*($AZ30-INDEX('Methodology &amp; Sources'!$B$82:$J$86,0,1))*INDEX('Methodology &amp; Sources'!$B$82:$J$86,0,1+2))),IF($AN30="KS",IF($AU30="Married",SUMPRODUCT(($AZ30&gt;INDEX('Methodology &amp; Sources'!$B$103:$J$109,0,4))*($AZ30-INDEX('Methodology &amp; Sources'!$B$103:$J$109,0,4))*INDEX('Methodology &amp; Sources'!$B$103:$J$109,0,4+2)),SUMPRODUCT(($AZ30&gt;INDEX('Methodology &amp; Sources'!$B$103:$J$109,0,1))*($AZ30-INDEX('Methodology &amp; Sources'!$B$103:$J$109,0,1))*INDEX('Methodology &amp; Sources'!$B$103:$J$109,0,1+2))),IF($AN30="MN",IF($AU30="Married",SUMPRODUCT(($AZ30&gt;INDEX('Methodology &amp; Sources'!$B$114:$J$120,0,7))*($AZ30-INDEX('Methodology &amp; Sources'!$B$114:$J$120,0,7))*INDEX('Methodology &amp; Sources'!$B$114:$J$120,0,7+2)),SUMPRODUCT(($AZ30&gt;INDEX('Methodology &amp; Sources'!$B$114:$J$120,0,4))*($AZ30-INDEX('Methodology &amp; Sources'!$B$114:$J$120,0,4))*INDEX('Methodology &amp; Sources'!$B$114:$J$120,0,4+2))),IF($AN30="NE",MAX(IF($AU30="Married",SUMPRODUCT(($AZ30&gt;INDEX('Methodology &amp; Sources'!$B$144:$J$150,0,7))*($AZ30-INDEX('Methodology &amp; Sources'!$B$144:$J$150,0,7))*INDEX('Methodology &amp; Sources'!$B$144:$J$150,0,7+2)),SUMPRODUCT(($AZ30&gt;INDEX('Methodology &amp; Sources'!$B$144:$J$150,0,4))*($AZ30-INDEX('Methodology &amp; Sources'!$B$144:$J$150,0,4))*INDEX('Methodology &amp; Sources'!$B$144:$J$150,0,4+2))),0.015*$AZ30),IF($AN30="OH",IF($B30&gt;=DATE(2027,8,1),SUMPRODUCT(($AZ30&gt;INDEX('Methodology &amp; Sources'!$B$203:$J$206,0,1))*($AZ30-INDEX('Methodology &amp; Sources'!$B$203:$J$206,0,1))*INDEX('Methodology &amp; Sources'!$B$203:$J$206,0,1+2)),SUMPRODUCT(($AZ30&gt;INDEX('Methodology &amp; Sources'!$B$184:$J$198,0,7))*($AZ30-INDEX('Methodology &amp; Sources'!$B$184:$J$198,0,7))*INDEX('Methodology &amp; Sources'!$B$184:$J$198,0,7+2))),IF($AN30="OK",IF($AU30="Married",SUMPRODUCT(($AZ30&gt;INDEX('Methodology &amp; Sources'!$B$203:$J$206,0,7))*($AZ30-INDEX('Methodology &amp; Sources'!$B$203:$J$206,0,7))*INDEX('Methodology &amp; Sources'!$B$203:$J$206,0,7+2)),SUMPRODUCT(($AZ30&gt;INDEX('Methodology &amp; Sources'!$B$203:$J$206,0,4))*($AZ30-INDEX('Methodology &amp; Sources'!$B$203:$J$206,0,4))*INDEX('Methodology &amp; Sources'!$B$203:$J$206,0,4+2))),IF($AN30="RI",SUMPRODUCT(($AZ30&gt;INDEX('Methodology &amp; Sources'!$B$211:$J$214,0,7))*($AZ30-INDEX('Methodology &amp; Sources'!$B$211:$J$214,0,7))*INDEX('Methodology &amp; Sources'!$B$211:$J$214,0,7+2)),IF($AN30="VT",IF($AU30="Married",SUMPRODUCT(($AZ30&gt;INDEX('Methodology &amp; Sources'!$B$228:$J$232,0,1))*($AZ30-INDEX('Methodology &amp; Sources'!$B$228:$J$232,0,1))*INDEX('Methodology &amp; Sources'!$B$228:$J$232,0,1+2)),SUMPRODUCT(($AZ30&gt;INDEX('Methodology &amp; Sources'!$B$219:$J$223,0,7))*($AZ30-INDEX('Methodology &amp; Sources'!$B$219:$J$223,0,7))*INDEX('Methodology &amp; Sources'!$B$219:$J$223,0,7+2))),IF($AN30="WV",IF($AU30="Married",SUMPRODUCT(($AZ30&gt;INDEX('Methodology &amp; Sources'!$B$237:$J$241,0,7))*($AZ30-INDEX('Methodology &amp; Sources'!$B$237:$J$241,0,7))*INDEX('Methodology &amp; Sources'!$B$237:$J$241,0,7+2)),SUMPRODUCT(($AZ30&gt;INDEX('Methodology &amp; Sources'!$B$228:$J$232,0,7))*($AZ30-INDEX('Methodology &amp; Sources'!$B$228:$J$232,0,7))*INDEX('Methodology &amp; Sources'!$B$228:$J$232,0,7+2))),""))))))))))</f>
      </c>
      <c r="BY30" s="7">
        <f>IF($B30="","",IF($AN30="AR",SUMPRODUCT(($AZ30&gt;INDEX('Methodology &amp; Sources'!$B$82:$J$86,0,7))*($AZ30-INDEX('Methodology &amp; Sources'!$B$82:$J$86,0,7))*INDEX('Methodology &amp; Sources'!$B$82:$J$86,0,7+2)),IF($AN30="DE",SUMPRODUCT(($AZ30&gt;INDEX('Methodology &amp; Sources'!$B$91:$J$98,0,1))*($AZ30-INDEX('Methodology &amp; Sources'!$B$91:$J$98,0,1))*INDEX('Methodology &amp; Sources'!$B$91:$J$98,0,1+2)),IF($AN30="HI",IF($AU30="Married",SUMPRODUCT(($AZ30&gt;INDEX('Methodology &amp; Sources'!$B$91:$J$98,0,7))*($AZ30-INDEX('Methodology &amp; Sources'!$B$91:$J$98,0,7))*INDEX('Methodology &amp; Sources'!$B$91:$J$98,0,7+2)),SUMPRODUCT(($AZ30&gt;INDEX('Methodology &amp; Sources'!$B$91:$J$98,0,4))*($AZ30-INDEX('Methodology &amp; Sources'!$B$91:$J$98,0,4))*INDEX('Methodology &amp; Sources'!$B$91:$J$98,0,4+2))),IF($AN30="SC",SUMPRODUCT(($AZ30&gt;INDEX('Methodology &amp; Sources'!$B$219:$J$223,0,1))*($AZ30-INDEX('Methodology &amp; Sources'!$B$219:$J$223,0,1))*INDEX('Methodology &amp; Sources'!$B$219:$J$223,0,1+2)),IF($AN30="VA",SUMPRODUCT(($AZ30&gt;INDEX('Methodology &amp; Sources'!$B$219:$J$223,0,4))*($AZ30-INDEX('Methodology &amp; Sources'!$B$219:$J$223,0,4))*INDEX('Methodology &amp; Sources'!$B$219:$J$223,0,4+2)),IF($AN30="WI",SUMPRODUCT(($AZ30&gt;INDEX('Methodology &amp; Sources'!$B$228:$J$232,0,4))*($AZ30-INDEX('Methodology &amp; Sources'!$B$228:$J$232,0,4))*INDEX('Methodology &amp; Sources'!$B$228:$J$232,0,4+2)),"")))))))</f>
      </c>
      <c r="BZ30" s="24">
        <f>IF($B30="","",IF($AN30="NJ",IF(Inputs!$C$77="B",SUMPRODUCT(($AZ30&gt;=INDEX('Methodology &amp; Sources'!$B$155:$J$162,0,4))*INDEX('Methodology &amp; Sources'!$B$155:$J$162,0,4+2)),IF(Inputs!$C$77="C",SUMPRODUCT(($AZ30&gt;=INDEX('Methodology &amp; Sources'!$B$155:$J$162,0,7))*INDEX('Methodology &amp; Sources'!$B$155:$J$162,0,7+2)),IF(Inputs!$C$77="D",SUMPRODUCT(($AZ30&gt;=INDEX('Methodology &amp; Sources'!$B$167:$J$179,0,1))*INDEX('Methodology &amp; Sources'!$B$167:$J$179,0,1+2)),IF(Inputs!$C$77="E",SUMPRODUCT(($AZ30&gt;=INDEX('Methodology &amp; Sources'!$B$167:$J$179,0,4))*INDEX('Methodology &amp; Sources'!$B$167:$J$179,0,4+2)),SUMPRODUCT(($AZ30&gt;=INDEX('Methodology &amp; Sources'!$B$155:$J$162,0,1))*INDEX('Methodology &amp; Sources'!$B$155:$J$162,0,1+2)))))),IF($AN30="OR",IF(OR($AU30="Married",AND($AU30="Single",$AS30&gt;=3)),SUMPRODUCT((MAX(0,$AY30-MIN(($P30-'Methodology &amp; Sources'!$C$10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Sources'!$B$211:$J$214,0,4))*INDEX('Methodology &amp; Sources'!$B$211:$J$214,0,4+2)),SUMPRODUCT((MAX(0,$AY30-MIN(($P30-'Methodology &amp; Sources'!$C$10*$D30)*Inputs!$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Sources'!$B$211:$J$214,0,1))*INDEX('Methodology &amp; Sources'!$B$211:$J$214,0,1+2)))*IF(($P30-'Methodology &amp; Sources'!$C$10*$D30)*Inputs!$C$8&gt;=IF(OR($AU30="Married",AND($AU30="Single",$AS30&gt;=3)),IF($AY30&lt;250000,8750,IF($AY30&lt;260000,7000,IF($AY30&lt;270000,5250,IF($AY30&lt;280000,3500,IF($AY30&lt;290000,1750,0))))),IF($AY30&lt;125000,8750,IF($AY30&lt;130000,7000,IF($AY30&lt;135000,5250,IF($AY30&lt;140000,3500,IF($AY30&lt;145000,1750,0)))))),1,1-IF(Inputs!$C$13,SUMPRODUCT(($AH30&gt;=INDEX('Methodology &amp; Sources'!$B$29:$J$36,0,IF(Inputs!$C$12="MFJ",1,IF(Inputs!$C$12="HoH",7,4))))*INDEX('Methodology &amp; Sources'!$B$29:$J$36,0,IF(Inputs!$C$12="MFJ",1,IF(Inputs!$C$12="HoH",7,4))+2)),SUMPRODUCT(($AH30&gt;=INDEX('Methodology &amp; Sources'!$B$19:$J$26,0,IF(Inputs!$C$12="MFJ",1,IF(Inputs!$C$12="HoH",7,4))))*INDEX('Methodology &amp; Sources'!$B$19:$J$26,0,IF(Inputs!$C$12="MFJ",1,IF(Inputs!$C$12="HoH",7,4))+2)))),IF($AN30="MI",IF($AY30&gt;5900*$AS30,0.0425,0),""))))</f>
      </c>
      <c r="CA30" s="24">
        <f>IF($B30="","",IF($AN30="AL",IF(OR($AU30="Married",$AU30="Head of household"),SUMPRODUCT(($AZ30&gt;=INDEX('Methodology &amp; Sources'!$B$82:$J$86,0,4))*INDEX('Methodology &amp; Sources'!$B$82:$J$86,0,4+2)),SUMPRODUCT(($AZ30&gt;=INDEX('Methodology &amp; Sources'!$B$82:$J$86,0,1))*INDEX('Methodology &amp; Sources'!$B$82:$J$86,0,1+2)))*(1-IF(Inputs!$C$13,SUMPRODUCT(($AH30&gt;=INDEX('Methodology &amp; Sources'!$B$29:$J$36,0,IF(Inputs!$C$12="MFJ",1,IF(Inputs!$C$12="HoH",7,4))))*INDEX('Methodology &amp; Sources'!$B$29:$J$36,0,IF(Inputs!$C$12="MFJ",1,IF(Inputs!$C$12="HoH",7,4))+2)),SUMPRODUCT(($AH30&gt;=INDEX('Methodology &amp; Sources'!$B$19:$J$26,0,IF(Inputs!$C$12="MFJ",1,IF(Inputs!$C$12="HoH",7,4))))*INDEX('Methodology &amp; Sources'!$B$19:$J$26,0,IF(Inputs!$C$12="MFJ",1,IF(Inputs!$C$12="HoH",7,4))+2)))),IF($AN30="KS",IF($AU30="Married",SUMPRODUCT(($AZ30&gt;=INDEX('Methodology &amp; Sources'!$B$103:$J$109,0,4))*INDEX('Methodology &amp; Sources'!$B$103:$J$109,0,4+2)),SUMPRODUCT(($AZ30&gt;=INDEX('Methodology &amp; Sources'!$B$103:$J$109,0,1))*INDEX('Methodology &amp; Sources'!$B$103:$J$109,0,1+2))),IF($AN30="MD",IF(OR($AU30="Married",$AU30="Head of household"),SUMPRODUCT(($AZ30&gt;=INDEX('Methodology &amp; Sources'!$B$114:$J$120,0,1))*INDEX('Methodology &amp; Sources'!$B$114:$J$120,0,1+2)),SUMPRODUCT(($AZ30&gt;=INDEX('Methodology &amp; Sources'!$B$103:$J$109,0,7))*INDEX('Methodology &amp; Sources'!$B$103:$J$109,0,7+2)))+Inputs!$C$74,IF($AN30="MT",IF($AU30="Head of household",SUMPRODUCT(($AZ30&gt;=INDEX('Methodology &amp; Sources'!$B$137:$J$139,0,1))*INDEX('Methodology &amp; Sources'!$B$137:$J$139,0,1+2)),IF($AU30="Married",SUMPRODUCT(($AZ30&gt;=INDEX('Methodology &amp; Sources'!$B$125:$J$132,0,7))*INDEX('Methodology &amp; Sources'!$B$125:$J$132,0,7+2)),SUMPRODUCT(($AZ30&gt;=INDEX('Methodology &amp; Sources'!$B$125:$J$132,0,4))*INDEX('Methodology &amp; Sources'!$B$125:$J$132,0,4+2)))),IF($AN30="ND",IF($AU30="Head of household",SUMPRODUCT(($AZ30&gt;=INDEX('Methodology &amp; Sources'!$B$144:$J$150,0,1))*INDEX('Methodology &amp; Sources'!$B$144:$J$150,0,1+2)),IF($AU30="Married",SUMPRODUCT(($AZ30&gt;=INDEX('Methodology &amp; Sources'!$B$137:$J$139,0,7))*INDEX('Methodology &amp; Sources'!$B$137:$J$139,0,7+2)),SUMPRODUCT(($AZ30&gt;=INDEX('Methodology &amp; Sources'!$B$137:$J$139,0,4))*INDEX('Methodology &amp; Sources'!$B$137:$J$139,0,4+2)))),IF($AN30="NY",IF($AU30="Married",IF($AZ30&gt;=2155350,IF($AZ30&gt;25000000,0.117,IF($AZ30&gt;5000000,0.111,0.1045)),SUMPRODUCT(($AZ30&gt;=INDEX('Methodology &amp; Sources'!$B$184:$J$198,0,1))*INDEX('Methodology &amp; Sources'!$B$184:$J$198,0,1+2))),IF($AZ30&gt;=1077550,IF($AZ30&gt;25000000,0.117,IF($AZ30&gt;5000000,0.111,0.1045)),SUMPRODUCT(($AZ30&gt;=INDEX('Methodology &amp; Sources'!$B$167:$J$179,0,7))*INDEX('Methodology &amp; Sources'!$B$167:$J$179,0,7+2)))),"")))))))</f>
      </c>
      <c r="CB30" s="24">
        <f>IF($B30="","",IF($AN30="CA",SUMPRODUCT(($AJ30&gt;=INDEX('Methodology &amp; Sources'!$B$39:$J$48,0,IF($AU30="Married",4,IF($AU30="Head of household",7,1))))*INDEX('Methodology &amp; Sources'!$B$39:$J$48,0,IF($AU30="Married",4,IF($AU30="Head of household",7,1))+2)),IF($AN30="HI",IF($AU30="Married",SUMPRODUCT(($AZ30&gt;=INDEX('Methodology &amp; Sources'!$B$91:$J$98,0,7))*INDEX('Methodology &amp; Sources'!$B$91:$J$98,0,7+2)),SUMPRODUCT(($AZ30&gt;=INDEX('Methodology &amp; Sources'!$B$91:$J$98,0,4))*INDEX('Methodology &amp; Sources'!$B$91:$J$98,0,4+2))),IF($AN30="MN",IF($AU30="Married",SUMPRODUCT(($AZ30&gt;=INDEX('Methodology &amp; Sources'!$B$114:$J$120,0,7))*INDEX('Methodology &amp; Sources'!$B$114:$J$120,0,7+2)),SUMPRODUCT(($AZ30&gt;=INDEX('Methodology &amp; Sources'!$B$114:$J$120,0,4))*INDEX('Methodology &amp; Sources'!$B$114:$J$120,0,4+2))),IF($AN30="MO",SUMPRODUCT(($AZ30&gt;=INDEX('Methodology &amp; Sources'!$B$125:$J$132,0,1))*INDEX('Methodology &amp; Sources'!$B$125:$J$132,0,1+2)),IF($AN30="NE",MAX(IF($AU30="Married",SUMPRODUCT(($AZ30&gt;=INDEX('Methodology &amp; Sources'!$B$144:$J$150,0,7))*INDEX('Methodology &amp; Sources'!$B$144:$J$150,0,7+2)),SUMPRODUCT(($AZ30&gt;=INDEX('Methodology &amp; Sources'!$B$144:$J$150,0,4))*INDEX('Methodology &amp; Sources'!$B$144:$J$150,0,4+2))),0.015),IF($AN30="OH",IF($B30&gt;=DATE(2027,8,1),SUMPRODUCT(($AZ30&gt;=INDEX('Methodology &amp; Sources'!$B$203:$J$206,0,1))*INDEX('Methodology &amp; Sources'!$B$203:$J$206,0,1+2)),SUMPRODUCT(($AZ30&gt;=INDEX('Methodology &amp; Sources'!$B$184:$J$198,0,7))*INDEX('Methodology &amp; Sources'!$B$184:$J$198,0,7+2))),IF($AN30="OK",IF($AU30="Married",SUMPRODUCT(($AZ30&gt;=INDEX('Methodology &amp; Sources'!$B$203:$J$206,0,7))*INDEX('Methodology &amp; Sources'!$B$203:$J$206,0,7+2)),SUMPRODUCT(($AZ30&gt;=INDEX('Methodology &amp; Sources'!$B$203:$J$206,0,4))*INDEX('Methodology &amp; Sources'!$B$203:$J$206,0,4+2))),IF($AN30="RI",SUMPRODUCT(($AZ30&gt;=INDEX('Methodology &amp; Sources'!$B$211:$J$214,0,7))*INDEX('Methodology &amp; Sources'!$B$211:$J$214,0,7+2)),IF($AN30="SC",SUMPRODUCT(($AZ30&gt;=INDEX('Methodology &amp; Sources'!$B$219:$J$223,0,1))*INDEX('Methodology &amp; Sources'!$B$219:$J$223,0,1+2)),IF($AN30="VT",IF($AU30="Married",SUMPRODUCT(($AZ30&gt;=INDEX('Methodology &amp; Sources'!$B$228:$J$232,0,1))*INDEX('Methodology &amp; Sources'!$B$228:$J$232,0,1+2)),SUMPRODUCT(($AZ30&gt;=INDEX('Methodology &amp; Sources'!$B$219:$J$223,0,7))*INDEX('Methodology &amp; Sources'!$B$219:$J$223,0,7+2))),IF($AN30="WV",IF($AU30="Married",SUMPRODUCT(($AZ30&gt;=INDEX('Methodology &amp; Sources'!$B$237:$J$241,0,7))*INDEX('Methodology &amp; Sources'!$B$237:$J$241,0,7+2)),SUMPRODUCT(($AZ30&gt;=INDEX('Methodology &amp; Sources'!$B$228:$J$232,0,7))*INDEX('Methodology &amp; Sources'!$B$228:$J$232,0,7+2))),IF($AN30="IN",(0.0295+Inputs!$C$76),"")))))))))))))</f>
      </c>
      <c r="CC30" s="24">
        <f>IF($B30="","",IF($AN30="AR",SUMPRODUCT(($AZ30&gt;=INDEX('Methodology &amp; Sources'!$B$82:$J$86,0,7))*INDEX('Methodology &amp; Sources'!$B$82:$J$86,0,7+2)),IF($AN30="DE",SUMPRODUCT(($AZ30&gt;=INDEX('Methodology &amp; Sources'!$B$91:$J$98,0,1))*INDEX('Methodology &amp; Sources'!$B$91:$J$98,0,1+2)),IF($AN30="VA",SUMPRODUCT(($AZ30&gt;=INDEX('Methodology &amp; Sources'!$B$219:$J$223,0,4))*INDEX('Methodology &amp; Sources'!$B$219:$J$223,0,4+2)),IF($AN30="WI",SUMPRODUCT(($AZ30&gt;=INDEX('Methodology &amp; Sources'!$B$228:$J$232,0,4))*INDEX('Methodology &amp; Sources'!$B$228:$J$232,0,4+2)),IF($AN30="AZ",Inputs!$C$82,IF($AN30="CO",IF($AY30&gt;IF($AU30="Married",10000,5000),0.044,0),IF($AN30="IA",IF($AY30&gt;IF($AU30="Head of household",19500,IF($AU30="Married",26000,13000)),0.038,0),IF($AN30="ID",IF($AY30&gt;IF($AU30="Married",32000,16094),0.053,0),IF($AN30="IL",IF($AY30&gt;(2925*$AS30+1000*$AT30),0.0495,0),IF($AN30="KY",IF($AI30&gt;3360,0.035,0),IF($AN30="LA",0.0309,IF($AN30="MA",IF(MAX(0,$AY30-MIN(($BD29+$Q30+$R30+$S30),2000)-IF($AS30=0,0,IF($AS30=1,4400,1000*$AS30+3400)))&gt;=1107750,0.09,0.05),IF($AN30="MS",IF($AI30-IF($AU30="Head of household",3400,IF($AU30="Married",4600,2300))-Inputs!$C$85&gt;10000,0.04,0),IF($AN30="PA",0.0307,"")))))))))))))))</f>
      </c>
      <c r="CD30" s="21">
        <f>IF(YEAR(IF(Inputs!$C$7="Weekly",Inputs!$C$90+7*(($BE29+1)-1),IF(Inputs!$C$7="Biweekly",Inputs!$C$90+14*(($BE29+1)-1),IF(Inputs!$C$7="Semimonthly",DATE(YEAR(Inputs!$C$9),MONTH(Inputs!$C$9)+INT((($BE29+1)-1+'Rest of 2026'!$C$2)/2),MIN(DAY(Inputs!$C$9),DAY(EOMONTH(DATE(YEAR(Inputs!$C$9),MONTH(Inputs!$C$9)+INT((($BE29+1)-1+'Rest of 2026'!$C$2)/2),1),0))))+IF(MOD(($BE29+1)-1+'Rest of 2026'!$C$2,2)=1,15,0),EDATE(Inputs!$C$90,($BE29+1)-1)))))&lt;&gt;Inputs!$C$10,"",IF(Inputs!$C$7="Weekly",Inputs!$C$90+7*(($BE29+1)-1),IF(Inputs!$C$7="Biweekly",Inputs!$C$90+14*(($BE29+1)-1),IF(Inputs!$C$7="Semimonthly",DATE(YEAR(Inputs!$C$9),MONTH(Inputs!$C$9)+INT((($BE29+1)-1+'Rest of 2026'!$C$2)/2),MIN(DAY(Inputs!$C$9),DAY(EOMONTH(DATE(YEAR(Inputs!$C$9),MONTH(Inputs!$C$9)+INT((($BE29+1)-1+'Rest of 2026'!$C$2)/2),1),0))))+IF(MOD(($BE29+1)-1+'Rest of 2026'!$C$2,2)=1,15,0),EDATE(Inputs!$C$90,($BE29+1)-1)))))</f>
      </c>
      <c r="CE30" s="21">
        <f>IF(SUMPRODUCT(MIN(IF((Inputs!$C$58:$C$67&gt;MAX($B$6:$B29))*(Inputs!$C$58:$C$67&gt;=DATE(Inputs!$C$10,1,1))*(Inputs!$C$58:$C$67&lt;=DATE(Inputs!$C$10,12,31)),Inputs!$C$58:$C$67,999999)))=999999,"",SUMPRODUCT(MIN(IF((Inputs!$C$58:$C$67&gt;MAX($B$6:$B29))*(Inputs!$C$58:$C$67&gt;=DATE(Inputs!$C$10,1,1))*(Inputs!$C$58:$C$67&lt;=DATE(Inputs!$C$10,12,31)),Inputs!$C$58:$C$67,999999))))</f>
      </c>
    </row>
    <row r="31">
      <c r="A31" t="n">
        <v>26</v>
      </c>
      <c r="B31" s="21">
        <f>IF(AND($CD31="",$CE31=""),"",IF($CE31="",$CD31,IF($CD31="",$CE31,MIN($CD31,$CE31))))</f>
      </c>
      <c r="C31" s="7">
        <f>IF($B31="","",IF($BF31=0,0,IF(Inputs!$C$4="Annual salary",ROUND($AK31/IF(AND(Inputs!$C$88="Actual paydays",MONTH(Inputs!$C$90)=1),MAX(1,MAX($BE$6:$BE$68)),Inputs!$C$8),2),$AK31)))</f>
      </c>
      <c r="D31" s="7">
        <f>IF($B31="","",SUMIF(Inputs!$C$58:$C$67,$B31,Inputs!$D$58:$D$67))</f>
      </c>
      <c r="E31" s="7">
        <f>IF($B31="","",ROUND(MAX(0,MIN(IF($AL31="Percent",$AM31*($C31+$D31),$AM31),MAX(0,Inputs!$C$34-$AC30))),2))</f>
      </c>
      <c r="F31" s="7">
        <f>IF($B31="","",ROUND(MAX(0,MIN(IF(Inputs!$C$32="Percent",Inputs!$D$32*($C31+$D31),Inputs!$D$32),MAX(0,Inputs!$C$34-$AC30-$E31))),2))</f>
      </c>
      <c r="G31" s="7">
        <f>IF($B31="","",IF($BF31=0,0,ROUND(MAX(0,MIN($BL31,Inputs!$C$37-Inputs!$C$99-$BI30)),2)))</f>
      </c>
      <c r="H31" s="7">
        <f>IF($B31="","",IF(OR($BF31=0,$BQ31=1),0,ROUND(MAX(0,MIN(IF($BS31=1,ROUND(MAX(0,MIN($BJ31,'Methodology &amp; Sources'!$C$13)-$BG30)/MAX(1,MAX($BE$6:$BE$68)-($BE30)),2),ROUND(MIN($BJ31,'Methodology &amp; Sources'!$C$13)/Inputs!$C$8,2)),MIN($BJ31,'Methodology &amp; Sources'!$C$13)-$BG30)),2)))</f>
      </c>
      <c r="I31" s="7">
        <f>IF($B31="","",IF(OR($BF31=0,$BR31=1),0,ROUND(MAX(0,MIN(IF($BT31=1,ROUND(MAX(0,MIN($BK31,IF(Inputs!$C$12="MFJ",'Methodology &amp; Sources'!$C$14,'Methodology &amp; Sources'!$C$15))-$BH30)/MAX(1,MAX($BE$6:$BE$68)-($BE30)),2),ROUND(MIN($BK31,IF(Inputs!$C$12="MFJ",'Methodology &amp; Sources'!$C$14,'Methodology &amp; Sources'!$C$15))/Inputs!$C$8,2)),MIN($BK31,IF(Inputs!$C$12="MFJ",'Methodology &amp; Sources'!$C$14,'Methodology &amp; Sources'!$C$15))-$BH30)),2)))</f>
      </c>
      <c r="J31" s="7">
        <f>IF($B31="","",IF($BF31=0,0,$BM31))</f>
      </c>
      <c r="K31" s="7">
        <f>IF($B31="","",IF($BF31=0,0,$BN31+$BO31))</f>
      </c>
      <c r="L31" s="7">
        <f>IF($B31="","",IF($BF31=0,0,Inputs!$D$46))</f>
      </c>
      <c r="M31" s="7">
        <f>IF($B31="","",$C31+$D31+$L31-$E31-$G31-$H31-$I31-$J31-$K31)</f>
      </c>
      <c r="N31" s="7">
        <f>IF($B31="","",$C31+$D31+$L31-$G31-$H31-$I31-$J31-$K31)</f>
      </c>
      <c r="O31" s="7">
        <f>IF($B31="","",$C31+$D31+$L31-$E31-$H31-$I31-$J31-$K31-IF(OR($AN31="CA",$AN31="NJ"),0,$G31))</f>
      </c>
      <c r="P31" s="7">
        <f>IF($B31="","",IF(Inputs!$C$18,0,ROUND(MAX(0,IF(Inputs!$C$13,SUMPRODUCT(($AH31&gt;INDEX('Methodology &amp; Sources'!$B$29:$J$36,0,IF(Inputs!$C$12="MFJ",1,IF(Inputs!$C$12="HoH",7,4))))*($AH31-INDEX('Methodology &amp; Sources'!$B$29:$J$36,0,IF(Inputs!$C$12="MFJ",1,IF(Inputs!$C$12="HoH",7,4))))*INDEX('Methodology &amp; Sources'!$B$29:$J$36,0,IF(Inputs!$C$12="MFJ",1,IF(Inputs!$C$12="HoH",7,4))+2)),SUMPRODUCT(($AH31&gt;INDEX('Methodology &amp; Sources'!$B$19:$J$26,0,IF(Inputs!$C$12="MFJ",1,IF(Inputs!$C$12="HoH",7,4))))*($AH31-INDEX('Methodology &amp; Sources'!$B$19:$J$26,0,IF(Inputs!$C$12="MFJ",1,IF(Inputs!$C$12="HoH",7,4))))*INDEX('Methodology &amp; Sources'!$B$19:$J$26,0,IF(Inputs!$C$12="MFJ",1,IF(Inputs!$C$12="HoH",7,4))+2)))/Inputs!$C$8-$AO31/Inputs!$C$8)+$AR31+IF(Inputs!$C$89="Aggregate",MAX(0,IF(Inputs!$C$13,SUMPRODUCT((($AH31+$D31)&gt;INDEX('Methodology &amp; Sources'!$B$29:$J$36,0,IF(Inputs!$C$12="MFJ",1,IF(Inputs!$C$12="HoH",7,4))))*(($AH31+$D31)-INDEX('Methodology &amp; Sources'!$B$29:$J$36,0,IF(Inputs!$C$12="MFJ",1,IF(Inputs!$C$12="HoH",7,4))))*INDEX('Methodology &amp; Sources'!$B$29:$J$36,0,IF(Inputs!$C$12="MFJ",1,IF(Inputs!$C$12="HoH",7,4))+2)),SUMPRODUCT((($AH31+$D31)&gt;INDEX('Methodology &amp; Sources'!$B$19:$J$26,0,IF(Inputs!$C$12="MFJ",1,IF(Inputs!$C$12="HoH",7,4))))*(($AH31+$D31)-INDEX('Methodology &amp; Sources'!$B$19:$J$26,0,IF(Inputs!$C$12="MFJ",1,IF(Inputs!$C$12="HoH",7,4))))*INDEX('Methodology &amp; Sources'!$B$19:$J$26,0,IF(Inputs!$C$12="MFJ",1,IF(Inputs!$C$12="HoH",7,4))+2)))-IF(Inputs!$C$13,SUMPRODUCT(($AH31&gt;INDEX('Methodology &amp; Sources'!$B$29:$J$36,0,IF(Inputs!$C$12="MFJ",1,IF(Inputs!$C$12="HoH",7,4))))*($AH31-INDEX('Methodology &amp; Sources'!$B$29:$J$36,0,IF(Inputs!$C$12="MFJ",1,IF(Inputs!$C$12="HoH",7,4))))*INDEX('Methodology &amp; Sources'!$B$29:$J$36,0,IF(Inputs!$C$12="MFJ",1,IF(Inputs!$C$12="HoH",7,4))+2)),SUMPRODUCT(($AH31&gt;INDEX('Methodology &amp; Sources'!$B$19:$J$26,0,IF(Inputs!$C$12="MFJ",1,IF(Inputs!$C$12="HoH",7,4))))*($AH31-INDEX('Methodology &amp; Sources'!$B$19:$J$26,0,IF(Inputs!$C$12="MFJ",1,IF(Inputs!$C$12="HoH",7,4))))*INDEX('Methodology &amp; Sources'!$B$19:$J$26,0,IF(Inputs!$C$12="MFJ",1,IF(Inputs!$C$12="HoH",7,4))+2)))),'Methodology &amp; Sources'!$C$10*$D31),2)))</f>
      </c>
      <c r="Q31" s="7">
        <f>IF($B31="","",ROUND('Methodology &amp; Sources'!$C$4*MIN($N31,MAX(0,'Methodology &amp; Sources'!$C$3-($AX31+$AB30-$AW31))),2))</f>
      </c>
      <c r="R31" s="7">
        <f>IF($B31="","",ROUND('Methodology &amp; Sources'!$C$5*$N31,2))</f>
      </c>
      <c r="S31" s="7">
        <f>IF($B31="","",ROUND('Methodology &amp; Sources'!$C$6*MAX(0,MIN($N31,$AG30+$N31-'Methodology &amp; Sources'!$C$7)),2))</f>
      </c>
      <c r="T31" s="7">
        <f>IF($B31="","",IF(Inputs!$C$26,0,IF($AN31="CA",ROUND(IF($AI31&lt;=IF(($AS31+$AT31)&gt;=2,VLOOKUP($AN31,StateTables!$A$6:$AB$56,10,FALSE),VLOOKUP($AN31,StateTables!$A$6:$AB$56,9,FALSE)),0,MAX(0,SUMPRODUCT(($AJ31&gt;INDEX('Methodology &amp; Sources'!$B$39:$J$48,0,IF($AU31="Married",4,IF($AU31="Head of household",7,1))))*($AJ31-INDEX('Methodology &amp; Sources'!$B$39:$J$48,0,IF($AU31="Married",4,IF($AU31="Head of household",7,1))))*INDEX('Methodology &amp; Sources'!$B$39:$J$48,0,IF($AU31="Married",4,IF($AU31="Head of household",7,1))+2))-VLOOKUP($AN31,StateTables!$A$6:$AB$56,11,FALSE)*$AS31)/Inputs!$C$8)+Inputs!$C$25+VLOOKUP($AN31,StateTables!$A$6:$AB$56,13,FALSE)*$D31,2),IF(VLOOKUP($AN31,StateTables!$A$6:$AB$56,4,FALSE)="None",0,IF(ISNUMBER(SEARCH("MANUAL",VLOOKUP($AN31,StateTables!$A$6:$AB$56,5,FALSE))),Inputs!$C$28,ROUND(MAX(0,$BA31+$BB31)/Inputs!$C$8+Inputs!$C$25+$BC31,2))))))</f>
      </c>
      <c r="U31" s="7">
        <f>IF($B31="","",IF(VLOOKUP($AN31,StateTables!$A$6:$AB$56,24,FALSE)="flatq",IF(OR(MONTH($B31)=1,MONTH($B31)=4,MONTH($B31)=7,MONTH($B31)=10),VLOOKUP($AN31,StateTables!$A$6:$AB$56,25,FALSE),0),IF(VLOOKUP($AN31,StateTables!$A$6:$AB$56,24,FALSE)="dbl",MIN(ROUND(0.005*$N31,2),ROUND(0.6*52/Inputs!$C$8,2)),IF(OR(VLOOKUP($AN31,StateTables!$A$6:$AB$56,15,FALSE)="",VLOOKUP($AN31,StateTables!$A$6:$AB$56,15,FALSE)=0),0,ROUND(VLOOKUP($AN31,StateTables!$A$6:$AB$56,15,FALSE)*IF(OR(VLOOKUP($AN31,StateTables!$A$6:$AB$56,16,FALSE)="",VLOOKUP($AN31,StateTables!$A$6:$AB$56,16,FALSE)=0),$N31,MIN($N31,MAX(0,VLOOKUP($AN31,StateTables!$A$6:$AB$56,16,FALSE)-($AX31+$AB30-$AW31)))),2))))+IF(VLOOKUP($AN31,StateTables!$A$6:$AB$56,27,FALSE)="flatq",IF(OR(MONTH($B31)=1,MONTH($B31)=4,MONTH($B31)=7,MONTH($B31)=10),VLOOKUP($AN31,StateTables!$A$6:$AB$56,28,FALSE),0),IF(VLOOKUP($AN31,StateTables!$A$6:$AB$56,27,FALSE)="dbl",MIN(ROUND(0.005*$N31,2),ROUND(0.6*52/Inputs!$C$8,2)),IF(OR(VLOOKUP($AN31,StateTables!$A$6:$AB$56,18,FALSE)="",VLOOKUP($AN31,StateTables!$A$6:$AB$56,18,FALSE)=0),0,ROUND(VLOOKUP($AN31,StateTables!$A$6:$AB$56,18,FALSE)*IF(OR(VLOOKUP($AN31,StateTables!$A$6:$AB$56,19,FALSE)="",VLOOKUP($AN31,StateTables!$A$6:$AB$56,19,FALSE)=0),$N31,MIN($N31,MAX(0,VLOOKUP($AN31,StateTables!$A$6:$AB$56,19,FALSE)-($AX31+$AB30-$AW31)))),2)))))</f>
      </c>
      <c r="V31" s="7">
        <f>IF($B31="","",IF($AN31="NY",IF(Inputs!$C$78,ROUND(SUMPRODUCT((MAX(0,($O31-$D31)*Inputs!$C$8-(IF($AU31="Married",5500,5000)+1000*$AS31))&gt;INDEX('Methodology &amp; Sources'!$B$184:$J$198,0,4))*(MAX(0,($O31-$D31)*Inputs!$C$8-(IF($AU31="Married",5500,5000)+1000*$AS31))-INDEX('Methodology &amp; Sources'!$B$184:$J$198,0,4))*INDEX('Methodology &amp; Sources'!$B$184:$J$198,0,4+2))/Inputs!$C$8+0.0425*$D31,2),0)+IF(Inputs!$C$79="Resident",ROUND(0.1675*$T31,2),IF(Inputs!$C$79="Nonresident",ROUND(0.005*MAX(0,($O31-$D31)-(IF($AU31="Married",7950,7400)+1000*$AS31)/Inputs!$C$8),2),0)),IF($AN31="PA",IF(Inputs!$C$80="None",Inputs!$C$27+ROUND(Inputs!$C$81*($C31+$D31),2),ROUND(IF(Inputs!$C$80="Resident",IF($B31&lt;DATE(2027,7,1),0.03735,0.03735),IF($B31&lt;DATE(2027,7,1),0.03425,0.03425))*($C31+$D31),2)),IF($BF31=0,ROUND(Inputs!$C$81*($C31+$D31),2),Inputs!$C$27+ROUND(Inputs!$C$81*($C31+$D31),2)))))</f>
      </c>
      <c r="W31" s="7">
        <f>IF($B31="","",IF($BF31=0,0,$BP31))</f>
      </c>
      <c r="X31" s="7">
        <f>IF($B31="","",SUM($E31:$K31)+$P31+$Q31+$R31+$S31+$T31+$U31+$V31+$W31)</f>
      </c>
      <c r="Y31" s="22">
        <f>IF($B31="","",$C31+$D31-$X31)</f>
      </c>
      <c r="Z31" s="7">
        <f>IF($B31="","",$Z30+$C31+$D31)</f>
      </c>
      <c r="AA31" s="7">
        <f>IF($B31="","",$AA30+$Y31)</f>
      </c>
      <c r="AB31" s="7">
        <f>IF($B31="","",$AB30+MIN($N31,MAX(0,'Methodology &amp; Sources'!$C$3-($AX31+$AB30-$AW31))))</f>
      </c>
      <c r="AC31" s="7">
        <f>IF($B31="","",$AC30+$E31+$F31)</f>
      </c>
      <c r="AD31" s="3">
        <f>IF($B31="","",IF(AND($AB30&lt;'Methodology &amp; Sources'!$C$3,$AB31&gt;='Methodology &amp; Sources'!$C$3),"★ Social Security maxed on this check — from the next check your net rises by about $"&amp;TEXT(ROUND('Methodology &amp; Sources'!$C$4*$N31,2),"#,##0.00")&amp;". ","")&amp;IF(AND($AC30&lt;Inputs!$C$34,$AC31&gt;=Inputs!$C$34),"★ 401(k) reaches the $"&amp;TEXT(Inputs!$C$34,"#,##0")&amp;" cap on this check — deferrals stop and net pay rises. ","")&amp;IF(AND($AG30&lt;'Methodology &amp; Sources'!$C$7,$AG31&gt;='Methodology &amp; Sources'!$C$7),"★ Wages pass $200,000 — the 0.9% Additional Medicare Tax starts here. ","")&amp;IF(AND($BJ31&gt;0,$H31&gt;0,$BG30&lt;MIN($BJ31,'Methodology &amp; Sources'!$C$13),$BG30+$H31&gt;=MIN($BJ31,'Methodology &amp; Sources'!$C$13)),"★ Health FSA election is now fully deferred for the year. ",""))</f>
      </c>
      <c r="AE31" s="41" t="n"/>
      <c r="AF31" s="7">
        <f>IF(OR($B31="",$AE31=""),"",$AE31-$Y31)</f>
      </c>
      <c r="AG31" s="7">
        <f>IF($B31="","",$AG30+$N31)</f>
      </c>
      <c r="AH31" s="7">
        <f>IF($B31="","",MAX(0,($M31-$D31)*Inputs!$C$8+$AP31-$AQ31-IF(Inputs!$C$13,0,IF(Inputs!$C$12="MFJ",'Methodology &amp; Sources'!$C$8,'Methodology &amp; Sources'!$C$9))))</f>
      </c>
      <c r="AI31" s="7">
        <f>IF($B31="","",$O31*Inputs!$C$8)</f>
      </c>
      <c r="AJ31" s="7">
        <f>IF($B31="","",MAX(0,$AI31-VLOOKUP($AN31,StateTables!$A$6:$AB$56,12,FALSE)*$AT31-IF(($AS31+$AT31)&gt;=2,VLOOKUP($AN31,StateTables!$A$6:$AB$56,8,FALSE),VLOOKUP($AN31,StateTables!$A$6:$AB$56,7,FALSE))))</f>
      </c>
      <c r="AK31" s="7">
        <f>IF($B31="","",IFERROR(LOOKUP(2,1/((Events!$C$6:$C$17="Salary change")*(Events!$B$6:$B$17&lt;=$B31)*(Events!$B$6:$B$17&lt;&gt;"")),Events!$D$6:$D$17),IF(Inputs!$C$4="Annual salary",Inputs!$C$5,Inputs!$C$6)))</f>
      </c>
      <c r="AL31">
        <f>IF($B31="","",IFERROR(LOOKUP(2,1/((Events!$C$6:$C$17="401(k) change")*(Events!$B$6:$B$17&lt;=$B31)*(Events!$B$6:$B$17&lt;&gt;"")),Events!$D$6:$D$17),Inputs!$C$30))</f>
      </c>
      <c r="AM31" s="7">
        <f>IF($B31="","",IFERROR(LOOKUP(2,1/((Events!$C$6:$C$17="401(k) change")*(Events!$B$6:$B$17&lt;=$B31)*(Events!$B$6:$B$17&lt;&gt;"")),Events!$E$6:$E$17),Inputs!$D$30))</f>
      </c>
      <c r="AN31">
        <f>IF($B31="","",IFERROR(LOOKUP(2,1/((Events!$C$6:$C$17="State move")*(Events!$B$6:$B$17&lt;=$B31)*(Events!$B$6:$B$17&lt;&gt;"")),Events!$D$6:$D$17),Inputs!$C$21))</f>
      </c>
      <c r="AO31" s="7">
        <f>IF($B31="","",IFERROR(LOOKUP(2,1/((Events!$C$6:$C$17="W-4 change")*(Events!$B$6:$B$17&lt;=$B31)*(Events!$B$6:$B$17&lt;&gt;"")),Events!$D$6:$D$17),Inputs!$C$14))</f>
      </c>
      <c r="AP31" s="7">
        <f>IF($B31="","",IFERROR(LOOKUP(2,1/((Events!$C$6:$C$17="W-4 change")*(Events!$B$6:$B$17&lt;=$B31)*(Events!$B$6:$B$17&lt;&gt;"")),Events!$E$6:$E$17),Inputs!$C$15))</f>
      </c>
      <c r="AQ31" s="7">
        <f>IF($B31="","",IFERROR(LOOKUP(2,1/((Events!$C$6:$C$17="W-4 change")*(Events!$B$6:$B$17&lt;=$B31)*(Events!$B$6:$B$17&lt;&gt;"")),Events!$F$6:$F$17),Inputs!$C$16))</f>
      </c>
      <c r="AR31" s="7">
        <f>IF($B31="","",IFERROR(LOOKUP(2,1/((Events!$C$6:$C$17="W-4 change")*(Events!$B$6:$B$17&lt;=$B31)*(Events!$B$6:$B$17&lt;&gt;"")),Events!$G$6:$G$17),Inputs!$C$17))</f>
      </c>
      <c r="AS31" s="6">
        <f>IF($B31="","",IFERROR(LOOKUP(2,1/(((Events!$C$6:$C$17="State move")+(Events!$C$6:$C$17="State cert change"))*(Events!$B$6:$B$17&lt;=$B31)*(Events!$B$6:$B$17&lt;&gt;"")),Events!$F$6:$F$17),Inputs!$C$23))</f>
      </c>
      <c r="AT31" s="6">
        <f>IF($B31="","",IFERROR(LOOKUP(2,1/(((Events!$C$6:$C$17="State move")+(Events!$C$6:$C$17="State cert change"))*(Events!$B$6:$B$17&lt;=$B31)*(Events!$B$6:$B$17&lt;&gt;"")),Events!$G$6:$G$17),Inputs!$C$24))</f>
      </c>
      <c r="AU31">
        <f>IF($B31="","",IFERROR(LOOKUP(2,1/((Events!$C$6:$C$17="State move")*(Events!$B$6:$B$17&lt;=$B31)*(Events!$B$6:$B$17&lt;&gt;"")),Events!$E$6:$E$17),Inputs!$C$22))</f>
      </c>
      <c r="AV31" s="6">
        <f>IF($B31="","",1+COUNTIFS(Events!$C$6:$C$17,"Employer change",Events!$B$6:$B$17,"&lt;="&amp;$B31,Events!$B$6:$B$17,"&lt;&gt;"))</f>
      </c>
      <c r="AW31" s="7">
        <f>IF($B31="","",IF($AV31=1,Inputs!$C$94,IF(IFERROR(MATCH(IFERROR(LOOKUP(2,1/((Events!$C$6:$C$17="Employer change")*(Events!$B$6:$B$17&lt;=$B31)*(Events!$B$6:$B$17&lt;&gt;"")),Events!$B$6:$B$17),""),$B$6:$B$68,1),1)&lt;=1,Inputs!$C$94,INDEX($AB$6:$AB$68,MATCH(IFERROR(LOOKUP(2,1/((Events!$C$6:$C$17="Employer change")*(Events!$B$6:$B$17&lt;=$B31)*(Events!$B$6:$B$17&lt;&gt;"")),Events!$B$6:$B$17),""),$B$6:$B$68,1)-1))))</f>
      </c>
      <c r="AX31" s="7">
        <f>IF($B31="","",IF($AV31=1,Inputs!$C$94,IFERROR(LOOKUP(2,1/((Events!$C$6:$C$17="Employer change")*(Events!$B$6:$B$17&lt;=$B31)*(Events!$B$6:$B$17&lt;&gt;"")),Events!$D$6:$D$17),0)))</f>
      </c>
      <c r="AY31" s="7">
        <f>IF($B31="","",($O31-$D31)*Inputs!$C$8)</f>
      </c>
      <c r="AZ31" s="7">
        <f>IF($B31="","",IF($AN31="AL",MAX(0,$AY31-IF($AU31="Married",IF($AY31&lt;=25999,8500,MAX(5000,8500-175*CEILING(($AY31-25999)/500,1))),IF($AU31="Head of household",IF($AY31&lt;=25999,5200,MAX(2500,5200-135*CEILING(($AY31-25999)/500,1))),IF($AY31&lt;=25999,3000,MAX(2500,3000-25*CEILING(($AY31-25999)/500,1)))))-($P31-'Methodology &amp; Sources'!$C$10*$D31)*Inputs!$C$8-IF(OR($AU31="Married",$AU31="Head of household"),3000,1500)-$AT31*IF($AY31&lt;=50000,1000,IF($AY31&lt;=100000,500,300))),IF($AN31="AR",IF(MAX(0,$AY31-2470)&lt;97701,INT(MAX(0,$AY31-2470)/100)*100+50,MAX(0,$AY31-2470)),IF($AN31="DE",MAX(0,$AI31-3250),IF($AN31="HI",MAX(0,$AI31-1144*$AS31-4350),IF($AN31="KS",MAX(0,$AI31-(9160*IF($AU31="Married",2,1)+2320*$AT31+IF($AU31="Head of household",2320,0))),IF($AN31="MD",MAX(0,$AI31-3400-3200*$AS31),IF($AN31="MN",MAX(0,$AY31-5300*$AS31),IF($AN31="MO",MAX(0,$AI31-IF($AU31="Head of household",24150,IF($AU31="Married",IF(Inputs!$C$83,16100,32200),16100))),IF($AN31="MT",$AY31,IF($AN31="ND",($C31+$L31)*Inputs!$C$8,IF($AN31="NE",MAX(0,$AY31-2440*$AS31),IF($AN31="NJ",MAX(0,$AY31-1000*$AS31),IF($AN31="NY",MAX(0,$AY31-(IF($AU31="Married",7950,7400)+1000*$AS31)),IF($AN31="OH",MAX(0,$AY31-650*$AS31),IF($AN31="OK",MAX(0,$AY31-1000*$AS31),IF($AN31="RI",MAX(0,$AI31-1000*$AS31),IF($AN31="SC",MAX(0,$AI31-5000*$AS31-IF($AS31=0,0,MIN(0.1*$AI31,7500))),IF($AN31="VA",MAX(0,$AI31-IF($AU31="Married",17500,8750)-930*$AS31-800*$AT31),IF($AN31="VT",MAX(0,$AI31-5400*$AS31),IF($AN31="WI",MAX(0,$AI31-MAX(0,IF($AU31="Married",9461-0.2*MAX(0,$AI31-25727),6702-0.12*MAX(0,$AI31-17780)))-400*$AS31),IF($AN31="WV",MAX(0,$AI31-2000*$AS31),$AI31))))))))))))))))))))))</f>
      </c>
      <c r="BA31" s="7">
        <f>IF($B31="","",IF($BW31&lt;&gt;"",$BW31,IF($BX31&lt;&gt;"",$BX31,IF($BY31&lt;&gt;"",$BY31,0))))</f>
      </c>
      <c r="BB31" s="7">
        <f>IF($B31="","",IF($AN31="AR",-29*$AS31,IF($AN31="DE",-110*$AS31,IF($AN31="MD",$AZ31*Inputs!$C$74,IF($AN31="AZ",Inputs!$C$82*($M31-$D31)*Inputs!$C$8,IF($AN31="CO",0.044*MAX(0,$AY31-IF($AU31="Married",10000,5000)),IF($AN31="IA",MAX(0,0.038*MAX(0,$AY31-IF($AU31="Head of household",19500,IF($AU31="Married",26000,13000)))-40*$AS31),IF($AN31="ID",0.053*MAX(0,$AY31-IF($AU31="Married",32000,16094)),IF($AN31="IL",0.0495*MAX(0,$AY31-(2925*$AS31+1000*$AT31)),IF($AN31="IN",(0.0295+Inputs!$C$76)*MAX(0,$AY31-(1000*$AS31+1500*$AT31+3000*Inputs!$C$86)),IF($AN31="KY",0.035*MAX(0,$AI31-3360),IF($AN31="LA",IF(Inputs!$C$84="0",0.0309*$AI31,0.0309*MAX(0,$AI31-IF(Inputs!$C$84="2",25750,12875))),IF($AN31="MA",0.05*MIN(MAX(0,$AY31-MIN(($BD30+$Q31+$R31+$S31),2000)-IF($AS31=0,0,IF($AS31=1,4400,1000*$AS31+3400))),1107750)+0.09*MAX(0,MAX(0,$AY31-MIN(($BD30+$Q31+$R31+$S31),2000)-IF($AS31=0,0,IF($AS31=1,4400,1000*$AS31+3400)))-1107750)-IF($AU31="Head of household",120,0)-110*Inputs!$C$75,IF($AN31="MI",0.0425*MAX(0,$AY31-5900*$AS31),IF($AN31="MS",0.04*MAX(0,$AI31-IF($AU31="Head of household",3400,IF($AU31="Married",4600,2300))-Inputs!$C$85-10000),IF($AN31="OR",IF(OR($AU31="Married",AND($AU31="Single",$AS31&gt;=3)),SUMPRODUCT((MAX(0,$AY31-MIN(($P31-'Methodology &amp; Sources'!$C$10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Sources'!$B$211:$J$214,0,4))*(MAX(0,$AY31-MIN(($P31-'Methodology &amp; Sources'!$C$10*$D31)*Inputs!$C$8,IF(OR($AU31="Married",AND($AU31="Single",$AS31&gt;=3)),IF($AY31&lt;250000,8750,IF($AY31&lt;260000,7000,IF($AY31&lt;270000,5250,IF($AY31&lt;280000,3500,IF($AY31&lt;290000,1750,0))))),IF($AY31&lt;125000,8750,IF($AY31&lt;130000,7000,IF($AY31&lt;135000,5250,IF($AY31&lt;140000,3500,IF($AY31&lt;145000,1750,0)))))))-IF(OR($AU31="Married",AND($AU31="Single",$AS31&gt;=3)),5820,2910))-INDEX('Methodology &amp; Sources'!$B$211:$J$214,0,4))*INDEX('Methodology &amp; Sources'!$B$211:$J$214,0,4+2)),SUMPRODUCT((MAX(0,$AY31-MIN(($P31-'Methodology &amp; Sources'!$C$10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Sources'!$B$211:$J$214,0,1))*(MAX(0,$AY31-MIN(($P31-'Methodology &amp; Sources'!$C$10*$D31)*Inputs!$C$8,IF(OR($AU31="Married",AND($AU31="Single",$AS31&gt;=3)),IF($AY31&lt;250000,8750,IF($AY31&lt;260000,7000,IF($AY31&lt;270000,5250,IF($AY31&lt;280000,3500,IF($AY31&lt;290000,1750,0))))),IF($AY31&lt;125000,8750,IF($AY31&lt;130000,7000,IF($AY31&lt;135000,5250,IF($AY31&lt;140000,3500,IF($AY31&lt;145000,1750,0)))))))-IF(OR($AU31="Married",AND($AU31="Single",$AS31&gt;=3)),5820,2910))-INDEX('Methodology &amp; Sources'!$B$211:$J$214,0,1))*INDEX('Methodology &amp; Sources'!$B$211:$J$214,0,1+2)))+263-263*IF(IF($AU31="Married",$AY31&gt;200000,$AY31&gt;100000),0,$AS31),IF($AN31="PA",0.0307*(($O31+$E31+$G31)*Inputs!$C$8),IF($AN31="NY",IF($AU31="Married",IF($AZ31&gt;=2155350,0,IF($AZ31&gt;=1077550,0.48,IF($AZ31&gt;=373200,1.21,IF($AZ31&gt;=323200,0.21,IF($AZ31&gt;=211550,-0.19,IF($AZ31&gt;=157650,-2.8,IF($AZ31&gt;=107650,-0.8,IF($AZ31&gt;=96800,0.05,IF($AZ31&gt;=80650,-0.1,IF($AZ31&gt;=13900,0.4,IF($AZ31&gt;=11700,-0.3,IF($AZ31&gt;=8500,0.5,0)))))))))))),IF($AZ31&gt;=1077550,0,IF($AZ31&gt;=265400,4.29,IF($AZ31&gt;=215400,2.29,IF($AZ31&gt;=157650,2.29,IF($AZ31&gt;=107650,0.29,IF($AZ31&gt;=96800,0.05,IF($AZ31&gt;=80650,-0.1,IF($AZ31&gt;=13900,0.4,IF($AZ31&gt;=11700,-0.3,IF($AZ31&gt;=8500,0.5,0))))))))))),0))))))))))))))))))</f>
      </c>
      <c r="BC31" s="7">
        <f>IF($B31="","",IF($AN31="AL",0.05*$D31,IF($AN31="AR",0.039*$D31,IF($AN31="ID",0.053*$D31,IF($AN31="IN",(0.0295+Inputs!$C$76)*$D31,IF($AN31="KS",0.05*$D31,IF($AN31="MA",0.09*MIN($D31,MAX(0,MAX(0,$AY31-MIN(($BD30+$Q31+$R31+$S31),2000)-IF($AS31=0,0,IF($AS31=1,4400,1000*$AS31+3400)))+$D31-1107750))+0.05*($D31-MIN($D31,MAX(0,MAX(0,$AY31-MIN(($BD30+$Q31+$R31+$S31),2000)-IF($AS31=0,0,IF($AS31=1,4400,1000*$AS31+3400)))+$D31-1107750))),IF($AN31="MD",(0.065+Inputs!$C$74)*$D31,IF($AN31="MI",0.0425*$D31,IF($AN31="MN",0.0625*$D31,IF($AN31="MO",0.047*$D31,IF($AN31="MT",0.05*$D31,IF($AN31="ND",0.015*$D31,IF($AN31="NE",0.035*$D31,IF($AN31="NJ",IF(Inputs!$C$77="B",SUMPRODUCT(($D31*Inputs!$C$8&gt;INDEX('Methodology &amp; Sources'!$B$155:$J$162,0,4))*($D31*Inputs!$C$8-INDEX('Methodology &amp; Sources'!$B$155:$J$162,0,4))*INDEX('Methodology &amp; Sources'!$B$155:$J$162,0,4+2)),IF(Inputs!$C$77="C",SUMPRODUCT(($D31*Inputs!$C$8&gt;INDEX('Methodology &amp; Sources'!$B$155:$J$162,0,7))*($D31*Inputs!$C$8-INDEX('Methodology &amp; Sources'!$B$155:$J$162,0,7))*INDEX('Methodology &amp; Sources'!$B$155:$J$162,0,7+2)),IF(Inputs!$C$77="D",SUMPRODUCT(($D31*Inputs!$C$8&gt;INDEX('Methodology &amp; Sources'!$B$167:$J$179,0,1))*($D31*Inputs!$C$8-INDEX('Methodology &amp; Sources'!$B$167:$J$179,0,1))*INDEX('Methodology &amp; Sources'!$B$167:$J$179,0,1+2)),IF(Inputs!$C$77="E",SUMPRODUCT(($D31*Inputs!$C$8&gt;INDEX('Methodology &amp; Sources'!$B$167:$J$179,0,4))*($D31*Inputs!$C$8-INDEX('Methodology &amp; Sources'!$B$167:$J$179,0,4))*INDEX('Methodology &amp; Sources'!$B$167:$J$179,0,4+2)),SUMPRODUCT(($D31*Inputs!$C$8&gt;INDEX('Methodology &amp; Sources'!$B$155:$J$162,0,1))*($D31*Inputs!$C$8-INDEX('Methodology &amp; Sources'!$B$155:$J$162,0,1))*INDEX('Methodology &amp; Sources'!$B$155:$J$162,0,1+2))))))/Inputs!$C$8,IF($AN31="NY",0.117*$D31,IF($AN31="OH",0.0275*$D31,IF($AN31="OK",0.045*$D31,IF($AN31="OR",0.08*$D31,IF($AN31="WI",IF($AY31&lt;12760,0.0354,IF($AY31&lt;25520,0.0465,IF($AY31&lt;280950,0.053,0.0765)))*$D31,0))))))))))))))))))))</f>
      </c>
      <c r="BD31" s="7">
        <f>IF($B31="","",$BD30+$Q31+$R31+$S31)</f>
      </c>
      <c r="BE31" s="6">
        <f>IF($B31="",$BE30,$BE30+$BF31)</f>
      </c>
      <c r="BF31" s="6">
        <f>IF($B31="","",IF(AND(IF(YEAR(IF(Inputs!$C$7="Weekly",Inputs!$C$90+7*(($BE30+1)-1),IF(Inputs!$C$7="Biweekly",Inputs!$C$90+14*(($BE30+1)-1),IF(Inputs!$C$7="Semimonthly",DATE(YEAR(Inputs!$C$9),MONTH(Inputs!$C$9)+INT((($BE30+1)-1+'Rest of 2026'!$C$2)/2),MIN(DAY(Inputs!$C$9),DAY(EOMONTH(DATE(YEAR(Inputs!$C$9),MONTH(Inputs!$C$9)+INT((($BE30+1)-1+'Rest of 2026'!$C$2)/2),1),0))))+IF(MOD(($BE30+1)-1+'Rest of 2026'!$C$2,2)=1,15,0),EDATE(Inputs!$C$90,($BE30+1)-1)))))&lt;&gt;Inputs!$C$10,"",IF(Inputs!$C$7="Weekly",Inputs!$C$90+7*(($BE30+1)-1),IF(Inputs!$C$7="Biweekly",Inputs!$C$90+14*(($BE30+1)-1),IF(Inputs!$C$7="Semimonthly",DATE(YEAR(Inputs!$C$9),MONTH(Inputs!$C$9)+INT((($BE30+1)-1+'Rest of 2026'!$C$2)/2),MIN(DAY(Inputs!$C$9),DAY(EOMONTH(DATE(YEAR(Inputs!$C$9),MONTH(Inputs!$C$9)+INT((($BE30+1)-1+'Rest of 2026'!$C$2)/2),1),0))))+IF(MOD(($BE30+1)-1+'Rest of 2026'!$C$2,2)=1,15,0),EDATE(Inputs!$C$90,($BE30+1)-1)))))&lt;&gt;"",$B31=IF(YEAR(IF(Inputs!$C$7="Weekly",Inputs!$C$90+7*(($BE30+1)-1),IF(Inputs!$C$7="Biweekly",Inputs!$C$90+14*(($BE30+1)-1),IF(Inputs!$C$7="Semimonthly",DATE(YEAR(Inputs!$C$9),MONTH(Inputs!$C$9)+INT((($BE30+1)-1+'Rest of 2026'!$C$2)/2),MIN(DAY(Inputs!$C$9),DAY(EOMONTH(DATE(YEAR(Inputs!$C$9),MONTH(Inputs!$C$9)+INT((($BE30+1)-1+'Rest of 2026'!$C$2)/2),1),0))))+IF(MOD(($BE30+1)-1+'Rest of 2026'!$C$2,2)=1,15,0),EDATE(Inputs!$C$90,($BE30+1)-1)))))&lt;&gt;Inputs!$C$10,"",IF(Inputs!$C$7="Weekly",Inputs!$C$90+7*(($BE30+1)-1),IF(Inputs!$C$7="Biweekly",Inputs!$C$90+14*(($BE30+1)-1),IF(Inputs!$C$7="Semimonthly",DATE(YEAR(Inputs!$C$9),MONTH(Inputs!$C$9)+INT((($BE30+1)-1+'Rest of 2026'!$C$2)/2),MIN(DAY(Inputs!$C$9),DAY(EOMONTH(DATE(YEAR(Inputs!$C$9),MONTH(Inputs!$C$9)+INT((($BE30+1)-1+'Rest of 2026'!$C$2)/2),1),0))))+IF(MOD(($BE30+1)-1+'Rest of 2026'!$C$2,2)=1,15,0),EDATE(Inputs!$C$90,($BE30+1)-1)))))),1,0))</f>
      </c>
      <c r="BG31" s="7">
        <f>IF($B31="","",$BG30+$H31)</f>
      </c>
      <c r="BH31" s="7">
        <f>IF($B31="","",$BH30+$I31)</f>
      </c>
      <c r="BI31" s="7">
        <f>IF($B31="","",$BI30+$G31)</f>
      </c>
      <c r="BJ31" s="7">
        <f>IF($B31="","",IFERROR(LOOKUP(2,1/((((Events!$C$6:$C$17="Deduction start"))*(Events!$D$6:$D$17="Health FSA"))*(Events!$B$6:$B$17&lt;=$B31)*(Events!$B$6:$B$17&lt;&gt;"")),Events!$E$6:$E$17),Inputs!$D$38))</f>
      </c>
      <c r="BK31" s="7">
        <f>IF($B31="","",IFERROR(LOOKUP(2,1/((((Events!$C$6:$C$17="Deduction start"))*(Events!$D$6:$D$17="Dependent-care FSA"))*(Events!$B$6:$B$17&lt;=$B31)*(Events!$B$6:$B$17&lt;&gt;"")),Events!$E$6:$E$17),Inputs!$D$39))</f>
      </c>
      <c r="BL31" s="7">
        <f>IF($B31="","",IFERROR(LOOKUP(2,1/((((Events!$C$6:$C$17="Deduction start")+(Events!$C$6:$C$17="Deduction stop"))*(Events!$D$6:$D$17="HSA"))*(Events!$B$6:$B$17&lt;=$B31)*(Events!$B$6:$B$17&lt;&gt;"")),Events!$I$6:$I$17),Inputs!$D$35))</f>
      </c>
      <c r="BM31" s="7">
        <f>IF($B31="","",IFERROR(LOOKUP(2,1/((((Events!$C$6:$C$17="Deduction start")+(Events!$C$6:$C$17="Deduction stop"))*(Events!$D$6:$D$17="Premiums"))*(Events!$B$6:$B$17&lt;=$B31)*(Events!$B$6:$B$17&lt;&gt;"")),Events!$I$6:$I$17),Inputs!$D$40+Inputs!$D$41+Inputs!$D$42))</f>
      </c>
      <c r="BN31" s="7">
        <f>IF($B31="","",IFERROR(LOOKUP(2,1/((((Events!$C$6:$C$17="Deduction start")+(Events!$C$6:$C$17="Deduction stop"))*(Events!$D$6:$D$17="Commuter"))*(Events!$B$6:$B$17&lt;=$B31)*(Events!$B$6:$B$17&lt;&gt;"")),Events!$I$6:$I$17),Inputs!$D$43))</f>
      </c>
      <c r="BO31" s="7">
        <f>IF($B31="","",IFERROR(LOOKUP(2,1/((((Events!$C$6:$C$17="Deduction start")+(Events!$C$6:$C$17="Deduction stop"))*(Events!$D$6:$D$17="Other pre-tax"))*(Events!$B$6:$B$17&lt;=$B31)*(Events!$B$6:$B$17&lt;&gt;"")),Events!$I$6:$I$17),Inputs!$D$44))</f>
      </c>
      <c r="BP31" s="7">
        <f>IF($B31="","",IFERROR(LOOKUP(2,1/((((Events!$C$6:$C$17="Deduction start")+(Events!$C$6:$C$17="Deduction stop"))*(Events!$D$6:$D$17="Other post-tax"))*(Events!$B$6:$B$17&lt;=$B31)*(Events!$B$6:$B$17&lt;&gt;"")),Events!$I$6:$I$17),Inputs!$D$45))</f>
      </c>
      <c r="BQ31" s="6">
        <f>IF($B31="","",IFERROR(LOOKUP(2,1/((((Events!$C$6:$C$17="Deduction start")+(Events!$C$6:$C$17="Deduction stop"))*(Events!$D$6:$D$17="Health FSA"))*(Events!$B$6:$B$17&lt;=$B31)*(Events!$B$6:$B$17&lt;&gt;"")),Events!$J$6:$J$17),0))</f>
      </c>
      <c r="BR31" s="6">
        <f>IF($B31="","",IFERROR(LOOKUP(2,1/((((Events!$C$6:$C$17="Deduction start")+(Events!$C$6:$C$17="Deduction stop"))*(Events!$D$6:$D$17="Dependent-care FSA"))*(Events!$B$6:$B$17&lt;=$B31)*(Events!$B$6:$B$17&lt;&gt;"")),Events!$J$6:$J$17),0))</f>
      </c>
      <c r="BS31" s="6">
        <f>IF($B31="","",IF(SUMPRODUCT((Events!$C$6:$C$17="Deduction start")*(Events!$B$6:$B$17&lt;=$B31)*(Events!$B$6:$B$17&lt;&gt;"")*(Events!$D$6:$D$17="Health FSA"))&gt;0,1,0))</f>
      </c>
      <c r="BT31" s="6">
        <f>IF($B31="","",IF(SUMPRODUCT((Events!$C$6:$C$17="Deduction start")*(Events!$B$6:$B$17&lt;=$B31)*(Events!$B$6:$B$17&lt;&gt;"")*(Events!$D$6:$D$17="Dependent-care FSA"))&gt;0,1,0))</f>
      </c>
      <c r="BU31" s="24">
        <f>IF($B31="","",IF(Inputs!$C$13,SUMPRODUCT(($AH31&gt;=INDEX('Methodology &amp; Sources'!$B$29:$J$36,0,IF(Inputs!$C$12="MFJ",1,IF(Inputs!$C$12="HoH",7,4))))*INDEX('Methodology &amp; Sources'!$B$29:$J$36,0,IF(Inputs!$C$12="MFJ",1,IF(Inputs!$C$12="HoH",7,4))+2)),SUMPRODUCT(($AH31&gt;=INDEX('Methodology &amp; Sources'!$B$19:$J$26,0,IF(Inputs!$C$12="MFJ",1,IF(Inputs!$C$12="HoH",7,4))))*INDEX('Methodology &amp; Sources'!$B$19:$J$26,0,IF(Inputs!$C$12="MFJ",1,IF(Inputs!$C$12="HoH",7,4))+2))))</f>
      </c>
      <c r="BV31" s="24">
        <f>IF($B31="","",IF($BZ31&lt;&gt;"",$BZ31,IF($CA31&lt;&gt;"",$CA31,IF($CB31&lt;&gt;"",$CB31,IF($CC31&lt;&gt;"",$CC31,0)))))</f>
      </c>
      <c r="BW31" s="7">
        <f>IF($B31="","",IF($AN31="MD",IF(OR($AU31="Married",$AU31="Head of household"),SUMPRODUCT(($AZ31&gt;INDEX('Methodology &amp; Sources'!$B$114:$J$120,0,1))*($AZ31-INDEX('Methodology &amp; Sources'!$B$114:$J$120,0,1))*INDEX('Methodology &amp; Sources'!$B$114:$J$120,0,1+2)),SUMPRODUCT(($AZ31&gt;INDEX('Methodology &amp; Sources'!$B$103:$J$109,0,7))*($AZ31-INDEX('Methodology &amp; Sources'!$B$103:$J$109,0,7))*INDEX('Methodology &amp; Sources'!$B$103:$J$109,0,7+2))),IF($AN31="MO",SUMPRODUCT(($AZ31&gt;INDEX('Methodology &amp; Sources'!$B$125:$J$132,0,1))*($AZ31-INDEX('Methodology &amp; Sources'!$B$125:$J$132,0,1))*INDEX('Methodology &amp; Sources'!$B$125:$J$132,0,1+2)),IF($AN31="MT",IF($AU31="Head of household",SUMPRODUCT(($AZ31&gt;INDEX('Methodology &amp; Sources'!$B$137:$J$139,0,1))*($AZ31-INDEX('Methodology &amp; Sources'!$B$137:$J$139,0,1))*INDEX('Methodology &amp; Sources'!$B$137:$J$139,0,1+2)),IF($AU31="Married",SUMPRODUCT(($AZ31&gt;INDEX('Methodology &amp; Sources'!$B$125:$J$132,0,7))*($AZ31-INDEX('Methodology &amp; Sources'!$B$125:$J$132,0,7))*INDEX('Methodology &amp; Sources'!$B$125:$J$132,0,7+2)),SUMPRODUCT(($AZ31&gt;INDEX('Methodology &amp; Sources'!$B$125:$J$132,0,4))*($AZ31-INDEX('Methodology &amp; Sources'!$B$125:$J$132,0,4))*INDEX('Methodology &amp; Sources'!$B$125:$J$132,0,4+2)))),IF($AN31="ND",IF($AU31="Head of household",SUMPRODUCT(($AZ31&gt;INDEX('Methodology &amp; Sources'!$B$144:$J$150,0,1))*($AZ31-INDEX('Methodology &amp; Sources'!$B$144:$J$150,0,1))*INDEX('Methodology &amp; Sources'!$B$144:$J$150,0,1+2)),IF($AU31="Married",SUMPRODUCT(($AZ31&gt;INDEX('Methodology &amp; Sources'!$B$137:$J$139,0,7))*($AZ31-INDEX('Methodology &amp; Sources'!$B$137:$J$139,0,7))*INDEX('Methodology &amp; Sources'!$B$137:$J$139,0,7+2)),SUMPRODUCT(($AZ31&gt;INDEX('Methodology &amp; Sources'!$B$137:$J$139,0,4))*($AZ31-INDEX('Methodology &amp; Sources'!$B$137:$J$139,0,4))*INDEX('Methodology &amp; Sources'!$B$137:$J$139,0,4+2)))),IF($AN31="NJ",IF(Inputs!$C$77="B",SUMPRODUCT(($AZ31&gt;INDEX('Methodology &amp; Sources'!$B$155:$J$162,0,4))*($AZ31-INDEX('Methodology &amp; Sources'!$B$155:$J$162,0,4))*INDEX('Methodology &amp; Sources'!$B$155:$J$162,0,4+2)),IF(Inputs!$C$77="C",SUMPRODUCT(($AZ31&gt;INDEX('Methodology &amp; Sources'!$B$155:$J$162,0,7))*($AZ31-INDEX('Methodology &amp; Sources'!$B$155:$J$162,0,7))*INDEX('Methodology &amp; Sources'!$B$155:$J$162,0,7+2)),IF(Inputs!$C$77="D",SUMPRODUCT(($AZ31&gt;INDEX('Methodology &amp; Sources'!$B$167:$J$179,0,1))*($AZ31-INDEX('Methodology &amp; Sources'!$B$167:$J$179,0,1))*INDEX('Methodology &amp; Sources'!$B$167:$J$179,0,1+2)),IF(Inputs!$C$77="E",SUMPRODUCT(($AZ31&gt;INDEX('Methodology &amp; Sources'!$B$167:$J$179,0,4))*($AZ31-INDEX('Methodology &amp; Sources'!$B$167:$J$179,0,4))*INDEX('Methodology &amp; Sources'!$B$167:$J$179,0,4+2)),SUMPRODUCT(($AZ31&gt;INDEX('Methodology &amp; Sources'!$B$155:$J$162,0,1))*($AZ31-INDEX('Methodology &amp; Sources'!$B$155:$J$162,0,1))*INDEX('Methodology &amp; Sources'!$B$155:$J$162,0,1+2)))))),IF($AN31="NY",IF($AU31="Married",IF($AZ31&gt;=2155350,$AZ31*IF($AZ31&gt;25000000,0.117,IF($AZ31&gt;5000000,0.111,0.1045)),SUMPRODUCT(($AZ31&gt;INDEX('Methodology &amp; Sources'!$B$184:$J$198,0,1))*($AZ31-INDEX('Methodology &amp; Sources'!$B$184:$J$198,0,1))*INDEX('Methodology &amp; Sources'!$B$184:$J$198,0,1+2))),IF($AZ31&gt;=1077550,$AZ31*IF($AZ31&gt;25000000,0.117,IF($AZ31&gt;5000000,0.111,0.1045)),SUMPRODUCT(($AZ31&gt;INDEX('Methodology &amp; Sources'!$B$167:$J$179,0,7))*($AZ31-INDEX('Methodology &amp; Sources'!$B$167:$J$179,0,7))*INDEX('Methodology &amp; Sources'!$B$167:$J$179,0,7+2)))),"")))))))</f>
      </c>
      <c r="BX31" s="7">
        <f>IF($B31="","",IF($AN31="AL",IF(OR($AU31="Married",$AU31="Head of household"),SUMPRODUCT(($AZ31&gt;INDEX('Methodology &amp; Sources'!$B$82:$J$86,0,4))*($AZ31-INDEX('Methodology &amp; Sources'!$B$82:$J$86,0,4))*INDEX('Methodology &amp; Sources'!$B$82:$J$86,0,4+2)),SUMPRODUCT(($AZ31&gt;INDEX('Methodology &amp; Sources'!$B$82:$J$86,0,1))*($AZ31-INDEX('Methodology &amp; Sources'!$B$82:$J$86,0,1))*INDEX('Methodology &amp; Sources'!$B$82:$J$86,0,1+2))),IF($AN31="KS",IF($AU31="Married",SUMPRODUCT(($AZ31&gt;INDEX('Methodology &amp; Sources'!$B$103:$J$109,0,4))*($AZ31-INDEX('Methodology &amp; Sources'!$B$103:$J$109,0,4))*INDEX('Methodology &amp; Sources'!$B$103:$J$109,0,4+2)),SUMPRODUCT(($AZ31&gt;INDEX('Methodology &amp; Sources'!$B$103:$J$109,0,1))*($AZ31-INDEX('Methodology &amp; Sources'!$B$103:$J$109,0,1))*INDEX('Methodology &amp; Sources'!$B$103:$J$109,0,1+2))),IF($AN31="MN",IF($AU31="Married",SUMPRODUCT(($AZ31&gt;INDEX('Methodology &amp; Sources'!$B$114:$J$120,0,7))*($AZ31-INDEX('Methodology &amp; Sources'!$B$114:$J$120,0,7))*INDEX('Methodology &amp; Sources'!$B$114:$J$120,0,7+2)),SUMPRODUCT(($AZ31&gt;INDEX('Methodology &amp; Sources'!$B$114:$J$120,0,4))*($AZ31-INDEX('Methodology &amp; Sources'!$B$114:$J$120,0,4))*INDEX('Methodology &amp; Sources'!$B$114:$J$120,0,4+2))),IF($AN31="NE",MAX(IF($AU31="Married",SUMPRODUCT(($AZ31&gt;INDEX('Methodology &amp; Sources'!$B$144:$J$150,0,7))*($AZ31-INDEX('Methodology &amp; Sources'!$B$144:$J$150,0,7))*INDEX('Methodology &amp; Sources'!$B$144:$J$150,0,7+2)),SUMPRODUCT(($AZ31&gt;INDEX('Methodology &amp; Sources'!$B$144:$J$150,0,4))*($AZ31-INDEX('Methodology &amp; Sources'!$B$144:$J$150,0,4))*INDEX('Methodology &amp; Sources'!$B$144:$J$150,0,4+2))),0.015*$AZ31),IF($AN31="OH",IF($B31&gt;=DATE(2027,8,1),SUMPRODUCT(($AZ31&gt;INDEX('Methodology &amp; Sources'!$B$203:$J$206,0,1))*($AZ31-INDEX('Methodology &amp; Sources'!$B$203:$J$206,0,1))*INDEX('Methodology &amp; Sources'!$B$203:$J$206,0,1+2)),SUMPRODUCT(($AZ31&gt;INDEX('Methodology &amp; Sources'!$B$184:$J$198,0,7))*($AZ31-INDEX('Methodology &amp; Sources'!$B$184:$J$198,0,7))*INDEX('Methodology &amp; Sources'!$B$184:$J$198,0,7+2))),IF($AN31="OK",IF($AU31="Married",SUMPRODUCT(($AZ31&gt;INDEX('Methodology &amp; Sources'!$B$203:$J$206,0,7))*($AZ31-INDEX('Methodology &amp; Sources'!$B$203:$J$206,0,7))*INDEX('Methodology &amp; Sources'!$B$203:$J$206,0,7+2)),SUMPRODUCT(($AZ31&gt;INDEX('Methodology &amp; Sources'!$B$203:$J$206,0,4))*($AZ31-INDEX('Methodology &amp; Sources'!$B$203:$J$206,0,4))*INDEX('Methodology &amp; Sources'!$B$203:$J$206,0,4+2))),IF($AN31="RI",SUMPRODUCT(($AZ31&gt;INDEX('Methodology &amp; Sources'!$B$211:$J$214,0,7))*($AZ31-INDEX('Methodology &amp; Sources'!$B$211:$J$214,0,7))*INDEX('Methodology &amp; Sources'!$B$211:$J$214,0,7+2)),IF($AN31="VT",IF($AU31="Married",SUMPRODUCT(($AZ31&gt;INDEX('Methodology &amp; Sources'!$B$228:$J$232,0,1))*($AZ31-INDEX('Methodology &amp; Sources'!$B$228:$J$232,0,1))*INDEX('Methodology &amp; Sources'!$B$228:$J$232,0,1+2)),SUMPRODUCT(($AZ31&gt;INDEX('Methodology &amp; Sources'!$B$219:$J$223,0,7))*($AZ31-INDEX('Methodology &amp; Sources'!$B$219:$J$223,0,7))*INDEX('Methodology &amp; Sources'!$B$219:$J$223,0,7+2))),IF($AN31="WV",IF($AU31="Married",SUMPRODUCT(($AZ31&gt;INDEX('Methodology &amp; Sources'!$B$237:$J$241,0,7))*($AZ31-INDEX('Methodology &amp; Sources'!$B$237:$J$241,0,7))*INDEX('Methodology &amp; Sources'!$B$237:$J$241,0,7+2)),SUMPRODUCT(($AZ31&gt;INDEX('Methodology &amp; Sources'!$B$228:$J$232,0,7))*($AZ31-INDEX('Methodology &amp; Sources'!$B$228:$J$232,0,7))*INDEX('Methodology &amp; Sources'!$B$228:$J$232,0,7+2))),""))))))))))</f>
      </c>
      <c r="BY31" s="7">
        <f>IF($B31="","",IF($AN31="AR",SUMPRODUCT(($AZ31&gt;INDEX('Methodology &amp; Sources'!$B$82:$J$86,0,7))*($AZ31-INDEX('Methodology &amp; Sources'!$B$82:$J$86,0,7))*INDEX('Methodology &amp; Sources'!$B$82:$J$86,0,7+2)),IF($AN31="DE",SUMPRODUCT(($AZ31&gt;INDEX('Methodology &amp; Sources'!$B$91:$J$98,0,1))*($AZ31-INDEX('Methodology &amp; Sources'!$B$91:$J$98,0,1))*INDEX('Methodology &amp; Sources'!$B$91:$J$98,0,1+2)),IF($AN31="HI",IF($AU31="Married",SUMPRODUCT(($AZ31&gt;INDEX('Methodology &amp; Sources'!$B$91:$J$98,0,7))*($AZ31-INDEX('Methodology &amp; Sources'!$B$91:$J$98,0,7))*INDEX('Methodology &amp; Sources'!$B$91:$J$98,0,7+2)),SUMPRODUCT(($AZ31&gt;INDEX('Methodology &amp; Sources'!$B$91:$J$98,0,4))*($AZ31-INDEX('Methodology &amp; Sources'!$B$91:$J$98,0,4))*INDEX('Methodology &amp; Sources'!$B$91:$J$98,0,4+2))),IF($AN31="SC",SUMPRODUCT(($AZ31&gt;INDEX('Methodology &amp; Sources'!$B$219:$J$223,0,1))*($AZ31-INDEX('Methodology &amp; Sources'!$B$219:$J$223,0,1))*INDEX('Methodology &amp; Sources'!$B$219:$J$223,0,1+2)),IF($AN31="VA",SUMPRODUCT(($AZ31&gt;INDEX('Methodology &amp; Sources'!$B$219:$J$223,0,4))*($AZ31-INDEX('Methodology &amp; Sources'!$B$219:$J$223,0,4))*INDEX('Methodology &amp; Sources'!$B$219:$J$223,0,4+2)),IF($AN31="WI",SUMPRODUCT(($AZ31&gt;INDEX('Methodology &amp; Sources'!$B$228:$J$232,0,4))*($AZ31-INDEX('Methodology &amp; Sources'!$B$228:$J$232,0,4))*INDEX('Methodology &amp; Sources'!$B$228:$J$232,0,4+2)),"")))))))</f>
      </c>
      <c r="BZ31" s="24">
        <f>IF($B31="","",IF($AN31="NJ",IF(Inputs!$C$77="B",SUMPRODUCT(($AZ31&gt;=INDEX('Methodology &amp; Sources'!$B$155:$J$162,0,4))*INDEX('Methodology &amp; Sources'!$B$155:$J$162,0,4+2)),IF(Inputs!$C$77="C",SUMPRODUCT(($AZ31&gt;=INDEX('Methodology &amp; Sources'!$B$155:$J$162,0,7))*INDEX('Methodology &amp; Sources'!$B$155:$J$162,0,7+2)),IF(Inputs!$C$77="D",SUMPRODUCT(($AZ31&gt;=INDEX('Methodology &amp; Sources'!$B$167:$J$179,0,1))*INDEX('Methodology &amp; Sources'!$B$167:$J$179,0,1+2)),IF(Inputs!$C$77="E",SUMPRODUCT(($AZ31&gt;=INDEX('Methodology &amp; Sources'!$B$167:$J$179,0,4))*INDEX('Methodology &amp; Sources'!$B$167:$J$179,0,4+2)),SUMPRODUCT(($AZ31&gt;=INDEX('Methodology &amp; Sources'!$B$155:$J$162,0,1))*INDEX('Methodology &amp; Sources'!$B$155:$J$162,0,1+2)))))),IF($AN31="OR",IF(OR($AU31="Married",AND($AU31="Single",$AS31&gt;=3)),SUMPRODUCT((MAX(0,$AY31-MIN(($P31-'Methodology &amp; Sources'!$C$10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Sources'!$B$211:$J$214,0,4))*INDEX('Methodology &amp; Sources'!$B$211:$J$214,0,4+2)),SUMPRODUCT((MAX(0,$AY31-MIN(($P31-'Methodology &amp; Sources'!$C$10*$D31)*Inputs!$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Sources'!$B$211:$J$214,0,1))*INDEX('Methodology &amp; Sources'!$B$211:$J$214,0,1+2)))*IF(($P31-'Methodology &amp; Sources'!$C$10*$D31)*Inputs!$C$8&gt;=IF(OR($AU31="Married",AND($AU31="Single",$AS31&gt;=3)),IF($AY31&lt;250000,8750,IF($AY31&lt;260000,7000,IF($AY31&lt;270000,5250,IF($AY31&lt;280000,3500,IF($AY31&lt;290000,1750,0))))),IF($AY31&lt;125000,8750,IF($AY31&lt;130000,7000,IF($AY31&lt;135000,5250,IF($AY31&lt;140000,3500,IF($AY31&lt;145000,1750,0)))))),1,1-IF(Inputs!$C$13,SUMPRODUCT(($AH31&gt;=INDEX('Methodology &amp; Sources'!$B$29:$J$36,0,IF(Inputs!$C$12="MFJ",1,IF(Inputs!$C$12="HoH",7,4))))*INDEX('Methodology &amp; Sources'!$B$29:$J$36,0,IF(Inputs!$C$12="MFJ",1,IF(Inputs!$C$12="HoH",7,4))+2)),SUMPRODUCT(($AH31&gt;=INDEX('Methodology &amp; Sources'!$B$19:$J$26,0,IF(Inputs!$C$12="MFJ",1,IF(Inputs!$C$12="HoH",7,4))))*INDEX('Methodology &amp; Sources'!$B$19:$J$26,0,IF(Inputs!$C$12="MFJ",1,IF(Inputs!$C$12="HoH",7,4))+2)))),IF($AN31="MI",IF($AY31&gt;5900*$AS31,0.0425,0),""))))</f>
      </c>
      <c r="CA31" s="24">
        <f>IF($B31="","",IF($AN31="AL",IF(OR($AU31="Married",$AU31="Head of household"),SUMPRODUCT(($AZ31&gt;=INDEX('Methodology &amp; Sources'!$B$82:$J$86,0,4))*INDEX('Methodology &amp; Sources'!$B$82:$J$86,0,4+2)),SUMPRODUCT(($AZ31&gt;=INDEX('Methodology &amp; Sources'!$B$82:$J$86,0,1))*INDEX('Methodology &amp; Sources'!$B$82:$J$86,0,1+2)))*(1-IF(Inputs!$C$13,SUMPRODUCT(($AH31&gt;=INDEX('Methodology &amp; Sources'!$B$29:$J$36,0,IF(Inputs!$C$12="MFJ",1,IF(Inputs!$C$12="HoH",7,4))))*INDEX('Methodology &amp; Sources'!$B$29:$J$36,0,IF(Inputs!$C$12="MFJ",1,IF(Inputs!$C$12="HoH",7,4))+2)),SUMPRODUCT(($AH31&gt;=INDEX('Methodology &amp; Sources'!$B$19:$J$26,0,IF(Inputs!$C$12="MFJ",1,IF(Inputs!$C$12="HoH",7,4))))*INDEX('Methodology &amp; Sources'!$B$19:$J$26,0,IF(Inputs!$C$12="MFJ",1,IF(Inputs!$C$12="HoH",7,4))+2)))),IF($AN31="KS",IF($AU31="Married",SUMPRODUCT(($AZ31&gt;=INDEX('Methodology &amp; Sources'!$B$103:$J$109,0,4))*INDEX('Methodology &amp; Sources'!$B$103:$J$109,0,4+2)),SUMPRODUCT(($AZ31&gt;=INDEX('Methodology &amp; Sources'!$B$103:$J$109,0,1))*INDEX('Methodology &amp; Sources'!$B$103:$J$109,0,1+2))),IF($AN31="MD",IF(OR($AU31="Married",$AU31="Head of household"),SUMPRODUCT(($AZ31&gt;=INDEX('Methodology &amp; Sources'!$B$114:$J$120,0,1))*INDEX('Methodology &amp; Sources'!$B$114:$J$120,0,1+2)),SUMPRODUCT(($AZ31&gt;=INDEX('Methodology &amp; Sources'!$B$103:$J$109,0,7))*INDEX('Methodology &amp; Sources'!$B$103:$J$109,0,7+2)))+Inputs!$C$74,IF($AN31="MT",IF($AU31="Head of household",SUMPRODUCT(($AZ31&gt;=INDEX('Methodology &amp; Sources'!$B$137:$J$139,0,1))*INDEX('Methodology &amp; Sources'!$B$137:$J$139,0,1+2)),IF($AU31="Married",SUMPRODUCT(($AZ31&gt;=INDEX('Methodology &amp; Sources'!$B$125:$J$132,0,7))*INDEX('Methodology &amp; Sources'!$B$125:$J$132,0,7+2)),SUMPRODUCT(($AZ31&gt;=INDEX('Methodology &amp; Sources'!$B$125:$J$132,0,4))*INDEX('Methodology &amp; Sources'!$B$125:$J$132,0,4+2)))),IF($AN31="ND",IF($AU31="Head of household",SUMPRODUCT(($AZ31&gt;=INDEX('Methodology &amp; Sources'!$B$144:$J$150,0,1))*INDEX('Methodology &amp; Sources'!$B$144:$J$150,0,1+2)),IF($AU31="Married",SUMPRODUCT(($AZ31&gt;=INDEX('Methodology &amp; Sources'!$B$137:$J$139,0,7))*INDEX('Methodology &amp; Sources'!$B$137:$J$139,0,7+2)),SUMPRODUCT(($AZ31&gt;=INDEX('Methodology &amp; Sources'!$B$137:$J$139,0,4))*INDEX('Methodology &amp; Sources'!$B$137:$J$139,0,4+2)))),IF($AN31="NY",IF($AU31="Married",IF($AZ31&gt;=2155350,IF($AZ31&gt;25000000,0.117,IF($AZ31&gt;5000000,0.111,0.1045)),SUMPRODUCT(($AZ31&gt;=INDEX('Methodology &amp; Sources'!$B$184:$J$198,0,1))*INDEX('Methodology &amp; Sources'!$B$184:$J$198,0,1+2))),IF($AZ31&gt;=1077550,IF($AZ31&gt;25000000,0.117,IF($AZ31&gt;5000000,0.111,0.1045)),SUMPRODUCT(($AZ31&gt;=INDEX('Methodology &amp; Sources'!$B$167:$J$179,0,7))*INDEX('Methodology &amp; Sources'!$B$167:$J$179,0,7+2)))),"")))))))</f>
      </c>
      <c r="CB31" s="24">
        <f>IF($B31="","",IF($AN31="CA",SUMPRODUCT(($AJ31&gt;=INDEX('Methodology &amp; Sources'!$B$39:$J$48,0,IF($AU31="Married",4,IF($AU31="Head of household",7,1))))*INDEX('Methodology &amp; Sources'!$B$39:$J$48,0,IF($AU31="Married",4,IF($AU31="Head of household",7,1))+2)),IF($AN31="HI",IF($AU31="Married",SUMPRODUCT(($AZ31&gt;=INDEX('Methodology &amp; Sources'!$B$91:$J$98,0,7))*INDEX('Methodology &amp; Sources'!$B$91:$J$98,0,7+2)),SUMPRODUCT(($AZ31&gt;=INDEX('Methodology &amp; Sources'!$B$91:$J$98,0,4))*INDEX('Methodology &amp; Sources'!$B$91:$J$98,0,4+2))),IF($AN31="MN",IF($AU31="Married",SUMPRODUCT(($AZ31&gt;=INDEX('Methodology &amp; Sources'!$B$114:$J$120,0,7))*INDEX('Methodology &amp; Sources'!$B$114:$J$120,0,7+2)),SUMPRODUCT(($AZ31&gt;=INDEX('Methodology &amp; Sources'!$B$114:$J$120,0,4))*INDEX('Methodology &amp; Sources'!$B$114:$J$120,0,4+2))),IF($AN31="MO",SUMPRODUCT(($AZ31&gt;=INDEX('Methodology &amp; Sources'!$B$125:$J$132,0,1))*INDEX('Methodology &amp; Sources'!$B$125:$J$132,0,1+2)),IF($AN31="NE",MAX(IF($AU31="Married",SUMPRODUCT(($AZ31&gt;=INDEX('Methodology &amp; Sources'!$B$144:$J$150,0,7))*INDEX('Methodology &amp; Sources'!$B$144:$J$150,0,7+2)),SUMPRODUCT(($AZ31&gt;=INDEX('Methodology &amp; Sources'!$B$144:$J$150,0,4))*INDEX('Methodology &amp; Sources'!$B$144:$J$150,0,4+2))),0.015),IF($AN31="OH",IF($B31&gt;=DATE(2027,8,1),SUMPRODUCT(($AZ31&gt;=INDEX('Methodology &amp; Sources'!$B$203:$J$206,0,1))*INDEX('Methodology &amp; Sources'!$B$203:$J$206,0,1+2)),SUMPRODUCT(($AZ31&gt;=INDEX('Methodology &amp; Sources'!$B$184:$J$198,0,7))*INDEX('Methodology &amp; Sources'!$B$184:$J$198,0,7+2))),IF($AN31="OK",IF($AU31="Married",SUMPRODUCT(($AZ31&gt;=INDEX('Methodology &amp; Sources'!$B$203:$J$206,0,7))*INDEX('Methodology &amp; Sources'!$B$203:$J$206,0,7+2)),SUMPRODUCT(($AZ31&gt;=INDEX('Methodology &amp; Sources'!$B$203:$J$206,0,4))*INDEX('Methodology &amp; Sources'!$B$203:$J$206,0,4+2))),IF($AN31="RI",SUMPRODUCT(($AZ31&gt;=INDEX('Methodology &amp; Sources'!$B$211:$J$214,0,7))*INDEX('Methodology &amp; Sources'!$B$211:$J$214,0,7+2)),IF($AN31="SC",SUMPRODUCT(($AZ31&gt;=INDEX('Methodology &amp; Sources'!$B$219:$J$223,0,1))*INDEX('Methodology &amp; Sources'!$B$219:$J$223,0,1+2)),IF($AN31="VT",IF($AU31="Married",SUMPRODUCT(($AZ31&gt;=INDEX('Methodology &amp; Sources'!$B$228:$J$232,0,1))*INDEX('Methodology &amp; Sources'!$B$228:$J$232,0,1+2)),SUMPRODUCT(($AZ31&gt;=INDEX('Methodology &amp; Sources'!$B$219:$J$223,0,7))*INDEX('Methodology &amp; Sources'!$B$219:$J$223,0,7+2))),IF($AN31="WV",IF($AU31="Married",SUMPRODUCT(($AZ31&gt;=INDEX('Methodology &amp; Sources'!$B$237:$J$241,0,7))*INDEX('Methodology &amp; Sources'!$B$237:$J$241,0,7+2)),SUMPRODUCT(($AZ31&gt;=INDEX('Methodology &amp; Sources'!$B$228:$J$232,0,7))*INDEX('Methodology &amp; Sources'!$B$228:$J$232,0,7+2))),IF($AN31="IN",(0.0295+Inputs!$C$76),"")))))))))))))</f>
      </c>
      <c r="CC31" s="24">
        <f>IF($B31="","",IF($AN31="AR",SUMPRODUCT(($AZ31&gt;=INDEX('Methodology &amp; Sources'!$B$82:$J$86,0,7))*INDEX('Methodology &amp; Sources'!$B$82:$J$86,0,7+2)),IF($AN31="DE",SUMPRODUCT(($AZ31&gt;=INDEX('Methodology &amp; Sources'!$B$91:$J$98,0,1))*INDEX('Methodology &amp; Sources'!$B$91:$J$98,0,1+2)),IF($AN31="VA",SUMPRODUCT(($AZ31&gt;=INDEX('Methodology &amp; Sources'!$B$219:$J$223,0,4))*INDEX('Methodology &amp; Sources'!$B$219:$J$223,0,4+2)),IF($AN31="WI",SUMPRODUCT(($AZ31&gt;=INDEX('Methodology &amp; Sources'!$B$228:$J$232,0,4))*INDEX('Methodology &amp; Sources'!$B$228:$J$232,0,4+2)),IF($AN31="AZ",Inputs!$C$82,IF($AN31="CO",IF($AY31&gt;IF($AU31="Married",10000,5000),0.044,0),IF($AN31="IA",IF($AY31&gt;IF($AU31="Head of household",19500,IF($AU31="Married",26000,13000)),0.038,0),IF($AN31="ID",IF($AY31&gt;IF($AU31="Married",32000,16094),0.053,0),IF($AN31="IL",IF($AY31&gt;(2925*$AS31+1000*$AT31),0.0495,0),IF($AN31="KY",IF($AI31&gt;3360,0.035,0),IF($AN31="LA",0.0309,IF($AN31="MA",IF(MAX(0,$AY31-MIN(($BD30+$Q31+$R31+$S31),2000)-IF($AS31=0,0,IF($AS31=1,4400,1000*$AS31+3400)))&gt;=1107750,0.09,0.05),IF($AN31="MS",IF($AI31-IF($AU31="Head of household",3400,IF($AU31="Married",4600,2300))-Inputs!$C$85&gt;10000,0.04,0),IF($AN31="PA",0.0307,"")))))))))))))))</f>
      </c>
      <c r="CD31" s="21">
        <f>IF(YEAR(IF(Inputs!$C$7="Weekly",Inputs!$C$90+7*(($BE30+1)-1),IF(Inputs!$C$7="Biweekly",Inputs!$C$90+14*(($BE30+1)-1),IF(Inputs!$C$7="Semimonthly",DATE(YEAR(Inputs!$C$9),MONTH(Inputs!$C$9)+INT((($BE30+1)-1+'Rest of 2026'!$C$2)/2),MIN(DAY(Inputs!$C$9),DAY(EOMONTH(DATE(YEAR(Inputs!$C$9),MONTH(Inputs!$C$9)+INT((($BE30+1)-1+'Rest of 2026'!$C$2)/2),1),0))))+IF(MOD(($BE30+1)-1+'Rest of 2026'!$C$2,2)=1,15,0),EDATE(Inputs!$C$90,($BE30+1)-1)))))&lt;&gt;Inputs!$C$10,"",IF(Inputs!$C$7="Weekly",Inputs!$C$90+7*(($BE30+1)-1),IF(Inputs!$C$7="Biweekly",Inputs!$C$90+14*(($BE30+1)-1),IF(Inputs!$C$7="Semimonthly",DATE(YEAR(Inputs!$C$9),MONTH(Inputs!$C$9)+INT((($BE30+1)-1+'Rest of 2026'!$C$2)/2),MIN(DAY(Inputs!$C$9),DAY(EOMONTH(DATE(YEAR(Inputs!$C$9),MONTH(Inputs!$C$9)+INT((($BE30+1)-1+'Rest of 2026'!$C$2)/2),1),0))))+IF(MOD(($BE30+1)-1+'Rest of 2026'!$C$2,2)=1,15,0),EDATE(Inputs!$C$90,($BE30+1)-1)))))</f>
      </c>
      <c r="CE31" s="21">
        <f>IF(SUMPRODUCT(MIN(IF((Inputs!$C$58:$C$67&gt;MAX($B$6:$B30))*(Inputs!$C$58:$C$67&gt;=DATE(Inputs!$C$10,1,1))*(Inputs!$C$58:$C$67&lt;=DATE(Inputs!$C$10,12,31)),Inputs!$C$58:$C$67,999999)))=999999,"",SUMPRODUCT(MIN(IF((Inputs!$C$58:$C$67&gt;MAX($B$6:$B30))*(Inputs!$C$58:$C$67&gt;=DATE(Inputs!$C$10,1,1))*(Inputs!$C$58:$C$67&lt;=DATE(Inputs!$C$10,12,31)),Inputs!$C$58:$C$67,999999))))</f>
      </c>
    </row>
    <row r="32">
      <c r="A32" t="n">
        <v>27</v>
      </c>
      <c r="B32" s="21">
        <f>IF(AND($CD32="",$CE32=""),"",IF($CE32="",$CD32,IF($CD32="",$CE32,MIN($CD32,$CE32))))</f>
      </c>
      <c r="C32" s="7">
        <f>IF($B32="","",IF($BF32=0,0,IF(Inputs!$C$4="Annual salary",ROUND($AK32/IF(AND(Inputs!$C$88="Actual paydays",MONTH(Inputs!$C$90)=1),MAX(1,MAX($BE$6:$BE$68)),Inputs!$C$8),2),$AK32)))</f>
      </c>
      <c r="D32" s="7">
        <f>IF($B32="","",SUMIF(Inputs!$C$58:$C$67,$B32,Inputs!$D$58:$D$67))</f>
      </c>
      <c r="E32" s="7">
        <f>IF($B32="","",ROUND(MAX(0,MIN(IF($AL32="Percent",$AM32*($C32+$D32),$AM32),MAX(0,Inputs!$C$34-$AC31))),2))</f>
      </c>
      <c r="F32" s="7">
        <f>IF($B32="","",ROUND(MAX(0,MIN(IF(Inputs!$C$32="Percent",Inputs!$D$32*($C32+$D32),Inputs!$D$32),MAX(0,Inputs!$C$34-$AC31-$E32))),2))</f>
      </c>
      <c r="G32" s="7">
        <f>IF($B32="","",IF($BF32=0,0,ROUND(MAX(0,MIN($BL32,Inputs!$C$37-Inputs!$C$99-$BI31)),2)))</f>
      </c>
      <c r="H32" s="7">
        <f>IF($B32="","",IF(OR($BF32=0,$BQ32=1),0,ROUND(MAX(0,MIN(IF($BS32=1,ROUND(MAX(0,MIN($BJ32,'Methodology &amp; Sources'!$C$13)-$BG31)/MAX(1,MAX($BE$6:$BE$68)-($BE31)),2),ROUND(MIN($BJ32,'Methodology &amp; Sources'!$C$13)/Inputs!$C$8,2)),MIN($BJ32,'Methodology &amp; Sources'!$C$13)-$BG31)),2)))</f>
      </c>
      <c r="I32" s="7">
        <f>IF($B32="","",IF(OR($BF32=0,$BR32=1),0,ROUND(MAX(0,MIN(IF($BT32=1,ROUND(MAX(0,MIN($BK32,IF(Inputs!$C$12="MFJ",'Methodology &amp; Sources'!$C$14,'Methodology &amp; Sources'!$C$15))-$BH31)/MAX(1,MAX($BE$6:$BE$68)-($BE31)),2),ROUND(MIN($BK32,IF(Inputs!$C$12="MFJ",'Methodology &amp; Sources'!$C$14,'Methodology &amp; Sources'!$C$15))/Inputs!$C$8,2)),MIN($BK32,IF(Inputs!$C$12="MFJ",'Methodology &amp; Sources'!$C$14,'Methodology &amp; Sources'!$C$15))-$BH31)),2)))</f>
      </c>
      <c r="J32" s="7">
        <f>IF($B32="","",IF($BF32=0,0,$BM32))</f>
      </c>
      <c r="K32" s="7">
        <f>IF($B32="","",IF($BF32=0,0,$BN32+$BO32))</f>
      </c>
      <c r="L32" s="7">
        <f>IF($B32="","",IF($BF32=0,0,Inputs!$D$46))</f>
      </c>
      <c r="M32" s="7">
        <f>IF($B32="","",$C32+$D32+$L32-$E32-$G32-$H32-$I32-$J32-$K32)</f>
      </c>
      <c r="N32" s="7">
        <f>IF($B32="","",$C32+$D32+$L32-$G32-$H32-$I32-$J32-$K32)</f>
      </c>
      <c r="O32" s="7">
        <f>IF($B32="","",$C32+$D32+$L32-$E32-$H32-$I32-$J32-$K32-IF(OR($AN32="CA",$AN32="NJ"),0,$G32))</f>
      </c>
      <c r="P32" s="7">
        <f>IF($B32="","",IF(Inputs!$C$18,0,ROUND(MAX(0,IF(Inputs!$C$13,SUMPRODUCT(($AH32&gt;INDEX('Methodology &amp; Sources'!$B$29:$J$36,0,IF(Inputs!$C$12="MFJ",1,IF(Inputs!$C$12="HoH",7,4))))*($AH32-INDEX('Methodology &amp; Sources'!$B$29:$J$36,0,IF(Inputs!$C$12="MFJ",1,IF(Inputs!$C$12="HoH",7,4))))*INDEX('Methodology &amp; Sources'!$B$29:$J$36,0,IF(Inputs!$C$12="MFJ",1,IF(Inputs!$C$12="HoH",7,4))+2)),SUMPRODUCT(($AH32&gt;INDEX('Methodology &amp; Sources'!$B$19:$J$26,0,IF(Inputs!$C$12="MFJ",1,IF(Inputs!$C$12="HoH",7,4))))*($AH32-INDEX('Methodology &amp; Sources'!$B$19:$J$26,0,IF(Inputs!$C$12="MFJ",1,IF(Inputs!$C$12="HoH",7,4))))*INDEX('Methodology &amp; Sources'!$B$19:$J$26,0,IF(Inputs!$C$12="MFJ",1,IF(Inputs!$C$12="HoH",7,4))+2)))/Inputs!$C$8-$AO32/Inputs!$C$8)+$AR32+IF(Inputs!$C$89="Aggregate",MAX(0,IF(Inputs!$C$13,SUMPRODUCT((($AH32+$D32)&gt;INDEX('Methodology &amp; Sources'!$B$29:$J$36,0,IF(Inputs!$C$12="MFJ",1,IF(Inputs!$C$12="HoH",7,4))))*(($AH32+$D32)-INDEX('Methodology &amp; Sources'!$B$29:$J$36,0,IF(Inputs!$C$12="MFJ",1,IF(Inputs!$C$12="HoH",7,4))))*INDEX('Methodology &amp; Sources'!$B$29:$J$36,0,IF(Inputs!$C$12="MFJ",1,IF(Inputs!$C$12="HoH",7,4))+2)),SUMPRODUCT((($AH32+$D32)&gt;INDEX('Methodology &amp; Sources'!$B$19:$J$26,0,IF(Inputs!$C$12="MFJ",1,IF(Inputs!$C$12="HoH",7,4))))*(($AH32+$D32)-INDEX('Methodology &amp; Sources'!$B$19:$J$26,0,IF(Inputs!$C$12="MFJ",1,IF(Inputs!$C$12="HoH",7,4))))*INDEX('Methodology &amp; Sources'!$B$19:$J$26,0,IF(Inputs!$C$12="MFJ",1,IF(Inputs!$C$12="HoH",7,4))+2)))-IF(Inputs!$C$13,SUMPRODUCT(($AH32&gt;INDEX('Methodology &amp; Sources'!$B$29:$J$36,0,IF(Inputs!$C$12="MFJ",1,IF(Inputs!$C$12="HoH",7,4))))*($AH32-INDEX('Methodology &amp; Sources'!$B$29:$J$36,0,IF(Inputs!$C$12="MFJ",1,IF(Inputs!$C$12="HoH",7,4))))*INDEX('Methodology &amp; Sources'!$B$29:$J$36,0,IF(Inputs!$C$12="MFJ",1,IF(Inputs!$C$12="HoH",7,4))+2)),SUMPRODUCT(($AH32&gt;INDEX('Methodology &amp; Sources'!$B$19:$J$26,0,IF(Inputs!$C$12="MFJ",1,IF(Inputs!$C$12="HoH",7,4))))*($AH32-INDEX('Methodology &amp; Sources'!$B$19:$J$26,0,IF(Inputs!$C$12="MFJ",1,IF(Inputs!$C$12="HoH",7,4))))*INDEX('Methodology &amp; Sources'!$B$19:$J$26,0,IF(Inputs!$C$12="MFJ",1,IF(Inputs!$C$12="HoH",7,4))+2)))),'Methodology &amp; Sources'!$C$10*$D32),2)))</f>
      </c>
      <c r="Q32" s="7">
        <f>IF($B32="","",ROUND('Methodology &amp; Sources'!$C$4*MIN($N32,MAX(0,'Methodology &amp; Sources'!$C$3-($AX32+$AB31-$AW32))),2))</f>
      </c>
      <c r="R32" s="7">
        <f>IF($B32="","",ROUND('Methodology &amp; Sources'!$C$5*$N32,2))</f>
      </c>
      <c r="S32" s="7">
        <f>IF($B32="","",ROUND('Methodology &amp; Sources'!$C$6*MAX(0,MIN($N32,$AG31+$N32-'Methodology &amp; Sources'!$C$7)),2))</f>
      </c>
      <c r="T32" s="7">
        <f>IF($B32="","",IF(Inputs!$C$26,0,IF($AN32="CA",ROUND(IF($AI32&lt;=IF(($AS32+$AT32)&gt;=2,VLOOKUP($AN32,StateTables!$A$6:$AB$56,10,FALSE),VLOOKUP($AN32,StateTables!$A$6:$AB$56,9,FALSE)),0,MAX(0,SUMPRODUCT(($AJ32&gt;INDEX('Methodology &amp; Sources'!$B$39:$J$48,0,IF($AU32="Married",4,IF($AU32="Head of household",7,1))))*($AJ32-INDEX('Methodology &amp; Sources'!$B$39:$J$48,0,IF($AU32="Married",4,IF($AU32="Head of household",7,1))))*INDEX('Methodology &amp; Sources'!$B$39:$J$48,0,IF($AU32="Married",4,IF($AU32="Head of household",7,1))+2))-VLOOKUP($AN32,StateTables!$A$6:$AB$56,11,FALSE)*$AS32)/Inputs!$C$8)+Inputs!$C$25+VLOOKUP($AN32,StateTables!$A$6:$AB$56,13,FALSE)*$D32,2),IF(VLOOKUP($AN32,StateTables!$A$6:$AB$56,4,FALSE)="None",0,IF(ISNUMBER(SEARCH("MANUAL",VLOOKUP($AN32,StateTables!$A$6:$AB$56,5,FALSE))),Inputs!$C$28,ROUND(MAX(0,$BA32+$BB32)/Inputs!$C$8+Inputs!$C$25+$BC32,2))))))</f>
      </c>
      <c r="U32" s="7">
        <f>IF($B32="","",IF(VLOOKUP($AN32,StateTables!$A$6:$AB$56,24,FALSE)="flatq",IF(OR(MONTH($B32)=1,MONTH($B32)=4,MONTH($B32)=7,MONTH($B32)=10),VLOOKUP($AN32,StateTables!$A$6:$AB$56,25,FALSE),0),IF(VLOOKUP($AN32,StateTables!$A$6:$AB$56,24,FALSE)="dbl",MIN(ROUND(0.005*$N32,2),ROUND(0.6*52/Inputs!$C$8,2)),IF(OR(VLOOKUP($AN32,StateTables!$A$6:$AB$56,15,FALSE)="",VLOOKUP($AN32,StateTables!$A$6:$AB$56,15,FALSE)=0),0,ROUND(VLOOKUP($AN32,StateTables!$A$6:$AB$56,15,FALSE)*IF(OR(VLOOKUP($AN32,StateTables!$A$6:$AB$56,16,FALSE)="",VLOOKUP($AN32,StateTables!$A$6:$AB$56,16,FALSE)=0),$N32,MIN($N32,MAX(0,VLOOKUP($AN32,StateTables!$A$6:$AB$56,16,FALSE)-($AX32+$AB31-$AW32)))),2))))+IF(VLOOKUP($AN32,StateTables!$A$6:$AB$56,27,FALSE)="flatq",IF(OR(MONTH($B32)=1,MONTH($B32)=4,MONTH($B32)=7,MONTH($B32)=10),VLOOKUP($AN32,StateTables!$A$6:$AB$56,28,FALSE),0),IF(VLOOKUP($AN32,StateTables!$A$6:$AB$56,27,FALSE)="dbl",MIN(ROUND(0.005*$N32,2),ROUND(0.6*52/Inputs!$C$8,2)),IF(OR(VLOOKUP($AN32,StateTables!$A$6:$AB$56,18,FALSE)="",VLOOKUP($AN32,StateTables!$A$6:$AB$56,18,FALSE)=0),0,ROUND(VLOOKUP($AN32,StateTables!$A$6:$AB$56,18,FALSE)*IF(OR(VLOOKUP($AN32,StateTables!$A$6:$AB$56,19,FALSE)="",VLOOKUP($AN32,StateTables!$A$6:$AB$56,19,FALSE)=0),$N32,MIN($N32,MAX(0,VLOOKUP($AN32,StateTables!$A$6:$AB$56,19,FALSE)-($AX32+$AB31-$AW32)))),2)))))</f>
      </c>
      <c r="V32" s="7">
        <f>IF($B32="","",IF($AN32="NY",IF(Inputs!$C$78,ROUND(SUMPRODUCT((MAX(0,($O32-$D32)*Inputs!$C$8-(IF($AU32="Married",5500,5000)+1000*$AS32))&gt;INDEX('Methodology &amp; Sources'!$B$184:$J$198,0,4))*(MAX(0,($O32-$D32)*Inputs!$C$8-(IF($AU32="Married",5500,5000)+1000*$AS32))-INDEX('Methodology &amp; Sources'!$B$184:$J$198,0,4))*INDEX('Methodology &amp; Sources'!$B$184:$J$198,0,4+2))/Inputs!$C$8+0.0425*$D32,2),0)+IF(Inputs!$C$79="Resident",ROUND(0.1675*$T32,2),IF(Inputs!$C$79="Nonresident",ROUND(0.005*MAX(0,($O32-$D32)-(IF($AU32="Married",7950,7400)+1000*$AS32)/Inputs!$C$8),2),0)),IF($AN32="PA",IF(Inputs!$C$80="None",Inputs!$C$27+ROUND(Inputs!$C$81*($C32+$D32),2),ROUND(IF(Inputs!$C$80="Resident",IF($B32&lt;DATE(2027,7,1),0.03735,0.03735),IF($B32&lt;DATE(2027,7,1),0.03425,0.03425))*($C32+$D32),2)),IF($BF32=0,ROUND(Inputs!$C$81*($C32+$D32),2),Inputs!$C$27+ROUND(Inputs!$C$81*($C32+$D32),2)))))</f>
      </c>
      <c r="W32" s="7">
        <f>IF($B32="","",IF($BF32=0,0,$BP32))</f>
      </c>
      <c r="X32" s="7">
        <f>IF($B32="","",SUM($E32:$K32)+$P32+$Q32+$R32+$S32+$T32+$U32+$V32+$W32)</f>
      </c>
      <c r="Y32" s="22">
        <f>IF($B32="","",$C32+$D32-$X32)</f>
      </c>
      <c r="Z32" s="7">
        <f>IF($B32="","",$Z31+$C32+$D32)</f>
      </c>
      <c r="AA32" s="7">
        <f>IF($B32="","",$AA31+$Y32)</f>
      </c>
      <c r="AB32" s="7">
        <f>IF($B32="","",$AB31+MIN($N32,MAX(0,'Methodology &amp; Sources'!$C$3-($AX32+$AB31-$AW32))))</f>
      </c>
      <c r="AC32" s="7">
        <f>IF($B32="","",$AC31+$E32+$F32)</f>
      </c>
      <c r="AD32" s="3">
        <f>IF($B32="","",IF(AND($AB31&lt;'Methodology &amp; Sources'!$C$3,$AB32&gt;='Methodology &amp; Sources'!$C$3),"★ Social Security maxed on this check — from the next check your net rises by about $"&amp;TEXT(ROUND('Methodology &amp; Sources'!$C$4*$N32,2),"#,##0.00")&amp;". ","")&amp;IF(AND($AC31&lt;Inputs!$C$34,$AC32&gt;=Inputs!$C$34),"★ 401(k) reaches the $"&amp;TEXT(Inputs!$C$34,"#,##0")&amp;" cap on this check — deferrals stop and net pay rises. ","")&amp;IF(AND($AG31&lt;'Methodology &amp; Sources'!$C$7,$AG32&gt;='Methodology &amp; Sources'!$C$7),"★ Wages pass $200,000 — the 0.9% Additional Medicare Tax starts here. ","")&amp;IF(AND($BJ32&gt;0,$H32&gt;0,$BG31&lt;MIN($BJ32,'Methodology &amp; Sources'!$C$13),$BG31+$H32&gt;=MIN($BJ32,'Methodology &amp; Sources'!$C$13)),"★ Health FSA election is now fully deferred for the year. ",""))</f>
      </c>
      <c r="AE32" s="41" t="n"/>
      <c r="AF32" s="7">
        <f>IF(OR($B32="",$AE32=""),"",$AE32-$Y32)</f>
      </c>
      <c r="AG32" s="7">
        <f>IF($B32="","",$AG31+$N32)</f>
      </c>
      <c r="AH32" s="7">
        <f>IF($B32="","",MAX(0,($M32-$D32)*Inputs!$C$8+$AP32-$AQ32-IF(Inputs!$C$13,0,IF(Inputs!$C$12="MFJ",'Methodology &amp; Sources'!$C$8,'Methodology &amp; Sources'!$C$9))))</f>
      </c>
      <c r="AI32" s="7">
        <f>IF($B32="","",$O32*Inputs!$C$8)</f>
      </c>
      <c r="AJ32" s="7">
        <f>IF($B32="","",MAX(0,$AI32-VLOOKUP($AN32,StateTables!$A$6:$AB$56,12,FALSE)*$AT32-IF(($AS32+$AT32)&gt;=2,VLOOKUP($AN32,StateTables!$A$6:$AB$56,8,FALSE),VLOOKUP($AN32,StateTables!$A$6:$AB$56,7,FALSE))))</f>
      </c>
      <c r="AK32" s="7">
        <f>IF($B32="","",IFERROR(LOOKUP(2,1/((Events!$C$6:$C$17="Salary change")*(Events!$B$6:$B$17&lt;=$B32)*(Events!$B$6:$B$17&lt;&gt;"")),Events!$D$6:$D$17),IF(Inputs!$C$4="Annual salary",Inputs!$C$5,Inputs!$C$6)))</f>
      </c>
      <c r="AL32">
        <f>IF($B32="","",IFERROR(LOOKUP(2,1/((Events!$C$6:$C$17="401(k) change")*(Events!$B$6:$B$17&lt;=$B32)*(Events!$B$6:$B$17&lt;&gt;"")),Events!$D$6:$D$17),Inputs!$C$30))</f>
      </c>
      <c r="AM32" s="7">
        <f>IF($B32="","",IFERROR(LOOKUP(2,1/((Events!$C$6:$C$17="401(k) change")*(Events!$B$6:$B$17&lt;=$B32)*(Events!$B$6:$B$17&lt;&gt;"")),Events!$E$6:$E$17),Inputs!$D$30))</f>
      </c>
      <c r="AN32">
        <f>IF($B32="","",IFERROR(LOOKUP(2,1/((Events!$C$6:$C$17="State move")*(Events!$B$6:$B$17&lt;=$B32)*(Events!$B$6:$B$17&lt;&gt;"")),Events!$D$6:$D$17),Inputs!$C$21))</f>
      </c>
      <c r="AO32" s="7">
        <f>IF($B32="","",IFERROR(LOOKUP(2,1/((Events!$C$6:$C$17="W-4 change")*(Events!$B$6:$B$17&lt;=$B32)*(Events!$B$6:$B$17&lt;&gt;"")),Events!$D$6:$D$17),Inputs!$C$14))</f>
      </c>
      <c r="AP32" s="7">
        <f>IF($B32="","",IFERROR(LOOKUP(2,1/((Events!$C$6:$C$17="W-4 change")*(Events!$B$6:$B$17&lt;=$B32)*(Events!$B$6:$B$17&lt;&gt;"")),Events!$E$6:$E$17),Inputs!$C$15))</f>
      </c>
      <c r="AQ32" s="7">
        <f>IF($B32="","",IFERROR(LOOKUP(2,1/((Events!$C$6:$C$17="W-4 change")*(Events!$B$6:$B$17&lt;=$B32)*(Events!$B$6:$B$17&lt;&gt;"")),Events!$F$6:$F$17),Inputs!$C$16))</f>
      </c>
      <c r="AR32" s="7">
        <f>IF($B32="","",IFERROR(LOOKUP(2,1/((Events!$C$6:$C$17="W-4 change")*(Events!$B$6:$B$17&lt;=$B32)*(Events!$B$6:$B$17&lt;&gt;"")),Events!$G$6:$G$17),Inputs!$C$17))</f>
      </c>
      <c r="AS32" s="6">
        <f>IF($B32="","",IFERROR(LOOKUP(2,1/(((Events!$C$6:$C$17="State move")+(Events!$C$6:$C$17="State cert change"))*(Events!$B$6:$B$17&lt;=$B32)*(Events!$B$6:$B$17&lt;&gt;"")),Events!$F$6:$F$17),Inputs!$C$23))</f>
      </c>
      <c r="AT32" s="6">
        <f>IF($B32="","",IFERROR(LOOKUP(2,1/(((Events!$C$6:$C$17="State move")+(Events!$C$6:$C$17="State cert change"))*(Events!$B$6:$B$17&lt;=$B32)*(Events!$B$6:$B$17&lt;&gt;"")),Events!$G$6:$G$17),Inputs!$C$24))</f>
      </c>
      <c r="AU32">
        <f>IF($B32="","",IFERROR(LOOKUP(2,1/((Events!$C$6:$C$17="State move")*(Events!$B$6:$B$17&lt;=$B32)*(Events!$B$6:$B$17&lt;&gt;"")),Events!$E$6:$E$17),Inputs!$C$22))</f>
      </c>
      <c r="AV32" s="6">
        <f>IF($B32="","",1+COUNTIFS(Events!$C$6:$C$17,"Employer change",Events!$B$6:$B$17,"&lt;="&amp;$B32,Events!$B$6:$B$17,"&lt;&gt;"))</f>
      </c>
      <c r="AW32" s="7">
        <f>IF($B32="","",IF($AV32=1,Inputs!$C$94,IF(IFERROR(MATCH(IFERROR(LOOKUP(2,1/((Events!$C$6:$C$17="Employer change")*(Events!$B$6:$B$17&lt;=$B32)*(Events!$B$6:$B$17&lt;&gt;"")),Events!$B$6:$B$17),""),$B$6:$B$68,1),1)&lt;=1,Inputs!$C$94,INDEX($AB$6:$AB$68,MATCH(IFERROR(LOOKUP(2,1/((Events!$C$6:$C$17="Employer change")*(Events!$B$6:$B$17&lt;=$B32)*(Events!$B$6:$B$17&lt;&gt;"")),Events!$B$6:$B$17),""),$B$6:$B$68,1)-1))))</f>
      </c>
      <c r="AX32" s="7">
        <f>IF($B32="","",IF($AV32=1,Inputs!$C$94,IFERROR(LOOKUP(2,1/((Events!$C$6:$C$17="Employer change")*(Events!$B$6:$B$17&lt;=$B32)*(Events!$B$6:$B$17&lt;&gt;"")),Events!$D$6:$D$17),0)))</f>
      </c>
      <c r="AY32" s="7">
        <f>IF($B32="","",($O32-$D32)*Inputs!$C$8)</f>
      </c>
      <c r="AZ32" s="7">
        <f>IF($B32="","",IF($AN32="AL",MAX(0,$AY32-IF($AU32="Married",IF($AY32&lt;=25999,8500,MAX(5000,8500-175*CEILING(($AY32-25999)/500,1))),IF($AU32="Head of household",IF($AY32&lt;=25999,5200,MAX(2500,5200-135*CEILING(($AY32-25999)/500,1))),IF($AY32&lt;=25999,3000,MAX(2500,3000-25*CEILING(($AY32-25999)/500,1)))))-($P32-'Methodology &amp; Sources'!$C$10*$D32)*Inputs!$C$8-IF(OR($AU32="Married",$AU32="Head of household"),3000,1500)-$AT32*IF($AY32&lt;=50000,1000,IF($AY32&lt;=100000,500,300))),IF($AN32="AR",IF(MAX(0,$AY32-2470)&lt;97701,INT(MAX(0,$AY32-2470)/100)*100+50,MAX(0,$AY32-2470)),IF($AN32="DE",MAX(0,$AI32-3250),IF($AN32="HI",MAX(0,$AI32-1144*$AS32-4350),IF($AN32="KS",MAX(0,$AI32-(9160*IF($AU32="Married",2,1)+2320*$AT32+IF($AU32="Head of household",2320,0))),IF($AN32="MD",MAX(0,$AI32-3400-3200*$AS32),IF($AN32="MN",MAX(0,$AY32-5300*$AS32),IF($AN32="MO",MAX(0,$AI32-IF($AU32="Head of household",24150,IF($AU32="Married",IF(Inputs!$C$83,16100,32200),16100))),IF($AN32="MT",$AY32,IF($AN32="ND",($C32+$L32)*Inputs!$C$8,IF($AN32="NE",MAX(0,$AY32-2440*$AS32),IF($AN32="NJ",MAX(0,$AY32-1000*$AS32),IF($AN32="NY",MAX(0,$AY32-(IF($AU32="Married",7950,7400)+1000*$AS32)),IF($AN32="OH",MAX(0,$AY32-650*$AS32),IF($AN32="OK",MAX(0,$AY32-1000*$AS32),IF($AN32="RI",MAX(0,$AI32-1000*$AS32),IF($AN32="SC",MAX(0,$AI32-5000*$AS32-IF($AS32=0,0,MIN(0.1*$AI32,7500))),IF($AN32="VA",MAX(0,$AI32-IF($AU32="Married",17500,8750)-930*$AS32-800*$AT32),IF($AN32="VT",MAX(0,$AI32-5400*$AS32),IF($AN32="WI",MAX(0,$AI32-MAX(0,IF($AU32="Married",9461-0.2*MAX(0,$AI32-25727),6702-0.12*MAX(0,$AI32-17780)))-400*$AS32),IF($AN32="WV",MAX(0,$AI32-2000*$AS32),$AI32))))))))))))))))))))))</f>
      </c>
      <c r="BA32" s="7">
        <f>IF($B32="","",IF($BW32&lt;&gt;"",$BW32,IF($BX32&lt;&gt;"",$BX32,IF($BY32&lt;&gt;"",$BY32,0))))</f>
      </c>
      <c r="BB32" s="7">
        <f>IF($B32="","",IF($AN32="AR",-29*$AS32,IF($AN32="DE",-110*$AS32,IF($AN32="MD",$AZ32*Inputs!$C$74,IF($AN32="AZ",Inputs!$C$82*($M32-$D32)*Inputs!$C$8,IF($AN32="CO",0.044*MAX(0,$AY32-IF($AU32="Married",10000,5000)),IF($AN32="IA",MAX(0,0.038*MAX(0,$AY32-IF($AU32="Head of household",19500,IF($AU32="Married",26000,13000)))-40*$AS32),IF($AN32="ID",0.053*MAX(0,$AY32-IF($AU32="Married",32000,16094)),IF($AN32="IL",0.0495*MAX(0,$AY32-(2925*$AS32+1000*$AT32)),IF($AN32="IN",(0.0295+Inputs!$C$76)*MAX(0,$AY32-(1000*$AS32+1500*$AT32+3000*Inputs!$C$86)),IF($AN32="KY",0.035*MAX(0,$AI32-3360),IF($AN32="LA",IF(Inputs!$C$84="0",0.0309*$AI32,0.0309*MAX(0,$AI32-IF(Inputs!$C$84="2",25750,12875))),IF($AN32="MA",0.05*MIN(MAX(0,$AY32-MIN(($BD31+$Q32+$R32+$S32),2000)-IF($AS32=0,0,IF($AS32=1,4400,1000*$AS32+3400))),1107750)+0.09*MAX(0,MAX(0,$AY32-MIN(($BD31+$Q32+$R32+$S32),2000)-IF($AS32=0,0,IF($AS32=1,4400,1000*$AS32+3400)))-1107750)-IF($AU32="Head of household",120,0)-110*Inputs!$C$75,IF($AN32="MI",0.0425*MAX(0,$AY32-5900*$AS32),IF($AN32="MS",0.04*MAX(0,$AI32-IF($AU32="Head of household",3400,IF($AU32="Married",4600,2300))-Inputs!$C$85-10000),IF($AN32="OR",IF(OR($AU32="Married",AND($AU32="Single",$AS32&gt;=3)),SUMPRODUCT((MAX(0,$AY32-MIN(($P32-'Methodology &amp; Sources'!$C$10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Sources'!$B$211:$J$214,0,4))*(MAX(0,$AY32-MIN(($P32-'Methodology &amp; Sources'!$C$10*$D32)*Inputs!$C$8,IF(OR($AU32="Married",AND($AU32="Single",$AS32&gt;=3)),IF($AY32&lt;250000,8750,IF($AY32&lt;260000,7000,IF($AY32&lt;270000,5250,IF($AY32&lt;280000,3500,IF($AY32&lt;290000,1750,0))))),IF($AY32&lt;125000,8750,IF($AY32&lt;130000,7000,IF($AY32&lt;135000,5250,IF($AY32&lt;140000,3500,IF($AY32&lt;145000,1750,0)))))))-IF(OR($AU32="Married",AND($AU32="Single",$AS32&gt;=3)),5820,2910))-INDEX('Methodology &amp; Sources'!$B$211:$J$214,0,4))*INDEX('Methodology &amp; Sources'!$B$211:$J$214,0,4+2)),SUMPRODUCT((MAX(0,$AY32-MIN(($P32-'Methodology &amp; Sources'!$C$10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Sources'!$B$211:$J$214,0,1))*(MAX(0,$AY32-MIN(($P32-'Methodology &amp; Sources'!$C$10*$D32)*Inputs!$C$8,IF(OR($AU32="Married",AND($AU32="Single",$AS32&gt;=3)),IF($AY32&lt;250000,8750,IF($AY32&lt;260000,7000,IF($AY32&lt;270000,5250,IF($AY32&lt;280000,3500,IF($AY32&lt;290000,1750,0))))),IF($AY32&lt;125000,8750,IF($AY32&lt;130000,7000,IF($AY32&lt;135000,5250,IF($AY32&lt;140000,3500,IF($AY32&lt;145000,1750,0)))))))-IF(OR($AU32="Married",AND($AU32="Single",$AS32&gt;=3)),5820,2910))-INDEX('Methodology &amp; Sources'!$B$211:$J$214,0,1))*INDEX('Methodology &amp; Sources'!$B$211:$J$214,0,1+2)))+263-263*IF(IF($AU32="Married",$AY32&gt;200000,$AY32&gt;100000),0,$AS32),IF($AN32="PA",0.0307*(($O32+$E32+$G32)*Inputs!$C$8),IF($AN32="NY",IF($AU32="Married",IF($AZ32&gt;=2155350,0,IF($AZ32&gt;=1077550,0.48,IF($AZ32&gt;=373200,1.21,IF($AZ32&gt;=323200,0.21,IF($AZ32&gt;=211550,-0.19,IF($AZ32&gt;=157650,-2.8,IF($AZ32&gt;=107650,-0.8,IF($AZ32&gt;=96800,0.05,IF($AZ32&gt;=80650,-0.1,IF($AZ32&gt;=13900,0.4,IF($AZ32&gt;=11700,-0.3,IF($AZ32&gt;=8500,0.5,0)))))))))))),IF($AZ32&gt;=1077550,0,IF($AZ32&gt;=265400,4.29,IF($AZ32&gt;=215400,2.29,IF($AZ32&gt;=157650,2.29,IF($AZ32&gt;=107650,0.29,IF($AZ32&gt;=96800,0.05,IF($AZ32&gt;=80650,-0.1,IF($AZ32&gt;=13900,0.4,IF($AZ32&gt;=11700,-0.3,IF($AZ32&gt;=8500,0.5,0))))))))))),0))))))))))))))))))</f>
      </c>
      <c r="BC32" s="7">
        <f>IF($B32="","",IF($AN32="AL",0.05*$D32,IF($AN32="AR",0.039*$D32,IF($AN32="ID",0.053*$D32,IF($AN32="IN",(0.0295+Inputs!$C$76)*$D32,IF($AN32="KS",0.05*$D32,IF($AN32="MA",0.09*MIN($D32,MAX(0,MAX(0,$AY32-MIN(($BD31+$Q32+$R32+$S32),2000)-IF($AS32=0,0,IF($AS32=1,4400,1000*$AS32+3400)))+$D32-1107750))+0.05*($D32-MIN($D32,MAX(0,MAX(0,$AY32-MIN(($BD31+$Q32+$R32+$S32),2000)-IF($AS32=0,0,IF($AS32=1,4400,1000*$AS32+3400)))+$D32-1107750))),IF($AN32="MD",(0.065+Inputs!$C$74)*$D32,IF($AN32="MI",0.0425*$D32,IF($AN32="MN",0.0625*$D32,IF($AN32="MO",0.047*$D32,IF($AN32="MT",0.05*$D32,IF($AN32="ND",0.015*$D32,IF($AN32="NE",0.035*$D32,IF($AN32="NJ",IF(Inputs!$C$77="B",SUMPRODUCT(($D32*Inputs!$C$8&gt;INDEX('Methodology &amp; Sources'!$B$155:$J$162,0,4))*($D32*Inputs!$C$8-INDEX('Methodology &amp; Sources'!$B$155:$J$162,0,4))*INDEX('Methodology &amp; Sources'!$B$155:$J$162,0,4+2)),IF(Inputs!$C$77="C",SUMPRODUCT(($D32*Inputs!$C$8&gt;INDEX('Methodology &amp; Sources'!$B$155:$J$162,0,7))*($D32*Inputs!$C$8-INDEX('Methodology &amp; Sources'!$B$155:$J$162,0,7))*INDEX('Methodology &amp; Sources'!$B$155:$J$162,0,7+2)),IF(Inputs!$C$77="D",SUMPRODUCT(($D32*Inputs!$C$8&gt;INDEX('Methodology &amp; Sources'!$B$167:$J$179,0,1))*($D32*Inputs!$C$8-INDEX('Methodology &amp; Sources'!$B$167:$J$179,0,1))*INDEX('Methodology &amp; Sources'!$B$167:$J$179,0,1+2)),IF(Inputs!$C$77="E",SUMPRODUCT(($D32*Inputs!$C$8&gt;INDEX('Methodology &amp; Sources'!$B$167:$J$179,0,4))*($D32*Inputs!$C$8-INDEX('Methodology &amp; Sources'!$B$167:$J$179,0,4))*INDEX('Methodology &amp; Sources'!$B$167:$J$179,0,4+2)),SUMPRODUCT(($D32*Inputs!$C$8&gt;INDEX('Methodology &amp; Sources'!$B$155:$J$162,0,1))*($D32*Inputs!$C$8-INDEX('Methodology &amp; Sources'!$B$155:$J$162,0,1))*INDEX('Methodology &amp; Sources'!$B$155:$J$162,0,1+2))))))/Inputs!$C$8,IF($AN32="NY",0.117*$D32,IF($AN32="OH",0.0275*$D32,IF($AN32="OK",0.045*$D32,IF($AN32="OR",0.08*$D32,IF($AN32="WI",IF($AY32&lt;12760,0.0354,IF($AY32&lt;25520,0.0465,IF($AY32&lt;280950,0.053,0.0765)))*$D32,0))))))))))))))))))))</f>
      </c>
      <c r="BD32" s="7">
        <f>IF($B32="","",$BD31+$Q32+$R32+$S32)</f>
      </c>
      <c r="BE32" s="6">
        <f>IF($B32="",$BE31,$BE31+$BF32)</f>
      </c>
      <c r="BF32" s="6">
        <f>IF($B32="","",IF(AND(IF(YEAR(IF(Inputs!$C$7="Weekly",Inputs!$C$90+7*(($BE31+1)-1),IF(Inputs!$C$7="Biweekly",Inputs!$C$90+14*(($BE31+1)-1),IF(Inputs!$C$7="Semimonthly",DATE(YEAR(Inputs!$C$9),MONTH(Inputs!$C$9)+INT((($BE31+1)-1+'Rest of 2026'!$C$2)/2),MIN(DAY(Inputs!$C$9),DAY(EOMONTH(DATE(YEAR(Inputs!$C$9),MONTH(Inputs!$C$9)+INT((($BE31+1)-1+'Rest of 2026'!$C$2)/2),1),0))))+IF(MOD(($BE31+1)-1+'Rest of 2026'!$C$2,2)=1,15,0),EDATE(Inputs!$C$90,($BE31+1)-1)))))&lt;&gt;Inputs!$C$10,"",IF(Inputs!$C$7="Weekly",Inputs!$C$90+7*(($BE31+1)-1),IF(Inputs!$C$7="Biweekly",Inputs!$C$90+14*(($BE31+1)-1),IF(Inputs!$C$7="Semimonthly",DATE(YEAR(Inputs!$C$9),MONTH(Inputs!$C$9)+INT((($BE31+1)-1+'Rest of 2026'!$C$2)/2),MIN(DAY(Inputs!$C$9),DAY(EOMONTH(DATE(YEAR(Inputs!$C$9),MONTH(Inputs!$C$9)+INT((($BE31+1)-1+'Rest of 2026'!$C$2)/2),1),0))))+IF(MOD(($BE31+1)-1+'Rest of 2026'!$C$2,2)=1,15,0),EDATE(Inputs!$C$90,($BE31+1)-1)))))&lt;&gt;"",$B32=IF(YEAR(IF(Inputs!$C$7="Weekly",Inputs!$C$90+7*(($BE31+1)-1),IF(Inputs!$C$7="Biweekly",Inputs!$C$90+14*(($BE31+1)-1),IF(Inputs!$C$7="Semimonthly",DATE(YEAR(Inputs!$C$9),MONTH(Inputs!$C$9)+INT((($BE31+1)-1+'Rest of 2026'!$C$2)/2),MIN(DAY(Inputs!$C$9),DAY(EOMONTH(DATE(YEAR(Inputs!$C$9),MONTH(Inputs!$C$9)+INT((($BE31+1)-1+'Rest of 2026'!$C$2)/2),1),0))))+IF(MOD(($BE31+1)-1+'Rest of 2026'!$C$2,2)=1,15,0),EDATE(Inputs!$C$90,($BE31+1)-1)))))&lt;&gt;Inputs!$C$10,"",IF(Inputs!$C$7="Weekly",Inputs!$C$90+7*(($BE31+1)-1),IF(Inputs!$C$7="Biweekly",Inputs!$C$90+14*(($BE31+1)-1),IF(Inputs!$C$7="Semimonthly",DATE(YEAR(Inputs!$C$9),MONTH(Inputs!$C$9)+INT((($BE31+1)-1+'Rest of 2026'!$C$2)/2),MIN(DAY(Inputs!$C$9),DAY(EOMONTH(DATE(YEAR(Inputs!$C$9),MONTH(Inputs!$C$9)+INT((($BE31+1)-1+'Rest of 2026'!$C$2)/2),1),0))))+IF(MOD(($BE31+1)-1+'Rest of 2026'!$C$2,2)=1,15,0),EDATE(Inputs!$C$90,($BE31+1)-1)))))),1,0))</f>
      </c>
      <c r="BG32" s="7">
        <f>IF($B32="","",$BG31+$H32)</f>
      </c>
      <c r="BH32" s="7">
        <f>IF($B32="","",$BH31+$I32)</f>
      </c>
      <c r="BI32" s="7">
        <f>IF($B32="","",$BI31+$G32)</f>
      </c>
      <c r="BJ32" s="7">
        <f>IF($B32="","",IFERROR(LOOKUP(2,1/((((Events!$C$6:$C$17="Deduction start"))*(Events!$D$6:$D$17="Health FSA"))*(Events!$B$6:$B$17&lt;=$B32)*(Events!$B$6:$B$17&lt;&gt;"")),Events!$E$6:$E$17),Inputs!$D$38))</f>
      </c>
      <c r="BK32" s="7">
        <f>IF($B32="","",IFERROR(LOOKUP(2,1/((((Events!$C$6:$C$17="Deduction start"))*(Events!$D$6:$D$17="Dependent-care FSA"))*(Events!$B$6:$B$17&lt;=$B32)*(Events!$B$6:$B$17&lt;&gt;"")),Events!$E$6:$E$17),Inputs!$D$39))</f>
      </c>
      <c r="BL32" s="7">
        <f>IF($B32="","",IFERROR(LOOKUP(2,1/((((Events!$C$6:$C$17="Deduction start")+(Events!$C$6:$C$17="Deduction stop"))*(Events!$D$6:$D$17="HSA"))*(Events!$B$6:$B$17&lt;=$B32)*(Events!$B$6:$B$17&lt;&gt;"")),Events!$I$6:$I$17),Inputs!$D$35))</f>
      </c>
      <c r="BM32" s="7">
        <f>IF($B32="","",IFERROR(LOOKUP(2,1/((((Events!$C$6:$C$17="Deduction start")+(Events!$C$6:$C$17="Deduction stop"))*(Events!$D$6:$D$17="Premiums"))*(Events!$B$6:$B$17&lt;=$B32)*(Events!$B$6:$B$17&lt;&gt;"")),Events!$I$6:$I$17),Inputs!$D$40+Inputs!$D$41+Inputs!$D$42))</f>
      </c>
      <c r="BN32" s="7">
        <f>IF($B32="","",IFERROR(LOOKUP(2,1/((((Events!$C$6:$C$17="Deduction start")+(Events!$C$6:$C$17="Deduction stop"))*(Events!$D$6:$D$17="Commuter"))*(Events!$B$6:$B$17&lt;=$B32)*(Events!$B$6:$B$17&lt;&gt;"")),Events!$I$6:$I$17),Inputs!$D$43))</f>
      </c>
      <c r="BO32" s="7">
        <f>IF($B32="","",IFERROR(LOOKUP(2,1/((((Events!$C$6:$C$17="Deduction start")+(Events!$C$6:$C$17="Deduction stop"))*(Events!$D$6:$D$17="Other pre-tax"))*(Events!$B$6:$B$17&lt;=$B32)*(Events!$B$6:$B$17&lt;&gt;"")),Events!$I$6:$I$17),Inputs!$D$44))</f>
      </c>
      <c r="BP32" s="7">
        <f>IF($B32="","",IFERROR(LOOKUP(2,1/((((Events!$C$6:$C$17="Deduction start")+(Events!$C$6:$C$17="Deduction stop"))*(Events!$D$6:$D$17="Other post-tax"))*(Events!$B$6:$B$17&lt;=$B32)*(Events!$B$6:$B$17&lt;&gt;"")),Events!$I$6:$I$17),Inputs!$D$45))</f>
      </c>
      <c r="BQ32" s="6">
        <f>IF($B32="","",IFERROR(LOOKUP(2,1/((((Events!$C$6:$C$17="Deduction start")+(Events!$C$6:$C$17="Deduction stop"))*(Events!$D$6:$D$17="Health FSA"))*(Events!$B$6:$B$17&lt;=$B32)*(Events!$B$6:$B$17&lt;&gt;"")),Events!$J$6:$J$17),0))</f>
      </c>
      <c r="BR32" s="6">
        <f>IF($B32="","",IFERROR(LOOKUP(2,1/((((Events!$C$6:$C$17="Deduction start")+(Events!$C$6:$C$17="Deduction stop"))*(Events!$D$6:$D$17="Dependent-care FSA"))*(Events!$B$6:$B$17&lt;=$B32)*(Events!$B$6:$B$17&lt;&gt;"")),Events!$J$6:$J$17),0))</f>
      </c>
      <c r="BS32" s="6">
        <f>IF($B32="","",IF(SUMPRODUCT((Events!$C$6:$C$17="Deduction start")*(Events!$B$6:$B$17&lt;=$B32)*(Events!$B$6:$B$17&lt;&gt;"")*(Events!$D$6:$D$17="Health FSA"))&gt;0,1,0))</f>
      </c>
      <c r="BT32" s="6">
        <f>IF($B32="","",IF(SUMPRODUCT((Events!$C$6:$C$17="Deduction start")*(Events!$B$6:$B$17&lt;=$B32)*(Events!$B$6:$B$17&lt;&gt;"")*(Events!$D$6:$D$17="Dependent-care FSA"))&gt;0,1,0))</f>
      </c>
      <c r="BU32" s="24">
        <f>IF($B32="","",IF(Inputs!$C$13,SUMPRODUCT(($AH32&gt;=INDEX('Methodology &amp; Sources'!$B$29:$J$36,0,IF(Inputs!$C$12="MFJ",1,IF(Inputs!$C$12="HoH",7,4))))*INDEX('Methodology &amp; Sources'!$B$29:$J$36,0,IF(Inputs!$C$12="MFJ",1,IF(Inputs!$C$12="HoH",7,4))+2)),SUMPRODUCT(($AH32&gt;=INDEX('Methodology &amp; Sources'!$B$19:$J$26,0,IF(Inputs!$C$12="MFJ",1,IF(Inputs!$C$12="HoH",7,4))))*INDEX('Methodology &amp; Sources'!$B$19:$J$26,0,IF(Inputs!$C$12="MFJ",1,IF(Inputs!$C$12="HoH",7,4))+2))))</f>
      </c>
      <c r="BV32" s="24">
        <f>IF($B32="","",IF($BZ32&lt;&gt;"",$BZ32,IF($CA32&lt;&gt;"",$CA32,IF($CB32&lt;&gt;"",$CB32,IF($CC32&lt;&gt;"",$CC32,0)))))</f>
      </c>
      <c r="BW32" s="7">
        <f>IF($B32="","",IF($AN32="MD",IF(OR($AU32="Married",$AU32="Head of household"),SUMPRODUCT(($AZ32&gt;INDEX('Methodology &amp; Sources'!$B$114:$J$120,0,1))*($AZ32-INDEX('Methodology &amp; Sources'!$B$114:$J$120,0,1))*INDEX('Methodology &amp; Sources'!$B$114:$J$120,0,1+2)),SUMPRODUCT(($AZ32&gt;INDEX('Methodology &amp; Sources'!$B$103:$J$109,0,7))*($AZ32-INDEX('Methodology &amp; Sources'!$B$103:$J$109,0,7))*INDEX('Methodology &amp; Sources'!$B$103:$J$109,0,7+2))),IF($AN32="MO",SUMPRODUCT(($AZ32&gt;INDEX('Methodology &amp; Sources'!$B$125:$J$132,0,1))*($AZ32-INDEX('Methodology &amp; Sources'!$B$125:$J$132,0,1))*INDEX('Methodology &amp; Sources'!$B$125:$J$132,0,1+2)),IF($AN32="MT",IF($AU32="Head of household",SUMPRODUCT(($AZ32&gt;INDEX('Methodology &amp; Sources'!$B$137:$J$139,0,1))*($AZ32-INDEX('Methodology &amp; Sources'!$B$137:$J$139,0,1))*INDEX('Methodology &amp; Sources'!$B$137:$J$139,0,1+2)),IF($AU32="Married",SUMPRODUCT(($AZ32&gt;INDEX('Methodology &amp; Sources'!$B$125:$J$132,0,7))*($AZ32-INDEX('Methodology &amp; Sources'!$B$125:$J$132,0,7))*INDEX('Methodology &amp; Sources'!$B$125:$J$132,0,7+2)),SUMPRODUCT(($AZ32&gt;INDEX('Methodology &amp; Sources'!$B$125:$J$132,0,4))*($AZ32-INDEX('Methodology &amp; Sources'!$B$125:$J$132,0,4))*INDEX('Methodology &amp; Sources'!$B$125:$J$132,0,4+2)))),IF($AN32="ND",IF($AU32="Head of household",SUMPRODUCT(($AZ32&gt;INDEX('Methodology &amp; Sources'!$B$144:$J$150,0,1))*($AZ32-INDEX('Methodology &amp; Sources'!$B$144:$J$150,0,1))*INDEX('Methodology &amp; Sources'!$B$144:$J$150,0,1+2)),IF($AU32="Married",SUMPRODUCT(($AZ32&gt;INDEX('Methodology &amp; Sources'!$B$137:$J$139,0,7))*($AZ32-INDEX('Methodology &amp; Sources'!$B$137:$J$139,0,7))*INDEX('Methodology &amp; Sources'!$B$137:$J$139,0,7+2)),SUMPRODUCT(($AZ32&gt;INDEX('Methodology &amp; Sources'!$B$137:$J$139,0,4))*($AZ32-INDEX('Methodology &amp; Sources'!$B$137:$J$139,0,4))*INDEX('Methodology &amp; Sources'!$B$137:$J$139,0,4+2)))),IF($AN32="NJ",IF(Inputs!$C$77="B",SUMPRODUCT(($AZ32&gt;INDEX('Methodology &amp; Sources'!$B$155:$J$162,0,4))*($AZ32-INDEX('Methodology &amp; Sources'!$B$155:$J$162,0,4))*INDEX('Methodology &amp; Sources'!$B$155:$J$162,0,4+2)),IF(Inputs!$C$77="C",SUMPRODUCT(($AZ32&gt;INDEX('Methodology &amp; Sources'!$B$155:$J$162,0,7))*($AZ32-INDEX('Methodology &amp; Sources'!$B$155:$J$162,0,7))*INDEX('Methodology &amp; Sources'!$B$155:$J$162,0,7+2)),IF(Inputs!$C$77="D",SUMPRODUCT(($AZ32&gt;INDEX('Methodology &amp; Sources'!$B$167:$J$179,0,1))*($AZ32-INDEX('Methodology &amp; Sources'!$B$167:$J$179,0,1))*INDEX('Methodology &amp; Sources'!$B$167:$J$179,0,1+2)),IF(Inputs!$C$77="E",SUMPRODUCT(($AZ32&gt;INDEX('Methodology &amp; Sources'!$B$167:$J$179,0,4))*($AZ32-INDEX('Methodology &amp; Sources'!$B$167:$J$179,0,4))*INDEX('Methodology &amp; Sources'!$B$167:$J$179,0,4+2)),SUMPRODUCT(($AZ32&gt;INDEX('Methodology &amp; Sources'!$B$155:$J$162,0,1))*($AZ32-INDEX('Methodology &amp; Sources'!$B$155:$J$162,0,1))*INDEX('Methodology &amp; Sources'!$B$155:$J$162,0,1+2)))))),IF($AN32="NY",IF($AU32="Married",IF($AZ32&gt;=2155350,$AZ32*IF($AZ32&gt;25000000,0.117,IF($AZ32&gt;5000000,0.111,0.1045)),SUMPRODUCT(($AZ32&gt;INDEX('Methodology &amp; Sources'!$B$184:$J$198,0,1))*($AZ32-INDEX('Methodology &amp; Sources'!$B$184:$J$198,0,1))*INDEX('Methodology &amp; Sources'!$B$184:$J$198,0,1+2))),IF($AZ32&gt;=1077550,$AZ32*IF($AZ32&gt;25000000,0.117,IF($AZ32&gt;5000000,0.111,0.1045)),SUMPRODUCT(($AZ32&gt;INDEX('Methodology &amp; Sources'!$B$167:$J$179,0,7))*($AZ32-INDEX('Methodology &amp; Sources'!$B$167:$J$179,0,7))*INDEX('Methodology &amp; Sources'!$B$167:$J$179,0,7+2)))),"")))))))</f>
      </c>
      <c r="BX32" s="7">
        <f>IF($B32="","",IF($AN32="AL",IF(OR($AU32="Married",$AU32="Head of household"),SUMPRODUCT(($AZ32&gt;INDEX('Methodology &amp; Sources'!$B$82:$J$86,0,4))*($AZ32-INDEX('Methodology &amp; Sources'!$B$82:$J$86,0,4))*INDEX('Methodology &amp; Sources'!$B$82:$J$86,0,4+2)),SUMPRODUCT(($AZ32&gt;INDEX('Methodology &amp; Sources'!$B$82:$J$86,0,1))*($AZ32-INDEX('Methodology &amp; Sources'!$B$82:$J$86,0,1))*INDEX('Methodology &amp; Sources'!$B$82:$J$86,0,1+2))),IF($AN32="KS",IF($AU32="Married",SUMPRODUCT(($AZ32&gt;INDEX('Methodology &amp; Sources'!$B$103:$J$109,0,4))*($AZ32-INDEX('Methodology &amp; Sources'!$B$103:$J$109,0,4))*INDEX('Methodology &amp; Sources'!$B$103:$J$109,0,4+2)),SUMPRODUCT(($AZ32&gt;INDEX('Methodology &amp; Sources'!$B$103:$J$109,0,1))*($AZ32-INDEX('Methodology &amp; Sources'!$B$103:$J$109,0,1))*INDEX('Methodology &amp; Sources'!$B$103:$J$109,0,1+2))),IF($AN32="MN",IF($AU32="Married",SUMPRODUCT(($AZ32&gt;INDEX('Methodology &amp; Sources'!$B$114:$J$120,0,7))*($AZ32-INDEX('Methodology &amp; Sources'!$B$114:$J$120,0,7))*INDEX('Methodology &amp; Sources'!$B$114:$J$120,0,7+2)),SUMPRODUCT(($AZ32&gt;INDEX('Methodology &amp; Sources'!$B$114:$J$120,0,4))*($AZ32-INDEX('Methodology &amp; Sources'!$B$114:$J$120,0,4))*INDEX('Methodology &amp; Sources'!$B$114:$J$120,0,4+2))),IF($AN32="NE",MAX(IF($AU32="Married",SUMPRODUCT(($AZ32&gt;INDEX('Methodology &amp; Sources'!$B$144:$J$150,0,7))*($AZ32-INDEX('Methodology &amp; Sources'!$B$144:$J$150,0,7))*INDEX('Methodology &amp; Sources'!$B$144:$J$150,0,7+2)),SUMPRODUCT(($AZ32&gt;INDEX('Methodology &amp; Sources'!$B$144:$J$150,0,4))*($AZ32-INDEX('Methodology &amp; Sources'!$B$144:$J$150,0,4))*INDEX('Methodology &amp; Sources'!$B$144:$J$150,0,4+2))),0.015*$AZ32),IF($AN32="OH",IF($B32&gt;=DATE(2027,8,1),SUMPRODUCT(($AZ32&gt;INDEX('Methodology &amp; Sources'!$B$203:$J$206,0,1))*($AZ32-INDEX('Methodology &amp; Sources'!$B$203:$J$206,0,1))*INDEX('Methodology &amp; Sources'!$B$203:$J$206,0,1+2)),SUMPRODUCT(($AZ32&gt;INDEX('Methodology &amp; Sources'!$B$184:$J$198,0,7))*($AZ32-INDEX('Methodology &amp; Sources'!$B$184:$J$198,0,7))*INDEX('Methodology &amp; Sources'!$B$184:$J$198,0,7+2))),IF($AN32="OK",IF($AU32="Married",SUMPRODUCT(($AZ32&gt;INDEX('Methodology &amp; Sources'!$B$203:$J$206,0,7))*($AZ32-INDEX('Methodology &amp; Sources'!$B$203:$J$206,0,7))*INDEX('Methodology &amp; Sources'!$B$203:$J$206,0,7+2)),SUMPRODUCT(($AZ32&gt;INDEX('Methodology &amp; Sources'!$B$203:$J$206,0,4))*($AZ32-INDEX('Methodology &amp; Sources'!$B$203:$J$206,0,4))*INDEX('Methodology &amp; Sources'!$B$203:$J$206,0,4+2))),IF($AN32="RI",SUMPRODUCT(($AZ32&gt;INDEX('Methodology &amp; Sources'!$B$211:$J$214,0,7))*($AZ32-INDEX('Methodology &amp; Sources'!$B$211:$J$214,0,7))*INDEX('Methodology &amp; Sources'!$B$211:$J$214,0,7+2)),IF($AN32="VT",IF($AU32="Married",SUMPRODUCT(($AZ32&gt;INDEX('Methodology &amp; Sources'!$B$228:$J$232,0,1))*($AZ32-INDEX('Methodology &amp; Sources'!$B$228:$J$232,0,1))*INDEX('Methodology &amp; Sources'!$B$228:$J$232,0,1+2)),SUMPRODUCT(($AZ32&gt;INDEX('Methodology &amp; Sources'!$B$219:$J$223,0,7))*($AZ32-INDEX('Methodology &amp; Sources'!$B$219:$J$223,0,7))*INDEX('Methodology &amp; Sources'!$B$219:$J$223,0,7+2))),IF($AN32="WV",IF($AU32="Married",SUMPRODUCT(($AZ32&gt;INDEX('Methodology &amp; Sources'!$B$237:$J$241,0,7))*($AZ32-INDEX('Methodology &amp; Sources'!$B$237:$J$241,0,7))*INDEX('Methodology &amp; Sources'!$B$237:$J$241,0,7+2)),SUMPRODUCT(($AZ32&gt;INDEX('Methodology &amp; Sources'!$B$228:$J$232,0,7))*($AZ32-INDEX('Methodology &amp; Sources'!$B$228:$J$232,0,7))*INDEX('Methodology &amp; Sources'!$B$228:$J$232,0,7+2))),""))))))))))</f>
      </c>
      <c r="BY32" s="7">
        <f>IF($B32="","",IF($AN32="AR",SUMPRODUCT(($AZ32&gt;INDEX('Methodology &amp; Sources'!$B$82:$J$86,0,7))*($AZ32-INDEX('Methodology &amp; Sources'!$B$82:$J$86,0,7))*INDEX('Methodology &amp; Sources'!$B$82:$J$86,0,7+2)),IF($AN32="DE",SUMPRODUCT(($AZ32&gt;INDEX('Methodology &amp; Sources'!$B$91:$J$98,0,1))*($AZ32-INDEX('Methodology &amp; Sources'!$B$91:$J$98,0,1))*INDEX('Methodology &amp; Sources'!$B$91:$J$98,0,1+2)),IF($AN32="HI",IF($AU32="Married",SUMPRODUCT(($AZ32&gt;INDEX('Methodology &amp; Sources'!$B$91:$J$98,0,7))*($AZ32-INDEX('Methodology &amp; Sources'!$B$91:$J$98,0,7))*INDEX('Methodology &amp; Sources'!$B$91:$J$98,0,7+2)),SUMPRODUCT(($AZ32&gt;INDEX('Methodology &amp; Sources'!$B$91:$J$98,0,4))*($AZ32-INDEX('Methodology &amp; Sources'!$B$91:$J$98,0,4))*INDEX('Methodology &amp; Sources'!$B$91:$J$98,0,4+2))),IF($AN32="SC",SUMPRODUCT(($AZ32&gt;INDEX('Methodology &amp; Sources'!$B$219:$J$223,0,1))*($AZ32-INDEX('Methodology &amp; Sources'!$B$219:$J$223,0,1))*INDEX('Methodology &amp; Sources'!$B$219:$J$223,0,1+2)),IF($AN32="VA",SUMPRODUCT(($AZ32&gt;INDEX('Methodology &amp; Sources'!$B$219:$J$223,0,4))*($AZ32-INDEX('Methodology &amp; Sources'!$B$219:$J$223,0,4))*INDEX('Methodology &amp; Sources'!$B$219:$J$223,0,4+2)),IF($AN32="WI",SUMPRODUCT(($AZ32&gt;INDEX('Methodology &amp; Sources'!$B$228:$J$232,0,4))*($AZ32-INDEX('Methodology &amp; Sources'!$B$228:$J$232,0,4))*INDEX('Methodology &amp; Sources'!$B$228:$J$232,0,4+2)),"")))))))</f>
      </c>
      <c r="BZ32" s="24">
        <f>IF($B32="","",IF($AN32="NJ",IF(Inputs!$C$77="B",SUMPRODUCT(($AZ32&gt;=INDEX('Methodology &amp; Sources'!$B$155:$J$162,0,4))*INDEX('Methodology &amp; Sources'!$B$155:$J$162,0,4+2)),IF(Inputs!$C$77="C",SUMPRODUCT(($AZ32&gt;=INDEX('Methodology &amp; Sources'!$B$155:$J$162,0,7))*INDEX('Methodology &amp; Sources'!$B$155:$J$162,0,7+2)),IF(Inputs!$C$77="D",SUMPRODUCT(($AZ32&gt;=INDEX('Methodology &amp; Sources'!$B$167:$J$179,0,1))*INDEX('Methodology &amp; Sources'!$B$167:$J$179,0,1+2)),IF(Inputs!$C$77="E",SUMPRODUCT(($AZ32&gt;=INDEX('Methodology &amp; Sources'!$B$167:$J$179,0,4))*INDEX('Methodology &amp; Sources'!$B$167:$J$179,0,4+2)),SUMPRODUCT(($AZ32&gt;=INDEX('Methodology &amp; Sources'!$B$155:$J$162,0,1))*INDEX('Methodology &amp; Sources'!$B$155:$J$162,0,1+2)))))),IF($AN32="OR",IF(OR($AU32="Married",AND($AU32="Single",$AS32&gt;=3)),SUMPRODUCT((MAX(0,$AY32-MIN(($P32-'Methodology &amp; Sources'!$C$10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Sources'!$B$211:$J$214,0,4))*INDEX('Methodology &amp; Sources'!$B$211:$J$214,0,4+2)),SUMPRODUCT((MAX(0,$AY32-MIN(($P32-'Methodology &amp; Sources'!$C$10*$D32)*Inputs!$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Sources'!$B$211:$J$214,0,1))*INDEX('Methodology &amp; Sources'!$B$211:$J$214,0,1+2)))*IF(($P32-'Methodology &amp; Sources'!$C$10*$D32)*Inputs!$C$8&gt;=IF(OR($AU32="Married",AND($AU32="Single",$AS32&gt;=3)),IF($AY32&lt;250000,8750,IF($AY32&lt;260000,7000,IF($AY32&lt;270000,5250,IF($AY32&lt;280000,3500,IF($AY32&lt;290000,1750,0))))),IF($AY32&lt;125000,8750,IF($AY32&lt;130000,7000,IF($AY32&lt;135000,5250,IF($AY32&lt;140000,3500,IF($AY32&lt;145000,1750,0)))))),1,1-IF(Inputs!$C$13,SUMPRODUCT(($AH32&gt;=INDEX('Methodology &amp; Sources'!$B$29:$J$36,0,IF(Inputs!$C$12="MFJ",1,IF(Inputs!$C$12="HoH",7,4))))*INDEX('Methodology &amp; Sources'!$B$29:$J$36,0,IF(Inputs!$C$12="MFJ",1,IF(Inputs!$C$12="HoH",7,4))+2)),SUMPRODUCT(($AH32&gt;=INDEX('Methodology &amp; Sources'!$B$19:$J$26,0,IF(Inputs!$C$12="MFJ",1,IF(Inputs!$C$12="HoH",7,4))))*INDEX('Methodology &amp; Sources'!$B$19:$J$26,0,IF(Inputs!$C$12="MFJ",1,IF(Inputs!$C$12="HoH",7,4))+2)))),IF($AN32="MI",IF($AY32&gt;5900*$AS32,0.0425,0),""))))</f>
      </c>
      <c r="CA32" s="24">
        <f>IF($B32="","",IF($AN32="AL",IF(OR($AU32="Married",$AU32="Head of household"),SUMPRODUCT(($AZ32&gt;=INDEX('Methodology &amp; Sources'!$B$82:$J$86,0,4))*INDEX('Methodology &amp; Sources'!$B$82:$J$86,0,4+2)),SUMPRODUCT(($AZ32&gt;=INDEX('Methodology &amp; Sources'!$B$82:$J$86,0,1))*INDEX('Methodology &amp; Sources'!$B$82:$J$86,0,1+2)))*(1-IF(Inputs!$C$13,SUMPRODUCT(($AH32&gt;=INDEX('Methodology &amp; Sources'!$B$29:$J$36,0,IF(Inputs!$C$12="MFJ",1,IF(Inputs!$C$12="HoH",7,4))))*INDEX('Methodology &amp; Sources'!$B$29:$J$36,0,IF(Inputs!$C$12="MFJ",1,IF(Inputs!$C$12="HoH",7,4))+2)),SUMPRODUCT(($AH32&gt;=INDEX('Methodology &amp; Sources'!$B$19:$J$26,0,IF(Inputs!$C$12="MFJ",1,IF(Inputs!$C$12="HoH",7,4))))*INDEX('Methodology &amp; Sources'!$B$19:$J$26,0,IF(Inputs!$C$12="MFJ",1,IF(Inputs!$C$12="HoH",7,4))+2)))),IF($AN32="KS",IF($AU32="Married",SUMPRODUCT(($AZ32&gt;=INDEX('Methodology &amp; Sources'!$B$103:$J$109,0,4))*INDEX('Methodology &amp; Sources'!$B$103:$J$109,0,4+2)),SUMPRODUCT(($AZ32&gt;=INDEX('Methodology &amp; Sources'!$B$103:$J$109,0,1))*INDEX('Methodology &amp; Sources'!$B$103:$J$109,0,1+2))),IF($AN32="MD",IF(OR($AU32="Married",$AU32="Head of household"),SUMPRODUCT(($AZ32&gt;=INDEX('Methodology &amp; Sources'!$B$114:$J$120,0,1))*INDEX('Methodology &amp; Sources'!$B$114:$J$120,0,1+2)),SUMPRODUCT(($AZ32&gt;=INDEX('Methodology &amp; Sources'!$B$103:$J$109,0,7))*INDEX('Methodology &amp; Sources'!$B$103:$J$109,0,7+2)))+Inputs!$C$74,IF($AN32="MT",IF($AU32="Head of household",SUMPRODUCT(($AZ32&gt;=INDEX('Methodology &amp; Sources'!$B$137:$J$139,0,1))*INDEX('Methodology &amp; Sources'!$B$137:$J$139,0,1+2)),IF($AU32="Married",SUMPRODUCT(($AZ32&gt;=INDEX('Methodology &amp; Sources'!$B$125:$J$132,0,7))*INDEX('Methodology &amp; Sources'!$B$125:$J$132,0,7+2)),SUMPRODUCT(($AZ32&gt;=INDEX('Methodology &amp; Sources'!$B$125:$J$132,0,4))*INDEX('Methodology &amp; Sources'!$B$125:$J$132,0,4+2)))),IF($AN32="ND",IF($AU32="Head of household",SUMPRODUCT(($AZ32&gt;=INDEX('Methodology &amp; Sources'!$B$144:$J$150,0,1))*INDEX('Methodology &amp; Sources'!$B$144:$J$150,0,1+2)),IF($AU32="Married",SUMPRODUCT(($AZ32&gt;=INDEX('Methodology &amp; Sources'!$B$137:$J$139,0,7))*INDEX('Methodology &amp; Sources'!$B$137:$J$139,0,7+2)),SUMPRODUCT(($AZ32&gt;=INDEX('Methodology &amp; Sources'!$B$137:$J$139,0,4))*INDEX('Methodology &amp; Sources'!$B$137:$J$139,0,4+2)))),IF($AN32="NY",IF($AU32="Married",IF($AZ32&gt;=2155350,IF($AZ32&gt;25000000,0.117,IF($AZ32&gt;5000000,0.111,0.1045)),SUMPRODUCT(($AZ32&gt;=INDEX('Methodology &amp; Sources'!$B$184:$J$198,0,1))*INDEX('Methodology &amp; Sources'!$B$184:$J$198,0,1+2))),IF($AZ32&gt;=1077550,IF($AZ32&gt;25000000,0.117,IF($AZ32&gt;5000000,0.111,0.1045)),SUMPRODUCT(($AZ32&gt;=INDEX('Methodology &amp; Sources'!$B$167:$J$179,0,7))*INDEX('Methodology &amp; Sources'!$B$167:$J$179,0,7+2)))),"")))))))</f>
      </c>
      <c r="CB32" s="24">
        <f>IF($B32="","",IF($AN32="CA",SUMPRODUCT(($AJ32&gt;=INDEX('Methodology &amp; Sources'!$B$39:$J$48,0,IF($AU32="Married",4,IF($AU32="Head of household",7,1))))*INDEX('Methodology &amp; Sources'!$B$39:$J$48,0,IF($AU32="Married",4,IF($AU32="Head of household",7,1))+2)),IF($AN32="HI",IF($AU32="Married",SUMPRODUCT(($AZ32&gt;=INDEX('Methodology &amp; Sources'!$B$91:$J$98,0,7))*INDEX('Methodology &amp; Sources'!$B$91:$J$98,0,7+2)),SUMPRODUCT(($AZ32&gt;=INDEX('Methodology &amp; Sources'!$B$91:$J$98,0,4))*INDEX('Methodology &amp; Sources'!$B$91:$J$98,0,4+2))),IF($AN32="MN",IF($AU32="Married",SUMPRODUCT(($AZ32&gt;=INDEX('Methodology &amp; Sources'!$B$114:$J$120,0,7))*INDEX('Methodology &amp; Sources'!$B$114:$J$120,0,7+2)),SUMPRODUCT(($AZ32&gt;=INDEX('Methodology &amp; Sources'!$B$114:$J$120,0,4))*INDEX('Methodology &amp; Sources'!$B$114:$J$120,0,4+2))),IF($AN32="MO",SUMPRODUCT(($AZ32&gt;=INDEX('Methodology &amp; Sources'!$B$125:$J$132,0,1))*INDEX('Methodology &amp; Sources'!$B$125:$J$132,0,1+2)),IF($AN32="NE",MAX(IF($AU32="Married",SUMPRODUCT(($AZ32&gt;=INDEX('Methodology &amp; Sources'!$B$144:$J$150,0,7))*INDEX('Methodology &amp; Sources'!$B$144:$J$150,0,7+2)),SUMPRODUCT(($AZ32&gt;=INDEX('Methodology &amp; Sources'!$B$144:$J$150,0,4))*INDEX('Methodology &amp; Sources'!$B$144:$J$150,0,4+2))),0.015),IF($AN32="OH",IF($B32&gt;=DATE(2027,8,1),SUMPRODUCT(($AZ32&gt;=INDEX('Methodology &amp; Sources'!$B$203:$J$206,0,1))*INDEX('Methodology &amp; Sources'!$B$203:$J$206,0,1+2)),SUMPRODUCT(($AZ32&gt;=INDEX('Methodology &amp; Sources'!$B$184:$J$198,0,7))*INDEX('Methodology &amp; Sources'!$B$184:$J$198,0,7+2))),IF($AN32="OK",IF($AU32="Married",SUMPRODUCT(($AZ32&gt;=INDEX('Methodology &amp; Sources'!$B$203:$J$206,0,7))*INDEX('Methodology &amp; Sources'!$B$203:$J$206,0,7+2)),SUMPRODUCT(($AZ32&gt;=INDEX('Methodology &amp; Sources'!$B$203:$J$206,0,4))*INDEX('Methodology &amp; Sources'!$B$203:$J$206,0,4+2))),IF($AN32="RI",SUMPRODUCT(($AZ32&gt;=INDEX('Methodology &amp; Sources'!$B$211:$J$214,0,7))*INDEX('Methodology &amp; Sources'!$B$211:$J$214,0,7+2)),IF($AN32="SC",SUMPRODUCT(($AZ32&gt;=INDEX('Methodology &amp; Sources'!$B$219:$J$223,0,1))*INDEX('Methodology &amp; Sources'!$B$219:$J$223,0,1+2)),IF($AN32="VT",IF($AU32="Married",SUMPRODUCT(($AZ32&gt;=INDEX('Methodology &amp; Sources'!$B$228:$J$232,0,1))*INDEX('Methodology &amp; Sources'!$B$228:$J$232,0,1+2)),SUMPRODUCT(($AZ32&gt;=INDEX('Methodology &amp; Sources'!$B$219:$J$223,0,7))*INDEX('Methodology &amp; Sources'!$B$219:$J$223,0,7+2))),IF($AN32="WV",IF($AU32="Married",SUMPRODUCT(($AZ32&gt;=INDEX('Methodology &amp; Sources'!$B$237:$J$241,0,7))*INDEX('Methodology &amp; Sources'!$B$237:$J$241,0,7+2)),SUMPRODUCT(($AZ32&gt;=INDEX('Methodology &amp; Sources'!$B$228:$J$232,0,7))*INDEX('Methodology &amp; Sources'!$B$228:$J$232,0,7+2))),IF($AN32="IN",(0.0295+Inputs!$C$76),"")))))))))))))</f>
      </c>
      <c r="CC32" s="24">
        <f>IF($B32="","",IF($AN32="AR",SUMPRODUCT(($AZ32&gt;=INDEX('Methodology &amp; Sources'!$B$82:$J$86,0,7))*INDEX('Methodology &amp; Sources'!$B$82:$J$86,0,7+2)),IF($AN32="DE",SUMPRODUCT(($AZ32&gt;=INDEX('Methodology &amp; Sources'!$B$91:$J$98,0,1))*INDEX('Methodology &amp; Sources'!$B$91:$J$98,0,1+2)),IF($AN32="VA",SUMPRODUCT(($AZ32&gt;=INDEX('Methodology &amp; Sources'!$B$219:$J$223,0,4))*INDEX('Methodology &amp; Sources'!$B$219:$J$223,0,4+2)),IF($AN32="WI",SUMPRODUCT(($AZ32&gt;=INDEX('Methodology &amp; Sources'!$B$228:$J$232,0,4))*INDEX('Methodology &amp; Sources'!$B$228:$J$232,0,4+2)),IF($AN32="AZ",Inputs!$C$82,IF($AN32="CO",IF($AY32&gt;IF($AU32="Married",10000,5000),0.044,0),IF($AN32="IA",IF($AY32&gt;IF($AU32="Head of household",19500,IF($AU32="Married",26000,13000)),0.038,0),IF($AN32="ID",IF($AY32&gt;IF($AU32="Married",32000,16094),0.053,0),IF($AN32="IL",IF($AY32&gt;(2925*$AS32+1000*$AT32),0.0495,0),IF($AN32="KY",IF($AI32&gt;3360,0.035,0),IF($AN32="LA",0.0309,IF($AN32="MA",IF(MAX(0,$AY32-MIN(($BD31+$Q32+$R32+$S32),2000)-IF($AS32=0,0,IF($AS32=1,4400,1000*$AS32+3400)))&gt;=1107750,0.09,0.05),IF($AN32="MS",IF($AI32-IF($AU32="Head of household",3400,IF($AU32="Married",4600,2300))-Inputs!$C$85&gt;10000,0.04,0),IF($AN32="PA",0.0307,"")))))))))))))))</f>
      </c>
      <c r="CD32" s="21">
        <f>IF(YEAR(IF(Inputs!$C$7="Weekly",Inputs!$C$90+7*(($BE31+1)-1),IF(Inputs!$C$7="Biweekly",Inputs!$C$90+14*(($BE31+1)-1),IF(Inputs!$C$7="Semimonthly",DATE(YEAR(Inputs!$C$9),MONTH(Inputs!$C$9)+INT((($BE31+1)-1+'Rest of 2026'!$C$2)/2),MIN(DAY(Inputs!$C$9),DAY(EOMONTH(DATE(YEAR(Inputs!$C$9),MONTH(Inputs!$C$9)+INT((($BE31+1)-1+'Rest of 2026'!$C$2)/2),1),0))))+IF(MOD(($BE31+1)-1+'Rest of 2026'!$C$2,2)=1,15,0),EDATE(Inputs!$C$90,($BE31+1)-1)))))&lt;&gt;Inputs!$C$10,"",IF(Inputs!$C$7="Weekly",Inputs!$C$90+7*(($BE31+1)-1),IF(Inputs!$C$7="Biweekly",Inputs!$C$90+14*(($BE31+1)-1),IF(Inputs!$C$7="Semimonthly",DATE(YEAR(Inputs!$C$9),MONTH(Inputs!$C$9)+INT((($BE31+1)-1+'Rest of 2026'!$C$2)/2),MIN(DAY(Inputs!$C$9),DAY(EOMONTH(DATE(YEAR(Inputs!$C$9),MONTH(Inputs!$C$9)+INT((($BE31+1)-1+'Rest of 2026'!$C$2)/2),1),0))))+IF(MOD(($BE31+1)-1+'Rest of 2026'!$C$2,2)=1,15,0),EDATE(Inputs!$C$90,($BE31+1)-1)))))</f>
      </c>
      <c r="CE32" s="21">
        <f>IF(SUMPRODUCT(MIN(IF((Inputs!$C$58:$C$67&gt;MAX($B$6:$B31))*(Inputs!$C$58:$C$67&gt;=DATE(Inputs!$C$10,1,1))*(Inputs!$C$58:$C$67&lt;=DATE(Inputs!$C$10,12,31)),Inputs!$C$58:$C$67,999999)))=999999,"",SUMPRODUCT(MIN(IF((Inputs!$C$58:$C$67&gt;MAX($B$6:$B31))*(Inputs!$C$58:$C$67&gt;=DATE(Inputs!$C$10,1,1))*(Inputs!$C$58:$C$67&lt;=DATE(Inputs!$C$10,12,31)),Inputs!$C$58:$C$67,999999))))</f>
      </c>
    </row>
    <row r="33">
      <c r="A33" t="n">
        <v>28</v>
      </c>
      <c r="B33" s="21">
        <f>IF(AND($CD33="",$CE33=""),"",IF($CE33="",$CD33,IF($CD33="",$CE33,MIN($CD33,$CE33))))</f>
      </c>
      <c r="C33" s="7">
        <f>IF($B33="","",IF($BF33=0,0,IF(Inputs!$C$4="Annual salary",ROUND($AK33/IF(AND(Inputs!$C$88="Actual paydays",MONTH(Inputs!$C$90)=1),MAX(1,MAX($BE$6:$BE$68)),Inputs!$C$8),2),$AK33)))</f>
      </c>
      <c r="D33" s="7">
        <f>IF($B33="","",SUMIF(Inputs!$C$58:$C$67,$B33,Inputs!$D$58:$D$67))</f>
      </c>
      <c r="E33" s="7">
        <f>IF($B33="","",ROUND(MAX(0,MIN(IF($AL33="Percent",$AM33*($C33+$D33),$AM33),MAX(0,Inputs!$C$34-$AC32))),2))</f>
      </c>
      <c r="F33" s="7">
        <f>IF($B33="","",ROUND(MAX(0,MIN(IF(Inputs!$C$32="Percent",Inputs!$D$32*($C33+$D33),Inputs!$D$32),MAX(0,Inputs!$C$34-$AC32-$E33))),2))</f>
      </c>
      <c r="G33" s="7">
        <f>IF($B33="","",IF($BF33=0,0,ROUND(MAX(0,MIN($BL33,Inputs!$C$37-Inputs!$C$99-$BI32)),2)))</f>
      </c>
      <c r="H33" s="7">
        <f>IF($B33="","",IF(OR($BF33=0,$BQ33=1),0,ROUND(MAX(0,MIN(IF($BS33=1,ROUND(MAX(0,MIN($BJ33,'Methodology &amp; Sources'!$C$13)-$BG32)/MAX(1,MAX($BE$6:$BE$68)-($BE32)),2),ROUND(MIN($BJ33,'Methodology &amp; Sources'!$C$13)/Inputs!$C$8,2)),MIN($BJ33,'Methodology &amp; Sources'!$C$13)-$BG32)),2)))</f>
      </c>
      <c r="I33" s="7">
        <f>IF($B33="","",IF(OR($BF33=0,$BR33=1),0,ROUND(MAX(0,MIN(IF($BT33=1,ROUND(MAX(0,MIN($BK33,IF(Inputs!$C$12="MFJ",'Methodology &amp; Sources'!$C$14,'Methodology &amp; Sources'!$C$15))-$BH32)/MAX(1,MAX($BE$6:$BE$68)-($BE32)),2),ROUND(MIN($BK33,IF(Inputs!$C$12="MFJ",'Methodology &amp; Sources'!$C$14,'Methodology &amp; Sources'!$C$15))/Inputs!$C$8,2)),MIN($BK33,IF(Inputs!$C$12="MFJ",'Methodology &amp; Sources'!$C$14,'Methodology &amp; Sources'!$C$15))-$BH32)),2)))</f>
      </c>
      <c r="J33" s="7">
        <f>IF($B33="","",IF($BF33=0,0,$BM33))</f>
      </c>
      <c r="K33" s="7">
        <f>IF($B33="","",IF($BF33=0,0,$BN33+$BO33))</f>
      </c>
      <c r="L33" s="7">
        <f>IF($B33="","",IF($BF33=0,0,Inputs!$D$46))</f>
      </c>
      <c r="M33" s="7">
        <f>IF($B33="","",$C33+$D33+$L33-$E33-$G33-$H33-$I33-$J33-$K33)</f>
      </c>
      <c r="N33" s="7">
        <f>IF($B33="","",$C33+$D33+$L33-$G33-$H33-$I33-$J33-$K33)</f>
      </c>
      <c r="O33" s="7">
        <f>IF($B33="","",$C33+$D33+$L33-$E33-$H33-$I33-$J33-$K33-IF(OR($AN33="CA",$AN33="NJ"),0,$G33))</f>
      </c>
      <c r="P33" s="7">
        <f>IF($B33="","",IF(Inputs!$C$18,0,ROUND(MAX(0,IF(Inputs!$C$13,SUMPRODUCT(($AH33&gt;INDEX('Methodology &amp; Sources'!$B$29:$J$36,0,IF(Inputs!$C$12="MFJ",1,IF(Inputs!$C$12="HoH",7,4))))*($AH33-INDEX('Methodology &amp; Sources'!$B$29:$J$36,0,IF(Inputs!$C$12="MFJ",1,IF(Inputs!$C$12="HoH",7,4))))*INDEX('Methodology &amp; Sources'!$B$29:$J$36,0,IF(Inputs!$C$12="MFJ",1,IF(Inputs!$C$12="HoH",7,4))+2)),SUMPRODUCT(($AH33&gt;INDEX('Methodology &amp; Sources'!$B$19:$J$26,0,IF(Inputs!$C$12="MFJ",1,IF(Inputs!$C$12="HoH",7,4))))*($AH33-INDEX('Methodology &amp; Sources'!$B$19:$J$26,0,IF(Inputs!$C$12="MFJ",1,IF(Inputs!$C$12="HoH",7,4))))*INDEX('Methodology &amp; Sources'!$B$19:$J$26,0,IF(Inputs!$C$12="MFJ",1,IF(Inputs!$C$12="HoH",7,4))+2)))/Inputs!$C$8-$AO33/Inputs!$C$8)+$AR33+IF(Inputs!$C$89="Aggregate",MAX(0,IF(Inputs!$C$13,SUMPRODUCT((($AH33+$D33)&gt;INDEX('Methodology &amp; Sources'!$B$29:$J$36,0,IF(Inputs!$C$12="MFJ",1,IF(Inputs!$C$12="HoH",7,4))))*(($AH33+$D33)-INDEX('Methodology &amp; Sources'!$B$29:$J$36,0,IF(Inputs!$C$12="MFJ",1,IF(Inputs!$C$12="HoH",7,4))))*INDEX('Methodology &amp; Sources'!$B$29:$J$36,0,IF(Inputs!$C$12="MFJ",1,IF(Inputs!$C$12="HoH",7,4))+2)),SUMPRODUCT((($AH33+$D33)&gt;INDEX('Methodology &amp; Sources'!$B$19:$J$26,0,IF(Inputs!$C$12="MFJ",1,IF(Inputs!$C$12="HoH",7,4))))*(($AH33+$D33)-INDEX('Methodology &amp; Sources'!$B$19:$J$26,0,IF(Inputs!$C$12="MFJ",1,IF(Inputs!$C$12="HoH",7,4))))*INDEX('Methodology &amp; Sources'!$B$19:$J$26,0,IF(Inputs!$C$12="MFJ",1,IF(Inputs!$C$12="HoH",7,4))+2)))-IF(Inputs!$C$13,SUMPRODUCT(($AH33&gt;INDEX('Methodology &amp; Sources'!$B$29:$J$36,0,IF(Inputs!$C$12="MFJ",1,IF(Inputs!$C$12="HoH",7,4))))*($AH33-INDEX('Methodology &amp; Sources'!$B$29:$J$36,0,IF(Inputs!$C$12="MFJ",1,IF(Inputs!$C$12="HoH",7,4))))*INDEX('Methodology &amp; Sources'!$B$29:$J$36,0,IF(Inputs!$C$12="MFJ",1,IF(Inputs!$C$12="HoH",7,4))+2)),SUMPRODUCT(($AH33&gt;INDEX('Methodology &amp; Sources'!$B$19:$J$26,0,IF(Inputs!$C$12="MFJ",1,IF(Inputs!$C$12="HoH",7,4))))*($AH33-INDEX('Methodology &amp; Sources'!$B$19:$J$26,0,IF(Inputs!$C$12="MFJ",1,IF(Inputs!$C$12="HoH",7,4))))*INDEX('Methodology &amp; Sources'!$B$19:$J$26,0,IF(Inputs!$C$12="MFJ",1,IF(Inputs!$C$12="HoH",7,4))+2)))),'Methodology &amp; Sources'!$C$10*$D33),2)))</f>
      </c>
      <c r="Q33" s="7">
        <f>IF($B33="","",ROUND('Methodology &amp; Sources'!$C$4*MIN($N33,MAX(0,'Methodology &amp; Sources'!$C$3-($AX33+$AB32-$AW33))),2))</f>
      </c>
      <c r="R33" s="7">
        <f>IF($B33="","",ROUND('Methodology &amp; Sources'!$C$5*$N33,2))</f>
      </c>
      <c r="S33" s="7">
        <f>IF($B33="","",ROUND('Methodology &amp; Sources'!$C$6*MAX(0,MIN($N33,$AG32+$N33-'Methodology &amp; Sources'!$C$7)),2))</f>
      </c>
      <c r="T33" s="7">
        <f>IF($B33="","",IF(Inputs!$C$26,0,IF($AN33="CA",ROUND(IF($AI33&lt;=IF(($AS33+$AT33)&gt;=2,VLOOKUP($AN33,StateTables!$A$6:$AB$56,10,FALSE),VLOOKUP($AN33,StateTables!$A$6:$AB$56,9,FALSE)),0,MAX(0,SUMPRODUCT(($AJ33&gt;INDEX('Methodology &amp; Sources'!$B$39:$J$48,0,IF($AU33="Married",4,IF($AU33="Head of household",7,1))))*($AJ33-INDEX('Methodology &amp; Sources'!$B$39:$J$48,0,IF($AU33="Married",4,IF($AU33="Head of household",7,1))))*INDEX('Methodology &amp; Sources'!$B$39:$J$48,0,IF($AU33="Married",4,IF($AU33="Head of household",7,1))+2))-VLOOKUP($AN33,StateTables!$A$6:$AB$56,11,FALSE)*$AS33)/Inputs!$C$8)+Inputs!$C$25+VLOOKUP($AN33,StateTables!$A$6:$AB$56,13,FALSE)*$D33,2),IF(VLOOKUP($AN33,StateTables!$A$6:$AB$56,4,FALSE)="None",0,IF(ISNUMBER(SEARCH("MANUAL",VLOOKUP($AN33,StateTables!$A$6:$AB$56,5,FALSE))),Inputs!$C$28,ROUND(MAX(0,$BA33+$BB33)/Inputs!$C$8+Inputs!$C$25+$BC33,2))))))</f>
      </c>
      <c r="U33" s="7">
        <f>IF($B33="","",IF(VLOOKUP($AN33,StateTables!$A$6:$AB$56,24,FALSE)="flatq",IF(OR(MONTH($B33)=1,MONTH($B33)=4,MONTH($B33)=7,MONTH($B33)=10),VLOOKUP($AN33,StateTables!$A$6:$AB$56,25,FALSE),0),IF(VLOOKUP($AN33,StateTables!$A$6:$AB$56,24,FALSE)="dbl",MIN(ROUND(0.005*$N33,2),ROUND(0.6*52/Inputs!$C$8,2)),IF(OR(VLOOKUP($AN33,StateTables!$A$6:$AB$56,15,FALSE)="",VLOOKUP($AN33,StateTables!$A$6:$AB$56,15,FALSE)=0),0,ROUND(VLOOKUP($AN33,StateTables!$A$6:$AB$56,15,FALSE)*IF(OR(VLOOKUP($AN33,StateTables!$A$6:$AB$56,16,FALSE)="",VLOOKUP($AN33,StateTables!$A$6:$AB$56,16,FALSE)=0),$N33,MIN($N33,MAX(0,VLOOKUP($AN33,StateTables!$A$6:$AB$56,16,FALSE)-($AX33+$AB32-$AW33)))),2))))+IF(VLOOKUP($AN33,StateTables!$A$6:$AB$56,27,FALSE)="flatq",IF(OR(MONTH($B33)=1,MONTH($B33)=4,MONTH($B33)=7,MONTH($B33)=10),VLOOKUP($AN33,StateTables!$A$6:$AB$56,28,FALSE),0),IF(VLOOKUP($AN33,StateTables!$A$6:$AB$56,27,FALSE)="dbl",MIN(ROUND(0.005*$N33,2),ROUND(0.6*52/Inputs!$C$8,2)),IF(OR(VLOOKUP($AN33,StateTables!$A$6:$AB$56,18,FALSE)="",VLOOKUP($AN33,StateTables!$A$6:$AB$56,18,FALSE)=0),0,ROUND(VLOOKUP($AN33,StateTables!$A$6:$AB$56,18,FALSE)*IF(OR(VLOOKUP($AN33,StateTables!$A$6:$AB$56,19,FALSE)="",VLOOKUP($AN33,StateTables!$A$6:$AB$56,19,FALSE)=0),$N33,MIN($N33,MAX(0,VLOOKUP($AN33,StateTables!$A$6:$AB$56,19,FALSE)-($AX33+$AB32-$AW33)))),2)))))</f>
      </c>
      <c r="V33" s="7">
        <f>IF($B33="","",IF($AN33="NY",IF(Inputs!$C$78,ROUND(SUMPRODUCT((MAX(0,($O33-$D33)*Inputs!$C$8-(IF($AU33="Married",5500,5000)+1000*$AS33))&gt;INDEX('Methodology &amp; Sources'!$B$184:$J$198,0,4))*(MAX(0,($O33-$D33)*Inputs!$C$8-(IF($AU33="Married",5500,5000)+1000*$AS33))-INDEX('Methodology &amp; Sources'!$B$184:$J$198,0,4))*INDEX('Methodology &amp; Sources'!$B$184:$J$198,0,4+2))/Inputs!$C$8+0.0425*$D33,2),0)+IF(Inputs!$C$79="Resident",ROUND(0.1675*$T33,2),IF(Inputs!$C$79="Nonresident",ROUND(0.005*MAX(0,($O33-$D33)-(IF($AU33="Married",7950,7400)+1000*$AS33)/Inputs!$C$8),2),0)),IF($AN33="PA",IF(Inputs!$C$80="None",Inputs!$C$27+ROUND(Inputs!$C$81*($C33+$D33),2),ROUND(IF(Inputs!$C$80="Resident",IF($B33&lt;DATE(2027,7,1),0.03735,0.03735),IF($B33&lt;DATE(2027,7,1),0.03425,0.03425))*($C33+$D33),2)),IF($BF33=0,ROUND(Inputs!$C$81*($C33+$D33),2),Inputs!$C$27+ROUND(Inputs!$C$81*($C33+$D33),2)))))</f>
      </c>
      <c r="W33" s="7">
        <f>IF($B33="","",IF($BF33=0,0,$BP33))</f>
      </c>
      <c r="X33" s="7">
        <f>IF($B33="","",SUM($E33:$K33)+$P33+$Q33+$R33+$S33+$T33+$U33+$V33+$W33)</f>
      </c>
      <c r="Y33" s="22">
        <f>IF($B33="","",$C33+$D33-$X33)</f>
      </c>
      <c r="Z33" s="7">
        <f>IF($B33="","",$Z32+$C33+$D33)</f>
      </c>
      <c r="AA33" s="7">
        <f>IF($B33="","",$AA32+$Y33)</f>
      </c>
      <c r="AB33" s="7">
        <f>IF($B33="","",$AB32+MIN($N33,MAX(0,'Methodology &amp; Sources'!$C$3-($AX33+$AB32-$AW33))))</f>
      </c>
      <c r="AC33" s="7">
        <f>IF($B33="","",$AC32+$E33+$F33)</f>
      </c>
      <c r="AD33" s="3">
        <f>IF($B33="","",IF(AND($AB32&lt;'Methodology &amp; Sources'!$C$3,$AB33&gt;='Methodology &amp; Sources'!$C$3),"★ Social Security maxed on this check — from the next check your net rises by about $"&amp;TEXT(ROUND('Methodology &amp; Sources'!$C$4*$N33,2),"#,##0.00")&amp;". ","")&amp;IF(AND($AC32&lt;Inputs!$C$34,$AC33&gt;=Inputs!$C$34),"★ 401(k) reaches the $"&amp;TEXT(Inputs!$C$34,"#,##0")&amp;" cap on this check — deferrals stop and net pay rises. ","")&amp;IF(AND($AG32&lt;'Methodology &amp; Sources'!$C$7,$AG33&gt;='Methodology &amp; Sources'!$C$7),"★ Wages pass $200,000 — the 0.9% Additional Medicare Tax starts here. ","")&amp;IF(AND($BJ33&gt;0,$H33&gt;0,$BG32&lt;MIN($BJ33,'Methodology &amp; Sources'!$C$13),$BG32+$H33&gt;=MIN($BJ33,'Methodology &amp; Sources'!$C$13)),"★ Health FSA election is now fully deferred for the year. ",""))</f>
      </c>
      <c r="AE33" s="41" t="n"/>
      <c r="AF33" s="7">
        <f>IF(OR($B33="",$AE33=""),"",$AE33-$Y33)</f>
      </c>
      <c r="AG33" s="7">
        <f>IF($B33="","",$AG32+$N33)</f>
      </c>
      <c r="AH33" s="7">
        <f>IF($B33="","",MAX(0,($M33-$D33)*Inputs!$C$8+$AP33-$AQ33-IF(Inputs!$C$13,0,IF(Inputs!$C$12="MFJ",'Methodology &amp; Sources'!$C$8,'Methodology &amp; Sources'!$C$9))))</f>
      </c>
      <c r="AI33" s="7">
        <f>IF($B33="","",$O33*Inputs!$C$8)</f>
      </c>
      <c r="AJ33" s="7">
        <f>IF($B33="","",MAX(0,$AI33-VLOOKUP($AN33,StateTables!$A$6:$AB$56,12,FALSE)*$AT33-IF(($AS33+$AT33)&gt;=2,VLOOKUP($AN33,StateTables!$A$6:$AB$56,8,FALSE),VLOOKUP($AN33,StateTables!$A$6:$AB$56,7,FALSE))))</f>
      </c>
      <c r="AK33" s="7">
        <f>IF($B33="","",IFERROR(LOOKUP(2,1/((Events!$C$6:$C$17="Salary change")*(Events!$B$6:$B$17&lt;=$B33)*(Events!$B$6:$B$17&lt;&gt;"")),Events!$D$6:$D$17),IF(Inputs!$C$4="Annual salary",Inputs!$C$5,Inputs!$C$6)))</f>
      </c>
      <c r="AL33">
        <f>IF($B33="","",IFERROR(LOOKUP(2,1/((Events!$C$6:$C$17="401(k) change")*(Events!$B$6:$B$17&lt;=$B33)*(Events!$B$6:$B$17&lt;&gt;"")),Events!$D$6:$D$17),Inputs!$C$30))</f>
      </c>
      <c r="AM33" s="7">
        <f>IF($B33="","",IFERROR(LOOKUP(2,1/((Events!$C$6:$C$17="401(k) change")*(Events!$B$6:$B$17&lt;=$B33)*(Events!$B$6:$B$17&lt;&gt;"")),Events!$E$6:$E$17),Inputs!$D$30))</f>
      </c>
      <c r="AN33">
        <f>IF($B33="","",IFERROR(LOOKUP(2,1/((Events!$C$6:$C$17="State move")*(Events!$B$6:$B$17&lt;=$B33)*(Events!$B$6:$B$17&lt;&gt;"")),Events!$D$6:$D$17),Inputs!$C$21))</f>
      </c>
      <c r="AO33" s="7">
        <f>IF($B33="","",IFERROR(LOOKUP(2,1/((Events!$C$6:$C$17="W-4 change")*(Events!$B$6:$B$17&lt;=$B33)*(Events!$B$6:$B$17&lt;&gt;"")),Events!$D$6:$D$17),Inputs!$C$14))</f>
      </c>
      <c r="AP33" s="7">
        <f>IF($B33="","",IFERROR(LOOKUP(2,1/((Events!$C$6:$C$17="W-4 change")*(Events!$B$6:$B$17&lt;=$B33)*(Events!$B$6:$B$17&lt;&gt;"")),Events!$E$6:$E$17),Inputs!$C$15))</f>
      </c>
      <c r="AQ33" s="7">
        <f>IF($B33="","",IFERROR(LOOKUP(2,1/((Events!$C$6:$C$17="W-4 change")*(Events!$B$6:$B$17&lt;=$B33)*(Events!$B$6:$B$17&lt;&gt;"")),Events!$F$6:$F$17),Inputs!$C$16))</f>
      </c>
      <c r="AR33" s="7">
        <f>IF($B33="","",IFERROR(LOOKUP(2,1/((Events!$C$6:$C$17="W-4 change")*(Events!$B$6:$B$17&lt;=$B33)*(Events!$B$6:$B$17&lt;&gt;"")),Events!$G$6:$G$17),Inputs!$C$17))</f>
      </c>
      <c r="AS33" s="6">
        <f>IF($B33="","",IFERROR(LOOKUP(2,1/(((Events!$C$6:$C$17="State move")+(Events!$C$6:$C$17="State cert change"))*(Events!$B$6:$B$17&lt;=$B33)*(Events!$B$6:$B$17&lt;&gt;"")),Events!$F$6:$F$17),Inputs!$C$23))</f>
      </c>
      <c r="AT33" s="6">
        <f>IF($B33="","",IFERROR(LOOKUP(2,1/(((Events!$C$6:$C$17="State move")+(Events!$C$6:$C$17="State cert change"))*(Events!$B$6:$B$17&lt;=$B33)*(Events!$B$6:$B$17&lt;&gt;"")),Events!$G$6:$G$17),Inputs!$C$24))</f>
      </c>
      <c r="AU33">
        <f>IF($B33="","",IFERROR(LOOKUP(2,1/((Events!$C$6:$C$17="State move")*(Events!$B$6:$B$17&lt;=$B33)*(Events!$B$6:$B$17&lt;&gt;"")),Events!$E$6:$E$17),Inputs!$C$22))</f>
      </c>
      <c r="AV33" s="6">
        <f>IF($B33="","",1+COUNTIFS(Events!$C$6:$C$17,"Employer change",Events!$B$6:$B$17,"&lt;="&amp;$B33,Events!$B$6:$B$17,"&lt;&gt;"))</f>
      </c>
      <c r="AW33" s="7">
        <f>IF($B33="","",IF($AV33=1,Inputs!$C$94,IF(IFERROR(MATCH(IFERROR(LOOKUP(2,1/((Events!$C$6:$C$17="Employer change")*(Events!$B$6:$B$17&lt;=$B33)*(Events!$B$6:$B$17&lt;&gt;"")),Events!$B$6:$B$17),""),$B$6:$B$68,1),1)&lt;=1,Inputs!$C$94,INDEX($AB$6:$AB$68,MATCH(IFERROR(LOOKUP(2,1/((Events!$C$6:$C$17="Employer change")*(Events!$B$6:$B$17&lt;=$B33)*(Events!$B$6:$B$17&lt;&gt;"")),Events!$B$6:$B$17),""),$B$6:$B$68,1)-1))))</f>
      </c>
      <c r="AX33" s="7">
        <f>IF($B33="","",IF($AV33=1,Inputs!$C$94,IFERROR(LOOKUP(2,1/((Events!$C$6:$C$17="Employer change")*(Events!$B$6:$B$17&lt;=$B33)*(Events!$B$6:$B$17&lt;&gt;"")),Events!$D$6:$D$17),0)))</f>
      </c>
      <c r="AY33" s="7">
        <f>IF($B33="","",($O33-$D33)*Inputs!$C$8)</f>
      </c>
      <c r="AZ33" s="7">
        <f>IF($B33="","",IF($AN33="AL",MAX(0,$AY33-IF($AU33="Married",IF($AY33&lt;=25999,8500,MAX(5000,8500-175*CEILING(($AY33-25999)/500,1))),IF($AU33="Head of household",IF($AY33&lt;=25999,5200,MAX(2500,5200-135*CEILING(($AY33-25999)/500,1))),IF($AY33&lt;=25999,3000,MAX(2500,3000-25*CEILING(($AY33-25999)/500,1)))))-($P33-'Methodology &amp; Sources'!$C$10*$D33)*Inputs!$C$8-IF(OR($AU33="Married",$AU33="Head of household"),3000,1500)-$AT33*IF($AY33&lt;=50000,1000,IF($AY33&lt;=100000,500,300))),IF($AN33="AR",IF(MAX(0,$AY33-2470)&lt;97701,INT(MAX(0,$AY33-2470)/100)*100+50,MAX(0,$AY33-2470)),IF($AN33="DE",MAX(0,$AI33-3250),IF($AN33="HI",MAX(0,$AI33-1144*$AS33-4350),IF($AN33="KS",MAX(0,$AI33-(9160*IF($AU33="Married",2,1)+2320*$AT33+IF($AU33="Head of household",2320,0))),IF($AN33="MD",MAX(0,$AI33-3400-3200*$AS33),IF($AN33="MN",MAX(0,$AY33-5300*$AS33),IF($AN33="MO",MAX(0,$AI33-IF($AU33="Head of household",24150,IF($AU33="Married",IF(Inputs!$C$83,16100,32200),16100))),IF($AN33="MT",$AY33,IF($AN33="ND",($C33+$L33)*Inputs!$C$8,IF($AN33="NE",MAX(0,$AY33-2440*$AS33),IF($AN33="NJ",MAX(0,$AY33-1000*$AS33),IF($AN33="NY",MAX(0,$AY33-(IF($AU33="Married",7950,7400)+1000*$AS33)),IF($AN33="OH",MAX(0,$AY33-650*$AS33),IF($AN33="OK",MAX(0,$AY33-1000*$AS33),IF($AN33="RI",MAX(0,$AI33-1000*$AS33),IF($AN33="SC",MAX(0,$AI33-5000*$AS33-IF($AS33=0,0,MIN(0.1*$AI33,7500))),IF($AN33="VA",MAX(0,$AI33-IF($AU33="Married",17500,8750)-930*$AS33-800*$AT33),IF($AN33="VT",MAX(0,$AI33-5400*$AS33),IF($AN33="WI",MAX(0,$AI33-MAX(0,IF($AU33="Married",9461-0.2*MAX(0,$AI33-25727),6702-0.12*MAX(0,$AI33-17780)))-400*$AS33),IF($AN33="WV",MAX(0,$AI33-2000*$AS33),$AI33))))))))))))))))))))))</f>
      </c>
      <c r="BA33" s="7">
        <f>IF($B33="","",IF($BW33&lt;&gt;"",$BW33,IF($BX33&lt;&gt;"",$BX33,IF($BY33&lt;&gt;"",$BY33,0))))</f>
      </c>
      <c r="BB33" s="7">
        <f>IF($B33="","",IF($AN33="AR",-29*$AS33,IF($AN33="DE",-110*$AS33,IF($AN33="MD",$AZ33*Inputs!$C$74,IF($AN33="AZ",Inputs!$C$82*($M33-$D33)*Inputs!$C$8,IF($AN33="CO",0.044*MAX(0,$AY33-IF($AU33="Married",10000,5000)),IF($AN33="IA",MAX(0,0.038*MAX(0,$AY33-IF($AU33="Head of household",19500,IF($AU33="Married",26000,13000)))-40*$AS33),IF($AN33="ID",0.053*MAX(0,$AY33-IF($AU33="Married",32000,16094)),IF($AN33="IL",0.0495*MAX(0,$AY33-(2925*$AS33+1000*$AT33)),IF($AN33="IN",(0.0295+Inputs!$C$76)*MAX(0,$AY33-(1000*$AS33+1500*$AT33+3000*Inputs!$C$86)),IF($AN33="KY",0.035*MAX(0,$AI33-3360),IF($AN33="LA",IF(Inputs!$C$84="0",0.0309*$AI33,0.0309*MAX(0,$AI33-IF(Inputs!$C$84="2",25750,12875))),IF($AN33="MA",0.05*MIN(MAX(0,$AY33-MIN(($BD32+$Q33+$R33+$S33),2000)-IF($AS33=0,0,IF($AS33=1,4400,1000*$AS33+3400))),1107750)+0.09*MAX(0,MAX(0,$AY33-MIN(($BD32+$Q33+$R33+$S33),2000)-IF($AS33=0,0,IF($AS33=1,4400,1000*$AS33+3400)))-1107750)-IF($AU33="Head of household",120,0)-110*Inputs!$C$75,IF($AN33="MI",0.0425*MAX(0,$AY33-5900*$AS33),IF($AN33="MS",0.04*MAX(0,$AI33-IF($AU33="Head of household",3400,IF($AU33="Married",4600,2300))-Inputs!$C$85-10000),IF($AN33="OR",IF(OR($AU33="Married",AND($AU33="Single",$AS33&gt;=3)),SUMPRODUCT((MAX(0,$AY33-MIN(($P33-'Methodology &amp; Sources'!$C$10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Sources'!$B$211:$J$214,0,4))*(MAX(0,$AY33-MIN(($P33-'Methodology &amp; Sources'!$C$10*$D33)*Inputs!$C$8,IF(OR($AU33="Married",AND($AU33="Single",$AS33&gt;=3)),IF($AY33&lt;250000,8750,IF($AY33&lt;260000,7000,IF($AY33&lt;270000,5250,IF($AY33&lt;280000,3500,IF($AY33&lt;290000,1750,0))))),IF($AY33&lt;125000,8750,IF($AY33&lt;130000,7000,IF($AY33&lt;135000,5250,IF($AY33&lt;140000,3500,IF($AY33&lt;145000,1750,0)))))))-IF(OR($AU33="Married",AND($AU33="Single",$AS33&gt;=3)),5820,2910))-INDEX('Methodology &amp; Sources'!$B$211:$J$214,0,4))*INDEX('Methodology &amp; Sources'!$B$211:$J$214,0,4+2)),SUMPRODUCT((MAX(0,$AY33-MIN(($P33-'Methodology &amp; Sources'!$C$10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Sources'!$B$211:$J$214,0,1))*(MAX(0,$AY33-MIN(($P33-'Methodology &amp; Sources'!$C$10*$D33)*Inputs!$C$8,IF(OR($AU33="Married",AND($AU33="Single",$AS33&gt;=3)),IF($AY33&lt;250000,8750,IF($AY33&lt;260000,7000,IF($AY33&lt;270000,5250,IF($AY33&lt;280000,3500,IF($AY33&lt;290000,1750,0))))),IF($AY33&lt;125000,8750,IF($AY33&lt;130000,7000,IF($AY33&lt;135000,5250,IF($AY33&lt;140000,3500,IF($AY33&lt;145000,1750,0)))))))-IF(OR($AU33="Married",AND($AU33="Single",$AS33&gt;=3)),5820,2910))-INDEX('Methodology &amp; Sources'!$B$211:$J$214,0,1))*INDEX('Methodology &amp; Sources'!$B$211:$J$214,0,1+2)))+263-263*IF(IF($AU33="Married",$AY33&gt;200000,$AY33&gt;100000),0,$AS33),IF($AN33="PA",0.0307*(($O33+$E33+$G33)*Inputs!$C$8),IF($AN33="NY",IF($AU33="Married",IF($AZ33&gt;=2155350,0,IF($AZ33&gt;=1077550,0.48,IF($AZ33&gt;=373200,1.21,IF($AZ33&gt;=323200,0.21,IF($AZ33&gt;=211550,-0.19,IF($AZ33&gt;=157650,-2.8,IF($AZ33&gt;=107650,-0.8,IF($AZ33&gt;=96800,0.05,IF($AZ33&gt;=80650,-0.1,IF($AZ33&gt;=13900,0.4,IF($AZ33&gt;=11700,-0.3,IF($AZ33&gt;=8500,0.5,0)))))))))))),IF($AZ33&gt;=1077550,0,IF($AZ33&gt;=265400,4.29,IF($AZ33&gt;=215400,2.29,IF($AZ33&gt;=157650,2.29,IF($AZ33&gt;=107650,0.29,IF($AZ33&gt;=96800,0.05,IF($AZ33&gt;=80650,-0.1,IF($AZ33&gt;=13900,0.4,IF($AZ33&gt;=11700,-0.3,IF($AZ33&gt;=8500,0.5,0))))))))))),0))))))))))))))))))</f>
      </c>
      <c r="BC33" s="7">
        <f>IF($B33="","",IF($AN33="AL",0.05*$D33,IF($AN33="AR",0.039*$D33,IF($AN33="ID",0.053*$D33,IF($AN33="IN",(0.0295+Inputs!$C$76)*$D33,IF($AN33="KS",0.05*$D33,IF($AN33="MA",0.09*MIN($D33,MAX(0,MAX(0,$AY33-MIN(($BD32+$Q33+$R33+$S33),2000)-IF($AS33=0,0,IF($AS33=1,4400,1000*$AS33+3400)))+$D33-1107750))+0.05*($D33-MIN($D33,MAX(0,MAX(0,$AY33-MIN(($BD32+$Q33+$R33+$S33),2000)-IF($AS33=0,0,IF($AS33=1,4400,1000*$AS33+3400)))+$D33-1107750))),IF($AN33="MD",(0.065+Inputs!$C$74)*$D33,IF($AN33="MI",0.0425*$D33,IF($AN33="MN",0.0625*$D33,IF($AN33="MO",0.047*$D33,IF($AN33="MT",0.05*$D33,IF($AN33="ND",0.015*$D33,IF($AN33="NE",0.035*$D33,IF($AN33="NJ",IF(Inputs!$C$77="B",SUMPRODUCT(($D33*Inputs!$C$8&gt;INDEX('Methodology &amp; Sources'!$B$155:$J$162,0,4))*($D33*Inputs!$C$8-INDEX('Methodology &amp; Sources'!$B$155:$J$162,0,4))*INDEX('Methodology &amp; Sources'!$B$155:$J$162,0,4+2)),IF(Inputs!$C$77="C",SUMPRODUCT(($D33*Inputs!$C$8&gt;INDEX('Methodology &amp; Sources'!$B$155:$J$162,0,7))*($D33*Inputs!$C$8-INDEX('Methodology &amp; Sources'!$B$155:$J$162,0,7))*INDEX('Methodology &amp; Sources'!$B$155:$J$162,0,7+2)),IF(Inputs!$C$77="D",SUMPRODUCT(($D33*Inputs!$C$8&gt;INDEX('Methodology &amp; Sources'!$B$167:$J$179,0,1))*($D33*Inputs!$C$8-INDEX('Methodology &amp; Sources'!$B$167:$J$179,0,1))*INDEX('Methodology &amp; Sources'!$B$167:$J$179,0,1+2)),IF(Inputs!$C$77="E",SUMPRODUCT(($D33*Inputs!$C$8&gt;INDEX('Methodology &amp; Sources'!$B$167:$J$179,0,4))*($D33*Inputs!$C$8-INDEX('Methodology &amp; Sources'!$B$167:$J$179,0,4))*INDEX('Methodology &amp; Sources'!$B$167:$J$179,0,4+2)),SUMPRODUCT(($D33*Inputs!$C$8&gt;INDEX('Methodology &amp; Sources'!$B$155:$J$162,0,1))*($D33*Inputs!$C$8-INDEX('Methodology &amp; Sources'!$B$155:$J$162,0,1))*INDEX('Methodology &amp; Sources'!$B$155:$J$162,0,1+2))))))/Inputs!$C$8,IF($AN33="NY",0.117*$D33,IF($AN33="OH",0.0275*$D33,IF($AN33="OK",0.045*$D33,IF($AN33="OR",0.08*$D33,IF($AN33="WI",IF($AY33&lt;12760,0.0354,IF($AY33&lt;25520,0.0465,IF($AY33&lt;280950,0.053,0.0765)))*$D33,0))))))))))))))))))))</f>
      </c>
      <c r="BD33" s="7">
        <f>IF($B33="","",$BD32+$Q33+$R33+$S33)</f>
      </c>
      <c r="BE33" s="6">
        <f>IF($B33="",$BE32,$BE32+$BF33)</f>
      </c>
      <c r="BF33" s="6">
        <f>IF($B33="","",IF(AND(IF(YEAR(IF(Inputs!$C$7="Weekly",Inputs!$C$90+7*(($BE32+1)-1),IF(Inputs!$C$7="Biweekly",Inputs!$C$90+14*(($BE32+1)-1),IF(Inputs!$C$7="Semimonthly",DATE(YEAR(Inputs!$C$9),MONTH(Inputs!$C$9)+INT((($BE32+1)-1+'Rest of 2026'!$C$2)/2),MIN(DAY(Inputs!$C$9),DAY(EOMONTH(DATE(YEAR(Inputs!$C$9),MONTH(Inputs!$C$9)+INT((($BE32+1)-1+'Rest of 2026'!$C$2)/2),1),0))))+IF(MOD(($BE32+1)-1+'Rest of 2026'!$C$2,2)=1,15,0),EDATE(Inputs!$C$90,($BE32+1)-1)))))&lt;&gt;Inputs!$C$10,"",IF(Inputs!$C$7="Weekly",Inputs!$C$90+7*(($BE32+1)-1),IF(Inputs!$C$7="Biweekly",Inputs!$C$90+14*(($BE32+1)-1),IF(Inputs!$C$7="Semimonthly",DATE(YEAR(Inputs!$C$9),MONTH(Inputs!$C$9)+INT((($BE32+1)-1+'Rest of 2026'!$C$2)/2),MIN(DAY(Inputs!$C$9),DAY(EOMONTH(DATE(YEAR(Inputs!$C$9),MONTH(Inputs!$C$9)+INT((($BE32+1)-1+'Rest of 2026'!$C$2)/2),1),0))))+IF(MOD(($BE32+1)-1+'Rest of 2026'!$C$2,2)=1,15,0),EDATE(Inputs!$C$90,($BE32+1)-1)))))&lt;&gt;"",$B33=IF(YEAR(IF(Inputs!$C$7="Weekly",Inputs!$C$90+7*(($BE32+1)-1),IF(Inputs!$C$7="Biweekly",Inputs!$C$90+14*(($BE32+1)-1),IF(Inputs!$C$7="Semimonthly",DATE(YEAR(Inputs!$C$9),MONTH(Inputs!$C$9)+INT((($BE32+1)-1+'Rest of 2026'!$C$2)/2),MIN(DAY(Inputs!$C$9),DAY(EOMONTH(DATE(YEAR(Inputs!$C$9),MONTH(Inputs!$C$9)+INT((($BE32+1)-1+'Rest of 2026'!$C$2)/2),1),0))))+IF(MOD(($BE32+1)-1+'Rest of 2026'!$C$2,2)=1,15,0),EDATE(Inputs!$C$90,($BE32+1)-1)))))&lt;&gt;Inputs!$C$10,"",IF(Inputs!$C$7="Weekly",Inputs!$C$90+7*(($BE32+1)-1),IF(Inputs!$C$7="Biweekly",Inputs!$C$90+14*(($BE32+1)-1),IF(Inputs!$C$7="Semimonthly",DATE(YEAR(Inputs!$C$9),MONTH(Inputs!$C$9)+INT((($BE32+1)-1+'Rest of 2026'!$C$2)/2),MIN(DAY(Inputs!$C$9),DAY(EOMONTH(DATE(YEAR(Inputs!$C$9),MONTH(Inputs!$C$9)+INT((($BE32+1)-1+'Rest of 2026'!$C$2)/2),1),0))))+IF(MOD(($BE32+1)-1+'Rest of 2026'!$C$2,2)=1,15,0),EDATE(Inputs!$C$90,($BE32+1)-1)))))),1,0))</f>
      </c>
      <c r="BG33" s="7">
        <f>IF($B33="","",$BG32+$H33)</f>
      </c>
      <c r="BH33" s="7">
        <f>IF($B33="","",$BH32+$I33)</f>
      </c>
      <c r="BI33" s="7">
        <f>IF($B33="","",$BI32+$G33)</f>
      </c>
      <c r="BJ33" s="7">
        <f>IF($B33="","",IFERROR(LOOKUP(2,1/((((Events!$C$6:$C$17="Deduction start"))*(Events!$D$6:$D$17="Health FSA"))*(Events!$B$6:$B$17&lt;=$B33)*(Events!$B$6:$B$17&lt;&gt;"")),Events!$E$6:$E$17),Inputs!$D$38))</f>
      </c>
      <c r="BK33" s="7">
        <f>IF($B33="","",IFERROR(LOOKUP(2,1/((((Events!$C$6:$C$17="Deduction start"))*(Events!$D$6:$D$17="Dependent-care FSA"))*(Events!$B$6:$B$17&lt;=$B33)*(Events!$B$6:$B$17&lt;&gt;"")),Events!$E$6:$E$17),Inputs!$D$39))</f>
      </c>
      <c r="BL33" s="7">
        <f>IF($B33="","",IFERROR(LOOKUP(2,1/((((Events!$C$6:$C$17="Deduction start")+(Events!$C$6:$C$17="Deduction stop"))*(Events!$D$6:$D$17="HSA"))*(Events!$B$6:$B$17&lt;=$B33)*(Events!$B$6:$B$17&lt;&gt;"")),Events!$I$6:$I$17),Inputs!$D$35))</f>
      </c>
      <c r="BM33" s="7">
        <f>IF($B33="","",IFERROR(LOOKUP(2,1/((((Events!$C$6:$C$17="Deduction start")+(Events!$C$6:$C$17="Deduction stop"))*(Events!$D$6:$D$17="Premiums"))*(Events!$B$6:$B$17&lt;=$B33)*(Events!$B$6:$B$17&lt;&gt;"")),Events!$I$6:$I$17),Inputs!$D$40+Inputs!$D$41+Inputs!$D$42))</f>
      </c>
      <c r="BN33" s="7">
        <f>IF($B33="","",IFERROR(LOOKUP(2,1/((((Events!$C$6:$C$17="Deduction start")+(Events!$C$6:$C$17="Deduction stop"))*(Events!$D$6:$D$17="Commuter"))*(Events!$B$6:$B$17&lt;=$B33)*(Events!$B$6:$B$17&lt;&gt;"")),Events!$I$6:$I$17),Inputs!$D$43))</f>
      </c>
      <c r="BO33" s="7">
        <f>IF($B33="","",IFERROR(LOOKUP(2,1/((((Events!$C$6:$C$17="Deduction start")+(Events!$C$6:$C$17="Deduction stop"))*(Events!$D$6:$D$17="Other pre-tax"))*(Events!$B$6:$B$17&lt;=$B33)*(Events!$B$6:$B$17&lt;&gt;"")),Events!$I$6:$I$17),Inputs!$D$44))</f>
      </c>
      <c r="BP33" s="7">
        <f>IF($B33="","",IFERROR(LOOKUP(2,1/((((Events!$C$6:$C$17="Deduction start")+(Events!$C$6:$C$17="Deduction stop"))*(Events!$D$6:$D$17="Other post-tax"))*(Events!$B$6:$B$17&lt;=$B33)*(Events!$B$6:$B$17&lt;&gt;"")),Events!$I$6:$I$17),Inputs!$D$45))</f>
      </c>
      <c r="BQ33" s="6">
        <f>IF($B33="","",IFERROR(LOOKUP(2,1/((((Events!$C$6:$C$17="Deduction start")+(Events!$C$6:$C$17="Deduction stop"))*(Events!$D$6:$D$17="Health FSA"))*(Events!$B$6:$B$17&lt;=$B33)*(Events!$B$6:$B$17&lt;&gt;"")),Events!$J$6:$J$17),0))</f>
      </c>
      <c r="BR33" s="6">
        <f>IF($B33="","",IFERROR(LOOKUP(2,1/((((Events!$C$6:$C$17="Deduction start")+(Events!$C$6:$C$17="Deduction stop"))*(Events!$D$6:$D$17="Dependent-care FSA"))*(Events!$B$6:$B$17&lt;=$B33)*(Events!$B$6:$B$17&lt;&gt;"")),Events!$J$6:$J$17),0))</f>
      </c>
      <c r="BS33" s="6">
        <f>IF($B33="","",IF(SUMPRODUCT((Events!$C$6:$C$17="Deduction start")*(Events!$B$6:$B$17&lt;=$B33)*(Events!$B$6:$B$17&lt;&gt;"")*(Events!$D$6:$D$17="Health FSA"))&gt;0,1,0))</f>
      </c>
      <c r="BT33" s="6">
        <f>IF($B33="","",IF(SUMPRODUCT((Events!$C$6:$C$17="Deduction start")*(Events!$B$6:$B$17&lt;=$B33)*(Events!$B$6:$B$17&lt;&gt;"")*(Events!$D$6:$D$17="Dependent-care FSA"))&gt;0,1,0))</f>
      </c>
      <c r="BU33" s="24">
        <f>IF($B33="","",IF(Inputs!$C$13,SUMPRODUCT(($AH33&gt;=INDEX('Methodology &amp; Sources'!$B$29:$J$36,0,IF(Inputs!$C$12="MFJ",1,IF(Inputs!$C$12="HoH",7,4))))*INDEX('Methodology &amp; Sources'!$B$29:$J$36,0,IF(Inputs!$C$12="MFJ",1,IF(Inputs!$C$12="HoH",7,4))+2)),SUMPRODUCT(($AH33&gt;=INDEX('Methodology &amp; Sources'!$B$19:$J$26,0,IF(Inputs!$C$12="MFJ",1,IF(Inputs!$C$12="HoH",7,4))))*INDEX('Methodology &amp; Sources'!$B$19:$J$26,0,IF(Inputs!$C$12="MFJ",1,IF(Inputs!$C$12="HoH",7,4))+2))))</f>
      </c>
      <c r="BV33" s="24">
        <f>IF($B33="","",IF($BZ33&lt;&gt;"",$BZ33,IF($CA33&lt;&gt;"",$CA33,IF($CB33&lt;&gt;"",$CB33,IF($CC33&lt;&gt;"",$CC33,0)))))</f>
      </c>
      <c r="BW33" s="7">
        <f>IF($B33="","",IF($AN33="MD",IF(OR($AU33="Married",$AU33="Head of household"),SUMPRODUCT(($AZ33&gt;INDEX('Methodology &amp; Sources'!$B$114:$J$120,0,1))*($AZ33-INDEX('Methodology &amp; Sources'!$B$114:$J$120,0,1))*INDEX('Methodology &amp; Sources'!$B$114:$J$120,0,1+2)),SUMPRODUCT(($AZ33&gt;INDEX('Methodology &amp; Sources'!$B$103:$J$109,0,7))*($AZ33-INDEX('Methodology &amp; Sources'!$B$103:$J$109,0,7))*INDEX('Methodology &amp; Sources'!$B$103:$J$109,0,7+2))),IF($AN33="MO",SUMPRODUCT(($AZ33&gt;INDEX('Methodology &amp; Sources'!$B$125:$J$132,0,1))*($AZ33-INDEX('Methodology &amp; Sources'!$B$125:$J$132,0,1))*INDEX('Methodology &amp; Sources'!$B$125:$J$132,0,1+2)),IF($AN33="MT",IF($AU33="Head of household",SUMPRODUCT(($AZ33&gt;INDEX('Methodology &amp; Sources'!$B$137:$J$139,0,1))*($AZ33-INDEX('Methodology &amp; Sources'!$B$137:$J$139,0,1))*INDEX('Methodology &amp; Sources'!$B$137:$J$139,0,1+2)),IF($AU33="Married",SUMPRODUCT(($AZ33&gt;INDEX('Methodology &amp; Sources'!$B$125:$J$132,0,7))*($AZ33-INDEX('Methodology &amp; Sources'!$B$125:$J$132,0,7))*INDEX('Methodology &amp; Sources'!$B$125:$J$132,0,7+2)),SUMPRODUCT(($AZ33&gt;INDEX('Methodology &amp; Sources'!$B$125:$J$132,0,4))*($AZ33-INDEX('Methodology &amp; Sources'!$B$125:$J$132,0,4))*INDEX('Methodology &amp; Sources'!$B$125:$J$132,0,4+2)))),IF($AN33="ND",IF($AU33="Head of household",SUMPRODUCT(($AZ33&gt;INDEX('Methodology &amp; Sources'!$B$144:$J$150,0,1))*($AZ33-INDEX('Methodology &amp; Sources'!$B$144:$J$150,0,1))*INDEX('Methodology &amp; Sources'!$B$144:$J$150,0,1+2)),IF($AU33="Married",SUMPRODUCT(($AZ33&gt;INDEX('Methodology &amp; Sources'!$B$137:$J$139,0,7))*($AZ33-INDEX('Methodology &amp; Sources'!$B$137:$J$139,0,7))*INDEX('Methodology &amp; Sources'!$B$137:$J$139,0,7+2)),SUMPRODUCT(($AZ33&gt;INDEX('Methodology &amp; Sources'!$B$137:$J$139,0,4))*($AZ33-INDEX('Methodology &amp; Sources'!$B$137:$J$139,0,4))*INDEX('Methodology &amp; Sources'!$B$137:$J$139,0,4+2)))),IF($AN33="NJ",IF(Inputs!$C$77="B",SUMPRODUCT(($AZ33&gt;INDEX('Methodology &amp; Sources'!$B$155:$J$162,0,4))*($AZ33-INDEX('Methodology &amp; Sources'!$B$155:$J$162,0,4))*INDEX('Methodology &amp; Sources'!$B$155:$J$162,0,4+2)),IF(Inputs!$C$77="C",SUMPRODUCT(($AZ33&gt;INDEX('Methodology &amp; Sources'!$B$155:$J$162,0,7))*($AZ33-INDEX('Methodology &amp; Sources'!$B$155:$J$162,0,7))*INDEX('Methodology &amp; Sources'!$B$155:$J$162,0,7+2)),IF(Inputs!$C$77="D",SUMPRODUCT(($AZ33&gt;INDEX('Methodology &amp; Sources'!$B$167:$J$179,0,1))*($AZ33-INDEX('Methodology &amp; Sources'!$B$167:$J$179,0,1))*INDEX('Methodology &amp; Sources'!$B$167:$J$179,0,1+2)),IF(Inputs!$C$77="E",SUMPRODUCT(($AZ33&gt;INDEX('Methodology &amp; Sources'!$B$167:$J$179,0,4))*($AZ33-INDEX('Methodology &amp; Sources'!$B$167:$J$179,0,4))*INDEX('Methodology &amp; Sources'!$B$167:$J$179,0,4+2)),SUMPRODUCT(($AZ33&gt;INDEX('Methodology &amp; Sources'!$B$155:$J$162,0,1))*($AZ33-INDEX('Methodology &amp; Sources'!$B$155:$J$162,0,1))*INDEX('Methodology &amp; Sources'!$B$155:$J$162,0,1+2)))))),IF($AN33="NY",IF($AU33="Married",IF($AZ33&gt;=2155350,$AZ33*IF($AZ33&gt;25000000,0.117,IF($AZ33&gt;5000000,0.111,0.1045)),SUMPRODUCT(($AZ33&gt;INDEX('Methodology &amp; Sources'!$B$184:$J$198,0,1))*($AZ33-INDEX('Methodology &amp; Sources'!$B$184:$J$198,0,1))*INDEX('Methodology &amp; Sources'!$B$184:$J$198,0,1+2))),IF($AZ33&gt;=1077550,$AZ33*IF($AZ33&gt;25000000,0.117,IF($AZ33&gt;5000000,0.111,0.1045)),SUMPRODUCT(($AZ33&gt;INDEX('Methodology &amp; Sources'!$B$167:$J$179,0,7))*($AZ33-INDEX('Methodology &amp; Sources'!$B$167:$J$179,0,7))*INDEX('Methodology &amp; Sources'!$B$167:$J$179,0,7+2)))),"")))))))</f>
      </c>
      <c r="BX33" s="7">
        <f>IF($B33="","",IF($AN33="AL",IF(OR($AU33="Married",$AU33="Head of household"),SUMPRODUCT(($AZ33&gt;INDEX('Methodology &amp; Sources'!$B$82:$J$86,0,4))*($AZ33-INDEX('Methodology &amp; Sources'!$B$82:$J$86,0,4))*INDEX('Methodology &amp; Sources'!$B$82:$J$86,0,4+2)),SUMPRODUCT(($AZ33&gt;INDEX('Methodology &amp; Sources'!$B$82:$J$86,0,1))*($AZ33-INDEX('Methodology &amp; Sources'!$B$82:$J$86,0,1))*INDEX('Methodology &amp; Sources'!$B$82:$J$86,0,1+2))),IF($AN33="KS",IF($AU33="Married",SUMPRODUCT(($AZ33&gt;INDEX('Methodology &amp; Sources'!$B$103:$J$109,0,4))*($AZ33-INDEX('Methodology &amp; Sources'!$B$103:$J$109,0,4))*INDEX('Methodology &amp; Sources'!$B$103:$J$109,0,4+2)),SUMPRODUCT(($AZ33&gt;INDEX('Methodology &amp; Sources'!$B$103:$J$109,0,1))*($AZ33-INDEX('Methodology &amp; Sources'!$B$103:$J$109,0,1))*INDEX('Methodology &amp; Sources'!$B$103:$J$109,0,1+2))),IF($AN33="MN",IF($AU33="Married",SUMPRODUCT(($AZ33&gt;INDEX('Methodology &amp; Sources'!$B$114:$J$120,0,7))*($AZ33-INDEX('Methodology &amp; Sources'!$B$114:$J$120,0,7))*INDEX('Methodology &amp; Sources'!$B$114:$J$120,0,7+2)),SUMPRODUCT(($AZ33&gt;INDEX('Methodology &amp; Sources'!$B$114:$J$120,0,4))*($AZ33-INDEX('Methodology &amp; Sources'!$B$114:$J$120,0,4))*INDEX('Methodology &amp; Sources'!$B$114:$J$120,0,4+2))),IF($AN33="NE",MAX(IF($AU33="Married",SUMPRODUCT(($AZ33&gt;INDEX('Methodology &amp; Sources'!$B$144:$J$150,0,7))*($AZ33-INDEX('Methodology &amp; Sources'!$B$144:$J$150,0,7))*INDEX('Methodology &amp; Sources'!$B$144:$J$150,0,7+2)),SUMPRODUCT(($AZ33&gt;INDEX('Methodology &amp; Sources'!$B$144:$J$150,0,4))*($AZ33-INDEX('Methodology &amp; Sources'!$B$144:$J$150,0,4))*INDEX('Methodology &amp; Sources'!$B$144:$J$150,0,4+2))),0.015*$AZ33),IF($AN33="OH",IF($B33&gt;=DATE(2027,8,1),SUMPRODUCT(($AZ33&gt;INDEX('Methodology &amp; Sources'!$B$203:$J$206,0,1))*($AZ33-INDEX('Methodology &amp; Sources'!$B$203:$J$206,0,1))*INDEX('Methodology &amp; Sources'!$B$203:$J$206,0,1+2)),SUMPRODUCT(($AZ33&gt;INDEX('Methodology &amp; Sources'!$B$184:$J$198,0,7))*($AZ33-INDEX('Methodology &amp; Sources'!$B$184:$J$198,0,7))*INDEX('Methodology &amp; Sources'!$B$184:$J$198,0,7+2))),IF($AN33="OK",IF($AU33="Married",SUMPRODUCT(($AZ33&gt;INDEX('Methodology &amp; Sources'!$B$203:$J$206,0,7))*($AZ33-INDEX('Methodology &amp; Sources'!$B$203:$J$206,0,7))*INDEX('Methodology &amp; Sources'!$B$203:$J$206,0,7+2)),SUMPRODUCT(($AZ33&gt;INDEX('Methodology &amp; Sources'!$B$203:$J$206,0,4))*($AZ33-INDEX('Methodology &amp; Sources'!$B$203:$J$206,0,4))*INDEX('Methodology &amp; Sources'!$B$203:$J$206,0,4+2))),IF($AN33="RI",SUMPRODUCT(($AZ33&gt;INDEX('Methodology &amp; Sources'!$B$211:$J$214,0,7))*($AZ33-INDEX('Methodology &amp; Sources'!$B$211:$J$214,0,7))*INDEX('Methodology &amp; Sources'!$B$211:$J$214,0,7+2)),IF($AN33="VT",IF($AU33="Married",SUMPRODUCT(($AZ33&gt;INDEX('Methodology &amp; Sources'!$B$228:$J$232,0,1))*($AZ33-INDEX('Methodology &amp; Sources'!$B$228:$J$232,0,1))*INDEX('Methodology &amp; Sources'!$B$228:$J$232,0,1+2)),SUMPRODUCT(($AZ33&gt;INDEX('Methodology &amp; Sources'!$B$219:$J$223,0,7))*($AZ33-INDEX('Methodology &amp; Sources'!$B$219:$J$223,0,7))*INDEX('Methodology &amp; Sources'!$B$219:$J$223,0,7+2))),IF($AN33="WV",IF($AU33="Married",SUMPRODUCT(($AZ33&gt;INDEX('Methodology &amp; Sources'!$B$237:$J$241,0,7))*($AZ33-INDEX('Methodology &amp; Sources'!$B$237:$J$241,0,7))*INDEX('Methodology &amp; Sources'!$B$237:$J$241,0,7+2)),SUMPRODUCT(($AZ33&gt;INDEX('Methodology &amp; Sources'!$B$228:$J$232,0,7))*($AZ33-INDEX('Methodology &amp; Sources'!$B$228:$J$232,0,7))*INDEX('Methodology &amp; Sources'!$B$228:$J$232,0,7+2))),""))))))))))</f>
      </c>
      <c r="BY33" s="7">
        <f>IF($B33="","",IF($AN33="AR",SUMPRODUCT(($AZ33&gt;INDEX('Methodology &amp; Sources'!$B$82:$J$86,0,7))*($AZ33-INDEX('Methodology &amp; Sources'!$B$82:$J$86,0,7))*INDEX('Methodology &amp; Sources'!$B$82:$J$86,0,7+2)),IF($AN33="DE",SUMPRODUCT(($AZ33&gt;INDEX('Methodology &amp; Sources'!$B$91:$J$98,0,1))*($AZ33-INDEX('Methodology &amp; Sources'!$B$91:$J$98,0,1))*INDEX('Methodology &amp; Sources'!$B$91:$J$98,0,1+2)),IF($AN33="HI",IF($AU33="Married",SUMPRODUCT(($AZ33&gt;INDEX('Methodology &amp; Sources'!$B$91:$J$98,0,7))*($AZ33-INDEX('Methodology &amp; Sources'!$B$91:$J$98,0,7))*INDEX('Methodology &amp; Sources'!$B$91:$J$98,0,7+2)),SUMPRODUCT(($AZ33&gt;INDEX('Methodology &amp; Sources'!$B$91:$J$98,0,4))*($AZ33-INDEX('Methodology &amp; Sources'!$B$91:$J$98,0,4))*INDEX('Methodology &amp; Sources'!$B$91:$J$98,0,4+2))),IF($AN33="SC",SUMPRODUCT(($AZ33&gt;INDEX('Methodology &amp; Sources'!$B$219:$J$223,0,1))*($AZ33-INDEX('Methodology &amp; Sources'!$B$219:$J$223,0,1))*INDEX('Methodology &amp; Sources'!$B$219:$J$223,0,1+2)),IF($AN33="VA",SUMPRODUCT(($AZ33&gt;INDEX('Methodology &amp; Sources'!$B$219:$J$223,0,4))*($AZ33-INDEX('Methodology &amp; Sources'!$B$219:$J$223,0,4))*INDEX('Methodology &amp; Sources'!$B$219:$J$223,0,4+2)),IF($AN33="WI",SUMPRODUCT(($AZ33&gt;INDEX('Methodology &amp; Sources'!$B$228:$J$232,0,4))*($AZ33-INDEX('Methodology &amp; Sources'!$B$228:$J$232,0,4))*INDEX('Methodology &amp; Sources'!$B$228:$J$232,0,4+2)),"")))))))</f>
      </c>
      <c r="BZ33" s="24">
        <f>IF($B33="","",IF($AN33="NJ",IF(Inputs!$C$77="B",SUMPRODUCT(($AZ33&gt;=INDEX('Methodology &amp; Sources'!$B$155:$J$162,0,4))*INDEX('Methodology &amp; Sources'!$B$155:$J$162,0,4+2)),IF(Inputs!$C$77="C",SUMPRODUCT(($AZ33&gt;=INDEX('Methodology &amp; Sources'!$B$155:$J$162,0,7))*INDEX('Methodology &amp; Sources'!$B$155:$J$162,0,7+2)),IF(Inputs!$C$77="D",SUMPRODUCT(($AZ33&gt;=INDEX('Methodology &amp; Sources'!$B$167:$J$179,0,1))*INDEX('Methodology &amp; Sources'!$B$167:$J$179,0,1+2)),IF(Inputs!$C$77="E",SUMPRODUCT(($AZ33&gt;=INDEX('Methodology &amp; Sources'!$B$167:$J$179,0,4))*INDEX('Methodology &amp; Sources'!$B$167:$J$179,0,4+2)),SUMPRODUCT(($AZ33&gt;=INDEX('Methodology &amp; Sources'!$B$155:$J$162,0,1))*INDEX('Methodology &amp; Sources'!$B$155:$J$162,0,1+2)))))),IF($AN33="OR",IF(OR($AU33="Married",AND($AU33="Single",$AS33&gt;=3)),SUMPRODUCT((MAX(0,$AY33-MIN(($P33-'Methodology &amp; Sources'!$C$10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Sources'!$B$211:$J$214,0,4))*INDEX('Methodology &amp; Sources'!$B$211:$J$214,0,4+2)),SUMPRODUCT((MAX(0,$AY33-MIN(($P33-'Methodology &amp; Sources'!$C$10*$D33)*Inputs!$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Sources'!$B$211:$J$214,0,1))*INDEX('Methodology &amp; Sources'!$B$211:$J$214,0,1+2)))*IF(($P33-'Methodology &amp; Sources'!$C$10*$D33)*Inputs!$C$8&gt;=IF(OR($AU33="Married",AND($AU33="Single",$AS33&gt;=3)),IF($AY33&lt;250000,8750,IF($AY33&lt;260000,7000,IF($AY33&lt;270000,5250,IF($AY33&lt;280000,3500,IF($AY33&lt;290000,1750,0))))),IF($AY33&lt;125000,8750,IF($AY33&lt;130000,7000,IF($AY33&lt;135000,5250,IF($AY33&lt;140000,3500,IF($AY33&lt;145000,1750,0)))))),1,1-IF(Inputs!$C$13,SUMPRODUCT(($AH33&gt;=INDEX('Methodology &amp; Sources'!$B$29:$J$36,0,IF(Inputs!$C$12="MFJ",1,IF(Inputs!$C$12="HoH",7,4))))*INDEX('Methodology &amp; Sources'!$B$29:$J$36,0,IF(Inputs!$C$12="MFJ",1,IF(Inputs!$C$12="HoH",7,4))+2)),SUMPRODUCT(($AH33&gt;=INDEX('Methodology &amp; Sources'!$B$19:$J$26,0,IF(Inputs!$C$12="MFJ",1,IF(Inputs!$C$12="HoH",7,4))))*INDEX('Methodology &amp; Sources'!$B$19:$J$26,0,IF(Inputs!$C$12="MFJ",1,IF(Inputs!$C$12="HoH",7,4))+2)))),IF($AN33="MI",IF($AY33&gt;5900*$AS33,0.0425,0),""))))</f>
      </c>
      <c r="CA33" s="24">
        <f>IF($B33="","",IF($AN33="AL",IF(OR($AU33="Married",$AU33="Head of household"),SUMPRODUCT(($AZ33&gt;=INDEX('Methodology &amp; Sources'!$B$82:$J$86,0,4))*INDEX('Methodology &amp; Sources'!$B$82:$J$86,0,4+2)),SUMPRODUCT(($AZ33&gt;=INDEX('Methodology &amp; Sources'!$B$82:$J$86,0,1))*INDEX('Methodology &amp; Sources'!$B$82:$J$86,0,1+2)))*(1-IF(Inputs!$C$13,SUMPRODUCT(($AH33&gt;=INDEX('Methodology &amp; Sources'!$B$29:$J$36,0,IF(Inputs!$C$12="MFJ",1,IF(Inputs!$C$12="HoH",7,4))))*INDEX('Methodology &amp; Sources'!$B$29:$J$36,0,IF(Inputs!$C$12="MFJ",1,IF(Inputs!$C$12="HoH",7,4))+2)),SUMPRODUCT(($AH33&gt;=INDEX('Methodology &amp; Sources'!$B$19:$J$26,0,IF(Inputs!$C$12="MFJ",1,IF(Inputs!$C$12="HoH",7,4))))*INDEX('Methodology &amp; Sources'!$B$19:$J$26,0,IF(Inputs!$C$12="MFJ",1,IF(Inputs!$C$12="HoH",7,4))+2)))),IF($AN33="KS",IF($AU33="Married",SUMPRODUCT(($AZ33&gt;=INDEX('Methodology &amp; Sources'!$B$103:$J$109,0,4))*INDEX('Methodology &amp; Sources'!$B$103:$J$109,0,4+2)),SUMPRODUCT(($AZ33&gt;=INDEX('Methodology &amp; Sources'!$B$103:$J$109,0,1))*INDEX('Methodology &amp; Sources'!$B$103:$J$109,0,1+2))),IF($AN33="MD",IF(OR($AU33="Married",$AU33="Head of household"),SUMPRODUCT(($AZ33&gt;=INDEX('Methodology &amp; Sources'!$B$114:$J$120,0,1))*INDEX('Methodology &amp; Sources'!$B$114:$J$120,0,1+2)),SUMPRODUCT(($AZ33&gt;=INDEX('Methodology &amp; Sources'!$B$103:$J$109,0,7))*INDEX('Methodology &amp; Sources'!$B$103:$J$109,0,7+2)))+Inputs!$C$74,IF($AN33="MT",IF($AU33="Head of household",SUMPRODUCT(($AZ33&gt;=INDEX('Methodology &amp; Sources'!$B$137:$J$139,0,1))*INDEX('Methodology &amp; Sources'!$B$137:$J$139,0,1+2)),IF($AU33="Married",SUMPRODUCT(($AZ33&gt;=INDEX('Methodology &amp; Sources'!$B$125:$J$132,0,7))*INDEX('Methodology &amp; Sources'!$B$125:$J$132,0,7+2)),SUMPRODUCT(($AZ33&gt;=INDEX('Methodology &amp; Sources'!$B$125:$J$132,0,4))*INDEX('Methodology &amp; Sources'!$B$125:$J$132,0,4+2)))),IF($AN33="ND",IF($AU33="Head of household",SUMPRODUCT(($AZ33&gt;=INDEX('Methodology &amp; Sources'!$B$144:$J$150,0,1))*INDEX('Methodology &amp; Sources'!$B$144:$J$150,0,1+2)),IF($AU33="Married",SUMPRODUCT(($AZ33&gt;=INDEX('Methodology &amp; Sources'!$B$137:$J$139,0,7))*INDEX('Methodology &amp; Sources'!$B$137:$J$139,0,7+2)),SUMPRODUCT(($AZ33&gt;=INDEX('Methodology &amp; Sources'!$B$137:$J$139,0,4))*INDEX('Methodology &amp; Sources'!$B$137:$J$139,0,4+2)))),IF($AN33="NY",IF($AU33="Married",IF($AZ33&gt;=2155350,IF($AZ33&gt;25000000,0.117,IF($AZ33&gt;5000000,0.111,0.1045)),SUMPRODUCT(($AZ33&gt;=INDEX('Methodology &amp; Sources'!$B$184:$J$198,0,1))*INDEX('Methodology &amp; Sources'!$B$184:$J$198,0,1+2))),IF($AZ33&gt;=1077550,IF($AZ33&gt;25000000,0.117,IF($AZ33&gt;5000000,0.111,0.1045)),SUMPRODUCT(($AZ33&gt;=INDEX('Methodology &amp; Sources'!$B$167:$J$179,0,7))*INDEX('Methodology &amp; Sources'!$B$167:$J$179,0,7+2)))),"")))))))</f>
      </c>
      <c r="CB33" s="24">
        <f>IF($B33="","",IF($AN33="CA",SUMPRODUCT(($AJ33&gt;=INDEX('Methodology &amp; Sources'!$B$39:$J$48,0,IF($AU33="Married",4,IF($AU33="Head of household",7,1))))*INDEX('Methodology &amp; Sources'!$B$39:$J$48,0,IF($AU33="Married",4,IF($AU33="Head of household",7,1))+2)),IF($AN33="HI",IF($AU33="Married",SUMPRODUCT(($AZ33&gt;=INDEX('Methodology &amp; Sources'!$B$91:$J$98,0,7))*INDEX('Methodology &amp; Sources'!$B$91:$J$98,0,7+2)),SUMPRODUCT(($AZ33&gt;=INDEX('Methodology &amp; Sources'!$B$91:$J$98,0,4))*INDEX('Methodology &amp; Sources'!$B$91:$J$98,0,4+2))),IF($AN33="MN",IF($AU33="Married",SUMPRODUCT(($AZ33&gt;=INDEX('Methodology &amp; Sources'!$B$114:$J$120,0,7))*INDEX('Methodology &amp; Sources'!$B$114:$J$120,0,7+2)),SUMPRODUCT(($AZ33&gt;=INDEX('Methodology &amp; Sources'!$B$114:$J$120,0,4))*INDEX('Methodology &amp; Sources'!$B$114:$J$120,0,4+2))),IF($AN33="MO",SUMPRODUCT(($AZ33&gt;=INDEX('Methodology &amp; Sources'!$B$125:$J$132,0,1))*INDEX('Methodology &amp; Sources'!$B$125:$J$132,0,1+2)),IF($AN33="NE",MAX(IF($AU33="Married",SUMPRODUCT(($AZ33&gt;=INDEX('Methodology &amp; Sources'!$B$144:$J$150,0,7))*INDEX('Methodology &amp; Sources'!$B$144:$J$150,0,7+2)),SUMPRODUCT(($AZ33&gt;=INDEX('Methodology &amp; Sources'!$B$144:$J$150,0,4))*INDEX('Methodology &amp; Sources'!$B$144:$J$150,0,4+2))),0.015),IF($AN33="OH",IF($B33&gt;=DATE(2027,8,1),SUMPRODUCT(($AZ33&gt;=INDEX('Methodology &amp; Sources'!$B$203:$J$206,0,1))*INDEX('Methodology &amp; Sources'!$B$203:$J$206,0,1+2)),SUMPRODUCT(($AZ33&gt;=INDEX('Methodology &amp; Sources'!$B$184:$J$198,0,7))*INDEX('Methodology &amp; Sources'!$B$184:$J$198,0,7+2))),IF($AN33="OK",IF($AU33="Married",SUMPRODUCT(($AZ33&gt;=INDEX('Methodology &amp; Sources'!$B$203:$J$206,0,7))*INDEX('Methodology &amp; Sources'!$B$203:$J$206,0,7+2)),SUMPRODUCT(($AZ33&gt;=INDEX('Methodology &amp; Sources'!$B$203:$J$206,0,4))*INDEX('Methodology &amp; Sources'!$B$203:$J$206,0,4+2))),IF($AN33="RI",SUMPRODUCT(($AZ33&gt;=INDEX('Methodology &amp; Sources'!$B$211:$J$214,0,7))*INDEX('Methodology &amp; Sources'!$B$211:$J$214,0,7+2)),IF($AN33="SC",SUMPRODUCT(($AZ33&gt;=INDEX('Methodology &amp; Sources'!$B$219:$J$223,0,1))*INDEX('Methodology &amp; Sources'!$B$219:$J$223,0,1+2)),IF($AN33="VT",IF($AU33="Married",SUMPRODUCT(($AZ33&gt;=INDEX('Methodology &amp; Sources'!$B$228:$J$232,0,1))*INDEX('Methodology &amp; Sources'!$B$228:$J$232,0,1+2)),SUMPRODUCT(($AZ33&gt;=INDEX('Methodology &amp; Sources'!$B$219:$J$223,0,7))*INDEX('Methodology &amp; Sources'!$B$219:$J$223,0,7+2))),IF($AN33="WV",IF($AU33="Married",SUMPRODUCT(($AZ33&gt;=INDEX('Methodology &amp; Sources'!$B$237:$J$241,0,7))*INDEX('Methodology &amp; Sources'!$B$237:$J$241,0,7+2)),SUMPRODUCT(($AZ33&gt;=INDEX('Methodology &amp; Sources'!$B$228:$J$232,0,7))*INDEX('Methodology &amp; Sources'!$B$228:$J$232,0,7+2))),IF($AN33="IN",(0.0295+Inputs!$C$76),"")))))))))))))</f>
      </c>
      <c r="CC33" s="24">
        <f>IF($B33="","",IF($AN33="AR",SUMPRODUCT(($AZ33&gt;=INDEX('Methodology &amp; Sources'!$B$82:$J$86,0,7))*INDEX('Methodology &amp; Sources'!$B$82:$J$86,0,7+2)),IF($AN33="DE",SUMPRODUCT(($AZ33&gt;=INDEX('Methodology &amp; Sources'!$B$91:$J$98,0,1))*INDEX('Methodology &amp; Sources'!$B$91:$J$98,0,1+2)),IF($AN33="VA",SUMPRODUCT(($AZ33&gt;=INDEX('Methodology &amp; Sources'!$B$219:$J$223,0,4))*INDEX('Methodology &amp; Sources'!$B$219:$J$223,0,4+2)),IF($AN33="WI",SUMPRODUCT(($AZ33&gt;=INDEX('Methodology &amp; Sources'!$B$228:$J$232,0,4))*INDEX('Methodology &amp; Sources'!$B$228:$J$232,0,4+2)),IF($AN33="AZ",Inputs!$C$82,IF($AN33="CO",IF($AY33&gt;IF($AU33="Married",10000,5000),0.044,0),IF($AN33="IA",IF($AY33&gt;IF($AU33="Head of household",19500,IF($AU33="Married",26000,13000)),0.038,0),IF($AN33="ID",IF($AY33&gt;IF($AU33="Married",32000,16094),0.053,0),IF($AN33="IL",IF($AY33&gt;(2925*$AS33+1000*$AT33),0.0495,0),IF($AN33="KY",IF($AI33&gt;3360,0.035,0),IF($AN33="LA",0.0309,IF($AN33="MA",IF(MAX(0,$AY33-MIN(($BD32+$Q33+$R33+$S33),2000)-IF($AS33=0,0,IF($AS33=1,4400,1000*$AS33+3400)))&gt;=1107750,0.09,0.05),IF($AN33="MS",IF($AI33-IF($AU33="Head of household",3400,IF($AU33="Married",4600,2300))-Inputs!$C$85&gt;10000,0.04,0),IF($AN33="PA",0.0307,"")))))))))))))))</f>
      </c>
      <c r="CD33" s="21">
        <f>IF(YEAR(IF(Inputs!$C$7="Weekly",Inputs!$C$90+7*(($BE32+1)-1),IF(Inputs!$C$7="Biweekly",Inputs!$C$90+14*(($BE32+1)-1),IF(Inputs!$C$7="Semimonthly",DATE(YEAR(Inputs!$C$9),MONTH(Inputs!$C$9)+INT((($BE32+1)-1+'Rest of 2026'!$C$2)/2),MIN(DAY(Inputs!$C$9),DAY(EOMONTH(DATE(YEAR(Inputs!$C$9),MONTH(Inputs!$C$9)+INT((($BE32+1)-1+'Rest of 2026'!$C$2)/2),1),0))))+IF(MOD(($BE32+1)-1+'Rest of 2026'!$C$2,2)=1,15,0),EDATE(Inputs!$C$90,($BE32+1)-1)))))&lt;&gt;Inputs!$C$10,"",IF(Inputs!$C$7="Weekly",Inputs!$C$90+7*(($BE32+1)-1),IF(Inputs!$C$7="Biweekly",Inputs!$C$90+14*(($BE32+1)-1),IF(Inputs!$C$7="Semimonthly",DATE(YEAR(Inputs!$C$9),MONTH(Inputs!$C$9)+INT((($BE32+1)-1+'Rest of 2026'!$C$2)/2),MIN(DAY(Inputs!$C$9),DAY(EOMONTH(DATE(YEAR(Inputs!$C$9),MONTH(Inputs!$C$9)+INT((($BE32+1)-1+'Rest of 2026'!$C$2)/2),1),0))))+IF(MOD(($BE32+1)-1+'Rest of 2026'!$C$2,2)=1,15,0),EDATE(Inputs!$C$90,($BE32+1)-1)))))</f>
      </c>
      <c r="CE33" s="21">
        <f>IF(SUMPRODUCT(MIN(IF((Inputs!$C$58:$C$67&gt;MAX($B$6:$B32))*(Inputs!$C$58:$C$67&gt;=DATE(Inputs!$C$10,1,1))*(Inputs!$C$58:$C$67&lt;=DATE(Inputs!$C$10,12,31)),Inputs!$C$58:$C$67,999999)))=999999,"",SUMPRODUCT(MIN(IF((Inputs!$C$58:$C$67&gt;MAX($B$6:$B32))*(Inputs!$C$58:$C$67&gt;=DATE(Inputs!$C$10,1,1))*(Inputs!$C$58:$C$67&lt;=DATE(Inputs!$C$10,12,31)),Inputs!$C$58:$C$67,999999))))</f>
      </c>
    </row>
    <row r="34">
      <c r="A34" t="n">
        <v>29</v>
      </c>
      <c r="B34" s="21">
        <f>IF(AND($CD34="",$CE34=""),"",IF($CE34="",$CD34,IF($CD34="",$CE34,MIN($CD34,$CE34))))</f>
      </c>
      <c r="C34" s="7">
        <f>IF($B34="","",IF($BF34=0,0,IF(Inputs!$C$4="Annual salary",ROUND($AK34/IF(AND(Inputs!$C$88="Actual paydays",MONTH(Inputs!$C$90)=1),MAX(1,MAX($BE$6:$BE$68)),Inputs!$C$8),2),$AK34)))</f>
      </c>
      <c r="D34" s="7">
        <f>IF($B34="","",SUMIF(Inputs!$C$58:$C$67,$B34,Inputs!$D$58:$D$67))</f>
      </c>
      <c r="E34" s="7">
        <f>IF($B34="","",ROUND(MAX(0,MIN(IF($AL34="Percent",$AM34*($C34+$D34),$AM34),MAX(0,Inputs!$C$34-$AC33))),2))</f>
      </c>
      <c r="F34" s="7">
        <f>IF($B34="","",ROUND(MAX(0,MIN(IF(Inputs!$C$32="Percent",Inputs!$D$32*($C34+$D34),Inputs!$D$32),MAX(0,Inputs!$C$34-$AC33-$E34))),2))</f>
      </c>
      <c r="G34" s="7">
        <f>IF($B34="","",IF($BF34=0,0,ROUND(MAX(0,MIN($BL34,Inputs!$C$37-Inputs!$C$99-$BI33)),2)))</f>
      </c>
      <c r="H34" s="7">
        <f>IF($B34="","",IF(OR($BF34=0,$BQ34=1),0,ROUND(MAX(0,MIN(IF($BS34=1,ROUND(MAX(0,MIN($BJ34,'Methodology &amp; Sources'!$C$13)-$BG33)/MAX(1,MAX($BE$6:$BE$68)-($BE33)),2),ROUND(MIN($BJ34,'Methodology &amp; Sources'!$C$13)/Inputs!$C$8,2)),MIN($BJ34,'Methodology &amp; Sources'!$C$13)-$BG33)),2)))</f>
      </c>
      <c r="I34" s="7">
        <f>IF($B34="","",IF(OR($BF34=0,$BR34=1),0,ROUND(MAX(0,MIN(IF($BT34=1,ROUND(MAX(0,MIN($BK34,IF(Inputs!$C$12="MFJ",'Methodology &amp; Sources'!$C$14,'Methodology &amp; Sources'!$C$15))-$BH33)/MAX(1,MAX($BE$6:$BE$68)-($BE33)),2),ROUND(MIN($BK34,IF(Inputs!$C$12="MFJ",'Methodology &amp; Sources'!$C$14,'Methodology &amp; Sources'!$C$15))/Inputs!$C$8,2)),MIN($BK34,IF(Inputs!$C$12="MFJ",'Methodology &amp; Sources'!$C$14,'Methodology &amp; Sources'!$C$15))-$BH33)),2)))</f>
      </c>
      <c r="J34" s="7">
        <f>IF($B34="","",IF($BF34=0,0,$BM34))</f>
      </c>
      <c r="K34" s="7">
        <f>IF($B34="","",IF($BF34=0,0,$BN34+$BO34))</f>
      </c>
      <c r="L34" s="7">
        <f>IF($B34="","",IF($BF34=0,0,Inputs!$D$46))</f>
      </c>
      <c r="M34" s="7">
        <f>IF($B34="","",$C34+$D34+$L34-$E34-$G34-$H34-$I34-$J34-$K34)</f>
      </c>
      <c r="N34" s="7">
        <f>IF($B34="","",$C34+$D34+$L34-$G34-$H34-$I34-$J34-$K34)</f>
      </c>
      <c r="O34" s="7">
        <f>IF($B34="","",$C34+$D34+$L34-$E34-$H34-$I34-$J34-$K34-IF(OR($AN34="CA",$AN34="NJ"),0,$G34))</f>
      </c>
      <c r="P34" s="7">
        <f>IF($B34="","",IF(Inputs!$C$18,0,ROUND(MAX(0,IF(Inputs!$C$13,SUMPRODUCT(($AH34&gt;INDEX('Methodology &amp; Sources'!$B$29:$J$36,0,IF(Inputs!$C$12="MFJ",1,IF(Inputs!$C$12="HoH",7,4))))*($AH34-INDEX('Methodology &amp; Sources'!$B$29:$J$36,0,IF(Inputs!$C$12="MFJ",1,IF(Inputs!$C$12="HoH",7,4))))*INDEX('Methodology &amp; Sources'!$B$29:$J$36,0,IF(Inputs!$C$12="MFJ",1,IF(Inputs!$C$12="HoH",7,4))+2)),SUMPRODUCT(($AH34&gt;INDEX('Methodology &amp; Sources'!$B$19:$J$26,0,IF(Inputs!$C$12="MFJ",1,IF(Inputs!$C$12="HoH",7,4))))*($AH34-INDEX('Methodology &amp; Sources'!$B$19:$J$26,0,IF(Inputs!$C$12="MFJ",1,IF(Inputs!$C$12="HoH",7,4))))*INDEX('Methodology &amp; Sources'!$B$19:$J$26,0,IF(Inputs!$C$12="MFJ",1,IF(Inputs!$C$12="HoH",7,4))+2)))/Inputs!$C$8-$AO34/Inputs!$C$8)+$AR34+IF(Inputs!$C$89="Aggregate",MAX(0,IF(Inputs!$C$13,SUMPRODUCT((($AH34+$D34)&gt;INDEX('Methodology &amp; Sources'!$B$29:$J$36,0,IF(Inputs!$C$12="MFJ",1,IF(Inputs!$C$12="HoH",7,4))))*(($AH34+$D34)-INDEX('Methodology &amp; Sources'!$B$29:$J$36,0,IF(Inputs!$C$12="MFJ",1,IF(Inputs!$C$12="HoH",7,4))))*INDEX('Methodology &amp; Sources'!$B$29:$J$36,0,IF(Inputs!$C$12="MFJ",1,IF(Inputs!$C$12="HoH",7,4))+2)),SUMPRODUCT((($AH34+$D34)&gt;INDEX('Methodology &amp; Sources'!$B$19:$J$26,0,IF(Inputs!$C$12="MFJ",1,IF(Inputs!$C$12="HoH",7,4))))*(($AH34+$D34)-INDEX('Methodology &amp; Sources'!$B$19:$J$26,0,IF(Inputs!$C$12="MFJ",1,IF(Inputs!$C$12="HoH",7,4))))*INDEX('Methodology &amp; Sources'!$B$19:$J$26,0,IF(Inputs!$C$12="MFJ",1,IF(Inputs!$C$12="HoH",7,4))+2)))-IF(Inputs!$C$13,SUMPRODUCT(($AH34&gt;INDEX('Methodology &amp; Sources'!$B$29:$J$36,0,IF(Inputs!$C$12="MFJ",1,IF(Inputs!$C$12="HoH",7,4))))*($AH34-INDEX('Methodology &amp; Sources'!$B$29:$J$36,0,IF(Inputs!$C$12="MFJ",1,IF(Inputs!$C$12="HoH",7,4))))*INDEX('Methodology &amp; Sources'!$B$29:$J$36,0,IF(Inputs!$C$12="MFJ",1,IF(Inputs!$C$12="HoH",7,4))+2)),SUMPRODUCT(($AH34&gt;INDEX('Methodology &amp; Sources'!$B$19:$J$26,0,IF(Inputs!$C$12="MFJ",1,IF(Inputs!$C$12="HoH",7,4))))*($AH34-INDEX('Methodology &amp; Sources'!$B$19:$J$26,0,IF(Inputs!$C$12="MFJ",1,IF(Inputs!$C$12="HoH",7,4))))*INDEX('Methodology &amp; Sources'!$B$19:$J$26,0,IF(Inputs!$C$12="MFJ",1,IF(Inputs!$C$12="HoH",7,4))+2)))),'Methodology &amp; Sources'!$C$10*$D34),2)))</f>
      </c>
      <c r="Q34" s="7">
        <f>IF($B34="","",ROUND('Methodology &amp; Sources'!$C$4*MIN($N34,MAX(0,'Methodology &amp; Sources'!$C$3-($AX34+$AB33-$AW34))),2))</f>
      </c>
      <c r="R34" s="7">
        <f>IF($B34="","",ROUND('Methodology &amp; Sources'!$C$5*$N34,2))</f>
      </c>
      <c r="S34" s="7">
        <f>IF($B34="","",ROUND('Methodology &amp; Sources'!$C$6*MAX(0,MIN($N34,$AG33+$N34-'Methodology &amp; Sources'!$C$7)),2))</f>
      </c>
      <c r="T34" s="7">
        <f>IF($B34="","",IF(Inputs!$C$26,0,IF($AN34="CA",ROUND(IF($AI34&lt;=IF(($AS34+$AT34)&gt;=2,VLOOKUP($AN34,StateTables!$A$6:$AB$56,10,FALSE),VLOOKUP($AN34,StateTables!$A$6:$AB$56,9,FALSE)),0,MAX(0,SUMPRODUCT(($AJ34&gt;INDEX('Methodology &amp; Sources'!$B$39:$J$48,0,IF($AU34="Married",4,IF($AU34="Head of household",7,1))))*($AJ34-INDEX('Methodology &amp; Sources'!$B$39:$J$48,0,IF($AU34="Married",4,IF($AU34="Head of household",7,1))))*INDEX('Methodology &amp; Sources'!$B$39:$J$48,0,IF($AU34="Married",4,IF($AU34="Head of household",7,1))+2))-VLOOKUP($AN34,StateTables!$A$6:$AB$56,11,FALSE)*$AS34)/Inputs!$C$8)+Inputs!$C$25+VLOOKUP($AN34,StateTables!$A$6:$AB$56,13,FALSE)*$D34,2),IF(VLOOKUP($AN34,StateTables!$A$6:$AB$56,4,FALSE)="None",0,IF(ISNUMBER(SEARCH("MANUAL",VLOOKUP($AN34,StateTables!$A$6:$AB$56,5,FALSE))),Inputs!$C$28,ROUND(MAX(0,$BA34+$BB34)/Inputs!$C$8+Inputs!$C$25+$BC34,2))))))</f>
      </c>
      <c r="U34" s="7">
        <f>IF($B34="","",IF(VLOOKUP($AN34,StateTables!$A$6:$AB$56,24,FALSE)="flatq",IF(OR(MONTH($B34)=1,MONTH($B34)=4,MONTH($B34)=7,MONTH($B34)=10),VLOOKUP($AN34,StateTables!$A$6:$AB$56,25,FALSE),0),IF(VLOOKUP($AN34,StateTables!$A$6:$AB$56,24,FALSE)="dbl",MIN(ROUND(0.005*$N34,2),ROUND(0.6*52/Inputs!$C$8,2)),IF(OR(VLOOKUP($AN34,StateTables!$A$6:$AB$56,15,FALSE)="",VLOOKUP($AN34,StateTables!$A$6:$AB$56,15,FALSE)=0),0,ROUND(VLOOKUP($AN34,StateTables!$A$6:$AB$56,15,FALSE)*IF(OR(VLOOKUP($AN34,StateTables!$A$6:$AB$56,16,FALSE)="",VLOOKUP($AN34,StateTables!$A$6:$AB$56,16,FALSE)=0),$N34,MIN($N34,MAX(0,VLOOKUP($AN34,StateTables!$A$6:$AB$56,16,FALSE)-($AX34+$AB33-$AW34)))),2))))+IF(VLOOKUP($AN34,StateTables!$A$6:$AB$56,27,FALSE)="flatq",IF(OR(MONTH($B34)=1,MONTH($B34)=4,MONTH($B34)=7,MONTH($B34)=10),VLOOKUP($AN34,StateTables!$A$6:$AB$56,28,FALSE),0),IF(VLOOKUP($AN34,StateTables!$A$6:$AB$56,27,FALSE)="dbl",MIN(ROUND(0.005*$N34,2),ROUND(0.6*52/Inputs!$C$8,2)),IF(OR(VLOOKUP($AN34,StateTables!$A$6:$AB$56,18,FALSE)="",VLOOKUP($AN34,StateTables!$A$6:$AB$56,18,FALSE)=0),0,ROUND(VLOOKUP($AN34,StateTables!$A$6:$AB$56,18,FALSE)*IF(OR(VLOOKUP($AN34,StateTables!$A$6:$AB$56,19,FALSE)="",VLOOKUP($AN34,StateTables!$A$6:$AB$56,19,FALSE)=0),$N34,MIN($N34,MAX(0,VLOOKUP($AN34,StateTables!$A$6:$AB$56,19,FALSE)-($AX34+$AB33-$AW34)))),2)))))</f>
      </c>
      <c r="V34" s="7">
        <f>IF($B34="","",IF($AN34="NY",IF(Inputs!$C$78,ROUND(SUMPRODUCT((MAX(0,($O34-$D34)*Inputs!$C$8-(IF($AU34="Married",5500,5000)+1000*$AS34))&gt;INDEX('Methodology &amp; Sources'!$B$184:$J$198,0,4))*(MAX(0,($O34-$D34)*Inputs!$C$8-(IF($AU34="Married",5500,5000)+1000*$AS34))-INDEX('Methodology &amp; Sources'!$B$184:$J$198,0,4))*INDEX('Methodology &amp; Sources'!$B$184:$J$198,0,4+2))/Inputs!$C$8+0.0425*$D34,2),0)+IF(Inputs!$C$79="Resident",ROUND(0.1675*$T34,2),IF(Inputs!$C$79="Nonresident",ROUND(0.005*MAX(0,($O34-$D34)-(IF($AU34="Married",7950,7400)+1000*$AS34)/Inputs!$C$8),2),0)),IF($AN34="PA",IF(Inputs!$C$80="None",Inputs!$C$27+ROUND(Inputs!$C$81*($C34+$D34),2),ROUND(IF(Inputs!$C$80="Resident",IF($B34&lt;DATE(2027,7,1),0.03735,0.03735),IF($B34&lt;DATE(2027,7,1),0.03425,0.03425))*($C34+$D34),2)),IF($BF34=0,ROUND(Inputs!$C$81*($C34+$D34),2),Inputs!$C$27+ROUND(Inputs!$C$81*($C34+$D34),2)))))</f>
      </c>
      <c r="W34" s="7">
        <f>IF($B34="","",IF($BF34=0,0,$BP34))</f>
      </c>
      <c r="X34" s="7">
        <f>IF($B34="","",SUM($E34:$K34)+$P34+$Q34+$R34+$S34+$T34+$U34+$V34+$W34)</f>
      </c>
      <c r="Y34" s="22">
        <f>IF($B34="","",$C34+$D34-$X34)</f>
      </c>
      <c r="Z34" s="7">
        <f>IF($B34="","",$Z33+$C34+$D34)</f>
      </c>
      <c r="AA34" s="7">
        <f>IF($B34="","",$AA33+$Y34)</f>
      </c>
      <c r="AB34" s="7">
        <f>IF($B34="","",$AB33+MIN($N34,MAX(0,'Methodology &amp; Sources'!$C$3-($AX34+$AB33-$AW34))))</f>
      </c>
      <c r="AC34" s="7">
        <f>IF($B34="","",$AC33+$E34+$F34)</f>
      </c>
      <c r="AD34" s="3">
        <f>IF($B34="","",IF(AND($AB33&lt;'Methodology &amp; Sources'!$C$3,$AB34&gt;='Methodology &amp; Sources'!$C$3),"★ Social Security maxed on this check — from the next check your net rises by about $"&amp;TEXT(ROUND('Methodology &amp; Sources'!$C$4*$N34,2),"#,##0.00")&amp;". ","")&amp;IF(AND($AC33&lt;Inputs!$C$34,$AC34&gt;=Inputs!$C$34),"★ 401(k) reaches the $"&amp;TEXT(Inputs!$C$34,"#,##0")&amp;" cap on this check — deferrals stop and net pay rises. ","")&amp;IF(AND($AG33&lt;'Methodology &amp; Sources'!$C$7,$AG34&gt;='Methodology &amp; Sources'!$C$7),"★ Wages pass $200,000 — the 0.9% Additional Medicare Tax starts here. ","")&amp;IF(AND($BJ34&gt;0,$H34&gt;0,$BG33&lt;MIN($BJ34,'Methodology &amp; Sources'!$C$13),$BG33+$H34&gt;=MIN($BJ34,'Methodology &amp; Sources'!$C$13)),"★ Health FSA election is now fully deferred for the year. ",""))</f>
      </c>
      <c r="AE34" s="41" t="n"/>
      <c r="AF34" s="7">
        <f>IF(OR($B34="",$AE34=""),"",$AE34-$Y34)</f>
      </c>
      <c r="AG34" s="7">
        <f>IF($B34="","",$AG33+$N34)</f>
      </c>
      <c r="AH34" s="7">
        <f>IF($B34="","",MAX(0,($M34-$D34)*Inputs!$C$8+$AP34-$AQ34-IF(Inputs!$C$13,0,IF(Inputs!$C$12="MFJ",'Methodology &amp; Sources'!$C$8,'Methodology &amp; Sources'!$C$9))))</f>
      </c>
      <c r="AI34" s="7">
        <f>IF($B34="","",$O34*Inputs!$C$8)</f>
      </c>
      <c r="AJ34" s="7">
        <f>IF($B34="","",MAX(0,$AI34-VLOOKUP($AN34,StateTables!$A$6:$AB$56,12,FALSE)*$AT34-IF(($AS34+$AT34)&gt;=2,VLOOKUP($AN34,StateTables!$A$6:$AB$56,8,FALSE),VLOOKUP($AN34,StateTables!$A$6:$AB$56,7,FALSE))))</f>
      </c>
      <c r="AK34" s="7">
        <f>IF($B34="","",IFERROR(LOOKUP(2,1/((Events!$C$6:$C$17="Salary change")*(Events!$B$6:$B$17&lt;=$B34)*(Events!$B$6:$B$17&lt;&gt;"")),Events!$D$6:$D$17),IF(Inputs!$C$4="Annual salary",Inputs!$C$5,Inputs!$C$6)))</f>
      </c>
      <c r="AL34">
        <f>IF($B34="","",IFERROR(LOOKUP(2,1/((Events!$C$6:$C$17="401(k) change")*(Events!$B$6:$B$17&lt;=$B34)*(Events!$B$6:$B$17&lt;&gt;"")),Events!$D$6:$D$17),Inputs!$C$30))</f>
      </c>
      <c r="AM34" s="7">
        <f>IF($B34="","",IFERROR(LOOKUP(2,1/((Events!$C$6:$C$17="401(k) change")*(Events!$B$6:$B$17&lt;=$B34)*(Events!$B$6:$B$17&lt;&gt;"")),Events!$E$6:$E$17),Inputs!$D$30))</f>
      </c>
      <c r="AN34">
        <f>IF($B34="","",IFERROR(LOOKUP(2,1/((Events!$C$6:$C$17="State move")*(Events!$B$6:$B$17&lt;=$B34)*(Events!$B$6:$B$17&lt;&gt;"")),Events!$D$6:$D$17),Inputs!$C$21))</f>
      </c>
      <c r="AO34" s="7">
        <f>IF($B34="","",IFERROR(LOOKUP(2,1/((Events!$C$6:$C$17="W-4 change")*(Events!$B$6:$B$17&lt;=$B34)*(Events!$B$6:$B$17&lt;&gt;"")),Events!$D$6:$D$17),Inputs!$C$14))</f>
      </c>
      <c r="AP34" s="7">
        <f>IF($B34="","",IFERROR(LOOKUP(2,1/((Events!$C$6:$C$17="W-4 change")*(Events!$B$6:$B$17&lt;=$B34)*(Events!$B$6:$B$17&lt;&gt;"")),Events!$E$6:$E$17),Inputs!$C$15))</f>
      </c>
      <c r="AQ34" s="7">
        <f>IF($B34="","",IFERROR(LOOKUP(2,1/((Events!$C$6:$C$17="W-4 change")*(Events!$B$6:$B$17&lt;=$B34)*(Events!$B$6:$B$17&lt;&gt;"")),Events!$F$6:$F$17),Inputs!$C$16))</f>
      </c>
      <c r="AR34" s="7">
        <f>IF($B34="","",IFERROR(LOOKUP(2,1/((Events!$C$6:$C$17="W-4 change")*(Events!$B$6:$B$17&lt;=$B34)*(Events!$B$6:$B$17&lt;&gt;"")),Events!$G$6:$G$17),Inputs!$C$17))</f>
      </c>
      <c r="AS34" s="6">
        <f>IF($B34="","",IFERROR(LOOKUP(2,1/(((Events!$C$6:$C$17="State move")+(Events!$C$6:$C$17="State cert change"))*(Events!$B$6:$B$17&lt;=$B34)*(Events!$B$6:$B$17&lt;&gt;"")),Events!$F$6:$F$17),Inputs!$C$23))</f>
      </c>
      <c r="AT34" s="6">
        <f>IF($B34="","",IFERROR(LOOKUP(2,1/(((Events!$C$6:$C$17="State move")+(Events!$C$6:$C$17="State cert change"))*(Events!$B$6:$B$17&lt;=$B34)*(Events!$B$6:$B$17&lt;&gt;"")),Events!$G$6:$G$17),Inputs!$C$24))</f>
      </c>
      <c r="AU34">
        <f>IF($B34="","",IFERROR(LOOKUP(2,1/((Events!$C$6:$C$17="State move")*(Events!$B$6:$B$17&lt;=$B34)*(Events!$B$6:$B$17&lt;&gt;"")),Events!$E$6:$E$17),Inputs!$C$22))</f>
      </c>
      <c r="AV34" s="6">
        <f>IF($B34="","",1+COUNTIFS(Events!$C$6:$C$17,"Employer change",Events!$B$6:$B$17,"&lt;="&amp;$B34,Events!$B$6:$B$17,"&lt;&gt;"))</f>
      </c>
      <c r="AW34" s="7">
        <f>IF($B34="","",IF($AV34=1,Inputs!$C$94,IF(IFERROR(MATCH(IFERROR(LOOKUP(2,1/((Events!$C$6:$C$17="Employer change")*(Events!$B$6:$B$17&lt;=$B34)*(Events!$B$6:$B$17&lt;&gt;"")),Events!$B$6:$B$17),""),$B$6:$B$68,1),1)&lt;=1,Inputs!$C$94,INDEX($AB$6:$AB$68,MATCH(IFERROR(LOOKUP(2,1/((Events!$C$6:$C$17="Employer change")*(Events!$B$6:$B$17&lt;=$B34)*(Events!$B$6:$B$17&lt;&gt;"")),Events!$B$6:$B$17),""),$B$6:$B$68,1)-1))))</f>
      </c>
      <c r="AX34" s="7">
        <f>IF($B34="","",IF($AV34=1,Inputs!$C$94,IFERROR(LOOKUP(2,1/((Events!$C$6:$C$17="Employer change")*(Events!$B$6:$B$17&lt;=$B34)*(Events!$B$6:$B$17&lt;&gt;"")),Events!$D$6:$D$17),0)))</f>
      </c>
      <c r="AY34" s="7">
        <f>IF($B34="","",($O34-$D34)*Inputs!$C$8)</f>
      </c>
      <c r="AZ34" s="7">
        <f>IF($B34="","",IF($AN34="AL",MAX(0,$AY34-IF($AU34="Married",IF($AY34&lt;=25999,8500,MAX(5000,8500-175*CEILING(($AY34-25999)/500,1))),IF($AU34="Head of household",IF($AY34&lt;=25999,5200,MAX(2500,5200-135*CEILING(($AY34-25999)/500,1))),IF($AY34&lt;=25999,3000,MAX(2500,3000-25*CEILING(($AY34-25999)/500,1)))))-($P34-'Methodology &amp; Sources'!$C$10*$D34)*Inputs!$C$8-IF(OR($AU34="Married",$AU34="Head of household"),3000,1500)-$AT34*IF($AY34&lt;=50000,1000,IF($AY34&lt;=100000,500,300))),IF($AN34="AR",IF(MAX(0,$AY34-2470)&lt;97701,INT(MAX(0,$AY34-2470)/100)*100+50,MAX(0,$AY34-2470)),IF($AN34="DE",MAX(0,$AI34-3250),IF($AN34="HI",MAX(0,$AI34-1144*$AS34-4350),IF($AN34="KS",MAX(0,$AI34-(9160*IF($AU34="Married",2,1)+2320*$AT34+IF($AU34="Head of household",2320,0))),IF($AN34="MD",MAX(0,$AI34-3400-3200*$AS34),IF($AN34="MN",MAX(0,$AY34-5300*$AS34),IF($AN34="MO",MAX(0,$AI34-IF($AU34="Head of household",24150,IF($AU34="Married",IF(Inputs!$C$83,16100,32200),16100))),IF($AN34="MT",$AY34,IF($AN34="ND",($C34+$L34)*Inputs!$C$8,IF($AN34="NE",MAX(0,$AY34-2440*$AS34),IF($AN34="NJ",MAX(0,$AY34-1000*$AS34),IF($AN34="NY",MAX(0,$AY34-(IF($AU34="Married",7950,7400)+1000*$AS34)),IF($AN34="OH",MAX(0,$AY34-650*$AS34),IF($AN34="OK",MAX(0,$AY34-1000*$AS34),IF($AN34="RI",MAX(0,$AI34-1000*$AS34),IF($AN34="SC",MAX(0,$AI34-5000*$AS34-IF($AS34=0,0,MIN(0.1*$AI34,7500))),IF($AN34="VA",MAX(0,$AI34-IF($AU34="Married",17500,8750)-930*$AS34-800*$AT34),IF($AN34="VT",MAX(0,$AI34-5400*$AS34),IF($AN34="WI",MAX(0,$AI34-MAX(0,IF($AU34="Married",9461-0.2*MAX(0,$AI34-25727),6702-0.12*MAX(0,$AI34-17780)))-400*$AS34),IF($AN34="WV",MAX(0,$AI34-2000*$AS34),$AI34))))))))))))))))))))))</f>
      </c>
      <c r="BA34" s="7">
        <f>IF($B34="","",IF($BW34&lt;&gt;"",$BW34,IF($BX34&lt;&gt;"",$BX34,IF($BY34&lt;&gt;"",$BY34,0))))</f>
      </c>
      <c r="BB34" s="7">
        <f>IF($B34="","",IF($AN34="AR",-29*$AS34,IF($AN34="DE",-110*$AS34,IF($AN34="MD",$AZ34*Inputs!$C$74,IF($AN34="AZ",Inputs!$C$82*($M34-$D34)*Inputs!$C$8,IF($AN34="CO",0.044*MAX(0,$AY34-IF($AU34="Married",10000,5000)),IF($AN34="IA",MAX(0,0.038*MAX(0,$AY34-IF($AU34="Head of household",19500,IF($AU34="Married",26000,13000)))-40*$AS34),IF($AN34="ID",0.053*MAX(0,$AY34-IF($AU34="Married",32000,16094)),IF($AN34="IL",0.0495*MAX(0,$AY34-(2925*$AS34+1000*$AT34)),IF($AN34="IN",(0.0295+Inputs!$C$76)*MAX(0,$AY34-(1000*$AS34+1500*$AT34+3000*Inputs!$C$86)),IF($AN34="KY",0.035*MAX(0,$AI34-3360),IF($AN34="LA",IF(Inputs!$C$84="0",0.0309*$AI34,0.0309*MAX(0,$AI34-IF(Inputs!$C$84="2",25750,12875))),IF($AN34="MA",0.05*MIN(MAX(0,$AY34-MIN(($BD33+$Q34+$R34+$S34),2000)-IF($AS34=0,0,IF($AS34=1,4400,1000*$AS34+3400))),1107750)+0.09*MAX(0,MAX(0,$AY34-MIN(($BD33+$Q34+$R34+$S34),2000)-IF($AS34=0,0,IF($AS34=1,4400,1000*$AS34+3400)))-1107750)-IF($AU34="Head of household",120,0)-110*Inputs!$C$75,IF($AN34="MI",0.0425*MAX(0,$AY34-5900*$AS34),IF($AN34="MS",0.04*MAX(0,$AI34-IF($AU34="Head of household",3400,IF($AU34="Married",4600,2300))-Inputs!$C$85-10000),IF($AN34="OR",IF(OR($AU34="Married",AND($AU34="Single",$AS34&gt;=3)),SUMPRODUCT((MAX(0,$AY34-MIN(($P34-'Methodology &amp; Sources'!$C$10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Sources'!$B$211:$J$214,0,4))*(MAX(0,$AY34-MIN(($P34-'Methodology &amp; Sources'!$C$10*$D34)*Inputs!$C$8,IF(OR($AU34="Married",AND($AU34="Single",$AS34&gt;=3)),IF($AY34&lt;250000,8750,IF($AY34&lt;260000,7000,IF($AY34&lt;270000,5250,IF($AY34&lt;280000,3500,IF($AY34&lt;290000,1750,0))))),IF($AY34&lt;125000,8750,IF($AY34&lt;130000,7000,IF($AY34&lt;135000,5250,IF($AY34&lt;140000,3500,IF($AY34&lt;145000,1750,0)))))))-IF(OR($AU34="Married",AND($AU34="Single",$AS34&gt;=3)),5820,2910))-INDEX('Methodology &amp; Sources'!$B$211:$J$214,0,4))*INDEX('Methodology &amp; Sources'!$B$211:$J$214,0,4+2)),SUMPRODUCT((MAX(0,$AY34-MIN(($P34-'Methodology &amp; Sources'!$C$10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Sources'!$B$211:$J$214,0,1))*(MAX(0,$AY34-MIN(($P34-'Methodology &amp; Sources'!$C$10*$D34)*Inputs!$C$8,IF(OR($AU34="Married",AND($AU34="Single",$AS34&gt;=3)),IF($AY34&lt;250000,8750,IF($AY34&lt;260000,7000,IF($AY34&lt;270000,5250,IF($AY34&lt;280000,3500,IF($AY34&lt;290000,1750,0))))),IF($AY34&lt;125000,8750,IF($AY34&lt;130000,7000,IF($AY34&lt;135000,5250,IF($AY34&lt;140000,3500,IF($AY34&lt;145000,1750,0)))))))-IF(OR($AU34="Married",AND($AU34="Single",$AS34&gt;=3)),5820,2910))-INDEX('Methodology &amp; Sources'!$B$211:$J$214,0,1))*INDEX('Methodology &amp; Sources'!$B$211:$J$214,0,1+2)))+263-263*IF(IF($AU34="Married",$AY34&gt;200000,$AY34&gt;100000),0,$AS34),IF($AN34="PA",0.0307*(($O34+$E34+$G34)*Inputs!$C$8),IF($AN34="NY",IF($AU34="Married",IF($AZ34&gt;=2155350,0,IF($AZ34&gt;=1077550,0.48,IF($AZ34&gt;=373200,1.21,IF($AZ34&gt;=323200,0.21,IF($AZ34&gt;=211550,-0.19,IF($AZ34&gt;=157650,-2.8,IF($AZ34&gt;=107650,-0.8,IF($AZ34&gt;=96800,0.05,IF($AZ34&gt;=80650,-0.1,IF($AZ34&gt;=13900,0.4,IF($AZ34&gt;=11700,-0.3,IF($AZ34&gt;=8500,0.5,0)))))))))))),IF($AZ34&gt;=1077550,0,IF($AZ34&gt;=265400,4.29,IF($AZ34&gt;=215400,2.29,IF($AZ34&gt;=157650,2.29,IF($AZ34&gt;=107650,0.29,IF($AZ34&gt;=96800,0.05,IF($AZ34&gt;=80650,-0.1,IF($AZ34&gt;=13900,0.4,IF($AZ34&gt;=11700,-0.3,IF($AZ34&gt;=8500,0.5,0))))))))))),0))))))))))))))))))</f>
      </c>
      <c r="BC34" s="7">
        <f>IF($B34="","",IF($AN34="AL",0.05*$D34,IF($AN34="AR",0.039*$D34,IF($AN34="ID",0.053*$D34,IF($AN34="IN",(0.0295+Inputs!$C$76)*$D34,IF($AN34="KS",0.05*$D34,IF($AN34="MA",0.09*MIN($D34,MAX(0,MAX(0,$AY34-MIN(($BD33+$Q34+$R34+$S34),2000)-IF($AS34=0,0,IF($AS34=1,4400,1000*$AS34+3400)))+$D34-1107750))+0.05*($D34-MIN($D34,MAX(0,MAX(0,$AY34-MIN(($BD33+$Q34+$R34+$S34),2000)-IF($AS34=0,0,IF($AS34=1,4400,1000*$AS34+3400)))+$D34-1107750))),IF($AN34="MD",(0.065+Inputs!$C$74)*$D34,IF($AN34="MI",0.0425*$D34,IF($AN34="MN",0.0625*$D34,IF($AN34="MO",0.047*$D34,IF($AN34="MT",0.05*$D34,IF($AN34="ND",0.015*$D34,IF($AN34="NE",0.035*$D34,IF($AN34="NJ",IF(Inputs!$C$77="B",SUMPRODUCT(($D34*Inputs!$C$8&gt;INDEX('Methodology &amp; Sources'!$B$155:$J$162,0,4))*($D34*Inputs!$C$8-INDEX('Methodology &amp; Sources'!$B$155:$J$162,0,4))*INDEX('Methodology &amp; Sources'!$B$155:$J$162,0,4+2)),IF(Inputs!$C$77="C",SUMPRODUCT(($D34*Inputs!$C$8&gt;INDEX('Methodology &amp; Sources'!$B$155:$J$162,0,7))*($D34*Inputs!$C$8-INDEX('Methodology &amp; Sources'!$B$155:$J$162,0,7))*INDEX('Methodology &amp; Sources'!$B$155:$J$162,0,7+2)),IF(Inputs!$C$77="D",SUMPRODUCT(($D34*Inputs!$C$8&gt;INDEX('Methodology &amp; Sources'!$B$167:$J$179,0,1))*($D34*Inputs!$C$8-INDEX('Methodology &amp; Sources'!$B$167:$J$179,0,1))*INDEX('Methodology &amp; Sources'!$B$167:$J$179,0,1+2)),IF(Inputs!$C$77="E",SUMPRODUCT(($D34*Inputs!$C$8&gt;INDEX('Methodology &amp; Sources'!$B$167:$J$179,0,4))*($D34*Inputs!$C$8-INDEX('Methodology &amp; Sources'!$B$167:$J$179,0,4))*INDEX('Methodology &amp; Sources'!$B$167:$J$179,0,4+2)),SUMPRODUCT(($D34*Inputs!$C$8&gt;INDEX('Methodology &amp; Sources'!$B$155:$J$162,0,1))*($D34*Inputs!$C$8-INDEX('Methodology &amp; Sources'!$B$155:$J$162,0,1))*INDEX('Methodology &amp; Sources'!$B$155:$J$162,0,1+2))))))/Inputs!$C$8,IF($AN34="NY",0.117*$D34,IF($AN34="OH",0.0275*$D34,IF($AN34="OK",0.045*$D34,IF($AN34="OR",0.08*$D34,IF($AN34="WI",IF($AY34&lt;12760,0.0354,IF($AY34&lt;25520,0.0465,IF($AY34&lt;280950,0.053,0.0765)))*$D34,0))))))))))))))))))))</f>
      </c>
      <c r="BD34" s="7">
        <f>IF($B34="","",$BD33+$Q34+$R34+$S34)</f>
      </c>
      <c r="BE34" s="6">
        <f>IF($B34="",$BE33,$BE33+$BF34)</f>
      </c>
      <c r="BF34" s="6">
        <f>IF($B34="","",IF(AND(IF(YEAR(IF(Inputs!$C$7="Weekly",Inputs!$C$90+7*(($BE33+1)-1),IF(Inputs!$C$7="Biweekly",Inputs!$C$90+14*(($BE33+1)-1),IF(Inputs!$C$7="Semimonthly",DATE(YEAR(Inputs!$C$9),MONTH(Inputs!$C$9)+INT((($BE33+1)-1+'Rest of 2026'!$C$2)/2),MIN(DAY(Inputs!$C$9),DAY(EOMONTH(DATE(YEAR(Inputs!$C$9),MONTH(Inputs!$C$9)+INT((($BE33+1)-1+'Rest of 2026'!$C$2)/2),1),0))))+IF(MOD(($BE33+1)-1+'Rest of 2026'!$C$2,2)=1,15,0),EDATE(Inputs!$C$90,($BE33+1)-1)))))&lt;&gt;Inputs!$C$10,"",IF(Inputs!$C$7="Weekly",Inputs!$C$90+7*(($BE33+1)-1),IF(Inputs!$C$7="Biweekly",Inputs!$C$90+14*(($BE33+1)-1),IF(Inputs!$C$7="Semimonthly",DATE(YEAR(Inputs!$C$9),MONTH(Inputs!$C$9)+INT((($BE33+1)-1+'Rest of 2026'!$C$2)/2),MIN(DAY(Inputs!$C$9),DAY(EOMONTH(DATE(YEAR(Inputs!$C$9),MONTH(Inputs!$C$9)+INT((($BE33+1)-1+'Rest of 2026'!$C$2)/2),1),0))))+IF(MOD(($BE33+1)-1+'Rest of 2026'!$C$2,2)=1,15,0),EDATE(Inputs!$C$90,($BE33+1)-1)))))&lt;&gt;"",$B34=IF(YEAR(IF(Inputs!$C$7="Weekly",Inputs!$C$90+7*(($BE33+1)-1),IF(Inputs!$C$7="Biweekly",Inputs!$C$90+14*(($BE33+1)-1),IF(Inputs!$C$7="Semimonthly",DATE(YEAR(Inputs!$C$9),MONTH(Inputs!$C$9)+INT((($BE33+1)-1+'Rest of 2026'!$C$2)/2),MIN(DAY(Inputs!$C$9),DAY(EOMONTH(DATE(YEAR(Inputs!$C$9),MONTH(Inputs!$C$9)+INT((($BE33+1)-1+'Rest of 2026'!$C$2)/2),1),0))))+IF(MOD(($BE33+1)-1+'Rest of 2026'!$C$2,2)=1,15,0),EDATE(Inputs!$C$90,($BE33+1)-1)))))&lt;&gt;Inputs!$C$10,"",IF(Inputs!$C$7="Weekly",Inputs!$C$90+7*(($BE33+1)-1),IF(Inputs!$C$7="Biweekly",Inputs!$C$90+14*(($BE33+1)-1),IF(Inputs!$C$7="Semimonthly",DATE(YEAR(Inputs!$C$9),MONTH(Inputs!$C$9)+INT((($BE33+1)-1+'Rest of 2026'!$C$2)/2),MIN(DAY(Inputs!$C$9),DAY(EOMONTH(DATE(YEAR(Inputs!$C$9),MONTH(Inputs!$C$9)+INT((($BE33+1)-1+'Rest of 2026'!$C$2)/2),1),0))))+IF(MOD(($BE33+1)-1+'Rest of 2026'!$C$2,2)=1,15,0),EDATE(Inputs!$C$90,($BE33+1)-1)))))),1,0))</f>
      </c>
      <c r="BG34" s="7">
        <f>IF($B34="","",$BG33+$H34)</f>
      </c>
      <c r="BH34" s="7">
        <f>IF($B34="","",$BH33+$I34)</f>
      </c>
      <c r="BI34" s="7">
        <f>IF($B34="","",$BI33+$G34)</f>
      </c>
      <c r="BJ34" s="7">
        <f>IF($B34="","",IFERROR(LOOKUP(2,1/((((Events!$C$6:$C$17="Deduction start"))*(Events!$D$6:$D$17="Health FSA"))*(Events!$B$6:$B$17&lt;=$B34)*(Events!$B$6:$B$17&lt;&gt;"")),Events!$E$6:$E$17),Inputs!$D$38))</f>
      </c>
      <c r="BK34" s="7">
        <f>IF($B34="","",IFERROR(LOOKUP(2,1/((((Events!$C$6:$C$17="Deduction start"))*(Events!$D$6:$D$17="Dependent-care FSA"))*(Events!$B$6:$B$17&lt;=$B34)*(Events!$B$6:$B$17&lt;&gt;"")),Events!$E$6:$E$17),Inputs!$D$39))</f>
      </c>
      <c r="BL34" s="7">
        <f>IF($B34="","",IFERROR(LOOKUP(2,1/((((Events!$C$6:$C$17="Deduction start")+(Events!$C$6:$C$17="Deduction stop"))*(Events!$D$6:$D$17="HSA"))*(Events!$B$6:$B$17&lt;=$B34)*(Events!$B$6:$B$17&lt;&gt;"")),Events!$I$6:$I$17),Inputs!$D$35))</f>
      </c>
      <c r="BM34" s="7">
        <f>IF($B34="","",IFERROR(LOOKUP(2,1/((((Events!$C$6:$C$17="Deduction start")+(Events!$C$6:$C$17="Deduction stop"))*(Events!$D$6:$D$17="Premiums"))*(Events!$B$6:$B$17&lt;=$B34)*(Events!$B$6:$B$17&lt;&gt;"")),Events!$I$6:$I$17),Inputs!$D$40+Inputs!$D$41+Inputs!$D$42))</f>
      </c>
      <c r="BN34" s="7">
        <f>IF($B34="","",IFERROR(LOOKUP(2,1/((((Events!$C$6:$C$17="Deduction start")+(Events!$C$6:$C$17="Deduction stop"))*(Events!$D$6:$D$17="Commuter"))*(Events!$B$6:$B$17&lt;=$B34)*(Events!$B$6:$B$17&lt;&gt;"")),Events!$I$6:$I$17),Inputs!$D$43))</f>
      </c>
      <c r="BO34" s="7">
        <f>IF($B34="","",IFERROR(LOOKUP(2,1/((((Events!$C$6:$C$17="Deduction start")+(Events!$C$6:$C$17="Deduction stop"))*(Events!$D$6:$D$17="Other pre-tax"))*(Events!$B$6:$B$17&lt;=$B34)*(Events!$B$6:$B$17&lt;&gt;"")),Events!$I$6:$I$17),Inputs!$D$44))</f>
      </c>
      <c r="BP34" s="7">
        <f>IF($B34="","",IFERROR(LOOKUP(2,1/((((Events!$C$6:$C$17="Deduction start")+(Events!$C$6:$C$17="Deduction stop"))*(Events!$D$6:$D$17="Other post-tax"))*(Events!$B$6:$B$17&lt;=$B34)*(Events!$B$6:$B$17&lt;&gt;"")),Events!$I$6:$I$17),Inputs!$D$45))</f>
      </c>
      <c r="BQ34" s="6">
        <f>IF($B34="","",IFERROR(LOOKUP(2,1/((((Events!$C$6:$C$17="Deduction start")+(Events!$C$6:$C$17="Deduction stop"))*(Events!$D$6:$D$17="Health FSA"))*(Events!$B$6:$B$17&lt;=$B34)*(Events!$B$6:$B$17&lt;&gt;"")),Events!$J$6:$J$17),0))</f>
      </c>
      <c r="BR34" s="6">
        <f>IF($B34="","",IFERROR(LOOKUP(2,1/((((Events!$C$6:$C$17="Deduction start")+(Events!$C$6:$C$17="Deduction stop"))*(Events!$D$6:$D$17="Dependent-care FSA"))*(Events!$B$6:$B$17&lt;=$B34)*(Events!$B$6:$B$17&lt;&gt;"")),Events!$J$6:$J$17),0))</f>
      </c>
      <c r="BS34" s="6">
        <f>IF($B34="","",IF(SUMPRODUCT((Events!$C$6:$C$17="Deduction start")*(Events!$B$6:$B$17&lt;=$B34)*(Events!$B$6:$B$17&lt;&gt;"")*(Events!$D$6:$D$17="Health FSA"))&gt;0,1,0))</f>
      </c>
      <c r="BT34" s="6">
        <f>IF($B34="","",IF(SUMPRODUCT((Events!$C$6:$C$17="Deduction start")*(Events!$B$6:$B$17&lt;=$B34)*(Events!$B$6:$B$17&lt;&gt;"")*(Events!$D$6:$D$17="Dependent-care FSA"))&gt;0,1,0))</f>
      </c>
      <c r="BU34" s="24">
        <f>IF($B34="","",IF(Inputs!$C$13,SUMPRODUCT(($AH34&gt;=INDEX('Methodology &amp; Sources'!$B$29:$J$36,0,IF(Inputs!$C$12="MFJ",1,IF(Inputs!$C$12="HoH",7,4))))*INDEX('Methodology &amp; Sources'!$B$29:$J$36,0,IF(Inputs!$C$12="MFJ",1,IF(Inputs!$C$12="HoH",7,4))+2)),SUMPRODUCT(($AH34&gt;=INDEX('Methodology &amp; Sources'!$B$19:$J$26,0,IF(Inputs!$C$12="MFJ",1,IF(Inputs!$C$12="HoH",7,4))))*INDEX('Methodology &amp; Sources'!$B$19:$J$26,0,IF(Inputs!$C$12="MFJ",1,IF(Inputs!$C$12="HoH",7,4))+2))))</f>
      </c>
      <c r="BV34" s="24">
        <f>IF($B34="","",IF($BZ34&lt;&gt;"",$BZ34,IF($CA34&lt;&gt;"",$CA34,IF($CB34&lt;&gt;"",$CB34,IF($CC34&lt;&gt;"",$CC34,0)))))</f>
      </c>
      <c r="BW34" s="7">
        <f>IF($B34="","",IF($AN34="MD",IF(OR($AU34="Married",$AU34="Head of household"),SUMPRODUCT(($AZ34&gt;INDEX('Methodology &amp; Sources'!$B$114:$J$120,0,1))*($AZ34-INDEX('Methodology &amp; Sources'!$B$114:$J$120,0,1))*INDEX('Methodology &amp; Sources'!$B$114:$J$120,0,1+2)),SUMPRODUCT(($AZ34&gt;INDEX('Methodology &amp; Sources'!$B$103:$J$109,0,7))*($AZ34-INDEX('Methodology &amp; Sources'!$B$103:$J$109,0,7))*INDEX('Methodology &amp; Sources'!$B$103:$J$109,0,7+2))),IF($AN34="MO",SUMPRODUCT(($AZ34&gt;INDEX('Methodology &amp; Sources'!$B$125:$J$132,0,1))*($AZ34-INDEX('Methodology &amp; Sources'!$B$125:$J$132,0,1))*INDEX('Methodology &amp; Sources'!$B$125:$J$132,0,1+2)),IF($AN34="MT",IF($AU34="Head of household",SUMPRODUCT(($AZ34&gt;INDEX('Methodology &amp; Sources'!$B$137:$J$139,0,1))*($AZ34-INDEX('Methodology &amp; Sources'!$B$137:$J$139,0,1))*INDEX('Methodology &amp; Sources'!$B$137:$J$139,0,1+2)),IF($AU34="Married",SUMPRODUCT(($AZ34&gt;INDEX('Methodology &amp; Sources'!$B$125:$J$132,0,7))*($AZ34-INDEX('Methodology &amp; Sources'!$B$125:$J$132,0,7))*INDEX('Methodology &amp; Sources'!$B$125:$J$132,0,7+2)),SUMPRODUCT(($AZ34&gt;INDEX('Methodology &amp; Sources'!$B$125:$J$132,0,4))*($AZ34-INDEX('Methodology &amp; Sources'!$B$125:$J$132,0,4))*INDEX('Methodology &amp; Sources'!$B$125:$J$132,0,4+2)))),IF($AN34="ND",IF($AU34="Head of household",SUMPRODUCT(($AZ34&gt;INDEX('Methodology &amp; Sources'!$B$144:$J$150,0,1))*($AZ34-INDEX('Methodology &amp; Sources'!$B$144:$J$150,0,1))*INDEX('Methodology &amp; Sources'!$B$144:$J$150,0,1+2)),IF($AU34="Married",SUMPRODUCT(($AZ34&gt;INDEX('Methodology &amp; Sources'!$B$137:$J$139,0,7))*($AZ34-INDEX('Methodology &amp; Sources'!$B$137:$J$139,0,7))*INDEX('Methodology &amp; Sources'!$B$137:$J$139,0,7+2)),SUMPRODUCT(($AZ34&gt;INDEX('Methodology &amp; Sources'!$B$137:$J$139,0,4))*($AZ34-INDEX('Methodology &amp; Sources'!$B$137:$J$139,0,4))*INDEX('Methodology &amp; Sources'!$B$137:$J$139,0,4+2)))),IF($AN34="NJ",IF(Inputs!$C$77="B",SUMPRODUCT(($AZ34&gt;INDEX('Methodology &amp; Sources'!$B$155:$J$162,0,4))*($AZ34-INDEX('Methodology &amp; Sources'!$B$155:$J$162,0,4))*INDEX('Methodology &amp; Sources'!$B$155:$J$162,0,4+2)),IF(Inputs!$C$77="C",SUMPRODUCT(($AZ34&gt;INDEX('Methodology &amp; Sources'!$B$155:$J$162,0,7))*($AZ34-INDEX('Methodology &amp; Sources'!$B$155:$J$162,0,7))*INDEX('Methodology &amp; Sources'!$B$155:$J$162,0,7+2)),IF(Inputs!$C$77="D",SUMPRODUCT(($AZ34&gt;INDEX('Methodology &amp; Sources'!$B$167:$J$179,0,1))*($AZ34-INDEX('Methodology &amp; Sources'!$B$167:$J$179,0,1))*INDEX('Methodology &amp; Sources'!$B$167:$J$179,0,1+2)),IF(Inputs!$C$77="E",SUMPRODUCT(($AZ34&gt;INDEX('Methodology &amp; Sources'!$B$167:$J$179,0,4))*($AZ34-INDEX('Methodology &amp; Sources'!$B$167:$J$179,0,4))*INDEX('Methodology &amp; Sources'!$B$167:$J$179,0,4+2)),SUMPRODUCT(($AZ34&gt;INDEX('Methodology &amp; Sources'!$B$155:$J$162,0,1))*($AZ34-INDEX('Methodology &amp; Sources'!$B$155:$J$162,0,1))*INDEX('Methodology &amp; Sources'!$B$155:$J$162,0,1+2)))))),IF($AN34="NY",IF($AU34="Married",IF($AZ34&gt;=2155350,$AZ34*IF($AZ34&gt;25000000,0.117,IF($AZ34&gt;5000000,0.111,0.1045)),SUMPRODUCT(($AZ34&gt;INDEX('Methodology &amp; Sources'!$B$184:$J$198,0,1))*($AZ34-INDEX('Methodology &amp; Sources'!$B$184:$J$198,0,1))*INDEX('Methodology &amp; Sources'!$B$184:$J$198,0,1+2))),IF($AZ34&gt;=1077550,$AZ34*IF($AZ34&gt;25000000,0.117,IF($AZ34&gt;5000000,0.111,0.1045)),SUMPRODUCT(($AZ34&gt;INDEX('Methodology &amp; Sources'!$B$167:$J$179,0,7))*($AZ34-INDEX('Methodology &amp; Sources'!$B$167:$J$179,0,7))*INDEX('Methodology &amp; Sources'!$B$167:$J$179,0,7+2)))),"")))))))</f>
      </c>
      <c r="BX34" s="7">
        <f>IF($B34="","",IF($AN34="AL",IF(OR($AU34="Married",$AU34="Head of household"),SUMPRODUCT(($AZ34&gt;INDEX('Methodology &amp; Sources'!$B$82:$J$86,0,4))*($AZ34-INDEX('Methodology &amp; Sources'!$B$82:$J$86,0,4))*INDEX('Methodology &amp; Sources'!$B$82:$J$86,0,4+2)),SUMPRODUCT(($AZ34&gt;INDEX('Methodology &amp; Sources'!$B$82:$J$86,0,1))*($AZ34-INDEX('Methodology &amp; Sources'!$B$82:$J$86,0,1))*INDEX('Methodology &amp; Sources'!$B$82:$J$86,0,1+2))),IF($AN34="KS",IF($AU34="Married",SUMPRODUCT(($AZ34&gt;INDEX('Methodology &amp; Sources'!$B$103:$J$109,0,4))*($AZ34-INDEX('Methodology &amp; Sources'!$B$103:$J$109,0,4))*INDEX('Methodology &amp; Sources'!$B$103:$J$109,0,4+2)),SUMPRODUCT(($AZ34&gt;INDEX('Methodology &amp; Sources'!$B$103:$J$109,0,1))*($AZ34-INDEX('Methodology &amp; Sources'!$B$103:$J$109,0,1))*INDEX('Methodology &amp; Sources'!$B$103:$J$109,0,1+2))),IF($AN34="MN",IF($AU34="Married",SUMPRODUCT(($AZ34&gt;INDEX('Methodology &amp; Sources'!$B$114:$J$120,0,7))*($AZ34-INDEX('Methodology &amp; Sources'!$B$114:$J$120,0,7))*INDEX('Methodology &amp; Sources'!$B$114:$J$120,0,7+2)),SUMPRODUCT(($AZ34&gt;INDEX('Methodology &amp; Sources'!$B$114:$J$120,0,4))*($AZ34-INDEX('Methodology &amp; Sources'!$B$114:$J$120,0,4))*INDEX('Methodology &amp; Sources'!$B$114:$J$120,0,4+2))),IF($AN34="NE",MAX(IF($AU34="Married",SUMPRODUCT(($AZ34&gt;INDEX('Methodology &amp; Sources'!$B$144:$J$150,0,7))*($AZ34-INDEX('Methodology &amp; Sources'!$B$144:$J$150,0,7))*INDEX('Methodology &amp; Sources'!$B$144:$J$150,0,7+2)),SUMPRODUCT(($AZ34&gt;INDEX('Methodology &amp; Sources'!$B$144:$J$150,0,4))*($AZ34-INDEX('Methodology &amp; Sources'!$B$144:$J$150,0,4))*INDEX('Methodology &amp; Sources'!$B$144:$J$150,0,4+2))),0.015*$AZ34),IF($AN34="OH",IF($B34&gt;=DATE(2027,8,1),SUMPRODUCT(($AZ34&gt;INDEX('Methodology &amp; Sources'!$B$203:$J$206,0,1))*($AZ34-INDEX('Methodology &amp; Sources'!$B$203:$J$206,0,1))*INDEX('Methodology &amp; Sources'!$B$203:$J$206,0,1+2)),SUMPRODUCT(($AZ34&gt;INDEX('Methodology &amp; Sources'!$B$184:$J$198,0,7))*($AZ34-INDEX('Methodology &amp; Sources'!$B$184:$J$198,0,7))*INDEX('Methodology &amp; Sources'!$B$184:$J$198,0,7+2))),IF($AN34="OK",IF($AU34="Married",SUMPRODUCT(($AZ34&gt;INDEX('Methodology &amp; Sources'!$B$203:$J$206,0,7))*($AZ34-INDEX('Methodology &amp; Sources'!$B$203:$J$206,0,7))*INDEX('Methodology &amp; Sources'!$B$203:$J$206,0,7+2)),SUMPRODUCT(($AZ34&gt;INDEX('Methodology &amp; Sources'!$B$203:$J$206,0,4))*($AZ34-INDEX('Methodology &amp; Sources'!$B$203:$J$206,0,4))*INDEX('Methodology &amp; Sources'!$B$203:$J$206,0,4+2))),IF($AN34="RI",SUMPRODUCT(($AZ34&gt;INDEX('Methodology &amp; Sources'!$B$211:$J$214,0,7))*($AZ34-INDEX('Methodology &amp; Sources'!$B$211:$J$214,0,7))*INDEX('Methodology &amp; Sources'!$B$211:$J$214,0,7+2)),IF($AN34="VT",IF($AU34="Married",SUMPRODUCT(($AZ34&gt;INDEX('Methodology &amp; Sources'!$B$228:$J$232,0,1))*($AZ34-INDEX('Methodology &amp; Sources'!$B$228:$J$232,0,1))*INDEX('Methodology &amp; Sources'!$B$228:$J$232,0,1+2)),SUMPRODUCT(($AZ34&gt;INDEX('Methodology &amp; Sources'!$B$219:$J$223,0,7))*($AZ34-INDEX('Methodology &amp; Sources'!$B$219:$J$223,0,7))*INDEX('Methodology &amp; Sources'!$B$219:$J$223,0,7+2))),IF($AN34="WV",IF($AU34="Married",SUMPRODUCT(($AZ34&gt;INDEX('Methodology &amp; Sources'!$B$237:$J$241,0,7))*($AZ34-INDEX('Methodology &amp; Sources'!$B$237:$J$241,0,7))*INDEX('Methodology &amp; Sources'!$B$237:$J$241,0,7+2)),SUMPRODUCT(($AZ34&gt;INDEX('Methodology &amp; Sources'!$B$228:$J$232,0,7))*($AZ34-INDEX('Methodology &amp; Sources'!$B$228:$J$232,0,7))*INDEX('Methodology &amp; Sources'!$B$228:$J$232,0,7+2))),""))))))))))</f>
      </c>
      <c r="BY34" s="7">
        <f>IF($B34="","",IF($AN34="AR",SUMPRODUCT(($AZ34&gt;INDEX('Methodology &amp; Sources'!$B$82:$J$86,0,7))*($AZ34-INDEX('Methodology &amp; Sources'!$B$82:$J$86,0,7))*INDEX('Methodology &amp; Sources'!$B$82:$J$86,0,7+2)),IF($AN34="DE",SUMPRODUCT(($AZ34&gt;INDEX('Methodology &amp; Sources'!$B$91:$J$98,0,1))*($AZ34-INDEX('Methodology &amp; Sources'!$B$91:$J$98,0,1))*INDEX('Methodology &amp; Sources'!$B$91:$J$98,0,1+2)),IF($AN34="HI",IF($AU34="Married",SUMPRODUCT(($AZ34&gt;INDEX('Methodology &amp; Sources'!$B$91:$J$98,0,7))*($AZ34-INDEX('Methodology &amp; Sources'!$B$91:$J$98,0,7))*INDEX('Methodology &amp; Sources'!$B$91:$J$98,0,7+2)),SUMPRODUCT(($AZ34&gt;INDEX('Methodology &amp; Sources'!$B$91:$J$98,0,4))*($AZ34-INDEX('Methodology &amp; Sources'!$B$91:$J$98,0,4))*INDEX('Methodology &amp; Sources'!$B$91:$J$98,0,4+2))),IF($AN34="SC",SUMPRODUCT(($AZ34&gt;INDEX('Methodology &amp; Sources'!$B$219:$J$223,0,1))*($AZ34-INDEX('Methodology &amp; Sources'!$B$219:$J$223,0,1))*INDEX('Methodology &amp; Sources'!$B$219:$J$223,0,1+2)),IF($AN34="VA",SUMPRODUCT(($AZ34&gt;INDEX('Methodology &amp; Sources'!$B$219:$J$223,0,4))*($AZ34-INDEX('Methodology &amp; Sources'!$B$219:$J$223,0,4))*INDEX('Methodology &amp; Sources'!$B$219:$J$223,0,4+2)),IF($AN34="WI",SUMPRODUCT(($AZ34&gt;INDEX('Methodology &amp; Sources'!$B$228:$J$232,0,4))*($AZ34-INDEX('Methodology &amp; Sources'!$B$228:$J$232,0,4))*INDEX('Methodology &amp; Sources'!$B$228:$J$232,0,4+2)),"")))))))</f>
      </c>
      <c r="BZ34" s="24">
        <f>IF($B34="","",IF($AN34="NJ",IF(Inputs!$C$77="B",SUMPRODUCT(($AZ34&gt;=INDEX('Methodology &amp; Sources'!$B$155:$J$162,0,4))*INDEX('Methodology &amp; Sources'!$B$155:$J$162,0,4+2)),IF(Inputs!$C$77="C",SUMPRODUCT(($AZ34&gt;=INDEX('Methodology &amp; Sources'!$B$155:$J$162,0,7))*INDEX('Methodology &amp; Sources'!$B$155:$J$162,0,7+2)),IF(Inputs!$C$77="D",SUMPRODUCT(($AZ34&gt;=INDEX('Methodology &amp; Sources'!$B$167:$J$179,0,1))*INDEX('Methodology &amp; Sources'!$B$167:$J$179,0,1+2)),IF(Inputs!$C$77="E",SUMPRODUCT(($AZ34&gt;=INDEX('Methodology &amp; Sources'!$B$167:$J$179,0,4))*INDEX('Methodology &amp; Sources'!$B$167:$J$179,0,4+2)),SUMPRODUCT(($AZ34&gt;=INDEX('Methodology &amp; Sources'!$B$155:$J$162,0,1))*INDEX('Methodology &amp; Sources'!$B$155:$J$162,0,1+2)))))),IF($AN34="OR",IF(OR($AU34="Married",AND($AU34="Single",$AS34&gt;=3)),SUMPRODUCT((MAX(0,$AY34-MIN(($P34-'Methodology &amp; Sources'!$C$10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Sources'!$B$211:$J$214,0,4))*INDEX('Methodology &amp; Sources'!$B$211:$J$214,0,4+2)),SUMPRODUCT((MAX(0,$AY34-MIN(($P34-'Methodology &amp; Sources'!$C$10*$D34)*Inputs!$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Sources'!$B$211:$J$214,0,1))*INDEX('Methodology &amp; Sources'!$B$211:$J$214,0,1+2)))*IF(($P34-'Methodology &amp; Sources'!$C$10*$D34)*Inputs!$C$8&gt;=IF(OR($AU34="Married",AND($AU34="Single",$AS34&gt;=3)),IF($AY34&lt;250000,8750,IF($AY34&lt;260000,7000,IF($AY34&lt;270000,5250,IF($AY34&lt;280000,3500,IF($AY34&lt;290000,1750,0))))),IF($AY34&lt;125000,8750,IF($AY34&lt;130000,7000,IF($AY34&lt;135000,5250,IF($AY34&lt;140000,3500,IF($AY34&lt;145000,1750,0)))))),1,1-IF(Inputs!$C$13,SUMPRODUCT(($AH34&gt;=INDEX('Methodology &amp; Sources'!$B$29:$J$36,0,IF(Inputs!$C$12="MFJ",1,IF(Inputs!$C$12="HoH",7,4))))*INDEX('Methodology &amp; Sources'!$B$29:$J$36,0,IF(Inputs!$C$12="MFJ",1,IF(Inputs!$C$12="HoH",7,4))+2)),SUMPRODUCT(($AH34&gt;=INDEX('Methodology &amp; Sources'!$B$19:$J$26,0,IF(Inputs!$C$12="MFJ",1,IF(Inputs!$C$12="HoH",7,4))))*INDEX('Methodology &amp; Sources'!$B$19:$J$26,0,IF(Inputs!$C$12="MFJ",1,IF(Inputs!$C$12="HoH",7,4))+2)))),IF($AN34="MI",IF($AY34&gt;5900*$AS34,0.0425,0),""))))</f>
      </c>
      <c r="CA34" s="24">
        <f>IF($B34="","",IF($AN34="AL",IF(OR($AU34="Married",$AU34="Head of household"),SUMPRODUCT(($AZ34&gt;=INDEX('Methodology &amp; Sources'!$B$82:$J$86,0,4))*INDEX('Methodology &amp; Sources'!$B$82:$J$86,0,4+2)),SUMPRODUCT(($AZ34&gt;=INDEX('Methodology &amp; Sources'!$B$82:$J$86,0,1))*INDEX('Methodology &amp; Sources'!$B$82:$J$86,0,1+2)))*(1-IF(Inputs!$C$13,SUMPRODUCT(($AH34&gt;=INDEX('Methodology &amp; Sources'!$B$29:$J$36,0,IF(Inputs!$C$12="MFJ",1,IF(Inputs!$C$12="HoH",7,4))))*INDEX('Methodology &amp; Sources'!$B$29:$J$36,0,IF(Inputs!$C$12="MFJ",1,IF(Inputs!$C$12="HoH",7,4))+2)),SUMPRODUCT(($AH34&gt;=INDEX('Methodology &amp; Sources'!$B$19:$J$26,0,IF(Inputs!$C$12="MFJ",1,IF(Inputs!$C$12="HoH",7,4))))*INDEX('Methodology &amp; Sources'!$B$19:$J$26,0,IF(Inputs!$C$12="MFJ",1,IF(Inputs!$C$12="HoH",7,4))+2)))),IF($AN34="KS",IF($AU34="Married",SUMPRODUCT(($AZ34&gt;=INDEX('Methodology &amp; Sources'!$B$103:$J$109,0,4))*INDEX('Methodology &amp; Sources'!$B$103:$J$109,0,4+2)),SUMPRODUCT(($AZ34&gt;=INDEX('Methodology &amp; Sources'!$B$103:$J$109,0,1))*INDEX('Methodology &amp; Sources'!$B$103:$J$109,0,1+2))),IF($AN34="MD",IF(OR($AU34="Married",$AU34="Head of household"),SUMPRODUCT(($AZ34&gt;=INDEX('Methodology &amp; Sources'!$B$114:$J$120,0,1))*INDEX('Methodology &amp; Sources'!$B$114:$J$120,0,1+2)),SUMPRODUCT(($AZ34&gt;=INDEX('Methodology &amp; Sources'!$B$103:$J$109,0,7))*INDEX('Methodology &amp; Sources'!$B$103:$J$109,0,7+2)))+Inputs!$C$74,IF($AN34="MT",IF($AU34="Head of household",SUMPRODUCT(($AZ34&gt;=INDEX('Methodology &amp; Sources'!$B$137:$J$139,0,1))*INDEX('Methodology &amp; Sources'!$B$137:$J$139,0,1+2)),IF($AU34="Married",SUMPRODUCT(($AZ34&gt;=INDEX('Methodology &amp; Sources'!$B$125:$J$132,0,7))*INDEX('Methodology &amp; Sources'!$B$125:$J$132,0,7+2)),SUMPRODUCT(($AZ34&gt;=INDEX('Methodology &amp; Sources'!$B$125:$J$132,0,4))*INDEX('Methodology &amp; Sources'!$B$125:$J$132,0,4+2)))),IF($AN34="ND",IF($AU34="Head of household",SUMPRODUCT(($AZ34&gt;=INDEX('Methodology &amp; Sources'!$B$144:$J$150,0,1))*INDEX('Methodology &amp; Sources'!$B$144:$J$150,0,1+2)),IF($AU34="Married",SUMPRODUCT(($AZ34&gt;=INDEX('Methodology &amp; Sources'!$B$137:$J$139,0,7))*INDEX('Methodology &amp; Sources'!$B$137:$J$139,0,7+2)),SUMPRODUCT(($AZ34&gt;=INDEX('Methodology &amp; Sources'!$B$137:$J$139,0,4))*INDEX('Methodology &amp; Sources'!$B$137:$J$139,0,4+2)))),IF($AN34="NY",IF($AU34="Married",IF($AZ34&gt;=2155350,IF($AZ34&gt;25000000,0.117,IF($AZ34&gt;5000000,0.111,0.1045)),SUMPRODUCT(($AZ34&gt;=INDEX('Methodology &amp; Sources'!$B$184:$J$198,0,1))*INDEX('Methodology &amp; Sources'!$B$184:$J$198,0,1+2))),IF($AZ34&gt;=1077550,IF($AZ34&gt;25000000,0.117,IF($AZ34&gt;5000000,0.111,0.1045)),SUMPRODUCT(($AZ34&gt;=INDEX('Methodology &amp; Sources'!$B$167:$J$179,0,7))*INDEX('Methodology &amp; Sources'!$B$167:$J$179,0,7+2)))),"")))))))</f>
      </c>
      <c r="CB34" s="24">
        <f>IF($B34="","",IF($AN34="CA",SUMPRODUCT(($AJ34&gt;=INDEX('Methodology &amp; Sources'!$B$39:$J$48,0,IF($AU34="Married",4,IF($AU34="Head of household",7,1))))*INDEX('Methodology &amp; Sources'!$B$39:$J$48,0,IF($AU34="Married",4,IF($AU34="Head of household",7,1))+2)),IF($AN34="HI",IF($AU34="Married",SUMPRODUCT(($AZ34&gt;=INDEX('Methodology &amp; Sources'!$B$91:$J$98,0,7))*INDEX('Methodology &amp; Sources'!$B$91:$J$98,0,7+2)),SUMPRODUCT(($AZ34&gt;=INDEX('Methodology &amp; Sources'!$B$91:$J$98,0,4))*INDEX('Methodology &amp; Sources'!$B$91:$J$98,0,4+2))),IF($AN34="MN",IF($AU34="Married",SUMPRODUCT(($AZ34&gt;=INDEX('Methodology &amp; Sources'!$B$114:$J$120,0,7))*INDEX('Methodology &amp; Sources'!$B$114:$J$120,0,7+2)),SUMPRODUCT(($AZ34&gt;=INDEX('Methodology &amp; Sources'!$B$114:$J$120,0,4))*INDEX('Methodology &amp; Sources'!$B$114:$J$120,0,4+2))),IF($AN34="MO",SUMPRODUCT(($AZ34&gt;=INDEX('Methodology &amp; Sources'!$B$125:$J$132,0,1))*INDEX('Methodology &amp; Sources'!$B$125:$J$132,0,1+2)),IF($AN34="NE",MAX(IF($AU34="Married",SUMPRODUCT(($AZ34&gt;=INDEX('Methodology &amp; Sources'!$B$144:$J$150,0,7))*INDEX('Methodology &amp; Sources'!$B$144:$J$150,0,7+2)),SUMPRODUCT(($AZ34&gt;=INDEX('Methodology &amp; Sources'!$B$144:$J$150,0,4))*INDEX('Methodology &amp; Sources'!$B$144:$J$150,0,4+2))),0.015),IF($AN34="OH",IF($B34&gt;=DATE(2027,8,1),SUMPRODUCT(($AZ34&gt;=INDEX('Methodology &amp; Sources'!$B$203:$J$206,0,1))*INDEX('Methodology &amp; Sources'!$B$203:$J$206,0,1+2)),SUMPRODUCT(($AZ34&gt;=INDEX('Methodology &amp; Sources'!$B$184:$J$198,0,7))*INDEX('Methodology &amp; Sources'!$B$184:$J$198,0,7+2))),IF($AN34="OK",IF($AU34="Married",SUMPRODUCT(($AZ34&gt;=INDEX('Methodology &amp; Sources'!$B$203:$J$206,0,7))*INDEX('Methodology &amp; Sources'!$B$203:$J$206,0,7+2)),SUMPRODUCT(($AZ34&gt;=INDEX('Methodology &amp; Sources'!$B$203:$J$206,0,4))*INDEX('Methodology &amp; Sources'!$B$203:$J$206,0,4+2))),IF($AN34="RI",SUMPRODUCT(($AZ34&gt;=INDEX('Methodology &amp; Sources'!$B$211:$J$214,0,7))*INDEX('Methodology &amp; Sources'!$B$211:$J$214,0,7+2)),IF($AN34="SC",SUMPRODUCT(($AZ34&gt;=INDEX('Methodology &amp; Sources'!$B$219:$J$223,0,1))*INDEX('Methodology &amp; Sources'!$B$219:$J$223,0,1+2)),IF($AN34="VT",IF($AU34="Married",SUMPRODUCT(($AZ34&gt;=INDEX('Methodology &amp; Sources'!$B$228:$J$232,0,1))*INDEX('Methodology &amp; Sources'!$B$228:$J$232,0,1+2)),SUMPRODUCT(($AZ34&gt;=INDEX('Methodology &amp; Sources'!$B$219:$J$223,0,7))*INDEX('Methodology &amp; Sources'!$B$219:$J$223,0,7+2))),IF($AN34="WV",IF($AU34="Married",SUMPRODUCT(($AZ34&gt;=INDEX('Methodology &amp; Sources'!$B$237:$J$241,0,7))*INDEX('Methodology &amp; Sources'!$B$237:$J$241,0,7+2)),SUMPRODUCT(($AZ34&gt;=INDEX('Methodology &amp; Sources'!$B$228:$J$232,0,7))*INDEX('Methodology &amp; Sources'!$B$228:$J$232,0,7+2))),IF($AN34="IN",(0.0295+Inputs!$C$76),"")))))))))))))</f>
      </c>
      <c r="CC34" s="24">
        <f>IF($B34="","",IF($AN34="AR",SUMPRODUCT(($AZ34&gt;=INDEX('Methodology &amp; Sources'!$B$82:$J$86,0,7))*INDEX('Methodology &amp; Sources'!$B$82:$J$86,0,7+2)),IF($AN34="DE",SUMPRODUCT(($AZ34&gt;=INDEX('Methodology &amp; Sources'!$B$91:$J$98,0,1))*INDEX('Methodology &amp; Sources'!$B$91:$J$98,0,1+2)),IF($AN34="VA",SUMPRODUCT(($AZ34&gt;=INDEX('Methodology &amp; Sources'!$B$219:$J$223,0,4))*INDEX('Methodology &amp; Sources'!$B$219:$J$223,0,4+2)),IF($AN34="WI",SUMPRODUCT(($AZ34&gt;=INDEX('Methodology &amp; Sources'!$B$228:$J$232,0,4))*INDEX('Methodology &amp; Sources'!$B$228:$J$232,0,4+2)),IF($AN34="AZ",Inputs!$C$82,IF($AN34="CO",IF($AY34&gt;IF($AU34="Married",10000,5000),0.044,0),IF($AN34="IA",IF($AY34&gt;IF($AU34="Head of household",19500,IF($AU34="Married",26000,13000)),0.038,0),IF($AN34="ID",IF($AY34&gt;IF($AU34="Married",32000,16094),0.053,0),IF($AN34="IL",IF($AY34&gt;(2925*$AS34+1000*$AT34),0.0495,0),IF($AN34="KY",IF($AI34&gt;3360,0.035,0),IF($AN34="LA",0.0309,IF($AN34="MA",IF(MAX(0,$AY34-MIN(($BD33+$Q34+$R34+$S34),2000)-IF($AS34=0,0,IF($AS34=1,4400,1000*$AS34+3400)))&gt;=1107750,0.09,0.05),IF($AN34="MS",IF($AI34-IF($AU34="Head of household",3400,IF($AU34="Married",4600,2300))-Inputs!$C$85&gt;10000,0.04,0),IF($AN34="PA",0.0307,"")))))))))))))))</f>
      </c>
      <c r="CD34" s="21">
        <f>IF(YEAR(IF(Inputs!$C$7="Weekly",Inputs!$C$90+7*(($BE33+1)-1),IF(Inputs!$C$7="Biweekly",Inputs!$C$90+14*(($BE33+1)-1),IF(Inputs!$C$7="Semimonthly",DATE(YEAR(Inputs!$C$9),MONTH(Inputs!$C$9)+INT((($BE33+1)-1+'Rest of 2026'!$C$2)/2),MIN(DAY(Inputs!$C$9),DAY(EOMONTH(DATE(YEAR(Inputs!$C$9),MONTH(Inputs!$C$9)+INT((($BE33+1)-1+'Rest of 2026'!$C$2)/2),1),0))))+IF(MOD(($BE33+1)-1+'Rest of 2026'!$C$2,2)=1,15,0),EDATE(Inputs!$C$90,($BE33+1)-1)))))&lt;&gt;Inputs!$C$10,"",IF(Inputs!$C$7="Weekly",Inputs!$C$90+7*(($BE33+1)-1),IF(Inputs!$C$7="Biweekly",Inputs!$C$90+14*(($BE33+1)-1),IF(Inputs!$C$7="Semimonthly",DATE(YEAR(Inputs!$C$9),MONTH(Inputs!$C$9)+INT((($BE33+1)-1+'Rest of 2026'!$C$2)/2),MIN(DAY(Inputs!$C$9),DAY(EOMONTH(DATE(YEAR(Inputs!$C$9),MONTH(Inputs!$C$9)+INT((($BE33+1)-1+'Rest of 2026'!$C$2)/2),1),0))))+IF(MOD(($BE33+1)-1+'Rest of 2026'!$C$2,2)=1,15,0),EDATE(Inputs!$C$90,($BE33+1)-1)))))</f>
      </c>
      <c r="CE34" s="21">
        <f>IF(SUMPRODUCT(MIN(IF((Inputs!$C$58:$C$67&gt;MAX($B$6:$B33))*(Inputs!$C$58:$C$67&gt;=DATE(Inputs!$C$10,1,1))*(Inputs!$C$58:$C$67&lt;=DATE(Inputs!$C$10,12,31)),Inputs!$C$58:$C$67,999999)))=999999,"",SUMPRODUCT(MIN(IF((Inputs!$C$58:$C$67&gt;MAX($B$6:$B33))*(Inputs!$C$58:$C$67&gt;=DATE(Inputs!$C$10,1,1))*(Inputs!$C$58:$C$67&lt;=DATE(Inputs!$C$10,12,31)),Inputs!$C$58:$C$67,999999))))</f>
      </c>
    </row>
    <row r="35">
      <c r="A35" t="n">
        <v>30</v>
      </c>
      <c r="B35" s="21">
        <f>IF(AND($CD35="",$CE35=""),"",IF($CE35="",$CD35,IF($CD35="",$CE35,MIN($CD35,$CE35))))</f>
      </c>
      <c r="C35" s="7">
        <f>IF($B35="","",IF($BF35=0,0,IF(Inputs!$C$4="Annual salary",ROUND($AK35/IF(AND(Inputs!$C$88="Actual paydays",MONTH(Inputs!$C$90)=1),MAX(1,MAX($BE$6:$BE$68)),Inputs!$C$8),2),$AK35)))</f>
      </c>
      <c r="D35" s="7">
        <f>IF($B35="","",SUMIF(Inputs!$C$58:$C$67,$B35,Inputs!$D$58:$D$67))</f>
      </c>
      <c r="E35" s="7">
        <f>IF($B35="","",ROUND(MAX(0,MIN(IF($AL35="Percent",$AM35*($C35+$D35),$AM35),MAX(0,Inputs!$C$34-$AC34))),2))</f>
      </c>
      <c r="F35" s="7">
        <f>IF($B35="","",ROUND(MAX(0,MIN(IF(Inputs!$C$32="Percent",Inputs!$D$32*($C35+$D35),Inputs!$D$32),MAX(0,Inputs!$C$34-$AC34-$E35))),2))</f>
      </c>
      <c r="G35" s="7">
        <f>IF($B35="","",IF($BF35=0,0,ROUND(MAX(0,MIN($BL35,Inputs!$C$37-Inputs!$C$99-$BI34)),2)))</f>
      </c>
      <c r="H35" s="7">
        <f>IF($B35="","",IF(OR($BF35=0,$BQ35=1),0,ROUND(MAX(0,MIN(IF($BS35=1,ROUND(MAX(0,MIN($BJ35,'Methodology &amp; Sources'!$C$13)-$BG34)/MAX(1,MAX($BE$6:$BE$68)-($BE34)),2),ROUND(MIN($BJ35,'Methodology &amp; Sources'!$C$13)/Inputs!$C$8,2)),MIN($BJ35,'Methodology &amp; Sources'!$C$13)-$BG34)),2)))</f>
      </c>
      <c r="I35" s="7">
        <f>IF($B35="","",IF(OR($BF35=0,$BR35=1),0,ROUND(MAX(0,MIN(IF($BT35=1,ROUND(MAX(0,MIN($BK35,IF(Inputs!$C$12="MFJ",'Methodology &amp; Sources'!$C$14,'Methodology &amp; Sources'!$C$15))-$BH34)/MAX(1,MAX($BE$6:$BE$68)-($BE34)),2),ROUND(MIN($BK35,IF(Inputs!$C$12="MFJ",'Methodology &amp; Sources'!$C$14,'Methodology &amp; Sources'!$C$15))/Inputs!$C$8,2)),MIN($BK35,IF(Inputs!$C$12="MFJ",'Methodology &amp; Sources'!$C$14,'Methodology &amp; Sources'!$C$15))-$BH34)),2)))</f>
      </c>
      <c r="J35" s="7">
        <f>IF($B35="","",IF($BF35=0,0,$BM35))</f>
      </c>
      <c r="K35" s="7">
        <f>IF($B35="","",IF($BF35=0,0,$BN35+$BO35))</f>
      </c>
      <c r="L35" s="7">
        <f>IF($B35="","",IF($BF35=0,0,Inputs!$D$46))</f>
      </c>
      <c r="M35" s="7">
        <f>IF($B35="","",$C35+$D35+$L35-$E35-$G35-$H35-$I35-$J35-$K35)</f>
      </c>
      <c r="N35" s="7">
        <f>IF($B35="","",$C35+$D35+$L35-$G35-$H35-$I35-$J35-$K35)</f>
      </c>
      <c r="O35" s="7">
        <f>IF($B35="","",$C35+$D35+$L35-$E35-$H35-$I35-$J35-$K35-IF(OR($AN35="CA",$AN35="NJ"),0,$G35))</f>
      </c>
      <c r="P35" s="7">
        <f>IF($B35="","",IF(Inputs!$C$18,0,ROUND(MAX(0,IF(Inputs!$C$13,SUMPRODUCT(($AH35&gt;INDEX('Methodology &amp; Sources'!$B$29:$J$36,0,IF(Inputs!$C$12="MFJ",1,IF(Inputs!$C$12="HoH",7,4))))*($AH35-INDEX('Methodology &amp; Sources'!$B$29:$J$36,0,IF(Inputs!$C$12="MFJ",1,IF(Inputs!$C$12="HoH",7,4))))*INDEX('Methodology &amp; Sources'!$B$29:$J$36,0,IF(Inputs!$C$12="MFJ",1,IF(Inputs!$C$12="HoH",7,4))+2)),SUMPRODUCT(($AH35&gt;INDEX('Methodology &amp; Sources'!$B$19:$J$26,0,IF(Inputs!$C$12="MFJ",1,IF(Inputs!$C$12="HoH",7,4))))*($AH35-INDEX('Methodology &amp; Sources'!$B$19:$J$26,0,IF(Inputs!$C$12="MFJ",1,IF(Inputs!$C$12="HoH",7,4))))*INDEX('Methodology &amp; Sources'!$B$19:$J$26,0,IF(Inputs!$C$12="MFJ",1,IF(Inputs!$C$12="HoH",7,4))+2)))/Inputs!$C$8-$AO35/Inputs!$C$8)+$AR35+IF(Inputs!$C$89="Aggregate",MAX(0,IF(Inputs!$C$13,SUMPRODUCT((($AH35+$D35)&gt;INDEX('Methodology &amp; Sources'!$B$29:$J$36,0,IF(Inputs!$C$12="MFJ",1,IF(Inputs!$C$12="HoH",7,4))))*(($AH35+$D35)-INDEX('Methodology &amp; Sources'!$B$29:$J$36,0,IF(Inputs!$C$12="MFJ",1,IF(Inputs!$C$12="HoH",7,4))))*INDEX('Methodology &amp; Sources'!$B$29:$J$36,0,IF(Inputs!$C$12="MFJ",1,IF(Inputs!$C$12="HoH",7,4))+2)),SUMPRODUCT((($AH35+$D35)&gt;INDEX('Methodology &amp; Sources'!$B$19:$J$26,0,IF(Inputs!$C$12="MFJ",1,IF(Inputs!$C$12="HoH",7,4))))*(($AH35+$D35)-INDEX('Methodology &amp; Sources'!$B$19:$J$26,0,IF(Inputs!$C$12="MFJ",1,IF(Inputs!$C$12="HoH",7,4))))*INDEX('Methodology &amp; Sources'!$B$19:$J$26,0,IF(Inputs!$C$12="MFJ",1,IF(Inputs!$C$12="HoH",7,4))+2)))-IF(Inputs!$C$13,SUMPRODUCT(($AH35&gt;INDEX('Methodology &amp; Sources'!$B$29:$J$36,0,IF(Inputs!$C$12="MFJ",1,IF(Inputs!$C$12="HoH",7,4))))*($AH35-INDEX('Methodology &amp; Sources'!$B$29:$J$36,0,IF(Inputs!$C$12="MFJ",1,IF(Inputs!$C$12="HoH",7,4))))*INDEX('Methodology &amp; Sources'!$B$29:$J$36,0,IF(Inputs!$C$12="MFJ",1,IF(Inputs!$C$12="HoH",7,4))+2)),SUMPRODUCT(($AH35&gt;INDEX('Methodology &amp; Sources'!$B$19:$J$26,0,IF(Inputs!$C$12="MFJ",1,IF(Inputs!$C$12="HoH",7,4))))*($AH35-INDEX('Methodology &amp; Sources'!$B$19:$J$26,0,IF(Inputs!$C$12="MFJ",1,IF(Inputs!$C$12="HoH",7,4))))*INDEX('Methodology &amp; Sources'!$B$19:$J$26,0,IF(Inputs!$C$12="MFJ",1,IF(Inputs!$C$12="HoH",7,4))+2)))),'Methodology &amp; Sources'!$C$10*$D35),2)))</f>
      </c>
      <c r="Q35" s="7">
        <f>IF($B35="","",ROUND('Methodology &amp; Sources'!$C$4*MIN($N35,MAX(0,'Methodology &amp; Sources'!$C$3-($AX35+$AB34-$AW35))),2))</f>
      </c>
      <c r="R35" s="7">
        <f>IF($B35="","",ROUND('Methodology &amp; Sources'!$C$5*$N35,2))</f>
      </c>
      <c r="S35" s="7">
        <f>IF($B35="","",ROUND('Methodology &amp; Sources'!$C$6*MAX(0,MIN($N35,$AG34+$N35-'Methodology &amp; Sources'!$C$7)),2))</f>
      </c>
      <c r="T35" s="7">
        <f>IF($B35="","",IF(Inputs!$C$26,0,IF($AN35="CA",ROUND(IF($AI35&lt;=IF(($AS35+$AT35)&gt;=2,VLOOKUP($AN35,StateTables!$A$6:$AB$56,10,FALSE),VLOOKUP($AN35,StateTables!$A$6:$AB$56,9,FALSE)),0,MAX(0,SUMPRODUCT(($AJ35&gt;INDEX('Methodology &amp; Sources'!$B$39:$J$48,0,IF($AU35="Married",4,IF($AU35="Head of household",7,1))))*($AJ35-INDEX('Methodology &amp; Sources'!$B$39:$J$48,0,IF($AU35="Married",4,IF($AU35="Head of household",7,1))))*INDEX('Methodology &amp; Sources'!$B$39:$J$48,0,IF($AU35="Married",4,IF($AU35="Head of household",7,1))+2))-VLOOKUP($AN35,StateTables!$A$6:$AB$56,11,FALSE)*$AS35)/Inputs!$C$8)+Inputs!$C$25+VLOOKUP($AN35,StateTables!$A$6:$AB$56,13,FALSE)*$D35,2),IF(VLOOKUP($AN35,StateTables!$A$6:$AB$56,4,FALSE)="None",0,IF(ISNUMBER(SEARCH("MANUAL",VLOOKUP($AN35,StateTables!$A$6:$AB$56,5,FALSE))),Inputs!$C$28,ROUND(MAX(0,$BA35+$BB35)/Inputs!$C$8+Inputs!$C$25+$BC35,2))))))</f>
      </c>
      <c r="U35" s="7">
        <f>IF($B35="","",IF(VLOOKUP($AN35,StateTables!$A$6:$AB$56,24,FALSE)="flatq",IF(OR(MONTH($B35)=1,MONTH($B35)=4,MONTH($B35)=7,MONTH($B35)=10),VLOOKUP($AN35,StateTables!$A$6:$AB$56,25,FALSE),0),IF(VLOOKUP($AN35,StateTables!$A$6:$AB$56,24,FALSE)="dbl",MIN(ROUND(0.005*$N35,2),ROUND(0.6*52/Inputs!$C$8,2)),IF(OR(VLOOKUP($AN35,StateTables!$A$6:$AB$56,15,FALSE)="",VLOOKUP($AN35,StateTables!$A$6:$AB$56,15,FALSE)=0),0,ROUND(VLOOKUP($AN35,StateTables!$A$6:$AB$56,15,FALSE)*IF(OR(VLOOKUP($AN35,StateTables!$A$6:$AB$56,16,FALSE)="",VLOOKUP($AN35,StateTables!$A$6:$AB$56,16,FALSE)=0),$N35,MIN($N35,MAX(0,VLOOKUP($AN35,StateTables!$A$6:$AB$56,16,FALSE)-($AX35+$AB34-$AW35)))),2))))+IF(VLOOKUP($AN35,StateTables!$A$6:$AB$56,27,FALSE)="flatq",IF(OR(MONTH($B35)=1,MONTH($B35)=4,MONTH($B35)=7,MONTH($B35)=10),VLOOKUP($AN35,StateTables!$A$6:$AB$56,28,FALSE),0),IF(VLOOKUP($AN35,StateTables!$A$6:$AB$56,27,FALSE)="dbl",MIN(ROUND(0.005*$N35,2),ROUND(0.6*52/Inputs!$C$8,2)),IF(OR(VLOOKUP($AN35,StateTables!$A$6:$AB$56,18,FALSE)="",VLOOKUP($AN35,StateTables!$A$6:$AB$56,18,FALSE)=0),0,ROUND(VLOOKUP($AN35,StateTables!$A$6:$AB$56,18,FALSE)*IF(OR(VLOOKUP($AN35,StateTables!$A$6:$AB$56,19,FALSE)="",VLOOKUP($AN35,StateTables!$A$6:$AB$56,19,FALSE)=0),$N35,MIN($N35,MAX(0,VLOOKUP($AN35,StateTables!$A$6:$AB$56,19,FALSE)-($AX35+$AB34-$AW35)))),2)))))</f>
      </c>
      <c r="V35" s="7">
        <f>IF($B35="","",IF($AN35="NY",IF(Inputs!$C$78,ROUND(SUMPRODUCT((MAX(0,($O35-$D35)*Inputs!$C$8-(IF($AU35="Married",5500,5000)+1000*$AS35))&gt;INDEX('Methodology &amp; Sources'!$B$184:$J$198,0,4))*(MAX(0,($O35-$D35)*Inputs!$C$8-(IF($AU35="Married",5500,5000)+1000*$AS35))-INDEX('Methodology &amp; Sources'!$B$184:$J$198,0,4))*INDEX('Methodology &amp; Sources'!$B$184:$J$198,0,4+2))/Inputs!$C$8+0.0425*$D35,2),0)+IF(Inputs!$C$79="Resident",ROUND(0.1675*$T35,2),IF(Inputs!$C$79="Nonresident",ROUND(0.005*MAX(0,($O35-$D35)-(IF($AU35="Married",7950,7400)+1000*$AS35)/Inputs!$C$8),2),0)),IF($AN35="PA",IF(Inputs!$C$80="None",Inputs!$C$27+ROUND(Inputs!$C$81*($C35+$D35),2),ROUND(IF(Inputs!$C$80="Resident",IF($B35&lt;DATE(2027,7,1),0.03735,0.03735),IF($B35&lt;DATE(2027,7,1),0.03425,0.03425))*($C35+$D35),2)),IF($BF35=0,ROUND(Inputs!$C$81*($C35+$D35),2),Inputs!$C$27+ROUND(Inputs!$C$81*($C35+$D35),2)))))</f>
      </c>
      <c r="W35" s="7">
        <f>IF($B35="","",IF($BF35=0,0,$BP35))</f>
      </c>
      <c r="X35" s="7">
        <f>IF($B35="","",SUM($E35:$K35)+$P35+$Q35+$R35+$S35+$T35+$U35+$V35+$W35)</f>
      </c>
      <c r="Y35" s="22">
        <f>IF($B35="","",$C35+$D35-$X35)</f>
      </c>
      <c r="Z35" s="7">
        <f>IF($B35="","",$Z34+$C35+$D35)</f>
      </c>
      <c r="AA35" s="7">
        <f>IF($B35="","",$AA34+$Y35)</f>
      </c>
      <c r="AB35" s="7">
        <f>IF($B35="","",$AB34+MIN($N35,MAX(0,'Methodology &amp; Sources'!$C$3-($AX35+$AB34-$AW35))))</f>
      </c>
      <c r="AC35" s="7">
        <f>IF($B35="","",$AC34+$E35+$F35)</f>
      </c>
      <c r="AD35" s="3">
        <f>IF($B35="","",IF(AND($AB34&lt;'Methodology &amp; Sources'!$C$3,$AB35&gt;='Methodology &amp; Sources'!$C$3),"★ Social Security maxed on this check — from the next check your net rises by about $"&amp;TEXT(ROUND('Methodology &amp; Sources'!$C$4*$N35,2),"#,##0.00")&amp;". ","")&amp;IF(AND($AC34&lt;Inputs!$C$34,$AC35&gt;=Inputs!$C$34),"★ 401(k) reaches the $"&amp;TEXT(Inputs!$C$34,"#,##0")&amp;" cap on this check — deferrals stop and net pay rises. ","")&amp;IF(AND($AG34&lt;'Methodology &amp; Sources'!$C$7,$AG35&gt;='Methodology &amp; Sources'!$C$7),"★ Wages pass $200,000 — the 0.9% Additional Medicare Tax starts here. ","")&amp;IF(AND($BJ35&gt;0,$H35&gt;0,$BG34&lt;MIN($BJ35,'Methodology &amp; Sources'!$C$13),$BG34+$H35&gt;=MIN($BJ35,'Methodology &amp; Sources'!$C$13)),"★ Health FSA election is now fully deferred for the year. ",""))</f>
      </c>
      <c r="AE35" s="41" t="n"/>
      <c r="AF35" s="7">
        <f>IF(OR($B35="",$AE35=""),"",$AE35-$Y35)</f>
      </c>
      <c r="AG35" s="7">
        <f>IF($B35="","",$AG34+$N35)</f>
      </c>
      <c r="AH35" s="7">
        <f>IF($B35="","",MAX(0,($M35-$D35)*Inputs!$C$8+$AP35-$AQ35-IF(Inputs!$C$13,0,IF(Inputs!$C$12="MFJ",'Methodology &amp; Sources'!$C$8,'Methodology &amp; Sources'!$C$9))))</f>
      </c>
      <c r="AI35" s="7">
        <f>IF($B35="","",$O35*Inputs!$C$8)</f>
      </c>
      <c r="AJ35" s="7">
        <f>IF($B35="","",MAX(0,$AI35-VLOOKUP($AN35,StateTables!$A$6:$AB$56,12,FALSE)*$AT35-IF(($AS35+$AT35)&gt;=2,VLOOKUP($AN35,StateTables!$A$6:$AB$56,8,FALSE),VLOOKUP($AN35,StateTables!$A$6:$AB$56,7,FALSE))))</f>
      </c>
      <c r="AK35" s="7">
        <f>IF($B35="","",IFERROR(LOOKUP(2,1/((Events!$C$6:$C$17="Salary change")*(Events!$B$6:$B$17&lt;=$B35)*(Events!$B$6:$B$17&lt;&gt;"")),Events!$D$6:$D$17),IF(Inputs!$C$4="Annual salary",Inputs!$C$5,Inputs!$C$6)))</f>
      </c>
      <c r="AL35">
        <f>IF($B35="","",IFERROR(LOOKUP(2,1/((Events!$C$6:$C$17="401(k) change")*(Events!$B$6:$B$17&lt;=$B35)*(Events!$B$6:$B$17&lt;&gt;"")),Events!$D$6:$D$17),Inputs!$C$30))</f>
      </c>
      <c r="AM35" s="7">
        <f>IF($B35="","",IFERROR(LOOKUP(2,1/((Events!$C$6:$C$17="401(k) change")*(Events!$B$6:$B$17&lt;=$B35)*(Events!$B$6:$B$17&lt;&gt;"")),Events!$E$6:$E$17),Inputs!$D$30))</f>
      </c>
      <c r="AN35">
        <f>IF($B35="","",IFERROR(LOOKUP(2,1/((Events!$C$6:$C$17="State move")*(Events!$B$6:$B$17&lt;=$B35)*(Events!$B$6:$B$17&lt;&gt;"")),Events!$D$6:$D$17),Inputs!$C$21))</f>
      </c>
      <c r="AO35" s="7">
        <f>IF($B35="","",IFERROR(LOOKUP(2,1/((Events!$C$6:$C$17="W-4 change")*(Events!$B$6:$B$17&lt;=$B35)*(Events!$B$6:$B$17&lt;&gt;"")),Events!$D$6:$D$17),Inputs!$C$14))</f>
      </c>
      <c r="AP35" s="7">
        <f>IF($B35="","",IFERROR(LOOKUP(2,1/((Events!$C$6:$C$17="W-4 change")*(Events!$B$6:$B$17&lt;=$B35)*(Events!$B$6:$B$17&lt;&gt;"")),Events!$E$6:$E$17),Inputs!$C$15))</f>
      </c>
      <c r="AQ35" s="7">
        <f>IF($B35="","",IFERROR(LOOKUP(2,1/((Events!$C$6:$C$17="W-4 change")*(Events!$B$6:$B$17&lt;=$B35)*(Events!$B$6:$B$17&lt;&gt;"")),Events!$F$6:$F$17),Inputs!$C$16))</f>
      </c>
      <c r="AR35" s="7">
        <f>IF($B35="","",IFERROR(LOOKUP(2,1/((Events!$C$6:$C$17="W-4 change")*(Events!$B$6:$B$17&lt;=$B35)*(Events!$B$6:$B$17&lt;&gt;"")),Events!$G$6:$G$17),Inputs!$C$17))</f>
      </c>
      <c r="AS35" s="6">
        <f>IF($B35="","",IFERROR(LOOKUP(2,1/(((Events!$C$6:$C$17="State move")+(Events!$C$6:$C$17="State cert change"))*(Events!$B$6:$B$17&lt;=$B35)*(Events!$B$6:$B$17&lt;&gt;"")),Events!$F$6:$F$17),Inputs!$C$23))</f>
      </c>
      <c r="AT35" s="6">
        <f>IF($B35="","",IFERROR(LOOKUP(2,1/(((Events!$C$6:$C$17="State move")+(Events!$C$6:$C$17="State cert change"))*(Events!$B$6:$B$17&lt;=$B35)*(Events!$B$6:$B$17&lt;&gt;"")),Events!$G$6:$G$17),Inputs!$C$24))</f>
      </c>
      <c r="AU35">
        <f>IF($B35="","",IFERROR(LOOKUP(2,1/((Events!$C$6:$C$17="State move")*(Events!$B$6:$B$17&lt;=$B35)*(Events!$B$6:$B$17&lt;&gt;"")),Events!$E$6:$E$17),Inputs!$C$22))</f>
      </c>
      <c r="AV35" s="6">
        <f>IF($B35="","",1+COUNTIFS(Events!$C$6:$C$17,"Employer change",Events!$B$6:$B$17,"&lt;="&amp;$B35,Events!$B$6:$B$17,"&lt;&gt;"))</f>
      </c>
      <c r="AW35" s="7">
        <f>IF($B35="","",IF($AV35=1,Inputs!$C$94,IF(IFERROR(MATCH(IFERROR(LOOKUP(2,1/((Events!$C$6:$C$17="Employer change")*(Events!$B$6:$B$17&lt;=$B35)*(Events!$B$6:$B$17&lt;&gt;"")),Events!$B$6:$B$17),""),$B$6:$B$68,1),1)&lt;=1,Inputs!$C$94,INDEX($AB$6:$AB$68,MATCH(IFERROR(LOOKUP(2,1/((Events!$C$6:$C$17="Employer change")*(Events!$B$6:$B$17&lt;=$B35)*(Events!$B$6:$B$17&lt;&gt;"")),Events!$B$6:$B$17),""),$B$6:$B$68,1)-1))))</f>
      </c>
      <c r="AX35" s="7">
        <f>IF($B35="","",IF($AV35=1,Inputs!$C$94,IFERROR(LOOKUP(2,1/((Events!$C$6:$C$17="Employer change")*(Events!$B$6:$B$17&lt;=$B35)*(Events!$B$6:$B$17&lt;&gt;"")),Events!$D$6:$D$17),0)))</f>
      </c>
      <c r="AY35" s="7">
        <f>IF($B35="","",($O35-$D35)*Inputs!$C$8)</f>
      </c>
      <c r="AZ35" s="7">
        <f>IF($B35="","",IF($AN35="AL",MAX(0,$AY35-IF($AU35="Married",IF($AY35&lt;=25999,8500,MAX(5000,8500-175*CEILING(($AY35-25999)/500,1))),IF($AU35="Head of household",IF($AY35&lt;=25999,5200,MAX(2500,5200-135*CEILING(($AY35-25999)/500,1))),IF($AY35&lt;=25999,3000,MAX(2500,3000-25*CEILING(($AY35-25999)/500,1)))))-($P35-'Methodology &amp; Sources'!$C$10*$D35)*Inputs!$C$8-IF(OR($AU35="Married",$AU35="Head of household"),3000,1500)-$AT35*IF($AY35&lt;=50000,1000,IF($AY35&lt;=100000,500,300))),IF($AN35="AR",IF(MAX(0,$AY35-2470)&lt;97701,INT(MAX(0,$AY35-2470)/100)*100+50,MAX(0,$AY35-2470)),IF($AN35="DE",MAX(0,$AI35-3250),IF($AN35="HI",MAX(0,$AI35-1144*$AS35-4350),IF($AN35="KS",MAX(0,$AI35-(9160*IF($AU35="Married",2,1)+2320*$AT35+IF($AU35="Head of household",2320,0))),IF($AN35="MD",MAX(0,$AI35-3400-3200*$AS35),IF($AN35="MN",MAX(0,$AY35-5300*$AS35),IF($AN35="MO",MAX(0,$AI35-IF($AU35="Head of household",24150,IF($AU35="Married",IF(Inputs!$C$83,16100,32200),16100))),IF($AN35="MT",$AY35,IF($AN35="ND",($C35+$L35)*Inputs!$C$8,IF($AN35="NE",MAX(0,$AY35-2440*$AS35),IF($AN35="NJ",MAX(0,$AY35-1000*$AS35),IF($AN35="NY",MAX(0,$AY35-(IF($AU35="Married",7950,7400)+1000*$AS35)),IF($AN35="OH",MAX(0,$AY35-650*$AS35),IF($AN35="OK",MAX(0,$AY35-1000*$AS35),IF($AN35="RI",MAX(0,$AI35-1000*$AS35),IF($AN35="SC",MAX(0,$AI35-5000*$AS35-IF($AS35=0,0,MIN(0.1*$AI35,7500))),IF($AN35="VA",MAX(0,$AI35-IF($AU35="Married",17500,8750)-930*$AS35-800*$AT35),IF($AN35="VT",MAX(0,$AI35-5400*$AS35),IF($AN35="WI",MAX(0,$AI35-MAX(0,IF($AU35="Married",9461-0.2*MAX(0,$AI35-25727),6702-0.12*MAX(0,$AI35-17780)))-400*$AS35),IF($AN35="WV",MAX(0,$AI35-2000*$AS35),$AI35))))))))))))))))))))))</f>
      </c>
      <c r="BA35" s="7">
        <f>IF($B35="","",IF($BW35&lt;&gt;"",$BW35,IF($BX35&lt;&gt;"",$BX35,IF($BY35&lt;&gt;"",$BY35,0))))</f>
      </c>
      <c r="BB35" s="7">
        <f>IF($B35="","",IF($AN35="AR",-29*$AS35,IF($AN35="DE",-110*$AS35,IF($AN35="MD",$AZ35*Inputs!$C$74,IF($AN35="AZ",Inputs!$C$82*($M35-$D35)*Inputs!$C$8,IF($AN35="CO",0.044*MAX(0,$AY35-IF($AU35="Married",10000,5000)),IF($AN35="IA",MAX(0,0.038*MAX(0,$AY35-IF($AU35="Head of household",19500,IF($AU35="Married",26000,13000)))-40*$AS35),IF($AN35="ID",0.053*MAX(0,$AY35-IF($AU35="Married",32000,16094)),IF($AN35="IL",0.0495*MAX(0,$AY35-(2925*$AS35+1000*$AT35)),IF($AN35="IN",(0.0295+Inputs!$C$76)*MAX(0,$AY35-(1000*$AS35+1500*$AT35+3000*Inputs!$C$86)),IF($AN35="KY",0.035*MAX(0,$AI35-3360),IF($AN35="LA",IF(Inputs!$C$84="0",0.0309*$AI35,0.0309*MAX(0,$AI35-IF(Inputs!$C$84="2",25750,12875))),IF($AN35="MA",0.05*MIN(MAX(0,$AY35-MIN(($BD34+$Q35+$R35+$S35),2000)-IF($AS35=0,0,IF($AS35=1,4400,1000*$AS35+3400))),1107750)+0.09*MAX(0,MAX(0,$AY35-MIN(($BD34+$Q35+$R35+$S35),2000)-IF($AS35=0,0,IF($AS35=1,4400,1000*$AS35+3400)))-1107750)-IF($AU35="Head of household",120,0)-110*Inputs!$C$75,IF($AN35="MI",0.0425*MAX(0,$AY35-5900*$AS35),IF($AN35="MS",0.04*MAX(0,$AI35-IF($AU35="Head of household",3400,IF($AU35="Married",4600,2300))-Inputs!$C$85-10000),IF($AN35="OR",IF(OR($AU35="Married",AND($AU35="Single",$AS35&gt;=3)),SUMPRODUCT((MAX(0,$AY35-MIN(($P35-'Methodology &amp; Sources'!$C$10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Sources'!$B$211:$J$214,0,4))*(MAX(0,$AY35-MIN(($P35-'Methodology &amp; Sources'!$C$10*$D35)*Inputs!$C$8,IF(OR($AU35="Married",AND($AU35="Single",$AS35&gt;=3)),IF($AY35&lt;250000,8750,IF($AY35&lt;260000,7000,IF($AY35&lt;270000,5250,IF($AY35&lt;280000,3500,IF($AY35&lt;290000,1750,0))))),IF($AY35&lt;125000,8750,IF($AY35&lt;130000,7000,IF($AY35&lt;135000,5250,IF($AY35&lt;140000,3500,IF($AY35&lt;145000,1750,0)))))))-IF(OR($AU35="Married",AND($AU35="Single",$AS35&gt;=3)),5820,2910))-INDEX('Methodology &amp; Sources'!$B$211:$J$214,0,4))*INDEX('Methodology &amp; Sources'!$B$211:$J$214,0,4+2)),SUMPRODUCT((MAX(0,$AY35-MIN(($P35-'Methodology &amp; Sources'!$C$10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Sources'!$B$211:$J$214,0,1))*(MAX(0,$AY35-MIN(($P35-'Methodology &amp; Sources'!$C$10*$D35)*Inputs!$C$8,IF(OR($AU35="Married",AND($AU35="Single",$AS35&gt;=3)),IF($AY35&lt;250000,8750,IF($AY35&lt;260000,7000,IF($AY35&lt;270000,5250,IF($AY35&lt;280000,3500,IF($AY35&lt;290000,1750,0))))),IF($AY35&lt;125000,8750,IF($AY35&lt;130000,7000,IF($AY35&lt;135000,5250,IF($AY35&lt;140000,3500,IF($AY35&lt;145000,1750,0)))))))-IF(OR($AU35="Married",AND($AU35="Single",$AS35&gt;=3)),5820,2910))-INDEX('Methodology &amp; Sources'!$B$211:$J$214,0,1))*INDEX('Methodology &amp; Sources'!$B$211:$J$214,0,1+2)))+263-263*IF(IF($AU35="Married",$AY35&gt;200000,$AY35&gt;100000),0,$AS35),IF($AN35="PA",0.0307*(($O35+$E35+$G35)*Inputs!$C$8),IF($AN35="NY",IF($AU35="Married",IF($AZ35&gt;=2155350,0,IF($AZ35&gt;=1077550,0.48,IF($AZ35&gt;=373200,1.21,IF($AZ35&gt;=323200,0.21,IF($AZ35&gt;=211550,-0.19,IF($AZ35&gt;=157650,-2.8,IF($AZ35&gt;=107650,-0.8,IF($AZ35&gt;=96800,0.05,IF($AZ35&gt;=80650,-0.1,IF($AZ35&gt;=13900,0.4,IF($AZ35&gt;=11700,-0.3,IF($AZ35&gt;=8500,0.5,0)))))))))))),IF($AZ35&gt;=1077550,0,IF($AZ35&gt;=265400,4.29,IF($AZ35&gt;=215400,2.29,IF($AZ35&gt;=157650,2.29,IF($AZ35&gt;=107650,0.29,IF($AZ35&gt;=96800,0.05,IF($AZ35&gt;=80650,-0.1,IF($AZ35&gt;=13900,0.4,IF($AZ35&gt;=11700,-0.3,IF($AZ35&gt;=8500,0.5,0))))))))))),0))))))))))))))))))</f>
      </c>
      <c r="BC35" s="7">
        <f>IF($B35="","",IF($AN35="AL",0.05*$D35,IF($AN35="AR",0.039*$D35,IF($AN35="ID",0.053*$D35,IF($AN35="IN",(0.0295+Inputs!$C$76)*$D35,IF($AN35="KS",0.05*$D35,IF($AN35="MA",0.09*MIN($D35,MAX(0,MAX(0,$AY35-MIN(($BD34+$Q35+$R35+$S35),2000)-IF($AS35=0,0,IF($AS35=1,4400,1000*$AS35+3400)))+$D35-1107750))+0.05*($D35-MIN($D35,MAX(0,MAX(0,$AY35-MIN(($BD34+$Q35+$R35+$S35),2000)-IF($AS35=0,0,IF($AS35=1,4400,1000*$AS35+3400)))+$D35-1107750))),IF($AN35="MD",(0.065+Inputs!$C$74)*$D35,IF($AN35="MI",0.0425*$D35,IF($AN35="MN",0.0625*$D35,IF($AN35="MO",0.047*$D35,IF($AN35="MT",0.05*$D35,IF($AN35="ND",0.015*$D35,IF($AN35="NE",0.035*$D35,IF($AN35="NJ",IF(Inputs!$C$77="B",SUMPRODUCT(($D35*Inputs!$C$8&gt;INDEX('Methodology &amp; Sources'!$B$155:$J$162,0,4))*($D35*Inputs!$C$8-INDEX('Methodology &amp; Sources'!$B$155:$J$162,0,4))*INDEX('Methodology &amp; Sources'!$B$155:$J$162,0,4+2)),IF(Inputs!$C$77="C",SUMPRODUCT(($D35*Inputs!$C$8&gt;INDEX('Methodology &amp; Sources'!$B$155:$J$162,0,7))*($D35*Inputs!$C$8-INDEX('Methodology &amp; Sources'!$B$155:$J$162,0,7))*INDEX('Methodology &amp; Sources'!$B$155:$J$162,0,7+2)),IF(Inputs!$C$77="D",SUMPRODUCT(($D35*Inputs!$C$8&gt;INDEX('Methodology &amp; Sources'!$B$167:$J$179,0,1))*($D35*Inputs!$C$8-INDEX('Methodology &amp; Sources'!$B$167:$J$179,0,1))*INDEX('Methodology &amp; Sources'!$B$167:$J$179,0,1+2)),IF(Inputs!$C$77="E",SUMPRODUCT(($D35*Inputs!$C$8&gt;INDEX('Methodology &amp; Sources'!$B$167:$J$179,0,4))*($D35*Inputs!$C$8-INDEX('Methodology &amp; Sources'!$B$167:$J$179,0,4))*INDEX('Methodology &amp; Sources'!$B$167:$J$179,0,4+2)),SUMPRODUCT(($D35*Inputs!$C$8&gt;INDEX('Methodology &amp; Sources'!$B$155:$J$162,0,1))*($D35*Inputs!$C$8-INDEX('Methodology &amp; Sources'!$B$155:$J$162,0,1))*INDEX('Methodology &amp; Sources'!$B$155:$J$162,0,1+2))))))/Inputs!$C$8,IF($AN35="NY",0.117*$D35,IF($AN35="OH",0.0275*$D35,IF($AN35="OK",0.045*$D35,IF($AN35="OR",0.08*$D35,IF($AN35="WI",IF($AY35&lt;12760,0.0354,IF($AY35&lt;25520,0.0465,IF($AY35&lt;280950,0.053,0.0765)))*$D35,0))))))))))))))))))))</f>
      </c>
      <c r="BD35" s="7">
        <f>IF($B35="","",$BD34+$Q35+$R35+$S35)</f>
      </c>
      <c r="BE35" s="6">
        <f>IF($B35="",$BE34,$BE34+$BF35)</f>
      </c>
      <c r="BF35" s="6">
        <f>IF($B35="","",IF(AND(IF(YEAR(IF(Inputs!$C$7="Weekly",Inputs!$C$90+7*(($BE34+1)-1),IF(Inputs!$C$7="Biweekly",Inputs!$C$90+14*(($BE34+1)-1),IF(Inputs!$C$7="Semimonthly",DATE(YEAR(Inputs!$C$9),MONTH(Inputs!$C$9)+INT((($BE34+1)-1+'Rest of 2026'!$C$2)/2),MIN(DAY(Inputs!$C$9),DAY(EOMONTH(DATE(YEAR(Inputs!$C$9),MONTH(Inputs!$C$9)+INT((($BE34+1)-1+'Rest of 2026'!$C$2)/2),1),0))))+IF(MOD(($BE34+1)-1+'Rest of 2026'!$C$2,2)=1,15,0),EDATE(Inputs!$C$90,($BE34+1)-1)))))&lt;&gt;Inputs!$C$10,"",IF(Inputs!$C$7="Weekly",Inputs!$C$90+7*(($BE34+1)-1),IF(Inputs!$C$7="Biweekly",Inputs!$C$90+14*(($BE34+1)-1),IF(Inputs!$C$7="Semimonthly",DATE(YEAR(Inputs!$C$9),MONTH(Inputs!$C$9)+INT((($BE34+1)-1+'Rest of 2026'!$C$2)/2),MIN(DAY(Inputs!$C$9),DAY(EOMONTH(DATE(YEAR(Inputs!$C$9),MONTH(Inputs!$C$9)+INT((($BE34+1)-1+'Rest of 2026'!$C$2)/2),1),0))))+IF(MOD(($BE34+1)-1+'Rest of 2026'!$C$2,2)=1,15,0),EDATE(Inputs!$C$90,($BE34+1)-1)))))&lt;&gt;"",$B35=IF(YEAR(IF(Inputs!$C$7="Weekly",Inputs!$C$90+7*(($BE34+1)-1),IF(Inputs!$C$7="Biweekly",Inputs!$C$90+14*(($BE34+1)-1),IF(Inputs!$C$7="Semimonthly",DATE(YEAR(Inputs!$C$9),MONTH(Inputs!$C$9)+INT((($BE34+1)-1+'Rest of 2026'!$C$2)/2),MIN(DAY(Inputs!$C$9),DAY(EOMONTH(DATE(YEAR(Inputs!$C$9),MONTH(Inputs!$C$9)+INT((($BE34+1)-1+'Rest of 2026'!$C$2)/2),1),0))))+IF(MOD(($BE34+1)-1+'Rest of 2026'!$C$2,2)=1,15,0),EDATE(Inputs!$C$90,($BE34+1)-1)))))&lt;&gt;Inputs!$C$10,"",IF(Inputs!$C$7="Weekly",Inputs!$C$90+7*(($BE34+1)-1),IF(Inputs!$C$7="Biweekly",Inputs!$C$90+14*(($BE34+1)-1),IF(Inputs!$C$7="Semimonthly",DATE(YEAR(Inputs!$C$9),MONTH(Inputs!$C$9)+INT((($BE34+1)-1+'Rest of 2026'!$C$2)/2),MIN(DAY(Inputs!$C$9),DAY(EOMONTH(DATE(YEAR(Inputs!$C$9),MONTH(Inputs!$C$9)+INT((($BE34+1)-1+'Rest of 2026'!$C$2)/2),1),0))))+IF(MOD(($BE34+1)-1+'Rest of 2026'!$C$2,2)=1,15,0),EDATE(Inputs!$C$90,($BE34+1)-1)))))),1,0))</f>
      </c>
      <c r="BG35" s="7">
        <f>IF($B35="","",$BG34+$H35)</f>
      </c>
      <c r="BH35" s="7">
        <f>IF($B35="","",$BH34+$I35)</f>
      </c>
      <c r="BI35" s="7">
        <f>IF($B35="","",$BI34+$G35)</f>
      </c>
      <c r="BJ35" s="7">
        <f>IF($B35="","",IFERROR(LOOKUP(2,1/((((Events!$C$6:$C$17="Deduction start"))*(Events!$D$6:$D$17="Health FSA"))*(Events!$B$6:$B$17&lt;=$B35)*(Events!$B$6:$B$17&lt;&gt;"")),Events!$E$6:$E$17),Inputs!$D$38))</f>
      </c>
      <c r="BK35" s="7">
        <f>IF($B35="","",IFERROR(LOOKUP(2,1/((((Events!$C$6:$C$17="Deduction start"))*(Events!$D$6:$D$17="Dependent-care FSA"))*(Events!$B$6:$B$17&lt;=$B35)*(Events!$B$6:$B$17&lt;&gt;"")),Events!$E$6:$E$17),Inputs!$D$39))</f>
      </c>
      <c r="BL35" s="7">
        <f>IF($B35="","",IFERROR(LOOKUP(2,1/((((Events!$C$6:$C$17="Deduction start")+(Events!$C$6:$C$17="Deduction stop"))*(Events!$D$6:$D$17="HSA"))*(Events!$B$6:$B$17&lt;=$B35)*(Events!$B$6:$B$17&lt;&gt;"")),Events!$I$6:$I$17),Inputs!$D$35))</f>
      </c>
      <c r="BM35" s="7">
        <f>IF($B35="","",IFERROR(LOOKUP(2,1/((((Events!$C$6:$C$17="Deduction start")+(Events!$C$6:$C$17="Deduction stop"))*(Events!$D$6:$D$17="Premiums"))*(Events!$B$6:$B$17&lt;=$B35)*(Events!$B$6:$B$17&lt;&gt;"")),Events!$I$6:$I$17),Inputs!$D$40+Inputs!$D$41+Inputs!$D$42))</f>
      </c>
      <c r="BN35" s="7">
        <f>IF($B35="","",IFERROR(LOOKUP(2,1/((((Events!$C$6:$C$17="Deduction start")+(Events!$C$6:$C$17="Deduction stop"))*(Events!$D$6:$D$17="Commuter"))*(Events!$B$6:$B$17&lt;=$B35)*(Events!$B$6:$B$17&lt;&gt;"")),Events!$I$6:$I$17),Inputs!$D$43))</f>
      </c>
      <c r="BO35" s="7">
        <f>IF($B35="","",IFERROR(LOOKUP(2,1/((((Events!$C$6:$C$17="Deduction start")+(Events!$C$6:$C$17="Deduction stop"))*(Events!$D$6:$D$17="Other pre-tax"))*(Events!$B$6:$B$17&lt;=$B35)*(Events!$B$6:$B$17&lt;&gt;"")),Events!$I$6:$I$17),Inputs!$D$44))</f>
      </c>
      <c r="BP35" s="7">
        <f>IF($B35="","",IFERROR(LOOKUP(2,1/((((Events!$C$6:$C$17="Deduction start")+(Events!$C$6:$C$17="Deduction stop"))*(Events!$D$6:$D$17="Other post-tax"))*(Events!$B$6:$B$17&lt;=$B35)*(Events!$B$6:$B$17&lt;&gt;"")),Events!$I$6:$I$17),Inputs!$D$45))</f>
      </c>
      <c r="BQ35" s="6">
        <f>IF($B35="","",IFERROR(LOOKUP(2,1/((((Events!$C$6:$C$17="Deduction start")+(Events!$C$6:$C$17="Deduction stop"))*(Events!$D$6:$D$17="Health FSA"))*(Events!$B$6:$B$17&lt;=$B35)*(Events!$B$6:$B$17&lt;&gt;"")),Events!$J$6:$J$17),0))</f>
      </c>
      <c r="BR35" s="6">
        <f>IF($B35="","",IFERROR(LOOKUP(2,1/((((Events!$C$6:$C$17="Deduction start")+(Events!$C$6:$C$17="Deduction stop"))*(Events!$D$6:$D$17="Dependent-care FSA"))*(Events!$B$6:$B$17&lt;=$B35)*(Events!$B$6:$B$17&lt;&gt;"")),Events!$J$6:$J$17),0))</f>
      </c>
      <c r="BS35" s="6">
        <f>IF($B35="","",IF(SUMPRODUCT((Events!$C$6:$C$17="Deduction start")*(Events!$B$6:$B$17&lt;=$B35)*(Events!$B$6:$B$17&lt;&gt;"")*(Events!$D$6:$D$17="Health FSA"))&gt;0,1,0))</f>
      </c>
      <c r="BT35" s="6">
        <f>IF($B35="","",IF(SUMPRODUCT((Events!$C$6:$C$17="Deduction start")*(Events!$B$6:$B$17&lt;=$B35)*(Events!$B$6:$B$17&lt;&gt;"")*(Events!$D$6:$D$17="Dependent-care FSA"))&gt;0,1,0))</f>
      </c>
      <c r="BU35" s="24">
        <f>IF($B35="","",IF(Inputs!$C$13,SUMPRODUCT(($AH35&gt;=INDEX('Methodology &amp; Sources'!$B$29:$J$36,0,IF(Inputs!$C$12="MFJ",1,IF(Inputs!$C$12="HoH",7,4))))*INDEX('Methodology &amp; Sources'!$B$29:$J$36,0,IF(Inputs!$C$12="MFJ",1,IF(Inputs!$C$12="HoH",7,4))+2)),SUMPRODUCT(($AH35&gt;=INDEX('Methodology &amp; Sources'!$B$19:$J$26,0,IF(Inputs!$C$12="MFJ",1,IF(Inputs!$C$12="HoH",7,4))))*INDEX('Methodology &amp; Sources'!$B$19:$J$26,0,IF(Inputs!$C$12="MFJ",1,IF(Inputs!$C$12="HoH",7,4))+2))))</f>
      </c>
      <c r="BV35" s="24">
        <f>IF($B35="","",IF($BZ35&lt;&gt;"",$BZ35,IF($CA35&lt;&gt;"",$CA35,IF($CB35&lt;&gt;"",$CB35,IF($CC35&lt;&gt;"",$CC35,0)))))</f>
      </c>
      <c r="BW35" s="7">
        <f>IF($B35="","",IF($AN35="MD",IF(OR($AU35="Married",$AU35="Head of household"),SUMPRODUCT(($AZ35&gt;INDEX('Methodology &amp; Sources'!$B$114:$J$120,0,1))*($AZ35-INDEX('Methodology &amp; Sources'!$B$114:$J$120,0,1))*INDEX('Methodology &amp; Sources'!$B$114:$J$120,0,1+2)),SUMPRODUCT(($AZ35&gt;INDEX('Methodology &amp; Sources'!$B$103:$J$109,0,7))*($AZ35-INDEX('Methodology &amp; Sources'!$B$103:$J$109,0,7))*INDEX('Methodology &amp; Sources'!$B$103:$J$109,0,7+2))),IF($AN35="MO",SUMPRODUCT(($AZ35&gt;INDEX('Methodology &amp; Sources'!$B$125:$J$132,0,1))*($AZ35-INDEX('Methodology &amp; Sources'!$B$125:$J$132,0,1))*INDEX('Methodology &amp; Sources'!$B$125:$J$132,0,1+2)),IF($AN35="MT",IF($AU35="Head of household",SUMPRODUCT(($AZ35&gt;INDEX('Methodology &amp; Sources'!$B$137:$J$139,0,1))*($AZ35-INDEX('Methodology &amp; Sources'!$B$137:$J$139,0,1))*INDEX('Methodology &amp; Sources'!$B$137:$J$139,0,1+2)),IF($AU35="Married",SUMPRODUCT(($AZ35&gt;INDEX('Methodology &amp; Sources'!$B$125:$J$132,0,7))*($AZ35-INDEX('Methodology &amp; Sources'!$B$125:$J$132,0,7))*INDEX('Methodology &amp; Sources'!$B$125:$J$132,0,7+2)),SUMPRODUCT(($AZ35&gt;INDEX('Methodology &amp; Sources'!$B$125:$J$132,0,4))*($AZ35-INDEX('Methodology &amp; Sources'!$B$125:$J$132,0,4))*INDEX('Methodology &amp; Sources'!$B$125:$J$132,0,4+2)))),IF($AN35="ND",IF($AU35="Head of household",SUMPRODUCT(($AZ35&gt;INDEX('Methodology &amp; Sources'!$B$144:$J$150,0,1))*($AZ35-INDEX('Methodology &amp; Sources'!$B$144:$J$150,0,1))*INDEX('Methodology &amp; Sources'!$B$144:$J$150,0,1+2)),IF($AU35="Married",SUMPRODUCT(($AZ35&gt;INDEX('Methodology &amp; Sources'!$B$137:$J$139,0,7))*($AZ35-INDEX('Methodology &amp; Sources'!$B$137:$J$139,0,7))*INDEX('Methodology &amp; Sources'!$B$137:$J$139,0,7+2)),SUMPRODUCT(($AZ35&gt;INDEX('Methodology &amp; Sources'!$B$137:$J$139,0,4))*($AZ35-INDEX('Methodology &amp; Sources'!$B$137:$J$139,0,4))*INDEX('Methodology &amp; Sources'!$B$137:$J$139,0,4+2)))),IF($AN35="NJ",IF(Inputs!$C$77="B",SUMPRODUCT(($AZ35&gt;INDEX('Methodology &amp; Sources'!$B$155:$J$162,0,4))*($AZ35-INDEX('Methodology &amp; Sources'!$B$155:$J$162,0,4))*INDEX('Methodology &amp; Sources'!$B$155:$J$162,0,4+2)),IF(Inputs!$C$77="C",SUMPRODUCT(($AZ35&gt;INDEX('Methodology &amp; Sources'!$B$155:$J$162,0,7))*($AZ35-INDEX('Methodology &amp; Sources'!$B$155:$J$162,0,7))*INDEX('Methodology &amp; Sources'!$B$155:$J$162,0,7+2)),IF(Inputs!$C$77="D",SUMPRODUCT(($AZ35&gt;INDEX('Methodology &amp; Sources'!$B$167:$J$179,0,1))*($AZ35-INDEX('Methodology &amp; Sources'!$B$167:$J$179,0,1))*INDEX('Methodology &amp; Sources'!$B$167:$J$179,0,1+2)),IF(Inputs!$C$77="E",SUMPRODUCT(($AZ35&gt;INDEX('Methodology &amp; Sources'!$B$167:$J$179,0,4))*($AZ35-INDEX('Methodology &amp; Sources'!$B$167:$J$179,0,4))*INDEX('Methodology &amp; Sources'!$B$167:$J$179,0,4+2)),SUMPRODUCT(($AZ35&gt;INDEX('Methodology &amp; Sources'!$B$155:$J$162,0,1))*($AZ35-INDEX('Methodology &amp; Sources'!$B$155:$J$162,0,1))*INDEX('Methodology &amp; Sources'!$B$155:$J$162,0,1+2)))))),IF($AN35="NY",IF($AU35="Married",IF($AZ35&gt;=2155350,$AZ35*IF($AZ35&gt;25000000,0.117,IF($AZ35&gt;5000000,0.111,0.1045)),SUMPRODUCT(($AZ35&gt;INDEX('Methodology &amp; Sources'!$B$184:$J$198,0,1))*($AZ35-INDEX('Methodology &amp; Sources'!$B$184:$J$198,0,1))*INDEX('Methodology &amp; Sources'!$B$184:$J$198,0,1+2))),IF($AZ35&gt;=1077550,$AZ35*IF($AZ35&gt;25000000,0.117,IF($AZ35&gt;5000000,0.111,0.1045)),SUMPRODUCT(($AZ35&gt;INDEX('Methodology &amp; Sources'!$B$167:$J$179,0,7))*($AZ35-INDEX('Methodology &amp; Sources'!$B$167:$J$179,0,7))*INDEX('Methodology &amp; Sources'!$B$167:$J$179,0,7+2)))),"")))))))</f>
      </c>
      <c r="BX35" s="7">
        <f>IF($B35="","",IF($AN35="AL",IF(OR($AU35="Married",$AU35="Head of household"),SUMPRODUCT(($AZ35&gt;INDEX('Methodology &amp; Sources'!$B$82:$J$86,0,4))*($AZ35-INDEX('Methodology &amp; Sources'!$B$82:$J$86,0,4))*INDEX('Methodology &amp; Sources'!$B$82:$J$86,0,4+2)),SUMPRODUCT(($AZ35&gt;INDEX('Methodology &amp; Sources'!$B$82:$J$86,0,1))*($AZ35-INDEX('Methodology &amp; Sources'!$B$82:$J$86,0,1))*INDEX('Methodology &amp; Sources'!$B$82:$J$86,0,1+2))),IF($AN35="KS",IF($AU35="Married",SUMPRODUCT(($AZ35&gt;INDEX('Methodology &amp; Sources'!$B$103:$J$109,0,4))*($AZ35-INDEX('Methodology &amp; Sources'!$B$103:$J$109,0,4))*INDEX('Methodology &amp; Sources'!$B$103:$J$109,0,4+2)),SUMPRODUCT(($AZ35&gt;INDEX('Methodology &amp; Sources'!$B$103:$J$109,0,1))*($AZ35-INDEX('Methodology &amp; Sources'!$B$103:$J$109,0,1))*INDEX('Methodology &amp; Sources'!$B$103:$J$109,0,1+2))),IF($AN35="MN",IF($AU35="Married",SUMPRODUCT(($AZ35&gt;INDEX('Methodology &amp; Sources'!$B$114:$J$120,0,7))*($AZ35-INDEX('Methodology &amp; Sources'!$B$114:$J$120,0,7))*INDEX('Methodology &amp; Sources'!$B$114:$J$120,0,7+2)),SUMPRODUCT(($AZ35&gt;INDEX('Methodology &amp; Sources'!$B$114:$J$120,0,4))*($AZ35-INDEX('Methodology &amp; Sources'!$B$114:$J$120,0,4))*INDEX('Methodology &amp; Sources'!$B$114:$J$120,0,4+2))),IF($AN35="NE",MAX(IF($AU35="Married",SUMPRODUCT(($AZ35&gt;INDEX('Methodology &amp; Sources'!$B$144:$J$150,0,7))*($AZ35-INDEX('Methodology &amp; Sources'!$B$144:$J$150,0,7))*INDEX('Methodology &amp; Sources'!$B$144:$J$150,0,7+2)),SUMPRODUCT(($AZ35&gt;INDEX('Methodology &amp; Sources'!$B$144:$J$150,0,4))*($AZ35-INDEX('Methodology &amp; Sources'!$B$144:$J$150,0,4))*INDEX('Methodology &amp; Sources'!$B$144:$J$150,0,4+2))),0.015*$AZ35),IF($AN35="OH",IF($B35&gt;=DATE(2027,8,1),SUMPRODUCT(($AZ35&gt;INDEX('Methodology &amp; Sources'!$B$203:$J$206,0,1))*($AZ35-INDEX('Methodology &amp; Sources'!$B$203:$J$206,0,1))*INDEX('Methodology &amp; Sources'!$B$203:$J$206,0,1+2)),SUMPRODUCT(($AZ35&gt;INDEX('Methodology &amp; Sources'!$B$184:$J$198,0,7))*($AZ35-INDEX('Methodology &amp; Sources'!$B$184:$J$198,0,7))*INDEX('Methodology &amp; Sources'!$B$184:$J$198,0,7+2))),IF($AN35="OK",IF($AU35="Married",SUMPRODUCT(($AZ35&gt;INDEX('Methodology &amp; Sources'!$B$203:$J$206,0,7))*($AZ35-INDEX('Methodology &amp; Sources'!$B$203:$J$206,0,7))*INDEX('Methodology &amp; Sources'!$B$203:$J$206,0,7+2)),SUMPRODUCT(($AZ35&gt;INDEX('Methodology &amp; Sources'!$B$203:$J$206,0,4))*($AZ35-INDEX('Methodology &amp; Sources'!$B$203:$J$206,0,4))*INDEX('Methodology &amp; Sources'!$B$203:$J$206,0,4+2))),IF($AN35="RI",SUMPRODUCT(($AZ35&gt;INDEX('Methodology &amp; Sources'!$B$211:$J$214,0,7))*($AZ35-INDEX('Methodology &amp; Sources'!$B$211:$J$214,0,7))*INDEX('Methodology &amp; Sources'!$B$211:$J$214,0,7+2)),IF($AN35="VT",IF($AU35="Married",SUMPRODUCT(($AZ35&gt;INDEX('Methodology &amp; Sources'!$B$228:$J$232,0,1))*($AZ35-INDEX('Methodology &amp; Sources'!$B$228:$J$232,0,1))*INDEX('Methodology &amp; Sources'!$B$228:$J$232,0,1+2)),SUMPRODUCT(($AZ35&gt;INDEX('Methodology &amp; Sources'!$B$219:$J$223,0,7))*($AZ35-INDEX('Methodology &amp; Sources'!$B$219:$J$223,0,7))*INDEX('Methodology &amp; Sources'!$B$219:$J$223,0,7+2))),IF($AN35="WV",IF($AU35="Married",SUMPRODUCT(($AZ35&gt;INDEX('Methodology &amp; Sources'!$B$237:$J$241,0,7))*($AZ35-INDEX('Methodology &amp; Sources'!$B$237:$J$241,0,7))*INDEX('Methodology &amp; Sources'!$B$237:$J$241,0,7+2)),SUMPRODUCT(($AZ35&gt;INDEX('Methodology &amp; Sources'!$B$228:$J$232,0,7))*($AZ35-INDEX('Methodology &amp; Sources'!$B$228:$J$232,0,7))*INDEX('Methodology &amp; Sources'!$B$228:$J$232,0,7+2))),""))))))))))</f>
      </c>
      <c r="BY35" s="7">
        <f>IF($B35="","",IF($AN35="AR",SUMPRODUCT(($AZ35&gt;INDEX('Methodology &amp; Sources'!$B$82:$J$86,0,7))*($AZ35-INDEX('Methodology &amp; Sources'!$B$82:$J$86,0,7))*INDEX('Methodology &amp; Sources'!$B$82:$J$86,0,7+2)),IF($AN35="DE",SUMPRODUCT(($AZ35&gt;INDEX('Methodology &amp; Sources'!$B$91:$J$98,0,1))*($AZ35-INDEX('Methodology &amp; Sources'!$B$91:$J$98,0,1))*INDEX('Methodology &amp; Sources'!$B$91:$J$98,0,1+2)),IF($AN35="HI",IF($AU35="Married",SUMPRODUCT(($AZ35&gt;INDEX('Methodology &amp; Sources'!$B$91:$J$98,0,7))*($AZ35-INDEX('Methodology &amp; Sources'!$B$91:$J$98,0,7))*INDEX('Methodology &amp; Sources'!$B$91:$J$98,0,7+2)),SUMPRODUCT(($AZ35&gt;INDEX('Methodology &amp; Sources'!$B$91:$J$98,0,4))*($AZ35-INDEX('Methodology &amp; Sources'!$B$91:$J$98,0,4))*INDEX('Methodology &amp; Sources'!$B$91:$J$98,0,4+2))),IF($AN35="SC",SUMPRODUCT(($AZ35&gt;INDEX('Methodology &amp; Sources'!$B$219:$J$223,0,1))*($AZ35-INDEX('Methodology &amp; Sources'!$B$219:$J$223,0,1))*INDEX('Methodology &amp; Sources'!$B$219:$J$223,0,1+2)),IF($AN35="VA",SUMPRODUCT(($AZ35&gt;INDEX('Methodology &amp; Sources'!$B$219:$J$223,0,4))*($AZ35-INDEX('Methodology &amp; Sources'!$B$219:$J$223,0,4))*INDEX('Methodology &amp; Sources'!$B$219:$J$223,0,4+2)),IF($AN35="WI",SUMPRODUCT(($AZ35&gt;INDEX('Methodology &amp; Sources'!$B$228:$J$232,0,4))*($AZ35-INDEX('Methodology &amp; Sources'!$B$228:$J$232,0,4))*INDEX('Methodology &amp; Sources'!$B$228:$J$232,0,4+2)),"")))))))</f>
      </c>
      <c r="BZ35" s="24">
        <f>IF($B35="","",IF($AN35="NJ",IF(Inputs!$C$77="B",SUMPRODUCT(($AZ35&gt;=INDEX('Methodology &amp; Sources'!$B$155:$J$162,0,4))*INDEX('Methodology &amp; Sources'!$B$155:$J$162,0,4+2)),IF(Inputs!$C$77="C",SUMPRODUCT(($AZ35&gt;=INDEX('Methodology &amp; Sources'!$B$155:$J$162,0,7))*INDEX('Methodology &amp; Sources'!$B$155:$J$162,0,7+2)),IF(Inputs!$C$77="D",SUMPRODUCT(($AZ35&gt;=INDEX('Methodology &amp; Sources'!$B$167:$J$179,0,1))*INDEX('Methodology &amp; Sources'!$B$167:$J$179,0,1+2)),IF(Inputs!$C$77="E",SUMPRODUCT(($AZ35&gt;=INDEX('Methodology &amp; Sources'!$B$167:$J$179,0,4))*INDEX('Methodology &amp; Sources'!$B$167:$J$179,0,4+2)),SUMPRODUCT(($AZ35&gt;=INDEX('Methodology &amp; Sources'!$B$155:$J$162,0,1))*INDEX('Methodology &amp; Sources'!$B$155:$J$162,0,1+2)))))),IF($AN35="OR",IF(OR($AU35="Married",AND($AU35="Single",$AS35&gt;=3)),SUMPRODUCT((MAX(0,$AY35-MIN(($P35-'Methodology &amp; Sources'!$C$10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Sources'!$B$211:$J$214,0,4))*INDEX('Methodology &amp; Sources'!$B$211:$J$214,0,4+2)),SUMPRODUCT((MAX(0,$AY35-MIN(($P35-'Methodology &amp; Sources'!$C$10*$D35)*Inputs!$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Sources'!$B$211:$J$214,0,1))*INDEX('Methodology &amp; Sources'!$B$211:$J$214,0,1+2)))*IF(($P35-'Methodology &amp; Sources'!$C$10*$D35)*Inputs!$C$8&gt;=IF(OR($AU35="Married",AND($AU35="Single",$AS35&gt;=3)),IF($AY35&lt;250000,8750,IF($AY35&lt;260000,7000,IF($AY35&lt;270000,5250,IF($AY35&lt;280000,3500,IF($AY35&lt;290000,1750,0))))),IF($AY35&lt;125000,8750,IF($AY35&lt;130000,7000,IF($AY35&lt;135000,5250,IF($AY35&lt;140000,3500,IF($AY35&lt;145000,1750,0)))))),1,1-IF(Inputs!$C$13,SUMPRODUCT(($AH35&gt;=INDEX('Methodology &amp; Sources'!$B$29:$J$36,0,IF(Inputs!$C$12="MFJ",1,IF(Inputs!$C$12="HoH",7,4))))*INDEX('Methodology &amp; Sources'!$B$29:$J$36,0,IF(Inputs!$C$12="MFJ",1,IF(Inputs!$C$12="HoH",7,4))+2)),SUMPRODUCT(($AH35&gt;=INDEX('Methodology &amp; Sources'!$B$19:$J$26,0,IF(Inputs!$C$12="MFJ",1,IF(Inputs!$C$12="HoH",7,4))))*INDEX('Methodology &amp; Sources'!$B$19:$J$26,0,IF(Inputs!$C$12="MFJ",1,IF(Inputs!$C$12="HoH",7,4))+2)))),IF($AN35="MI",IF($AY35&gt;5900*$AS35,0.0425,0),""))))</f>
      </c>
      <c r="CA35" s="24">
        <f>IF($B35="","",IF($AN35="AL",IF(OR($AU35="Married",$AU35="Head of household"),SUMPRODUCT(($AZ35&gt;=INDEX('Methodology &amp; Sources'!$B$82:$J$86,0,4))*INDEX('Methodology &amp; Sources'!$B$82:$J$86,0,4+2)),SUMPRODUCT(($AZ35&gt;=INDEX('Methodology &amp; Sources'!$B$82:$J$86,0,1))*INDEX('Methodology &amp; Sources'!$B$82:$J$86,0,1+2)))*(1-IF(Inputs!$C$13,SUMPRODUCT(($AH35&gt;=INDEX('Methodology &amp; Sources'!$B$29:$J$36,0,IF(Inputs!$C$12="MFJ",1,IF(Inputs!$C$12="HoH",7,4))))*INDEX('Methodology &amp; Sources'!$B$29:$J$36,0,IF(Inputs!$C$12="MFJ",1,IF(Inputs!$C$12="HoH",7,4))+2)),SUMPRODUCT(($AH35&gt;=INDEX('Methodology &amp; Sources'!$B$19:$J$26,0,IF(Inputs!$C$12="MFJ",1,IF(Inputs!$C$12="HoH",7,4))))*INDEX('Methodology &amp; Sources'!$B$19:$J$26,0,IF(Inputs!$C$12="MFJ",1,IF(Inputs!$C$12="HoH",7,4))+2)))),IF($AN35="KS",IF($AU35="Married",SUMPRODUCT(($AZ35&gt;=INDEX('Methodology &amp; Sources'!$B$103:$J$109,0,4))*INDEX('Methodology &amp; Sources'!$B$103:$J$109,0,4+2)),SUMPRODUCT(($AZ35&gt;=INDEX('Methodology &amp; Sources'!$B$103:$J$109,0,1))*INDEX('Methodology &amp; Sources'!$B$103:$J$109,0,1+2))),IF($AN35="MD",IF(OR($AU35="Married",$AU35="Head of household"),SUMPRODUCT(($AZ35&gt;=INDEX('Methodology &amp; Sources'!$B$114:$J$120,0,1))*INDEX('Methodology &amp; Sources'!$B$114:$J$120,0,1+2)),SUMPRODUCT(($AZ35&gt;=INDEX('Methodology &amp; Sources'!$B$103:$J$109,0,7))*INDEX('Methodology &amp; Sources'!$B$103:$J$109,0,7+2)))+Inputs!$C$74,IF($AN35="MT",IF($AU35="Head of household",SUMPRODUCT(($AZ35&gt;=INDEX('Methodology &amp; Sources'!$B$137:$J$139,0,1))*INDEX('Methodology &amp; Sources'!$B$137:$J$139,0,1+2)),IF($AU35="Married",SUMPRODUCT(($AZ35&gt;=INDEX('Methodology &amp; Sources'!$B$125:$J$132,0,7))*INDEX('Methodology &amp; Sources'!$B$125:$J$132,0,7+2)),SUMPRODUCT(($AZ35&gt;=INDEX('Methodology &amp; Sources'!$B$125:$J$132,0,4))*INDEX('Methodology &amp; Sources'!$B$125:$J$132,0,4+2)))),IF($AN35="ND",IF($AU35="Head of household",SUMPRODUCT(($AZ35&gt;=INDEX('Methodology &amp; Sources'!$B$144:$J$150,0,1))*INDEX('Methodology &amp; Sources'!$B$144:$J$150,0,1+2)),IF($AU35="Married",SUMPRODUCT(($AZ35&gt;=INDEX('Methodology &amp; Sources'!$B$137:$J$139,0,7))*INDEX('Methodology &amp; Sources'!$B$137:$J$139,0,7+2)),SUMPRODUCT(($AZ35&gt;=INDEX('Methodology &amp; Sources'!$B$137:$J$139,0,4))*INDEX('Methodology &amp; Sources'!$B$137:$J$139,0,4+2)))),IF($AN35="NY",IF($AU35="Married",IF($AZ35&gt;=2155350,IF($AZ35&gt;25000000,0.117,IF($AZ35&gt;5000000,0.111,0.1045)),SUMPRODUCT(($AZ35&gt;=INDEX('Methodology &amp; Sources'!$B$184:$J$198,0,1))*INDEX('Methodology &amp; Sources'!$B$184:$J$198,0,1+2))),IF($AZ35&gt;=1077550,IF($AZ35&gt;25000000,0.117,IF($AZ35&gt;5000000,0.111,0.1045)),SUMPRODUCT(($AZ35&gt;=INDEX('Methodology &amp; Sources'!$B$167:$J$179,0,7))*INDEX('Methodology &amp; Sources'!$B$167:$J$179,0,7+2)))),"")))))))</f>
      </c>
      <c r="CB35" s="24">
        <f>IF($B35="","",IF($AN35="CA",SUMPRODUCT(($AJ35&gt;=INDEX('Methodology &amp; Sources'!$B$39:$J$48,0,IF($AU35="Married",4,IF($AU35="Head of household",7,1))))*INDEX('Methodology &amp; Sources'!$B$39:$J$48,0,IF($AU35="Married",4,IF($AU35="Head of household",7,1))+2)),IF($AN35="HI",IF($AU35="Married",SUMPRODUCT(($AZ35&gt;=INDEX('Methodology &amp; Sources'!$B$91:$J$98,0,7))*INDEX('Methodology &amp; Sources'!$B$91:$J$98,0,7+2)),SUMPRODUCT(($AZ35&gt;=INDEX('Methodology &amp; Sources'!$B$91:$J$98,0,4))*INDEX('Methodology &amp; Sources'!$B$91:$J$98,0,4+2))),IF($AN35="MN",IF($AU35="Married",SUMPRODUCT(($AZ35&gt;=INDEX('Methodology &amp; Sources'!$B$114:$J$120,0,7))*INDEX('Methodology &amp; Sources'!$B$114:$J$120,0,7+2)),SUMPRODUCT(($AZ35&gt;=INDEX('Methodology &amp; Sources'!$B$114:$J$120,0,4))*INDEX('Methodology &amp; Sources'!$B$114:$J$120,0,4+2))),IF($AN35="MO",SUMPRODUCT(($AZ35&gt;=INDEX('Methodology &amp; Sources'!$B$125:$J$132,0,1))*INDEX('Methodology &amp; Sources'!$B$125:$J$132,0,1+2)),IF($AN35="NE",MAX(IF($AU35="Married",SUMPRODUCT(($AZ35&gt;=INDEX('Methodology &amp; Sources'!$B$144:$J$150,0,7))*INDEX('Methodology &amp; Sources'!$B$144:$J$150,0,7+2)),SUMPRODUCT(($AZ35&gt;=INDEX('Methodology &amp; Sources'!$B$144:$J$150,0,4))*INDEX('Methodology &amp; Sources'!$B$144:$J$150,0,4+2))),0.015),IF($AN35="OH",IF($B35&gt;=DATE(2027,8,1),SUMPRODUCT(($AZ35&gt;=INDEX('Methodology &amp; Sources'!$B$203:$J$206,0,1))*INDEX('Methodology &amp; Sources'!$B$203:$J$206,0,1+2)),SUMPRODUCT(($AZ35&gt;=INDEX('Methodology &amp; Sources'!$B$184:$J$198,0,7))*INDEX('Methodology &amp; Sources'!$B$184:$J$198,0,7+2))),IF($AN35="OK",IF($AU35="Married",SUMPRODUCT(($AZ35&gt;=INDEX('Methodology &amp; Sources'!$B$203:$J$206,0,7))*INDEX('Methodology &amp; Sources'!$B$203:$J$206,0,7+2)),SUMPRODUCT(($AZ35&gt;=INDEX('Methodology &amp; Sources'!$B$203:$J$206,0,4))*INDEX('Methodology &amp; Sources'!$B$203:$J$206,0,4+2))),IF($AN35="RI",SUMPRODUCT(($AZ35&gt;=INDEX('Methodology &amp; Sources'!$B$211:$J$214,0,7))*INDEX('Methodology &amp; Sources'!$B$211:$J$214,0,7+2)),IF($AN35="SC",SUMPRODUCT(($AZ35&gt;=INDEX('Methodology &amp; Sources'!$B$219:$J$223,0,1))*INDEX('Methodology &amp; Sources'!$B$219:$J$223,0,1+2)),IF($AN35="VT",IF($AU35="Married",SUMPRODUCT(($AZ35&gt;=INDEX('Methodology &amp; Sources'!$B$228:$J$232,0,1))*INDEX('Methodology &amp; Sources'!$B$228:$J$232,0,1+2)),SUMPRODUCT(($AZ35&gt;=INDEX('Methodology &amp; Sources'!$B$219:$J$223,0,7))*INDEX('Methodology &amp; Sources'!$B$219:$J$223,0,7+2))),IF($AN35="WV",IF($AU35="Married",SUMPRODUCT(($AZ35&gt;=INDEX('Methodology &amp; Sources'!$B$237:$J$241,0,7))*INDEX('Methodology &amp; Sources'!$B$237:$J$241,0,7+2)),SUMPRODUCT(($AZ35&gt;=INDEX('Methodology &amp; Sources'!$B$228:$J$232,0,7))*INDEX('Methodology &amp; Sources'!$B$228:$J$232,0,7+2))),IF($AN35="IN",(0.0295+Inputs!$C$76),"")))))))))))))</f>
      </c>
      <c r="CC35" s="24">
        <f>IF($B35="","",IF($AN35="AR",SUMPRODUCT(($AZ35&gt;=INDEX('Methodology &amp; Sources'!$B$82:$J$86,0,7))*INDEX('Methodology &amp; Sources'!$B$82:$J$86,0,7+2)),IF($AN35="DE",SUMPRODUCT(($AZ35&gt;=INDEX('Methodology &amp; Sources'!$B$91:$J$98,0,1))*INDEX('Methodology &amp; Sources'!$B$91:$J$98,0,1+2)),IF($AN35="VA",SUMPRODUCT(($AZ35&gt;=INDEX('Methodology &amp; Sources'!$B$219:$J$223,0,4))*INDEX('Methodology &amp; Sources'!$B$219:$J$223,0,4+2)),IF($AN35="WI",SUMPRODUCT(($AZ35&gt;=INDEX('Methodology &amp; Sources'!$B$228:$J$232,0,4))*INDEX('Methodology &amp; Sources'!$B$228:$J$232,0,4+2)),IF($AN35="AZ",Inputs!$C$82,IF($AN35="CO",IF($AY35&gt;IF($AU35="Married",10000,5000),0.044,0),IF($AN35="IA",IF($AY35&gt;IF($AU35="Head of household",19500,IF($AU35="Married",26000,13000)),0.038,0),IF($AN35="ID",IF($AY35&gt;IF($AU35="Married",32000,16094),0.053,0),IF($AN35="IL",IF($AY35&gt;(2925*$AS35+1000*$AT35),0.0495,0),IF($AN35="KY",IF($AI35&gt;3360,0.035,0),IF($AN35="LA",0.0309,IF($AN35="MA",IF(MAX(0,$AY35-MIN(($BD34+$Q35+$R35+$S35),2000)-IF($AS35=0,0,IF($AS35=1,4400,1000*$AS35+3400)))&gt;=1107750,0.09,0.05),IF($AN35="MS",IF($AI35-IF($AU35="Head of household",3400,IF($AU35="Married",4600,2300))-Inputs!$C$85&gt;10000,0.04,0),IF($AN35="PA",0.0307,"")))))))))))))))</f>
      </c>
      <c r="CD35" s="21">
        <f>IF(YEAR(IF(Inputs!$C$7="Weekly",Inputs!$C$90+7*(($BE34+1)-1),IF(Inputs!$C$7="Biweekly",Inputs!$C$90+14*(($BE34+1)-1),IF(Inputs!$C$7="Semimonthly",DATE(YEAR(Inputs!$C$9),MONTH(Inputs!$C$9)+INT((($BE34+1)-1+'Rest of 2026'!$C$2)/2),MIN(DAY(Inputs!$C$9),DAY(EOMONTH(DATE(YEAR(Inputs!$C$9),MONTH(Inputs!$C$9)+INT((($BE34+1)-1+'Rest of 2026'!$C$2)/2),1),0))))+IF(MOD(($BE34+1)-1+'Rest of 2026'!$C$2,2)=1,15,0),EDATE(Inputs!$C$90,($BE34+1)-1)))))&lt;&gt;Inputs!$C$10,"",IF(Inputs!$C$7="Weekly",Inputs!$C$90+7*(($BE34+1)-1),IF(Inputs!$C$7="Biweekly",Inputs!$C$90+14*(($BE34+1)-1),IF(Inputs!$C$7="Semimonthly",DATE(YEAR(Inputs!$C$9),MONTH(Inputs!$C$9)+INT((($BE34+1)-1+'Rest of 2026'!$C$2)/2),MIN(DAY(Inputs!$C$9),DAY(EOMONTH(DATE(YEAR(Inputs!$C$9),MONTH(Inputs!$C$9)+INT((($BE34+1)-1+'Rest of 2026'!$C$2)/2),1),0))))+IF(MOD(($BE34+1)-1+'Rest of 2026'!$C$2,2)=1,15,0),EDATE(Inputs!$C$90,($BE34+1)-1)))))</f>
      </c>
      <c r="CE35" s="21">
        <f>IF(SUMPRODUCT(MIN(IF((Inputs!$C$58:$C$67&gt;MAX($B$6:$B34))*(Inputs!$C$58:$C$67&gt;=DATE(Inputs!$C$10,1,1))*(Inputs!$C$58:$C$67&lt;=DATE(Inputs!$C$10,12,31)),Inputs!$C$58:$C$67,999999)))=999999,"",SUMPRODUCT(MIN(IF((Inputs!$C$58:$C$67&gt;MAX($B$6:$B34))*(Inputs!$C$58:$C$67&gt;=DATE(Inputs!$C$10,1,1))*(Inputs!$C$58:$C$67&lt;=DATE(Inputs!$C$10,12,31)),Inputs!$C$58:$C$67,999999))))</f>
      </c>
    </row>
    <row r="36">
      <c r="A36" t="n">
        <v>31</v>
      </c>
      <c r="B36" s="21">
        <f>IF(AND($CD36="",$CE36=""),"",IF($CE36="",$CD36,IF($CD36="",$CE36,MIN($CD36,$CE36))))</f>
      </c>
      <c r="C36" s="7">
        <f>IF($B36="","",IF($BF36=0,0,IF(Inputs!$C$4="Annual salary",ROUND($AK36/IF(AND(Inputs!$C$88="Actual paydays",MONTH(Inputs!$C$90)=1),MAX(1,MAX($BE$6:$BE$68)),Inputs!$C$8),2),$AK36)))</f>
      </c>
      <c r="D36" s="7">
        <f>IF($B36="","",SUMIF(Inputs!$C$58:$C$67,$B36,Inputs!$D$58:$D$67))</f>
      </c>
      <c r="E36" s="7">
        <f>IF($B36="","",ROUND(MAX(0,MIN(IF($AL36="Percent",$AM36*($C36+$D36),$AM36),MAX(0,Inputs!$C$34-$AC35))),2))</f>
      </c>
      <c r="F36" s="7">
        <f>IF($B36="","",ROUND(MAX(0,MIN(IF(Inputs!$C$32="Percent",Inputs!$D$32*($C36+$D36),Inputs!$D$32),MAX(0,Inputs!$C$34-$AC35-$E36))),2))</f>
      </c>
      <c r="G36" s="7">
        <f>IF($B36="","",IF($BF36=0,0,ROUND(MAX(0,MIN($BL36,Inputs!$C$37-Inputs!$C$99-$BI35)),2)))</f>
      </c>
      <c r="H36" s="7">
        <f>IF($B36="","",IF(OR($BF36=0,$BQ36=1),0,ROUND(MAX(0,MIN(IF($BS36=1,ROUND(MAX(0,MIN($BJ36,'Methodology &amp; Sources'!$C$13)-$BG35)/MAX(1,MAX($BE$6:$BE$68)-($BE35)),2),ROUND(MIN($BJ36,'Methodology &amp; Sources'!$C$13)/Inputs!$C$8,2)),MIN($BJ36,'Methodology &amp; Sources'!$C$13)-$BG35)),2)))</f>
      </c>
      <c r="I36" s="7">
        <f>IF($B36="","",IF(OR($BF36=0,$BR36=1),0,ROUND(MAX(0,MIN(IF($BT36=1,ROUND(MAX(0,MIN($BK36,IF(Inputs!$C$12="MFJ",'Methodology &amp; Sources'!$C$14,'Methodology &amp; Sources'!$C$15))-$BH35)/MAX(1,MAX($BE$6:$BE$68)-($BE35)),2),ROUND(MIN($BK36,IF(Inputs!$C$12="MFJ",'Methodology &amp; Sources'!$C$14,'Methodology &amp; Sources'!$C$15))/Inputs!$C$8,2)),MIN($BK36,IF(Inputs!$C$12="MFJ",'Methodology &amp; Sources'!$C$14,'Methodology &amp; Sources'!$C$15))-$BH35)),2)))</f>
      </c>
      <c r="J36" s="7">
        <f>IF($B36="","",IF($BF36=0,0,$BM36))</f>
      </c>
      <c r="K36" s="7">
        <f>IF($B36="","",IF($BF36=0,0,$BN36+$BO36))</f>
      </c>
      <c r="L36" s="7">
        <f>IF($B36="","",IF($BF36=0,0,Inputs!$D$46))</f>
      </c>
      <c r="M36" s="7">
        <f>IF($B36="","",$C36+$D36+$L36-$E36-$G36-$H36-$I36-$J36-$K36)</f>
      </c>
      <c r="N36" s="7">
        <f>IF($B36="","",$C36+$D36+$L36-$G36-$H36-$I36-$J36-$K36)</f>
      </c>
      <c r="O36" s="7">
        <f>IF($B36="","",$C36+$D36+$L36-$E36-$H36-$I36-$J36-$K36-IF(OR($AN36="CA",$AN36="NJ"),0,$G36))</f>
      </c>
      <c r="P36" s="7">
        <f>IF($B36="","",IF(Inputs!$C$18,0,ROUND(MAX(0,IF(Inputs!$C$13,SUMPRODUCT(($AH36&gt;INDEX('Methodology &amp; Sources'!$B$29:$J$36,0,IF(Inputs!$C$12="MFJ",1,IF(Inputs!$C$12="HoH",7,4))))*($AH36-INDEX('Methodology &amp; Sources'!$B$29:$J$36,0,IF(Inputs!$C$12="MFJ",1,IF(Inputs!$C$12="HoH",7,4))))*INDEX('Methodology &amp; Sources'!$B$29:$J$36,0,IF(Inputs!$C$12="MFJ",1,IF(Inputs!$C$12="HoH",7,4))+2)),SUMPRODUCT(($AH36&gt;INDEX('Methodology &amp; Sources'!$B$19:$J$26,0,IF(Inputs!$C$12="MFJ",1,IF(Inputs!$C$12="HoH",7,4))))*($AH36-INDEX('Methodology &amp; Sources'!$B$19:$J$26,0,IF(Inputs!$C$12="MFJ",1,IF(Inputs!$C$12="HoH",7,4))))*INDEX('Methodology &amp; Sources'!$B$19:$J$26,0,IF(Inputs!$C$12="MFJ",1,IF(Inputs!$C$12="HoH",7,4))+2)))/Inputs!$C$8-$AO36/Inputs!$C$8)+$AR36+IF(Inputs!$C$89="Aggregate",MAX(0,IF(Inputs!$C$13,SUMPRODUCT((($AH36+$D36)&gt;INDEX('Methodology &amp; Sources'!$B$29:$J$36,0,IF(Inputs!$C$12="MFJ",1,IF(Inputs!$C$12="HoH",7,4))))*(($AH36+$D36)-INDEX('Methodology &amp; Sources'!$B$29:$J$36,0,IF(Inputs!$C$12="MFJ",1,IF(Inputs!$C$12="HoH",7,4))))*INDEX('Methodology &amp; Sources'!$B$29:$J$36,0,IF(Inputs!$C$12="MFJ",1,IF(Inputs!$C$12="HoH",7,4))+2)),SUMPRODUCT((($AH36+$D36)&gt;INDEX('Methodology &amp; Sources'!$B$19:$J$26,0,IF(Inputs!$C$12="MFJ",1,IF(Inputs!$C$12="HoH",7,4))))*(($AH36+$D36)-INDEX('Methodology &amp; Sources'!$B$19:$J$26,0,IF(Inputs!$C$12="MFJ",1,IF(Inputs!$C$12="HoH",7,4))))*INDEX('Methodology &amp; Sources'!$B$19:$J$26,0,IF(Inputs!$C$12="MFJ",1,IF(Inputs!$C$12="HoH",7,4))+2)))-IF(Inputs!$C$13,SUMPRODUCT(($AH36&gt;INDEX('Methodology &amp; Sources'!$B$29:$J$36,0,IF(Inputs!$C$12="MFJ",1,IF(Inputs!$C$12="HoH",7,4))))*($AH36-INDEX('Methodology &amp; Sources'!$B$29:$J$36,0,IF(Inputs!$C$12="MFJ",1,IF(Inputs!$C$12="HoH",7,4))))*INDEX('Methodology &amp; Sources'!$B$29:$J$36,0,IF(Inputs!$C$12="MFJ",1,IF(Inputs!$C$12="HoH",7,4))+2)),SUMPRODUCT(($AH36&gt;INDEX('Methodology &amp; Sources'!$B$19:$J$26,0,IF(Inputs!$C$12="MFJ",1,IF(Inputs!$C$12="HoH",7,4))))*($AH36-INDEX('Methodology &amp; Sources'!$B$19:$J$26,0,IF(Inputs!$C$12="MFJ",1,IF(Inputs!$C$12="HoH",7,4))))*INDEX('Methodology &amp; Sources'!$B$19:$J$26,0,IF(Inputs!$C$12="MFJ",1,IF(Inputs!$C$12="HoH",7,4))+2)))),'Methodology &amp; Sources'!$C$10*$D36),2)))</f>
      </c>
      <c r="Q36" s="7">
        <f>IF($B36="","",ROUND('Methodology &amp; Sources'!$C$4*MIN($N36,MAX(0,'Methodology &amp; Sources'!$C$3-($AX36+$AB35-$AW36))),2))</f>
      </c>
      <c r="R36" s="7">
        <f>IF($B36="","",ROUND('Methodology &amp; Sources'!$C$5*$N36,2))</f>
      </c>
      <c r="S36" s="7">
        <f>IF($B36="","",ROUND('Methodology &amp; Sources'!$C$6*MAX(0,MIN($N36,$AG35+$N36-'Methodology &amp; Sources'!$C$7)),2))</f>
      </c>
      <c r="T36" s="7">
        <f>IF($B36="","",IF(Inputs!$C$26,0,IF($AN36="CA",ROUND(IF($AI36&lt;=IF(($AS36+$AT36)&gt;=2,VLOOKUP($AN36,StateTables!$A$6:$AB$56,10,FALSE),VLOOKUP($AN36,StateTables!$A$6:$AB$56,9,FALSE)),0,MAX(0,SUMPRODUCT(($AJ36&gt;INDEX('Methodology &amp; Sources'!$B$39:$J$48,0,IF($AU36="Married",4,IF($AU36="Head of household",7,1))))*($AJ36-INDEX('Methodology &amp; Sources'!$B$39:$J$48,0,IF($AU36="Married",4,IF($AU36="Head of household",7,1))))*INDEX('Methodology &amp; Sources'!$B$39:$J$48,0,IF($AU36="Married",4,IF($AU36="Head of household",7,1))+2))-VLOOKUP($AN36,StateTables!$A$6:$AB$56,11,FALSE)*$AS36)/Inputs!$C$8)+Inputs!$C$25+VLOOKUP($AN36,StateTables!$A$6:$AB$56,13,FALSE)*$D36,2),IF(VLOOKUP($AN36,StateTables!$A$6:$AB$56,4,FALSE)="None",0,IF(ISNUMBER(SEARCH("MANUAL",VLOOKUP($AN36,StateTables!$A$6:$AB$56,5,FALSE))),Inputs!$C$28,ROUND(MAX(0,$BA36+$BB36)/Inputs!$C$8+Inputs!$C$25+$BC36,2))))))</f>
      </c>
      <c r="U36" s="7">
        <f>IF($B36="","",IF(VLOOKUP($AN36,StateTables!$A$6:$AB$56,24,FALSE)="flatq",IF(OR(MONTH($B36)=1,MONTH($B36)=4,MONTH($B36)=7,MONTH($B36)=10),VLOOKUP($AN36,StateTables!$A$6:$AB$56,25,FALSE),0),IF(VLOOKUP($AN36,StateTables!$A$6:$AB$56,24,FALSE)="dbl",MIN(ROUND(0.005*$N36,2),ROUND(0.6*52/Inputs!$C$8,2)),IF(OR(VLOOKUP($AN36,StateTables!$A$6:$AB$56,15,FALSE)="",VLOOKUP($AN36,StateTables!$A$6:$AB$56,15,FALSE)=0),0,ROUND(VLOOKUP($AN36,StateTables!$A$6:$AB$56,15,FALSE)*IF(OR(VLOOKUP($AN36,StateTables!$A$6:$AB$56,16,FALSE)="",VLOOKUP($AN36,StateTables!$A$6:$AB$56,16,FALSE)=0),$N36,MIN($N36,MAX(0,VLOOKUP($AN36,StateTables!$A$6:$AB$56,16,FALSE)-($AX36+$AB35-$AW36)))),2))))+IF(VLOOKUP($AN36,StateTables!$A$6:$AB$56,27,FALSE)="flatq",IF(OR(MONTH($B36)=1,MONTH($B36)=4,MONTH($B36)=7,MONTH($B36)=10),VLOOKUP($AN36,StateTables!$A$6:$AB$56,28,FALSE),0),IF(VLOOKUP($AN36,StateTables!$A$6:$AB$56,27,FALSE)="dbl",MIN(ROUND(0.005*$N36,2),ROUND(0.6*52/Inputs!$C$8,2)),IF(OR(VLOOKUP($AN36,StateTables!$A$6:$AB$56,18,FALSE)="",VLOOKUP($AN36,StateTables!$A$6:$AB$56,18,FALSE)=0),0,ROUND(VLOOKUP($AN36,StateTables!$A$6:$AB$56,18,FALSE)*IF(OR(VLOOKUP($AN36,StateTables!$A$6:$AB$56,19,FALSE)="",VLOOKUP($AN36,StateTables!$A$6:$AB$56,19,FALSE)=0),$N36,MIN($N36,MAX(0,VLOOKUP($AN36,StateTables!$A$6:$AB$56,19,FALSE)-($AX36+$AB35-$AW36)))),2)))))</f>
      </c>
      <c r="V36" s="7">
        <f>IF($B36="","",IF($AN36="NY",IF(Inputs!$C$78,ROUND(SUMPRODUCT((MAX(0,($O36-$D36)*Inputs!$C$8-(IF($AU36="Married",5500,5000)+1000*$AS36))&gt;INDEX('Methodology &amp; Sources'!$B$184:$J$198,0,4))*(MAX(0,($O36-$D36)*Inputs!$C$8-(IF($AU36="Married",5500,5000)+1000*$AS36))-INDEX('Methodology &amp; Sources'!$B$184:$J$198,0,4))*INDEX('Methodology &amp; Sources'!$B$184:$J$198,0,4+2))/Inputs!$C$8+0.0425*$D36,2),0)+IF(Inputs!$C$79="Resident",ROUND(0.1675*$T36,2),IF(Inputs!$C$79="Nonresident",ROUND(0.005*MAX(0,($O36-$D36)-(IF($AU36="Married",7950,7400)+1000*$AS36)/Inputs!$C$8),2),0)),IF($AN36="PA",IF(Inputs!$C$80="None",Inputs!$C$27+ROUND(Inputs!$C$81*($C36+$D36),2),ROUND(IF(Inputs!$C$80="Resident",IF($B36&lt;DATE(2027,7,1),0.03735,0.03735),IF($B36&lt;DATE(2027,7,1),0.03425,0.03425))*($C36+$D36),2)),IF($BF36=0,ROUND(Inputs!$C$81*($C36+$D36),2),Inputs!$C$27+ROUND(Inputs!$C$81*($C36+$D36),2)))))</f>
      </c>
      <c r="W36" s="7">
        <f>IF($B36="","",IF($BF36=0,0,$BP36))</f>
      </c>
      <c r="X36" s="7">
        <f>IF($B36="","",SUM($E36:$K36)+$P36+$Q36+$R36+$S36+$T36+$U36+$V36+$W36)</f>
      </c>
      <c r="Y36" s="22">
        <f>IF($B36="","",$C36+$D36-$X36)</f>
      </c>
      <c r="Z36" s="7">
        <f>IF($B36="","",$Z35+$C36+$D36)</f>
      </c>
      <c r="AA36" s="7">
        <f>IF($B36="","",$AA35+$Y36)</f>
      </c>
      <c r="AB36" s="7">
        <f>IF($B36="","",$AB35+MIN($N36,MAX(0,'Methodology &amp; Sources'!$C$3-($AX36+$AB35-$AW36))))</f>
      </c>
      <c r="AC36" s="7">
        <f>IF($B36="","",$AC35+$E36+$F36)</f>
      </c>
      <c r="AD36" s="3">
        <f>IF($B36="","",IF(AND($AB35&lt;'Methodology &amp; Sources'!$C$3,$AB36&gt;='Methodology &amp; Sources'!$C$3),"★ Social Security maxed on this check — from the next check your net rises by about $"&amp;TEXT(ROUND('Methodology &amp; Sources'!$C$4*$N36,2),"#,##0.00")&amp;". ","")&amp;IF(AND($AC35&lt;Inputs!$C$34,$AC36&gt;=Inputs!$C$34),"★ 401(k) reaches the $"&amp;TEXT(Inputs!$C$34,"#,##0")&amp;" cap on this check — deferrals stop and net pay rises. ","")&amp;IF(AND($AG35&lt;'Methodology &amp; Sources'!$C$7,$AG36&gt;='Methodology &amp; Sources'!$C$7),"★ Wages pass $200,000 — the 0.9% Additional Medicare Tax starts here. ","")&amp;IF(AND($BJ36&gt;0,$H36&gt;0,$BG35&lt;MIN($BJ36,'Methodology &amp; Sources'!$C$13),$BG35+$H36&gt;=MIN($BJ36,'Methodology &amp; Sources'!$C$13)),"★ Health FSA election is now fully deferred for the year. ",""))</f>
      </c>
      <c r="AE36" s="41" t="n"/>
      <c r="AF36" s="7">
        <f>IF(OR($B36="",$AE36=""),"",$AE36-$Y36)</f>
      </c>
      <c r="AG36" s="7">
        <f>IF($B36="","",$AG35+$N36)</f>
      </c>
      <c r="AH36" s="7">
        <f>IF($B36="","",MAX(0,($M36-$D36)*Inputs!$C$8+$AP36-$AQ36-IF(Inputs!$C$13,0,IF(Inputs!$C$12="MFJ",'Methodology &amp; Sources'!$C$8,'Methodology &amp; Sources'!$C$9))))</f>
      </c>
      <c r="AI36" s="7">
        <f>IF($B36="","",$O36*Inputs!$C$8)</f>
      </c>
      <c r="AJ36" s="7">
        <f>IF($B36="","",MAX(0,$AI36-VLOOKUP($AN36,StateTables!$A$6:$AB$56,12,FALSE)*$AT36-IF(($AS36+$AT36)&gt;=2,VLOOKUP($AN36,StateTables!$A$6:$AB$56,8,FALSE),VLOOKUP($AN36,StateTables!$A$6:$AB$56,7,FALSE))))</f>
      </c>
      <c r="AK36" s="7">
        <f>IF($B36="","",IFERROR(LOOKUP(2,1/((Events!$C$6:$C$17="Salary change")*(Events!$B$6:$B$17&lt;=$B36)*(Events!$B$6:$B$17&lt;&gt;"")),Events!$D$6:$D$17),IF(Inputs!$C$4="Annual salary",Inputs!$C$5,Inputs!$C$6)))</f>
      </c>
      <c r="AL36">
        <f>IF($B36="","",IFERROR(LOOKUP(2,1/((Events!$C$6:$C$17="401(k) change")*(Events!$B$6:$B$17&lt;=$B36)*(Events!$B$6:$B$17&lt;&gt;"")),Events!$D$6:$D$17),Inputs!$C$30))</f>
      </c>
      <c r="AM36" s="7">
        <f>IF($B36="","",IFERROR(LOOKUP(2,1/((Events!$C$6:$C$17="401(k) change")*(Events!$B$6:$B$17&lt;=$B36)*(Events!$B$6:$B$17&lt;&gt;"")),Events!$E$6:$E$17),Inputs!$D$30))</f>
      </c>
      <c r="AN36">
        <f>IF($B36="","",IFERROR(LOOKUP(2,1/((Events!$C$6:$C$17="State move")*(Events!$B$6:$B$17&lt;=$B36)*(Events!$B$6:$B$17&lt;&gt;"")),Events!$D$6:$D$17),Inputs!$C$21))</f>
      </c>
      <c r="AO36" s="7">
        <f>IF($B36="","",IFERROR(LOOKUP(2,1/((Events!$C$6:$C$17="W-4 change")*(Events!$B$6:$B$17&lt;=$B36)*(Events!$B$6:$B$17&lt;&gt;"")),Events!$D$6:$D$17),Inputs!$C$14))</f>
      </c>
      <c r="AP36" s="7">
        <f>IF($B36="","",IFERROR(LOOKUP(2,1/((Events!$C$6:$C$17="W-4 change")*(Events!$B$6:$B$17&lt;=$B36)*(Events!$B$6:$B$17&lt;&gt;"")),Events!$E$6:$E$17),Inputs!$C$15))</f>
      </c>
      <c r="AQ36" s="7">
        <f>IF($B36="","",IFERROR(LOOKUP(2,1/((Events!$C$6:$C$17="W-4 change")*(Events!$B$6:$B$17&lt;=$B36)*(Events!$B$6:$B$17&lt;&gt;"")),Events!$F$6:$F$17),Inputs!$C$16))</f>
      </c>
      <c r="AR36" s="7">
        <f>IF($B36="","",IFERROR(LOOKUP(2,1/((Events!$C$6:$C$17="W-4 change")*(Events!$B$6:$B$17&lt;=$B36)*(Events!$B$6:$B$17&lt;&gt;"")),Events!$G$6:$G$17),Inputs!$C$17))</f>
      </c>
      <c r="AS36" s="6">
        <f>IF($B36="","",IFERROR(LOOKUP(2,1/(((Events!$C$6:$C$17="State move")+(Events!$C$6:$C$17="State cert change"))*(Events!$B$6:$B$17&lt;=$B36)*(Events!$B$6:$B$17&lt;&gt;"")),Events!$F$6:$F$17),Inputs!$C$23))</f>
      </c>
      <c r="AT36" s="6">
        <f>IF($B36="","",IFERROR(LOOKUP(2,1/(((Events!$C$6:$C$17="State move")+(Events!$C$6:$C$17="State cert change"))*(Events!$B$6:$B$17&lt;=$B36)*(Events!$B$6:$B$17&lt;&gt;"")),Events!$G$6:$G$17),Inputs!$C$24))</f>
      </c>
      <c r="AU36">
        <f>IF($B36="","",IFERROR(LOOKUP(2,1/((Events!$C$6:$C$17="State move")*(Events!$B$6:$B$17&lt;=$B36)*(Events!$B$6:$B$17&lt;&gt;"")),Events!$E$6:$E$17),Inputs!$C$22))</f>
      </c>
      <c r="AV36" s="6">
        <f>IF($B36="","",1+COUNTIFS(Events!$C$6:$C$17,"Employer change",Events!$B$6:$B$17,"&lt;="&amp;$B36,Events!$B$6:$B$17,"&lt;&gt;"))</f>
      </c>
      <c r="AW36" s="7">
        <f>IF($B36="","",IF($AV36=1,Inputs!$C$94,IF(IFERROR(MATCH(IFERROR(LOOKUP(2,1/((Events!$C$6:$C$17="Employer change")*(Events!$B$6:$B$17&lt;=$B36)*(Events!$B$6:$B$17&lt;&gt;"")),Events!$B$6:$B$17),""),$B$6:$B$68,1),1)&lt;=1,Inputs!$C$94,INDEX($AB$6:$AB$68,MATCH(IFERROR(LOOKUP(2,1/((Events!$C$6:$C$17="Employer change")*(Events!$B$6:$B$17&lt;=$B36)*(Events!$B$6:$B$17&lt;&gt;"")),Events!$B$6:$B$17),""),$B$6:$B$68,1)-1))))</f>
      </c>
      <c r="AX36" s="7">
        <f>IF($B36="","",IF($AV36=1,Inputs!$C$94,IFERROR(LOOKUP(2,1/((Events!$C$6:$C$17="Employer change")*(Events!$B$6:$B$17&lt;=$B36)*(Events!$B$6:$B$17&lt;&gt;"")),Events!$D$6:$D$17),0)))</f>
      </c>
      <c r="AY36" s="7">
        <f>IF($B36="","",($O36-$D36)*Inputs!$C$8)</f>
      </c>
      <c r="AZ36" s="7">
        <f>IF($B36="","",IF($AN36="AL",MAX(0,$AY36-IF($AU36="Married",IF($AY36&lt;=25999,8500,MAX(5000,8500-175*CEILING(($AY36-25999)/500,1))),IF($AU36="Head of household",IF($AY36&lt;=25999,5200,MAX(2500,5200-135*CEILING(($AY36-25999)/500,1))),IF($AY36&lt;=25999,3000,MAX(2500,3000-25*CEILING(($AY36-25999)/500,1)))))-($P36-'Methodology &amp; Sources'!$C$10*$D36)*Inputs!$C$8-IF(OR($AU36="Married",$AU36="Head of household"),3000,1500)-$AT36*IF($AY36&lt;=50000,1000,IF($AY36&lt;=100000,500,300))),IF($AN36="AR",IF(MAX(0,$AY36-2470)&lt;97701,INT(MAX(0,$AY36-2470)/100)*100+50,MAX(0,$AY36-2470)),IF($AN36="DE",MAX(0,$AI36-3250),IF($AN36="HI",MAX(0,$AI36-1144*$AS36-4350),IF($AN36="KS",MAX(0,$AI36-(9160*IF($AU36="Married",2,1)+2320*$AT36+IF($AU36="Head of household",2320,0))),IF($AN36="MD",MAX(0,$AI36-3400-3200*$AS36),IF($AN36="MN",MAX(0,$AY36-5300*$AS36),IF($AN36="MO",MAX(0,$AI36-IF($AU36="Head of household",24150,IF($AU36="Married",IF(Inputs!$C$83,16100,32200),16100))),IF($AN36="MT",$AY36,IF($AN36="ND",($C36+$L36)*Inputs!$C$8,IF($AN36="NE",MAX(0,$AY36-2440*$AS36),IF($AN36="NJ",MAX(0,$AY36-1000*$AS36),IF($AN36="NY",MAX(0,$AY36-(IF($AU36="Married",7950,7400)+1000*$AS36)),IF($AN36="OH",MAX(0,$AY36-650*$AS36),IF($AN36="OK",MAX(0,$AY36-1000*$AS36),IF($AN36="RI",MAX(0,$AI36-1000*$AS36),IF($AN36="SC",MAX(0,$AI36-5000*$AS36-IF($AS36=0,0,MIN(0.1*$AI36,7500))),IF($AN36="VA",MAX(0,$AI36-IF($AU36="Married",17500,8750)-930*$AS36-800*$AT36),IF($AN36="VT",MAX(0,$AI36-5400*$AS36),IF($AN36="WI",MAX(0,$AI36-MAX(0,IF($AU36="Married",9461-0.2*MAX(0,$AI36-25727),6702-0.12*MAX(0,$AI36-17780)))-400*$AS36),IF($AN36="WV",MAX(0,$AI36-2000*$AS36),$AI36))))))))))))))))))))))</f>
      </c>
      <c r="BA36" s="7">
        <f>IF($B36="","",IF($BW36&lt;&gt;"",$BW36,IF($BX36&lt;&gt;"",$BX36,IF($BY36&lt;&gt;"",$BY36,0))))</f>
      </c>
      <c r="BB36" s="7">
        <f>IF($B36="","",IF($AN36="AR",-29*$AS36,IF($AN36="DE",-110*$AS36,IF($AN36="MD",$AZ36*Inputs!$C$74,IF($AN36="AZ",Inputs!$C$82*($M36-$D36)*Inputs!$C$8,IF($AN36="CO",0.044*MAX(0,$AY36-IF($AU36="Married",10000,5000)),IF($AN36="IA",MAX(0,0.038*MAX(0,$AY36-IF($AU36="Head of household",19500,IF($AU36="Married",26000,13000)))-40*$AS36),IF($AN36="ID",0.053*MAX(0,$AY36-IF($AU36="Married",32000,16094)),IF($AN36="IL",0.0495*MAX(0,$AY36-(2925*$AS36+1000*$AT36)),IF($AN36="IN",(0.0295+Inputs!$C$76)*MAX(0,$AY36-(1000*$AS36+1500*$AT36+3000*Inputs!$C$86)),IF($AN36="KY",0.035*MAX(0,$AI36-3360),IF($AN36="LA",IF(Inputs!$C$84="0",0.0309*$AI36,0.0309*MAX(0,$AI36-IF(Inputs!$C$84="2",25750,12875))),IF($AN36="MA",0.05*MIN(MAX(0,$AY36-MIN(($BD35+$Q36+$R36+$S36),2000)-IF($AS36=0,0,IF($AS36=1,4400,1000*$AS36+3400))),1107750)+0.09*MAX(0,MAX(0,$AY36-MIN(($BD35+$Q36+$R36+$S36),2000)-IF($AS36=0,0,IF($AS36=1,4400,1000*$AS36+3400)))-1107750)-IF($AU36="Head of household",120,0)-110*Inputs!$C$75,IF($AN36="MI",0.0425*MAX(0,$AY36-5900*$AS36),IF($AN36="MS",0.04*MAX(0,$AI36-IF($AU36="Head of household",3400,IF($AU36="Married",4600,2300))-Inputs!$C$85-10000),IF($AN36="OR",IF(OR($AU36="Married",AND($AU36="Single",$AS36&gt;=3)),SUMPRODUCT((MAX(0,$AY36-MIN(($P36-'Methodology &amp; Sources'!$C$10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Sources'!$B$211:$J$214,0,4))*(MAX(0,$AY36-MIN(($P36-'Methodology &amp; Sources'!$C$10*$D36)*Inputs!$C$8,IF(OR($AU36="Married",AND($AU36="Single",$AS36&gt;=3)),IF($AY36&lt;250000,8750,IF($AY36&lt;260000,7000,IF($AY36&lt;270000,5250,IF($AY36&lt;280000,3500,IF($AY36&lt;290000,1750,0))))),IF($AY36&lt;125000,8750,IF($AY36&lt;130000,7000,IF($AY36&lt;135000,5250,IF($AY36&lt;140000,3500,IF($AY36&lt;145000,1750,0)))))))-IF(OR($AU36="Married",AND($AU36="Single",$AS36&gt;=3)),5820,2910))-INDEX('Methodology &amp; Sources'!$B$211:$J$214,0,4))*INDEX('Methodology &amp; Sources'!$B$211:$J$214,0,4+2)),SUMPRODUCT((MAX(0,$AY36-MIN(($P36-'Methodology &amp; Sources'!$C$10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Sources'!$B$211:$J$214,0,1))*(MAX(0,$AY36-MIN(($P36-'Methodology &amp; Sources'!$C$10*$D36)*Inputs!$C$8,IF(OR($AU36="Married",AND($AU36="Single",$AS36&gt;=3)),IF($AY36&lt;250000,8750,IF($AY36&lt;260000,7000,IF($AY36&lt;270000,5250,IF($AY36&lt;280000,3500,IF($AY36&lt;290000,1750,0))))),IF($AY36&lt;125000,8750,IF($AY36&lt;130000,7000,IF($AY36&lt;135000,5250,IF($AY36&lt;140000,3500,IF($AY36&lt;145000,1750,0)))))))-IF(OR($AU36="Married",AND($AU36="Single",$AS36&gt;=3)),5820,2910))-INDEX('Methodology &amp; Sources'!$B$211:$J$214,0,1))*INDEX('Methodology &amp; Sources'!$B$211:$J$214,0,1+2)))+263-263*IF(IF($AU36="Married",$AY36&gt;200000,$AY36&gt;100000),0,$AS36),IF($AN36="PA",0.0307*(($O36+$E36+$G36)*Inputs!$C$8),IF($AN36="NY",IF($AU36="Married",IF($AZ36&gt;=2155350,0,IF($AZ36&gt;=1077550,0.48,IF($AZ36&gt;=373200,1.21,IF($AZ36&gt;=323200,0.21,IF($AZ36&gt;=211550,-0.19,IF($AZ36&gt;=157650,-2.8,IF($AZ36&gt;=107650,-0.8,IF($AZ36&gt;=96800,0.05,IF($AZ36&gt;=80650,-0.1,IF($AZ36&gt;=13900,0.4,IF($AZ36&gt;=11700,-0.3,IF($AZ36&gt;=8500,0.5,0)))))))))))),IF($AZ36&gt;=1077550,0,IF($AZ36&gt;=265400,4.29,IF($AZ36&gt;=215400,2.29,IF($AZ36&gt;=157650,2.29,IF($AZ36&gt;=107650,0.29,IF($AZ36&gt;=96800,0.05,IF($AZ36&gt;=80650,-0.1,IF($AZ36&gt;=13900,0.4,IF($AZ36&gt;=11700,-0.3,IF($AZ36&gt;=8500,0.5,0))))))))))),0))))))))))))))))))</f>
      </c>
      <c r="BC36" s="7">
        <f>IF($B36="","",IF($AN36="AL",0.05*$D36,IF($AN36="AR",0.039*$D36,IF($AN36="ID",0.053*$D36,IF($AN36="IN",(0.0295+Inputs!$C$76)*$D36,IF($AN36="KS",0.05*$D36,IF($AN36="MA",0.09*MIN($D36,MAX(0,MAX(0,$AY36-MIN(($BD35+$Q36+$R36+$S36),2000)-IF($AS36=0,0,IF($AS36=1,4400,1000*$AS36+3400)))+$D36-1107750))+0.05*($D36-MIN($D36,MAX(0,MAX(0,$AY36-MIN(($BD35+$Q36+$R36+$S36),2000)-IF($AS36=0,0,IF($AS36=1,4400,1000*$AS36+3400)))+$D36-1107750))),IF($AN36="MD",(0.065+Inputs!$C$74)*$D36,IF($AN36="MI",0.0425*$D36,IF($AN36="MN",0.0625*$D36,IF($AN36="MO",0.047*$D36,IF($AN36="MT",0.05*$D36,IF($AN36="ND",0.015*$D36,IF($AN36="NE",0.035*$D36,IF($AN36="NJ",IF(Inputs!$C$77="B",SUMPRODUCT(($D36*Inputs!$C$8&gt;INDEX('Methodology &amp; Sources'!$B$155:$J$162,0,4))*($D36*Inputs!$C$8-INDEX('Methodology &amp; Sources'!$B$155:$J$162,0,4))*INDEX('Methodology &amp; Sources'!$B$155:$J$162,0,4+2)),IF(Inputs!$C$77="C",SUMPRODUCT(($D36*Inputs!$C$8&gt;INDEX('Methodology &amp; Sources'!$B$155:$J$162,0,7))*($D36*Inputs!$C$8-INDEX('Methodology &amp; Sources'!$B$155:$J$162,0,7))*INDEX('Methodology &amp; Sources'!$B$155:$J$162,0,7+2)),IF(Inputs!$C$77="D",SUMPRODUCT(($D36*Inputs!$C$8&gt;INDEX('Methodology &amp; Sources'!$B$167:$J$179,0,1))*($D36*Inputs!$C$8-INDEX('Methodology &amp; Sources'!$B$167:$J$179,0,1))*INDEX('Methodology &amp; Sources'!$B$167:$J$179,0,1+2)),IF(Inputs!$C$77="E",SUMPRODUCT(($D36*Inputs!$C$8&gt;INDEX('Methodology &amp; Sources'!$B$167:$J$179,0,4))*($D36*Inputs!$C$8-INDEX('Methodology &amp; Sources'!$B$167:$J$179,0,4))*INDEX('Methodology &amp; Sources'!$B$167:$J$179,0,4+2)),SUMPRODUCT(($D36*Inputs!$C$8&gt;INDEX('Methodology &amp; Sources'!$B$155:$J$162,0,1))*($D36*Inputs!$C$8-INDEX('Methodology &amp; Sources'!$B$155:$J$162,0,1))*INDEX('Methodology &amp; Sources'!$B$155:$J$162,0,1+2))))))/Inputs!$C$8,IF($AN36="NY",0.117*$D36,IF($AN36="OH",0.0275*$D36,IF($AN36="OK",0.045*$D36,IF($AN36="OR",0.08*$D36,IF($AN36="WI",IF($AY36&lt;12760,0.0354,IF($AY36&lt;25520,0.0465,IF($AY36&lt;280950,0.053,0.0765)))*$D36,0))))))))))))))))))))</f>
      </c>
      <c r="BD36" s="7">
        <f>IF($B36="","",$BD35+$Q36+$R36+$S36)</f>
      </c>
      <c r="BE36" s="6">
        <f>IF($B36="",$BE35,$BE35+$BF36)</f>
      </c>
      <c r="BF36" s="6">
        <f>IF($B36="","",IF(AND(IF(YEAR(IF(Inputs!$C$7="Weekly",Inputs!$C$90+7*(($BE35+1)-1),IF(Inputs!$C$7="Biweekly",Inputs!$C$90+14*(($BE35+1)-1),IF(Inputs!$C$7="Semimonthly",DATE(YEAR(Inputs!$C$9),MONTH(Inputs!$C$9)+INT((($BE35+1)-1+'Rest of 2026'!$C$2)/2),MIN(DAY(Inputs!$C$9),DAY(EOMONTH(DATE(YEAR(Inputs!$C$9),MONTH(Inputs!$C$9)+INT((($BE35+1)-1+'Rest of 2026'!$C$2)/2),1),0))))+IF(MOD(($BE35+1)-1+'Rest of 2026'!$C$2,2)=1,15,0),EDATE(Inputs!$C$90,($BE35+1)-1)))))&lt;&gt;Inputs!$C$10,"",IF(Inputs!$C$7="Weekly",Inputs!$C$90+7*(($BE35+1)-1),IF(Inputs!$C$7="Biweekly",Inputs!$C$90+14*(($BE35+1)-1),IF(Inputs!$C$7="Semimonthly",DATE(YEAR(Inputs!$C$9),MONTH(Inputs!$C$9)+INT((($BE35+1)-1+'Rest of 2026'!$C$2)/2),MIN(DAY(Inputs!$C$9),DAY(EOMONTH(DATE(YEAR(Inputs!$C$9),MONTH(Inputs!$C$9)+INT((($BE35+1)-1+'Rest of 2026'!$C$2)/2),1),0))))+IF(MOD(($BE35+1)-1+'Rest of 2026'!$C$2,2)=1,15,0),EDATE(Inputs!$C$90,($BE35+1)-1)))))&lt;&gt;"",$B36=IF(YEAR(IF(Inputs!$C$7="Weekly",Inputs!$C$90+7*(($BE35+1)-1),IF(Inputs!$C$7="Biweekly",Inputs!$C$90+14*(($BE35+1)-1),IF(Inputs!$C$7="Semimonthly",DATE(YEAR(Inputs!$C$9),MONTH(Inputs!$C$9)+INT((($BE35+1)-1+'Rest of 2026'!$C$2)/2),MIN(DAY(Inputs!$C$9),DAY(EOMONTH(DATE(YEAR(Inputs!$C$9),MONTH(Inputs!$C$9)+INT((($BE35+1)-1+'Rest of 2026'!$C$2)/2),1),0))))+IF(MOD(($BE35+1)-1+'Rest of 2026'!$C$2,2)=1,15,0),EDATE(Inputs!$C$90,($BE35+1)-1)))))&lt;&gt;Inputs!$C$10,"",IF(Inputs!$C$7="Weekly",Inputs!$C$90+7*(($BE35+1)-1),IF(Inputs!$C$7="Biweekly",Inputs!$C$90+14*(($BE35+1)-1),IF(Inputs!$C$7="Semimonthly",DATE(YEAR(Inputs!$C$9),MONTH(Inputs!$C$9)+INT((($BE35+1)-1+'Rest of 2026'!$C$2)/2),MIN(DAY(Inputs!$C$9),DAY(EOMONTH(DATE(YEAR(Inputs!$C$9),MONTH(Inputs!$C$9)+INT((($BE35+1)-1+'Rest of 2026'!$C$2)/2),1),0))))+IF(MOD(($BE35+1)-1+'Rest of 2026'!$C$2,2)=1,15,0),EDATE(Inputs!$C$90,($BE35+1)-1)))))),1,0))</f>
      </c>
      <c r="BG36" s="7">
        <f>IF($B36="","",$BG35+$H36)</f>
      </c>
      <c r="BH36" s="7">
        <f>IF($B36="","",$BH35+$I36)</f>
      </c>
      <c r="BI36" s="7">
        <f>IF($B36="","",$BI35+$G36)</f>
      </c>
      <c r="BJ36" s="7">
        <f>IF($B36="","",IFERROR(LOOKUP(2,1/((((Events!$C$6:$C$17="Deduction start"))*(Events!$D$6:$D$17="Health FSA"))*(Events!$B$6:$B$17&lt;=$B36)*(Events!$B$6:$B$17&lt;&gt;"")),Events!$E$6:$E$17),Inputs!$D$38))</f>
      </c>
      <c r="BK36" s="7">
        <f>IF($B36="","",IFERROR(LOOKUP(2,1/((((Events!$C$6:$C$17="Deduction start"))*(Events!$D$6:$D$17="Dependent-care FSA"))*(Events!$B$6:$B$17&lt;=$B36)*(Events!$B$6:$B$17&lt;&gt;"")),Events!$E$6:$E$17),Inputs!$D$39))</f>
      </c>
      <c r="BL36" s="7">
        <f>IF($B36="","",IFERROR(LOOKUP(2,1/((((Events!$C$6:$C$17="Deduction start")+(Events!$C$6:$C$17="Deduction stop"))*(Events!$D$6:$D$17="HSA"))*(Events!$B$6:$B$17&lt;=$B36)*(Events!$B$6:$B$17&lt;&gt;"")),Events!$I$6:$I$17),Inputs!$D$35))</f>
      </c>
      <c r="BM36" s="7">
        <f>IF($B36="","",IFERROR(LOOKUP(2,1/((((Events!$C$6:$C$17="Deduction start")+(Events!$C$6:$C$17="Deduction stop"))*(Events!$D$6:$D$17="Premiums"))*(Events!$B$6:$B$17&lt;=$B36)*(Events!$B$6:$B$17&lt;&gt;"")),Events!$I$6:$I$17),Inputs!$D$40+Inputs!$D$41+Inputs!$D$42))</f>
      </c>
      <c r="BN36" s="7">
        <f>IF($B36="","",IFERROR(LOOKUP(2,1/((((Events!$C$6:$C$17="Deduction start")+(Events!$C$6:$C$17="Deduction stop"))*(Events!$D$6:$D$17="Commuter"))*(Events!$B$6:$B$17&lt;=$B36)*(Events!$B$6:$B$17&lt;&gt;"")),Events!$I$6:$I$17),Inputs!$D$43))</f>
      </c>
      <c r="BO36" s="7">
        <f>IF($B36="","",IFERROR(LOOKUP(2,1/((((Events!$C$6:$C$17="Deduction start")+(Events!$C$6:$C$17="Deduction stop"))*(Events!$D$6:$D$17="Other pre-tax"))*(Events!$B$6:$B$17&lt;=$B36)*(Events!$B$6:$B$17&lt;&gt;"")),Events!$I$6:$I$17),Inputs!$D$44))</f>
      </c>
      <c r="BP36" s="7">
        <f>IF($B36="","",IFERROR(LOOKUP(2,1/((((Events!$C$6:$C$17="Deduction start")+(Events!$C$6:$C$17="Deduction stop"))*(Events!$D$6:$D$17="Other post-tax"))*(Events!$B$6:$B$17&lt;=$B36)*(Events!$B$6:$B$17&lt;&gt;"")),Events!$I$6:$I$17),Inputs!$D$45))</f>
      </c>
      <c r="BQ36" s="6">
        <f>IF($B36="","",IFERROR(LOOKUP(2,1/((((Events!$C$6:$C$17="Deduction start")+(Events!$C$6:$C$17="Deduction stop"))*(Events!$D$6:$D$17="Health FSA"))*(Events!$B$6:$B$17&lt;=$B36)*(Events!$B$6:$B$17&lt;&gt;"")),Events!$J$6:$J$17),0))</f>
      </c>
      <c r="BR36" s="6">
        <f>IF($B36="","",IFERROR(LOOKUP(2,1/((((Events!$C$6:$C$17="Deduction start")+(Events!$C$6:$C$17="Deduction stop"))*(Events!$D$6:$D$17="Dependent-care FSA"))*(Events!$B$6:$B$17&lt;=$B36)*(Events!$B$6:$B$17&lt;&gt;"")),Events!$J$6:$J$17),0))</f>
      </c>
      <c r="BS36" s="6">
        <f>IF($B36="","",IF(SUMPRODUCT((Events!$C$6:$C$17="Deduction start")*(Events!$B$6:$B$17&lt;=$B36)*(Events!$B$6:$B$17&lt;&gt;"")*(Events!$D$6:$D$17="Health FSA"))&gt;0,1,0))</f>
      </c>
      <c r="BT36" s="6">
        <f>IF($B36="","",IF(SUMPRODUCT((Events!$C$6:$C$17="Deduction start")*(Events!$B$6:$B$17&lt;=$B36)*(Events!$B$6:$B$17&lt;&gt;"")*(Events!$D$6:$D$17="Dependent-care FSA"))&gt;0,1,0))</f>
      </c>
      <c r="BU36" s="24">
        <f>IF($B36="","",IF(Inputs!$C$13,SUMPRODUCT(($AH36&gt;=INDEX('Methodology &amp; Sources'!$B$29:$J$36,0,IF(Inputs!$C$12="MFJ",1,IF(Inputs!$C$12="HoH",7,4))))*INDEX('Methodology &amp; Sources'!$B$29:$J$36,0,IF(Inputs!$C$12="MFJ",1,IF(Inputs!$C$12="HoH",7,4))+2)),SUMPRODUCT(($AH36&gt;=INDEX('Methodology &amp; Sources'!$B$19:$J$26,0,IF(Inputs!$C$12="MFJ",1,IF(Inputs!$C$12="HoH",7,4))))*INDEX('Methodology &amp; Sources'!$B$19:$J$26,0,IF(Inputs!$C$12="MFJ",1,IF(Inputs!$C$12="HoH",7,4))+2))))</f>
      </c>
      <c r="BV36" s="24">
        <f>IF($B36="","",IF($BZ36&lt;&gt;"",$BZ36,IF($CA36&lt;&gt;"",$CA36,IF($CB36&lt;&gt;"",$CB36,IF($CC36&lt;&gt;"",$CC36,0)))))</f>
      </c>
      <c r="BW36" s="7">
        <f>IF($B36="","",IF($AN36="MD",IF(OR($AU36="Married",$AU36="Head of household"),SUMPRODUCT(($AZ36&gt;INDEX('Methodology &amp; Sources'!$B$114:$J$120,0,1))*($AZ36-INDEX('Methodology &amp; Sources'!$B$114:$J$120,0,1))*INDEX('Methodology &amp; Sources'!$B$114:$J$120,0,1+2)),SUMPRODUCT(($AZ36&gt;INDEX('Methodology &amp; Sources'!$B$103:$J$109,0,7))*($AZ36-INDEX('Methodology &amp; Sources'!$B$103:$J$109,0,7))*INDEX('Methodology &amp; Sources'!$B$103:$J$109,0,7+2))),IF($AN36="MO",SUMPRODUCT(($AZ36&gt;INDEX('Methodology &amp; Sources'!$B$125:$J$132,0,1))*($AZ36-INDEX('Methodology &amp; Sources'!$B$125:$J$132,0,1))*INDEX('Methodology &amp; Sources'!$B$125:$J$132,0,1+2)),IF($AN36="MT",IF($AU36="Head of household",SUMPRODUCT(($AZ36&gt;INDEX('Methodology &amp; Sources'!$B$137:$J$139,0,1))*($AZ36-INDEX('Methodology &amp; Sources'!$B$137:$J$139,0,1))*INDEX('Methodology &amp; Sources'!$B$137:$J$139,0,1+2)),IF($AU36="Married",SUMPRODUCT(($AZ36&gt;INDEX('Methodology &amp; Sources'!$B$125:$J$132,0,7))*($AZ36-INDEX('Methodology &amp; Sources'!$B$125:$J$132,0,7))*INDEX('Methodology &amp; Sources'!$B$125:$J$132,0,7+2)),SUMPRODUCT(($AZ36&gt;INDEX('Methodology &amp; Sources'!$B$125:$J$132,0,4))*($AZ36-INDEX('Methodology &amp; Sources'!$B$125:$J$132,0,4))*INDEX('Methodology &amp; Sources'!$B$125:$J$132,0,4+2)))),IF($AN36="ND",IF($AU36="Head of household",SUMPRODUCT(($AZ36&gt;INDEX('Methodology &amp; Sources'!$B$144:$J$150,0,1))*($AZ36-INDEX('Methodology &amp; Sources'!$B$144:$J$150,0,1))*INDEX('Methodology &amp; Sources'!$B$144:$J$150,0,1+2)),IF($AU36="Married",SUMPRODUCT(($AZ36&gt;INDEX('Methodology &amp; Sources'!$B$137:$J$139,0,7))*($AZ36-INDEX('Methodology &amp; Sources'!$B$137:$J$139,0,7))*INDEX('Methodology &amp; Sources'!$B$137:$J$139,0,7+2)),SUMPRODUCT(($AZ36&gt;INDEX('Methodology &amp; Sources'!$B$137:$J$139,0,4))*($AZ36-INDEX('Methodology &amp; Sources'!$B$137:$J$139,0,4))*INDEX('Methodology &amp; Sources'!$B$137:$J$139,0,4+2)))),IF($AN36="NJ",IF(Inputs!$C$77="B",SUMPRODUCT(($AZ36&gt;INDEX('Methodology &amp; Sources'!$B$155:$J$162,0,4))*($AZ36-INDEX('Methodology &amp; Sources'!$B$155:$J$162,0,4))*INDEX('Methodology &amp; Sources'!$B$155:$J$162,0,4+2)),IF(Inputs!$C$77="C",SUMPRODUCT(($AZ36&gt;INDEX('Methodology &amp; Sources'!$B$155:$J$162,0,7))*($AZ36-INDEX('Methodology &amp; Sources'!$B$155:$J$162,0,7))*INDEX('Methodology &amp; Sources'!$B$155:$J$162,0,7+2)),IF(Inputs!$C$77="D",SUMPRODUCT(($AZ36&gt;INDEX('Methodology &amp; Sources'!$B$167:$J$179,0,1))*($AZ36-INDEX('Methodology &amp; Sources'!$B$167:$J$179,0,1))*INDEX('Methodology &amp; Sources'!$B$167:$J$179,0,1+2)),IF(Inputs!$C$77="E",SUMPRODUCT(($AZ36&gt;INDEX('Methodology &amp; Sources'!$B$167:$J$179,0,4))*($AZ36-INDEX('Methodology &amp; Sources'!$B$167:$J$179,0,4))*INDEX('Methodology &amp; Sources'!$B$167:$J$179,0,4+2)),SUMPRODUCT(($AZ36&gt;INDEX('Methodology &amp; Sources'!$B$155:$J$162,0,1))*($AZ36-INDEX('Methodology &amp; Sources'!$B$155:$J$162,0,1))*INDEX('Methodology &amp; Sources'!$B$155:$J$162,0,1+2)))))),IF($AN36="NY",IF($AU36="Married",IF($AZ36&gt;=2155350,$AZ36*IF($AZ36&gt;25000000,0.117,IF($AZ36&gt;5000000,0.111,0.1045)),SUMPRODUCT(($AZ36&gt;INDEX('Methodology &amp; Sources'!$B$184:$J$198,0,1))*($AZ36-INDEX('Methodology &amp; Sources'!$B$184:$J$198,0,1))*INDEX('Methodology &amp; Sources'!$B$184:$J$198,0,1+2))),IF($AZ36&gt;=1077550,$AZ36*IF($AZ36&gt;25000000,0.117,IF($AZ36&gt;5000000,0.111,0.1045)),SUMPRODUCT(($AZ36&gt;INDEX('Methodology &amp; Sources'!$B$167:$J$179,0,7))*($AZ36-INDEX('Methodology &amp; Sources'!$B$167:$J$179,0,7))*INDEX('Methodology &amp; Sources'!$B$167:$J$179,0,7+2)))),"")))))))</f>
      </c>
      <c r="BX36" s="7">
        <f>IF($B36="","",IF($AN36="AL",IF(OR($AU36="Married",$AU36="Head of household"),SUMPRODUCT(($AZ36&gt;INDEX('Methodology &amp; Sources'!$B$82:$J$86,0,4))*($AZ36-INDEX('Methodology &amp; Sources'!$B$82:$J$86,0,4))*INDEX('Methodology &amp; Sources'!$B$82:$J$86,0,4+2)),SUMPRODUCT(($AZ36&gt;INDEX('Methodology &amp; Sources'!$B$82:$J$86,0,1))*($AZ36-INDEX('Methodology &amp; Sources'!$B$82:$J$86,0,1))*INDEX('Methodology &amp; Sources'!$B$82:$J$86,0,1+2))),IF($AN36="KS",IF($AU36="Married",SUMPRODUCT(($AZ36&gt;INDEX('Methodology &amp; Sources'!$B$103:$J$109,0,4))*($AZ36-INDEX('Methodology &amp; Sources'!$B$103:$J$109,0,4))*INDEX('Methodology &amp; Sources'!$B$103:$J$109,0,4+2)),SUMPRODUCT(($AZ36&gt;INDEX('Methodology &amp; Sources'!$B$103:$J$109,0,1))*($AZ36-INDEX('Methodology &amp; Sources'!$B$103:$J$109,0,1))*INDEX('Methodology &amp; Sources'!$B$103:$J$109,0,1+2))),IF($AN36="MN",IF($AU36="Married",SUMPRODUCT(($AZ36&gt;INDEX('Methodology &amp; Sources'!$B$114:$J$120,0,7))*($AZ36-INDEX('Methodology &amp; Sources'!$B$114:$J$120,0,7))*INDEX('Methodology &amp; Sources'!$B$114:$J$120,0,7+2)),SUMPRODUCT(($AZ36&gt;INDEX('Methodology &amp; Sources'!$B$114:$J$120,0,4))*($AZ36-INDEX('Methodology &amp; Sources'!$B$114:$J$120,0,4))*INDEX('Methodology &amp; Sources'!$B$114:$J$120,0,4+2))),IF($AN36="NE",MAX(IF($AU36="Married",SUMPRODUCT(($AZ36&gt;INDEX('Methodology &amp; Sources'!$B$144:$J$150,0,7))*($AZ36-INDEX('Methodology &amp; Sources'!$B$144:$J$150,0,7))*INDEX('Methodology &amp; Sources'!$B$144:$J$150,0,7+2)),SUMPRODUCT(($AZ36&gt;INDEX('Methodology &amp; Sources'!$B$144:$J$150,0,4))*($AZ36-INDEX('Methodology &amp; Sources'!$B$144:$J$150,0,4))*INDEX('Methodology &amp; Sources'!$B$144:$J$150,0,4+2))),0.015*$AZ36),IF($AN36="OH",IF($B36&gt;=DATE(2027,8,1),SUMPRODUCT(($AZ36&gt;INDEX('Methodology &amp; Sources'!$B$203:$J$206,0,1))*($AZ36-INDEX('Methodology &amp; Sources'!$B$203:$J$206,0,1))*INDEX('Methodology &amp; Sources'!$B$203:$J$206,0,1+2)),SUMPRODUCT(($AZ36&gt;INDEX('Methodology &amp; Sources'!$B$184:$J$198,0,7))*($AZ36-INDEX('Methodology &amp; Sources'!$B$184:$J$198,0,7))*INDEX('Methodology &amp; Sources'!$B$184:$J$198,0,7+2))),IF($AN36="OK",IF($AU36="Married",SUMPRODUCT(($AZ36&gt;INDEX('Methodology &amp; Sources'!$B$203:$J$206,0,7))*($AZ36-INDEX('Methodology &amp; Sources'!$B$203:$J$206,0,7))*INDEX('Methodology &amp; Sources'!$B$203:$J$206,0,7+2)),SUMPRODUCT(($AZ36&gt;INDEX('Methodology &amp; Sources'!$B$203:$J$206,0,4))*($AZ36-INDEX('Methodology &amp; Sources'!$B$203:$J$206,0,4))*INDEX('Methodology &amp; Sources'!$B$203:$J$206,0,4+2))),IF($AN36="RI",SUMPRODUCT(($AZ36&gt;INDEX('Methodology &amp; Sources'!$B$211:$J$214,0,7))*($AZ36-INDEX('Methodology &amp; Sources'!$B$211:$J$214,0,7))*INDEX('Methodology &amp; Sources'!$B$211:$J$214,0,7+2)),IF($AN36="VT",IF($AU36="Married",SUMPRODUCT(($AZ36&gt;INDEX('Methodology &amp; Sources'!$B$228:$J$232,0,1))*($AZ36-INDEX('Methodology &amp; Sources'!$B$228:$J$232,0,1))*INDEX('Methodology &amp; Sources'!$B$228:$J$232,0,1+2)),SUMPRODUCT(($AZ36&gt;INDEX('Methodology &amp; Sources'!$B$219:$J$223,0,7))*($AZ36-INDEX('Methodology &amp; Sources'!$B$219:$J$223,0,7))*INDEX('Methodology &amp; Sources'!$B$219:$J$223,0,7+2))),IF($AN36="WV",IF($AU36="Married",SUMPRODUCT(($AZ36&gt;INDEX('Methodology &amp; Sources'!$B$237:$J$241,0,7))*($AZ36-INDEX('Methodology &amp; Sources'!$B$237:$J$241,0,7))*INDEX('Methodology &amp; Sources'!$B$237:$J$241,0,7+2)),SUMPRODUCT(($AZ36&gt;INDEX('Methodology &amp; Sources'!$B$228:$J$232,0,7))*($AZ36-INDEX('Methodology &amp; Sources'!$B$228:$J$232,0,7))*INDEX('Methodology &amp; Sources'!$B$228:$J$232,0,7+2))),""))))))))))</f>
      </c>
      <c r="BY36" s="7">
        <f>IF($B36="","",IF($AN36="AR",SUMPRODUCT(($AZ36&gt;INDEX('Methodology &amp; Sources'!$B$82:$J$86,0,7))*($AZ36-INDEX('Methodology &amp; Sources'!$B$82:$J$86,0,7))*INDEX('Methodology &amp; Sources'!$B$82:$J$86,0,7+2)),IF($AN36="DE",SUMPRODUCT(($AZ36&gt;INDEX('Methodology &amp; Sources'!$B$91:$J$98,0,1))*($AZ36-INDEX('Methodology &amp; Sources'!$B$91:$J$98,0,1))*INDEX('Methodology &amp; Sources'!$B$91:$J$98,0,1+2)),IF($AN36="HI",IF($AU36="Married",SUMPRODUCT(($AZ36&gt;INDEX('Methodology &amp; Sources'!$B$91:$J$98,0,7))*($AZ36-INDEX('Methodology &amp; Sources'!$B$91:$J$98,0,7))*INDEX('Methodology &amp; Sources'!$B$91:$J$98,0,7+2)),SUMPRODUCT(($AZ36&gt;INDEX('Methodology &amp; Sources'!$B$91:$J$98,0,4))*($AZ36-INDEX('Methodology &amp; Sources'!$B$91:$J$98,0,4))*INDEX('Methodology &amp; Sources'!$B$91:$J$98,0,4+2))),IF($AN36="SC",SUMPRODUCT(($AZ36&gt;INDEX('Methodology &amp; Sources'!$B$219:$J$223,0,1))*($AZ36-INDEX('Methodology &amp; Sources'!$B$219:$J$223,0,1))*INDEX('Methodology &amp; Sources'!$B$219:$J$223,0,1+2)),IF($AN36="VA",SUMPRODUCT(($AZ36&gt;INDEX('Methodology &amp; Sources'!$B$219:$J$223,0,4))*($AZ36-INDEX('Methodology &amp; Sources'!$B$219:$J$223,0,4))*INDEX('Methodology &amp; Sources'!$B$219:$J$223,0,4+2)),IF($AN36="WI",SUMPRODUCT(($AZ36&gt;INDEX('Methodology &amp; Sources'!$B$228:$J$232,0,4))*($AZ36-INDEX('Methodology &amp; Sources'!$B$228:$J$232,0,4))*INDEX('Methodology &amp; Sources'!$B$228:$J$232,0,4+2)),"")))))))</f>
      </c>
      <c r="BZ36" s="24">
        <f>IF($B36="","",IF($AN36="NJ",IF(Inputs!$C$77="B",SUMPRODUCT(($AZ36&gt;=INDEX('Methodology &amp; Sources'!$B$155:$J$162,0,4))*INDEX('Methodology &amp; Sources'!$B$155:$J$162,0,4+2)),IF(Inputs!$C$77="C",SUMPRODUCT(($AZ36&gt;=INDEX('Methodology &amp; Sources'!$B$155:$J$162,0,7))*INDEX('Methodology &amp; Sources'!$B$155:$J$162,0,7+2)),IF(Inputs!$C$77="D",SUMPRODUCT(($AZ36&gt;=INDEX('Methodology &amp; Sources'!$B$167:$J$179,0,1))*INDEX('Methodology &amp; Sources'!$B$167:$J$179,0,1+2)),IF(Inputs!$C$77="E",SUMPRODUCT(($AZ36&gt;=INDEX('Methodology &amp; Sources'!$B$167:$J$179,0,4))*INDEX('Methodology &amp; Sources'!$B$167:$J$179,0,4+2)),SUMPRODUCT(($AZ36&gt;=INDEX('Methodology &amp; Sources'!$B$155:$J$162,0,1))*INDEX('Methodology &amp; Sources'!$B$155:$J$162,0,1+2)))))),IF($AN36="OR",IF(OR($AU36="Married",AND($AU36="Single",$AS36&gt;=3)),SUMPRODUCT((MAX(0,$AY36-MIN(($P36-'Methodology &amp; Sources'!$C$10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Sources'!$B$211:$J$214,0,4))*INDEX('Methodology &amp; Sources'!$B$211:$J$214,0,4+2)),SUMPRODUCT((MAX(0,$AY36-MIN(($P36-'Methodology &amp; Sources'!$C$10*$D36)*Inputs!$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Sources'!$B$211:$J$214,0,1))*INDEX('Methodology &amp; Sources'!$B$211:$J$214,0,1+2)))*IF(($P36-'Methodology &amp; Sources'!$C$10*$D36)*Inputs!$C$8&gt;=IF(OR($AU36="Married",AND($AU36="Single",$AS36&gt;=3)),IF($AY36&lt;250000,8750,IF($AY36&lt;260000,7000,IF($AY36&lt;270000,5250,IF($AY36&lt;280000,3500,IF($AY36&lt;290000,1750,0))))),IF($AY36&lt;125000,8750,IF($AY36&lt;130000,7000,IF($AY36&lt;135000,5250,IF($AY36&lt;140000,3500,IF($AY36&lt;145000,1750,0)))))),1,1-IF(Inputs!$C$13,SUMPRODUCT(($AH36&gt;=INDEX('Methodology &amp; Sources'!$B$29:$J$36,0,IF(Inputs!$C$12="MFJ",1,IF(Inputs!$C$12="HoH",7,4))))*INDEX('Methodology &amp; Sources'!$B$29:$J$36,0,IF(Inputs!$C$12="MFJ",1,IF(Inputs!$C$12="HoH",7,4))+2)),SUMPRODUCT(($AH36&gt;=INDEX('Methodology &amp; Sources'!$B$19:$J$26,0,IF(Inputs!$C$12="MFJ",1,IF(Inputs!$C$12="HoH",7,4))))*INDEX('Methodology &amp; Sources'!$B$19:$J$26,0,IF(Inputs!$C$12="MFJ",1,IF(Inputs!$C$12="HoH",7,4))+2)))),IF($AN36="MI",IF($AY36&gt;5900*$AS36,0.0425,0),""))))</f>
      </c>
      <c r="CA36" s="24">
        <f>IF($B36="","",IF($AN36="AL",IF(OR($AU36="Married",$AU36="Head of household"),SUMPRODUCT(($AZ36&gt;=INDEX('Methodology &amp; Sources'!$B$82:$J$86,0,4))*INDEX('Methodology &amp; Sources'!$B$82:$J$86,0,4+2)),SUMPRODUCT(($AZ36&gt;=INDEX('Methodology &amp; Sources'!$B$82:$J$86,0,1))*INDEX('Methodology &amp; Sources'!$B$82:$J$86,0,1+2)))*(1-IF(Inputs!$C$13,SUMPRODUCT(($AH36&gt;=INDEX('Methodology &amp; Sources'!$B$29:$J$36,0,IF(Inputs!$C$12="MFJ",1,IF(Inputs!$C$12="HoH",7,4))))*INDEX('Methodology &amp; Sources'!$B$29:$J$36,0,IF(Inputs!$C$12="MFJ",1,IF(Inputs!$C$12="HoH",7,4))+2)),SUMPRODUCT(($AH36&gt;=INDEX('Methodology &amp; Sources'!$B$19:$J$26,0,IF(Inputs!$C$12="MFJ",1,IF(Inputs!$C$12="HoH",7,4))))*INDEX('Methodology &amp; Sources'!$B$19:$J$26,0,IF(Inputs!$C$12="MFJ",1,IF(Inputs!$C$12="HoH",7,4))+2)))),IF($AN36="KS",IF($AU36="Married",SUMPRODUCT(($AZ36&gt;=INDEX('Methodology &amp; Sources'!$B$103:$J$109,0,4))*INDEX('Methodology &amp; Sources'!$B$103:$J$109,0,4+2)),SUMPRODUCT(($AZ36&gt;=INDEX('Methodology &amp; Sources'!$B$103:$J$109,0,1))*INDEX('Methodology &amp; Sources'!$B$103:$J$109,0,1+2))),IF($AN36="MD",IF(OR($AU36="Married",$AU36="Head of household"),SUMPRODUCT(($AZ36&gt;=INDEX('Methodology &amp; Sources'!$B$114:$J$120,0,1))*INDEX('Methodology &amp; Sources'!$B$114:$J$120,0,1+2)),SUMPRODUCT(($AZ36&gt;=INDEX('Methodology &amp; Sources'!$B$103:$J$109,0,7))*INDEX('Methodology &amp; Sources'!$B$103:$J$109,0,7+2)))+Inputs!$C$74,IF($AN36="MT",IF($AU36="Head of household",SUMPRODUCT(($AZ36&gt;=INDEX('Methodology &amp; Sources'!$B$137:$J$139,0,1))*INDEX('Methodology &amp; Sources'!$B$137:$J$139,0,1+2)),IF($AU36="Married",SUMPRODUCT(($AZ36&gt;=INDEX('Methodology &amp; Sources'!$B$125:$J$132,0,7))*INDEX('Methodology &amp; Sources'!$B$125:$J$132,0,7+2)),SUMPRODUCT(($AZ36&gt;=INDEX('Methodology &amp; Sources'!$B$125:$J$132,0,4))*INDEX('Methodology &amp; Sources'!$B$125:$J$132,0,4+2)))),IF($AN36="ND",IF($AU36="Head of household",SUMPRODUCT(($AZ36&gt;=INDEX('Methodology &amp; Sources'!$B$144:$J$150,0,1))*INDEX('Methodology &amp; Sources'!$B$144:$J$150,0,1+2)),IF($AU36="Married",SUMPRODUCT(($AZ36&gt;=INDEX('Methodology &amp; Sources'!$B$137:$J$139,0,7))*INDEX('Methodology &amp; Sources'!$B$137:$J$139,0,7+2)),SUMPRODUCT(($AZ36&gt;=INDEX('Methodology &amp; Sources'!$B$137:$J$139,0,4))*INDEX('Methodology &amp; Sources'!$B$137:$J$139,0,4+2)))),IF($AN36="NY",IF($AU36="Married",IF($AZ36&gt;=2155350,IF($AZ36&gt;25000000,0.117,IF($AZ36&gt;5000000,0.111,0.1045)),SUMPRODUCT(($AZ36&gt;=INDEX('Methodology &amp; Sources'!$B$184:$J$198,0,1))*INDEX('Methodology &amp; Sources'!$B$184:$J$198,0,1+2))),IF($AZ36&gt;=1077550,IF($AZ36&gt;25000000,0.117,IF($AZ36&gt;5000000,0.111,0.1045)),SUMPRODUCT(($AZ36&gt;=INDEX('Methodology &amp; Sources'!$B$167:$J$179,0,7))*INDEX('Methodology &amp; Sources'!$B$167:$J$179,0,7+2)))),"")))))))</f>
      </c>
      <c r="CB36" s="24">
        <f>IF($B36="","",IF($AN36="CA",SUMPRODUCT(($AJ36&gt;=INDEX('Methodology &amp; Sources'!$B$39:$J$48,0,IF($AU36="Married",4,IF($AU36="Head of household",7,1))))*INDEX('Methodology &amp; Sources'!$B$39:$J$48,0,IF($AU36="Married",4,IF($AU36="Head of household",7,1))+2)),IF($AN36="HI",IF($AU36="Married",SUMPRODUCT(($AZ36&gt;=INDEX('Methodology &amp; Sources'!$B$91:$J$98,0,7))*INDEX('Methodology &amp; Sources'!$B$91:$J$98,0,7+2)),SUMPRODUCT(($AZ36&gt;=INDEX('Methodology &amp; Sources'!$B$91:$J$98,0,4))*INDEX('Methodology &amp; Sources'!$B$91:$J$98,0,4+2))),IF($AN36="MN",IF($AU36="Married",SUMPRODUCT(($AZ36&gt;=INDEX('Methodology &amp; Sources'!$B$114:$J$120,0,7))*INDEX('Methodology &amp; Sources'!$B$114:$J$120,0,7+2)),SUMPRODUCT(($AZ36&gt;=INDEX('Methodology &amp; Sources'!$B$114:$J$120,0,4))*INDEX('Methodology &amp; Sources'!$B$114:$J$120,0,4+2))),IF($AN36="MO",SUMPRODUCT(($AZ36&gt;=INDEX('Methodology &amp; Sources'!$B$125:$J$132,0,1))*INDEX('Methodology &amp; Sources'!$B$125:$J$132,0,1+2)),IF($AN36="NE",MAX(IF($AU36="Married",SUMPRODUCT(($AZ36&gt;=INDEX('Methodology &amp; Sources'!$B$144:$J$150,0,7))*INDEX('Methodology &amp; Sources'!$B$144:$J$150,0,7+2)),SUMPRODUCT(($AZ36&gt;=INDEX('Methodology &amp; Sources'!$B$144:$J$150,0,4))*INDEX('Methodology &amp; Sources'!$B$144:$J$150,0,4+2))),0.015),IF($AN36="OH",IF($B36&gt;=DATE(2027,8,1),SUMPRODUCT(($AZ36&gt;=INDEX('Methodology &amp; Sources'!$B$203:$J$206,0,1))*INDEX('Methodology &amp; Sources'!$B$203:$J$206,0,1+2)),SUMPRODUCT(($AZ36&gt;=INDEX('Methodology &amp; Sources'!$B$184:$J$198,0,7))*INDEX('Methodology &amp; Sources'!$B$184:$J$198,0,7+2))),IF($AN36="OK",IF($AU36="Married",SUMPRODUCT(($AZ36&gt;=INDEX('Methodology &amp; Sources'!$B$203:$J$206,0,7))*INDEX('Methodology &amp; Sources'!$B$203:$J$206,0,7+2)),SUMPRODUCT(($AZ36&gt;=INDEX('Methodology &amp; Sources'!$B$203:$J$206,0,4))*INDEX('Methodology &amp; Sources'!$B$203:$J$206,0,4+2))),IF($AN36="RI",SUMPRODUCT(($AZ36&gt;=INDEX('Methodology &amp; Sources'!$B$211:$J$214,0,7))*INDEX('Methodology &amp; Sources'!$B$211:$J$214,0,7+2)),IF($AN36="SC",SUMPRODUCT(($AZ36&gt;=INDEX('Methodology &amp; Sources'!$B$219:$J$223,0,1))*INDEX('Methodology &amp; Sources'!$B$219:$J$223,0,1+2)),IF($AN36="VT",IF($AU36="Married",SUMPRODUCT(($AZ36&gt;=INDEX('Methodology &amp; Sources'!$B$228:$J$232,0,1))*INDEX('Methodology &amp; Sources'!$B$228:$J$232,0,1+2)),SUMPRODUCT(($AZ36&gt;=INDEX('Methodology &amp; Sources'!$B$219:$J$223,0,7))*INDEX('Methodology &amp; Sources'!$B$219:$J$223,0,7+2))),IF($AN36="WV",IF($AU36="Married",SUMPRODUCT(($AZ36&gt;=INDEX('Methodology &amp; Sources'!$B$237:$J$241,0,7))*INDEX('Methodology &amp; Sources'!$B$237:$J$241,0,7+2)),SUMPRODUCT(($AZ36&gt;=INDEX('Methodology &amp; Sources'!$B$228:$J$232,0,7))*INDEX('Methodology &amp; Sources'!$B$228:$J$232,0,7+2))),IF($AN36="IN",(0.0295+Inputs!$C$76),"")))))))))))))</f>
      </c>
      <c r="CC36" s="24">
        <f>IF($B36="","",IF($AN36="AR",SUMPRODUCT(($AZ36&gt;=INDEX('Methodology &amp; Sources'!$B$82:$J$86,0,7))*INDEX('Methodology &amp; Sources'!$B$82:$J$86,0,7+2)),IF($AN36="DE",SUMPRODUCT(($AZ36&gt;=INDEX('Methodology &amp; Sources'!$B$91:$J$98,0,1))*INDEX('Methodology &amp; Sources'!$B$91:$J$98,0,1+2)),IF($AN36="VA",SUMPRODUCT(($AZ36&gt;=INDEX('Methodology &amp; Sources'!$B$219:$J$223,0,4))*INDEX('Methodology &amp; Sources'!$B$219:$J$223,0,4+2)),IF($AN36="WI",SUMPRODUCT(($AZ36&gt;=INDEX('Methodology &amp; Sources'!$B$228:$J$232,0,4))*INDEX('Methodology &amp; Sources'!$B$228:$J$232,0,4+2)),IF($AN36="AZ",Inputs!$C$82,IF($AN36="CO",IF($AY36&gt;IF($AU36="Married",10000,5000),0.044,0),IF($AN36="IA",IF($AY36&gt;IF($AU36="Head of household",19500,IF($AU36="Married",26000,13000)),0.038,0),IF($AN36="ID",IF($AY36&gt;IF($AU36="Married",32000,16094),0.053,0),IF($AN36="IL",IF($AY36&gt;(2925*$AS36+1000*$AT36),0.0495,0),IF($AN36="KY",IF($AI36&gt;3360,0.035,0),IF($AN36="LA",0.0309,IF($AN36="MA",IF(MAX(0,$AY36-MIN(($BD35+$Q36+$R36+$S36),2000)-IF($AS36=0,0,IF($AS36=1,4400,1000*$AS36+3400)))&gt;=1107750,0.09,0.05),IF($AN36="MS",IF($AI36-IF($AU36="Head of household",3400,IF($AU36="Married",4600,2300))-Inputs!$C$85&gt;10000,0.04,0),IF($AN36="PA",0.0307,"")))))))))))))))</f>
      </c>
      <c r="CD36" s="21">
        <f>IF(YEAR(IF(Inputs!$C$7="Weekly",Inputs!$C$90+7*(($BE35+1)-1),IF(Inputs!$C$7="Biweekly",Inputs!$C$90+14*(($BE35+1)-1),IF(Inputs!$C$7="Semimonthly",DATE(YEAR(Inputs!$C$9),MONTH(Inputs!$C$9)+INT((($BE35+1)-1+'Rest of 2026'!$C$2)/2),MIN(DAY(Inputs!$C$9),DAY(EOMONTH(DATE(YEAR(Inputs!$C$9),MONTH(Inputs!$C$9)+INT((($BE35+1)-1+'Rest of 2026'!$C$2)/2),1),0))))+IF(MOD(($BE35+1)-1+'Rest of 2026'!$C$2,2)=1,15,0),EDATE(Inputs!$C$90,($BE35+1)-1)))))&lt;&gt;Inputs!$C$10,"",IF(Inputs!$C$7="Weekly",Inputs!$C$90+7*(($BE35+1)-1),IF(Inputs!$C$7="Biweekly",Inputs!$C$90+14*(($BE35+1)-1),IF(Inputs!$C$7="Semimonthly",DATE(YEAR(Inputs!$C$9),MONTH(Inputs!$C$9)+INT((($BE35+1)-1+'Rest of 2026'!$C$2)/2),MIN(DAY(Inputs!$C$9),DAY(EOMONTH(DATE(YEAR(Inputs!$C$9),MONTH(Inputs!$C$9)+INT((($BE35+1)-1+'Rest of 2026'!$C$2)/2),1),0))))+IF(MOD(($BE35+1)-1+'Rest of 2026'!$C$2,2)=1,15,0),EDATE(Inputs!$C$90,($BE35+1)-1)))))</f>
      </c>
      <c r="CE36" s="21">
        <f>IF(SUMPRODUCT(MIN(IF((Inputs!$C$58:$C$67&gt;MAX($B$6:$B35))*(Inputs!$C$58:$C$67&gt;=DATE(Inputs!$C$10,1,1))*(Inputs!$C$58:$C$67&lt;=DATE(Inputs!$C$10,12,31)),Inputs!$C$58:$C$67,999999)))=999999,"",SUMPRODUCT(MIN(IF((Inputs!$C$58:$C$67&gt;MAX($B$6:$B35))*(Inputs!$C$58:$C$67&gt;=DATE(Inputs!$C$10,1,1))*(Inputs!$C$58:$C$67&lt;=DATE(Inputs!$C$10,12,31)),Inputs!$C$58:$C$67,999999))))</f>
      </c>
    </row>
    <row r="37">
      <c r="A37" t="n">
        <v>32</v>
      </c>
      <c r="B37" s="21">
        <f>IF(AND($CD37="",$CE37=""),"",IF($CE37="",$CD37,IF($CD37="",$CE37,MIN($CD37,$CE37))))</f>
      </c>
      <c r="C37" s="7">
        <f>IF($B37="","",IF($BF37=0,0,IF(Inputs!$C$4="Annual salary",ROUND($AK37/IF(AND(Inputs!$C$88="Actual paydays",MONTH(Inputs!$C$90)=1),MAX(1,MAX($BE$6:$BE$68)),Inputs!$C$8),2),$AK37)))</f>
      </c>
      <c r="D37" s="7">
        <f>IF($B37="","",SUMIF(Inputs!$C$58:$C$67,$B37,Inputs!$D$58:$D$67))</f>
      </c>
      <c r="E37" s="7">
        <f>IF($B37="","",ROUND(MAX(0,MIN(IF($AL37="Percent",$AM37*($C37+$D37),$AM37),MAX(0,Inputs!$C$34-$AC36))),2))</f>
      </c>
      <c r="F37" s="7">
        <f>IF($B37="","",ROUND(MAX(0,MIN(IF(Inputs!$C$32="Percent",Inputs!$D$32*($C37+$D37),Inputs!$D$32),MAX(0,Inputs!$C$34-$AC36-$E37))),2))</f>
      </c>
      <c r="G37" s="7">
        <f>IF($B37="","",IF($BF37=0,0,ROUND(MAX(0,MIN($BL37,Inputs!$C$37-Inputs!$C$99-$BI36)),2)))</f>
      </c>
      <c r="H37" s="7">
        <f>IF($B37="","",IF(OR($BF37=0,$BQ37=1),0,ROUND(MAX(0,MIN(IF($BS37=1,ROUND(MAX(0,MIN($BJ37,'Methodology &amp; Sources'!$C$13)-$BG36)/MAX(1,MAX($BE$6:$BE$68)-($BE36)),2),ROUND(MIN($BJ37,'Methodology &amp; Sources'!$C$13)/Inputs!$C$8,2)),MIN($BJ37,'Methodology &amp; Sources'!$C$13)-$BG36)),2)))</f>
      </c>
      <c r="I37" s="7">
        <f>IF($B37="","",IF(OR($BF37=0,$BR37=1),0,ROUND(MAX(0,MIN(IF($BT37=1,ROUND(MAX(0,MIN($BK37,IF(Inputs!$C$12="MFJ",'Methodology &amp; Sources'!$C$14,'Methodology &amp; Sources'!$C$15))-$BH36)/MAX(1,MAX($BE$6:$BE$68)-($BE36)),2),ROUND(MIN($BK37,IF(Inputs!$C$12="MFJ",'Methodology &amp; Sources'!$C$14,'Methodology &amp; Sources'!$C$15))/Inputs!$C$8,2)),MIN($BK37,IF(Inputs!$C$12="MFJ",'Methodology &amp; Sources'!$C$14,'Methodology &amp; Sources'!$C$15))-$BH36)),2)))</f>
      </c>
      <c r="J37" s="7">
        <f>IF($B37="","",IF($BF37=0,0,$BM37))</f>
      </c>
      <c r="K37" s="7">
        <f>IF($B37="","",IF($BF37=0,0,$BN37+$BO37))</f>
      </c>
      <c r="L37" s="7">
        <f>IF($B37="","",IF($BF37=0,0,Inputs!$D$46))</f>
      </c>
      <c r="M37" s="7">
        <f>IF($B37="","",$C37+$D37+$L37-$E37-$G37-$H37-$I37-$J37-$K37)</f>
      </c>
      <c r="N37" s="7">
        <f>IF($B37="","",$C37+$D37+$L37-$G37-$H37-$I37-$J37-$K37)</f>
      </c>
      <c r="O37" s="7">
        <f>IF($B37="","",$C37+$D37+$L37-$E37-$H37-$I37-$J37-$K37-IF(OR($AN37="CA",$AN37="NJ"),0,$G37))</f>
      </c>
      <c r="P37" s="7">
        <f>IF($B37="","",IF(Inputs!$C$18,0,ROUND(MAX(0,IF(Inputs!$C$13,SUMPRODUCT(($AH37&gt;INDEX('Methodology &amp; Sources'!$B$29:$J$36,0,IF(Inputs!$C$12="MFJ",1,IF(Inputs!$C$12="HoH",7,4))))*($AH37-INDEX('Methodology &amp; Sources'!$B$29:$J$36,0,IF(Inputs!$C$12="MFJ",1,IF(Inputs!$C$12="HoH",7,4))))*INDEX('Methodology &amp; Sources'!$B$29:$J$36,0,IF(Inputs!$C$12="MFJ",1,IF(Inputs!$C$12="HoH",7,4))+2)),SUMPRODUCT(($AH37&gt;INDEX('Methodology &amp; Sources'!$B$19:$J$26,0,IF(Inputs!$C$12="MFJ",1,IF(Inputs!$C$12="HoH",7,4))))*($AH37-INDEX('Methodology &amp; Sources'!$B$19:$J$26,0,IF(Inputs!$C$12="MFJ",1,IF(Inputs!$C$12="HoH",7,4))))*INDEX('Methodology &amp; Sources'!$B$19:$J$26,0,IF(Inputs!$C$12="MFJ",1,IF(Inputs!$C$12="HoH",7,4))+2)))/Inputs!$C$8-$AO37/Inputs!$C$8)+$AR37+IF(Inputs!$C$89="Aggregate",MAX(0,IF(Inputs!$C$13,SUMPRODUCT((($AH37+$D37)&gt;INDEX('Methodology &amp; Sources'!$B$29:$J$36,0,IF(Inputs!$C$12="MFJ",1,IF(Inputs!$C$12="HoH",7,4))))*(($AH37+$D37)-INDEX('Methodology &amp; Sources'!$B$29:$J$36,0,IF(Inputs!$C$12="MFJ",1,IF(Inputs!$C$12="HoH",7,4))))*INDEX('Methodology &amp; Sources'!$B$29:$J$36,0,IF(Inputs!$C$12="MFJ",1,IF(Inputs!$C$12="HoH",7,4))+2)),SUMPRODUCT((($AH37+$D37)&gt;INDEX('Methodology &amp; Sources'!$B$19:$J$26,0,IF(Inputs!$C$12="MFJ",1,IF(Inputs!$C$12="HoH",7,4))))*(($AH37+$D37)-INDEX('Methodology &amp; Sources'!$B$19:$J$26,0,IF(Inputs!$C$12="MFJ",1,IF(Inputs!$C$12="HoH",7,4))))*INDEX('Methodology &amp; Sources'!$B$19:$J$26,0,IF(Inputs!$C$12="MFJ",1,IF(Inputs!$C$12="HoH",7,4))+2)))-IF(Inputs!$C$13,SUMPRODUCT(($AH37&gt;INDEX('Methodology &amp; Sources'!$B$29:$J$36,0,IF(Inputs!$C$12="MFJ",1,IF(Inputs!$C$12="HoH",7,4))))*($AH37-INDEX('Methodology &amp; Sources'!$B$29:$J$36,0,IF(Inputs!$C$12="MFJ",1,IF(Inputs!$C$12="HoH",7,4))))*INDEX('Methodology &amp; Sources'!$B$29:$J$36,0,IF(Inputs!$C$12="MFJ",1,IF(Inputs!$C$12="HoH",7,4))+2)),SUMPRODUCT(($AH37&gt;INDEX('Methodology &amp; Sources'!$B$19:$J$26,0,IF(Inputs!$C$12="MFJ",1,IF(Inputs!$C$12="HoH",7,4))))*($AH37-INDEX('Methodology &amp; Sources'!$B$19:$J$26,0,IF(Inputs!$C$12="MFJ",1,IF(Inputs!$C$12="HoH",7,4))))*INDEX('Methodology &amp; Sources'!$B$19:$J$26,0,IF(Inputs!$C$12="MFJ",1,IF(Inputs!$C$12="HoH",7,4))+2)))),'Methodology &amp; Sources'!$C$10*$D37),2)))</f>
      </c>
      <c r="Q37" s="7">
        <f>IF($B37="","",ROUND('Methodology &amp; Sources'!$C$4*MIN($N37,MAX(0,'Methodology &amp; Sources'!$C$3-($AX37+$AB36-$AW37))),2))</f>
      </c>
      <c r="R37" s="7">
        <f>IF($B37="","",ROUND('Methodology &amp; Sources'!$C$5*$N37,2))</f>
      </c>
      <c r="S37" s="7">
        <f>IF($B37="","",ROUND('Methodology &amp; Sources'!$C$6*MAX(0,MIN($N37,$AG36+$N37-'Methodology &amp; Sources'!$C$7)),2))</f>
      </c>
      <c r="T37" s="7">
        <f>IF($B37="","",IF(Inputs!$C$26,0,IF($AN37="CA",ROUND(IF($AI37&lt;=IF(($AS37+$AT37)&gt;=2,VLOOKUP($AN37,StateTables!$A$6:$AB$56,10,FALSE),VLOOKUP($AN37,StateTables!$A$6:$AB$56,9,FALSE)),0,MAX(0,SUMPRODUCT(($AJ37&gt;INDEX('Methodology &amp; Sources'!$B$39:$J$48,0,IF($AU37="Married",4,IF($AU37="Head of household",7,1))))*($AJ37-INDEX('Methodology &amp; Sources'!$B$39:$J$48,0,IF($AU37="Married",4,IF($AU37="Head of household",7,1))))*INDEX('Methodology &amp; Sources'!$B$39:$J$48,0,IF($AU37="Married",4,IF($AU37="Head of household",7,1))+2))-VLOOKUP($AN37,StateTables!$A$6:$AB$56,11,FALSE)*$AS37)/Inputs!$C$8)+Inputs!$C$25+VLOOKUP($AN37,StateTables!$A$6:$AB$56,13,FALSE)*$D37,2),IF(VLOOKUP($AN37,StateTables!$A$6:$AB$56,4,FALSE)="None",0,IF(ISNUMBER(SEARCH("MANUAL",VLOOKUP($AN37,StateTables!$A$6:$AB$56,5,FALSE))),Inputs!$C$28,ROUND(MAX(0,$BA37+$BB37)/Inputs!$C$8+Inputs!$C$25+$BC37,2))))))</f>
      </c>
      <c r="U37" s="7">
        <f>IF($B37="","",IF(VLOOKUP($AN37,StateTables!$A$6:$AB$56,24,FALSE)="flatq",IF(OR(MONTH($B37)=1,MONTH($B37)=4,MONTH($B37)=7,MONTH($B37)=10),VLOOKUP($AN37,StateTables!$A$6:$AB$56,25,FALSE),0),IF(VLOOKUP($AN37,StateTables!$A$6:$AB$56,24,FALSE)="dbl",MIN(ROUND(0.005*$N37,2),ROUND(0.6*52/Inputs!$C$8,2)),IF(OR(VLOOKUP($AN37,StateTables!$A$6:$AB$56,15,FALSE)="",VLOOKUP($AN37,StateTables!$A$6:$AB$56,15,FALSE)=0),0,ROUND(VLOOKUP($AN37,StateTables!$A$6:$AB$56,15,FALSE)*IF(OR(VLOOKUP($AN37,StateTables!$A$6:$AB$56,16,FALSE)="",VLOOKUP($AN37,StateTables!$A$6:$AB$56,16,FALSE)=0),$N37,MIN($N37,MAX(0,VLOOKUP($AN37,StateTables!$A$6:$AB$56,16,FALSE)-($AX37+$AB36-$AW37)))),2))))+IF(VLOOKUP($AN37,StateTables!$A$6:$AB$56,27,FALSE)="flatq",IF(OR(MONTH($B37)=1,MONTH($B37)=4,MONTH($B37)=7,MONTH($B37)=10),VLOOKUP($AN37,StateTables!$A$6:$AB$56,28,FALSE),0),IF(VLOOKUP($AN37,StateTables!$A$6:$AB$56,27,FALSE)="dbl",MIN(ROUND(0.005*$N37,2),ROUND(0.6*52/Inputs!$C$8,2)),IF(OR(VLOOKUP($AN37,StateTables!$A$6:$AB$56,18,FALSE)="",VLOOKUP($AN37,StateTables!$A$6:$AB$56,18,FALSE)=0),0,ROUND(VLOOKUP($AN37,StateTables!$A$6:$AB$56,18,FALSE)*IF(OR(VLOOKUP($AN37,StateTables!$A$6:$AB$56,19,FALSE)="",VLOOKUP($AN37,StateTables!$A$6:$AB$56,19,FALSE)=0),$N37,MIN($N37,MAX(0,VLOOKUP($AN37,StateTables!$A$6:$AB$56,19,FALSE)-($AX37+$AB36-$AW37)))),2)))))</f>
      </c>
      <c r="V37" s="7">
        <f>IF($B37="","",IF($AN37="NY",IF(Inputs!$C$78,ROUND(SUMPRODUCT((MAX(0,($O37-$D37)*Inputs!$C$8-(IF($AU37="Married",5500,5000)+1000*$AS37))&gt;INDEX('Methodology &amp; Sources'!$B$184:$J$198,0,4))*(MAX(0,($O37-$D37)*Inputs!$C$8-(IF($AU37="Married",5500,5000)+1000*$AS37))-INDEX('Methodology &amp; Sources'!$B$184:$J$198,0,4))*INDEX('Methodology &amp; Sources'!$B$184:$J$198,0,4+2))/Inputs!$C$8+0.0425*$D37,2),0)+IF(Inputs!$C$79="Resident",ROUND(0.1675*$T37,2),IF(Inputs!$C$79="Nonresident",ROUND(0.005*MAX(0,($O37-$D37)-(IF($AU37="Married",7950,7400)+1000*$AS37)/Inputs!$C$8),2),0)),IF($AN37="PA",IF(Inputs!$C$80="None",Inputs!$C$27+ROUND(Inputs!$C$81*($C37+$D37),2),ROUND(IF(Inputs!$C$80="Resident",IF($B37&lt;DATE(2027,7,1),0.03735,0.03735),IF($B37&lt;DATE(2027,7,1),0.03425,0.03425))*($C37+$D37),2)),IF($BF37=0,ROUND(Inputs!$C$81*($C37+$D37),2),Inputs!$C$27+ROUND(Inputs!$C$81*($C37+$D37),2)))))</f>
      </c>
      <c r="W37" s="7">
        <f>IF($B37="","",IF($BF37=0,0,$BP37))</f>
      </c>
      <c r="X37" s="7">
        <f>IF($B37="","",SUM($E37:$K37)+$P37+$Q37+$R37+$S37+$T37+$U37+$V37+$W37)</f>
      </c>
      <c r="Y37" s="22">
        <f>IF($B37="","",$C37+$D37-$X37)</f>
      </c>
      <c r="Z37" s="7">
        <f>IF($B37="","",$Z36+$C37+$D37)</f>
      </c>
      <c r="AA37" s="7">
        <f>IF($B37="","",$AA36+$Y37)</f>
      </c>
      <c r="AB37" s="7">
        <f>IF($B37="","",$AB36+MIN($N37,MAX(0,'Methodology &amp; Sources'!$C$3-($AX37+$AB36-$AW37))))</f>
      </c>
      <c r="AC37" s="7">
        <f>IF($B37="","",$AC36+$E37+$F37)</f>
      </c>
      <c r="AD37" s="3">
        <f>IF($B37="","",IF(AND($AB36&lt;'Methodology &amp; Sources'!$C$3,$AB37&gt;='Methodology &amp; Sources'!$C$3),"★ Social Security maxed on this check — from the next check your net rises by about $"&amp;TEXT(ROUND('Methodology &amp; Sources'!$C$4*$N37,2),"#,##0.00")&amp;". ","")&amp;IF(AND($AC36&lt;Inputs!$C$34,$AC37&gt;=Inputs!$C$34),"★ 401(k) reaches the $"&amp;TEXT(Inputs!$C$34,"#,##0")&amp;" cap on this check — deferrals stop and net pay rises. ","")&amp;IF(AND($AG36&lt;'Methodology &amp; Sources'!$C$7,$AG37&gt;='Methodology &amp; Sources'!$C$7),"★ Wages pass $200,000 — the 0.9% Additional Medicare Tax starts here. ","")&amp;IF(AND($BJ37&gt;0,$H37&gt;0,$BG36&lt;MIN($BJ37,'Methodology &amp; Sources'!$C$13),$BG36+$H37&gt;=MIN($BJ37,'Methodology &amp; Sources'!$C$13)),"★ Health FSA election is now fully deferred for the year. ",""))</f>
      </c>
      <c r="AE37" s="41" t="n"/>
      <c r="AF37" s="7">
        <f>IF(OR($B37="",$AE37=""),"",$AE37-$Y37)</f>
      </c>
      <c r="AG37" s="7">
        <f>IF($B37="","",$AG36+$N37)</f>
      </c>
      <c r="AH37" s="7">
        <f>IF($B37="","",MAX(0,($M37-$D37)*Inputs!$C$8+$AP37-$AQ37-IF(Inputs!$C$13,0,IF(Inputs!$C$12="MFJ",'Methodology &amp; Sources'!$C$8,'Methodology &amp; Sources'!$C$9))))</f>
      </c>
      <c r="AI37" s="7">
        <f>IF($B37="","",$O37*Inputs!$C$8)</f>
      </c>
      <c r="AJ37" s="7">
        <f>IF($B37="","",MAX(0,$AI37-VLOOKUP($AN37,StateTables!$A$6:$AB$56,12,FALSE)*$AT37-IF(($AS37+$AT37)&gt;=2,VLOOKUP($AN37,StateTables!$A$6:$AB$56,8,FALSE),VLOOKUP($AN37,StateTables!$A$6:$AB$56,7,FALSE))))</f>
      </c>
      <c r="AK37" s="7">
        <f>IF($B37="","",IFERROR(LOOKUP(2,1/((Events!$C$6:$C$17="Salary change")*(Events!$B$6:$B$17&lt;=$B37)*(Events!$B$6:$B$17&lt;&gt;"")),Events!$D$6:$D$17),IF(Inputs!$C$4="Annual salary",Inputs!$C$5,Inputs!$C$6)))</f>
      </c>
      <c r="AL37">
        <f>IF($B37="","",IFERROR(LOOKUP(2,1/((Events!$C$6:$C$17="401(k) change")*(Events!$B$6:$B$17&lt;=$B37)*(Events!$B$6:$B$17&lt;&gt;"")),Events!$D$6:$D$17),Inputs!$C$30))</f>
      </c>
      <c r="AM37" s="7">
        <f>IF($B37="","",IFERROR(LOOKUP(2,1/((Events!$C$6:$C$17="401(k) change")*(Events!$B$6:$B$17&lt;=$B37)*(Events!$B$6:$B$17&lt;&gt;"")),Events!$E$6:$E$17),Inputs!$D$30))</f>
      </c>
      <c r="AN37">
        <f>IF($B37="","",IFERROR(LOOKUP(2,1/((Events!$C$6:$C$17="State move")*(Events!$B$6:$B$17&lt;=$B37)*(Events!$B$6:$B$17&lt;&gt;"")),Events!$D$6:$D$17),Inputs!$C$21))</f>
      </c>
      <c r="AO37" s="7">
        <f>IF($B37="","",IFERROR(LOOKUP(2,1/((Events!$C$6:$C$17="W-4 change")*(Events!$B$6:$B$17&lt;=$B37)*(Events!$B$6:$B$17&lt;&gt;"")),Events!$D$6:$D$17),Inputs!$C$14))</f>
      </c>
      <c r="AP37" s="7">
        <f>IF($B37="","",IFERROR(LOOKUP(2,1/((Events!$C$6:$C$17="W-4 change")*(Events!$B$6:$B$17&lt;=$B37)*(Events!$B$6:$B$17&lt;&gt;"")),Events!$E$6:$E$17),Inputs!$C$15))</f>
      </c>
      <c r="AQ37" s="7">
        <f>IF($B37="","",IFERROR(LOOKUP(2,1/((Events!$C$6:$C$17="W-4 change")*(Events!$B$6:$B$17&lt;=$B37)*(Events!$B$6:$B$17&lt;&gt;"")),Events!$F$6:$F$17),Inputs!$C$16))</f>
      </c>
      <c r="AR37" s="7">
        <f>IF($B37="","",IFERROR(LOOKUP(2,1/((Events!$C$6:$C$17="W-4 change")*(Events!$B$6:$B$17&lt;=$B37)*(Events!$B$6:$B$17&lt;&gt;"")),Events!$G$6:$G$17),Inputs!$C$17))</f>
      </c>
      <c r="AS37" s="6">
        <f>IF($B37="","",IFERROR(LOOKUP(2,1/(((Events!$C$6:$C$17="State move")+(Events!$C$6:$C$17="State cert change"))*(Events!$B$6:$B$17&lt;=$B37)*(Events!$B$6:$B$17&lt;&gt;"")),Events!$F$6:$F$17),Inputs!$C$23))</f>
      </c>
      <c r="AT37" s="6">
        <f>IF($B37="","",IFERROR(LOOKUP(2,1/(((Events!$C$6:$C$17="State move")+(Events!$C$6:$C$17="State cert change"))*(Events!$B$6:$B$17&lt;=$B37)*(Events!$B$6:$B$17&lt;&gt;"")),Events!$G$6:$G$17),Inputs!$C$24))</f>
      </c>
      <c r="AU37">
        <f>IF($B37="","",IFERROR(LOOKUP(2,1/((Events!$C$6:$C$17="State move")*(Events!$B$6:$B$17&lt;=$B37)*(Events!$B$6:$B$17&lt;&gt;"")),Events!$E$6:$E$17),Inputs!$C$22))</f>
      </c>
      <c r="AV37" s="6">
        <f>IF($B37="","",1+COUNTIFS(Events!$C$6:$C$17,"Employer change",Events!$B$6:$B$17,"&lt;="&amp;$B37,Events!$B$6:$B$17,"&lt;&gt;"))</f>
      </c>
      <c r="AW37" s="7">
        <f>IF($B37="","",IF($AV37=1,Inputs!$C$94,IF(IFERROR(MATCH(IFERROR(LOOKUP(2,1/((Events!$C$6:$C$17="Employer change")*(Events!$B$6:$B$17&lt;=$B37)*(Events!$B$6:$B$17&lt;&gt;"")),Events!$B$6:$B$17),""),$B$6:$B$68,1),1)&lt;=1,Inputs!$C$94,INDEX($AB$6:$AB$68,MATCH(IFERROR(LOOKUP(2,1/((Events!$C$6:$C$17="Employer change")*(Events!$B$6:$B$17&lt;=$B37)*(Events!$B$6:$B$17&lt;&gt;"")),Events!$B$6:$B$17),""),$B$6:$B$68,1)-1))))</f>
      </c>
      <c r="AX37" s="7">
        <f>IF($B37="","",IF($AV37=1,Inputs!$C$94,IFERROR(LOOKUP(2,1/((Events!$C$6:$C$17="Employer change")*(Events!$B$6:$B$17&lt;=$B37)*(Events!$B$6:$B$17&lt;&gt;"")),Events!$D$6:$D$17),0)))</f>
      </c>
      <c r="AY37" s="7">
        <f>IF($B37="","",($O37-$D37)*Inputs!$C$8)</f>
      </c>
      <c r="AZ37" s="7">
        <f>IF($B37="","",IF($AN37="AL",MAX(0,$AY37-IF($AU37="Married",IF($AY37&lt;=25999,8500,MAX(5000,8500-175*CEILING(($AY37-25999)/500,1))),IF($AU37="Head of household",IF($AY37&lt;=25999,5200,MAX(2500,5200-135*CEILING(($AY37-25999)/500,1))),IF($AY37&lt;=25999,3000,MAX(2500,3000-25*CEILING(($AY37-25999)/500,1)))))-($P37-'Methodology &amp; Sources'!$C$10*$D37)*Inputs!$C$8-IF(OR($AU37="Married",$AU37="Head of household"),3000,1500)-$AT37*IF($AY37&lt;=50000,1000,IF($AY37&lt;=100000,500,300))),IF($AN37="AR",IF(MAX(0,$AY37-2470)&lt;97701,INT(MAX(0,$AY37-2470)/100)*100+50,MAX(0,$AY37-2470)),IF($AN37="DE",MAX(0,$AI37-3250),IF($AN37="HI",MAX(0,$AI37-1144*$AS37-4350),IF($AN37="KS",MAX(0,$AI37-(9160*IF($AU37="Married",2,1)+2320*$AT37+IF($AU37="Head of household",2320,0))),IF($AN37="MD",MAX(0,$AI37-3400-3200*$AS37),IF($AN37="MN",MAX(0,$AY37-5300*$AS37),IF($AN37="MO",MAX(0,$AI37-IF($AU37="Head of household",24150,IF($AU37="Married",IF(Inputs!$C$83,16100,32200),16100))),IF($AN37="MT",$AY37,IF($AN37="ND",($C37+$L37)*Inputs!$C$8,IF($AN37="NE",MAX(0,$AY37-2440*$AS37),IF($AN37="NJ",MAX(0,$AY37-1000*$AS37),IF($AN37="NY",MAX(0,$AY37-(IF($AU37="Married",7950,7400)+1000*$AS37)),IF($AN37="OH",MAX(0,$AY37-650*$AS37),IF($AN37="OK",MAX(0,$AY37-1000*$AS37),IF($AN37="RI",MAX(0,$AI37-1000*$AS37),IF($AN37="SC",MAX(0,$AI37-5000*$AS37-IF($AS37=0,0,MIN(0.1*$AI37,7500))),IF($AN37="VA",MAX(0,$AI37-IF($AU37="Married",17500,8750)-930*$AS37-800*$AT37),IF($AN37="VT",MAX(0,$AI37-5400*$AS37),IF($AN37="WI",MAX(0,$AI37-MAX(0,IF($AU37="Married",9461-0.2*MAX(0,$AI37-25727),6702-0.12*MAX(0,$AI37-17780)))-400*$AS37),IF($AN37="WV",MAX(0,$AI37-2000*$AS37),$AI37))))))))))))))))))))))</f>
      </c>
      <c r="BA37" s="7">
        <f>IF($B37="","",IF($BW37&lt;&gt;"",$BW37,IF($BX37&lt;&gt;"",$BX37,IF($BY37&lt;&gt;"",$BY37,0))))</f>
      </c>
      <c r="BB37" s="7">
        <f>IF($B37="","",IF($AN37="AR",-29*$AS37,IF($AN37="DE",-110*$AS37,IF($AN37="MD",$AZ37*Inputs!$C$74,IF($AN37="AZ",Inputs!$C$82*($M37-$D37)*Inputs!$C$8,IF($AN37="CO",0.044*MAX(0,$AY37-IF($AU37="Married",10000,5000)),IF($AN37="IA",MAX(0,0.038*MAX(0,$AY37-IF($AU37="Head of household",19500,IF($AU37="Married",26000,13000)))-40*$AS37),IF($AN37="ID",0.053*MAX(0,$AY37-IF($AU37="Married",32000,16094)),IF($AN37="IL",0.0495*MAX(0,$AY37-(2925*$AS37+1000*$AT37)),IF($AN37="IN",(0.0295+Inputs!$C$76)*MAX(0,$AY37-(1000*$AS37+1500*$AT37+3000*Inputs!$C$86)),IF($AN37="KY",0.035*MAX(0,$AI37-3360),IF($AN37="LA",IF(Inputs!$C$84="0",0.0309*$AI37,0.0309*MAX(0,$AI37-IF(Inputs!$C$84="2",25750,12875))),IF($AN37="MA",0.05*MIN(MAX(0,$AY37-MIN(($BD36+$Q37+$R37+$S37),2000)-IF($AS37=0,0,IF($AS37=1,4400,1000*$AS37+3400))),1107750)+0.09*MAX(0,MAX(0,$AY37-MIN(($BD36+$Q37+$R37+$S37),2000)-IF($AS37=0,0,IF($AS37=1,4400,1000*$AS37+3400)))-1107750)-IF($AU37="Head of household",120,0)-110*Inputs!$C$75,IF($AN37="MI",0.0425*MAX(0,$AY37-5900*$AS37),IF($AN37="MS",0.04*MAX(0,$AI37-IF($AU37="Head of household",3400,IF($AU37="Married",4600,2300))-Inputs!$C$85-10000),IF($AN37="OR",IF(OR($AU37="Married",AND($AU37="Single",$AS37&gt;=3)),SUMPRODUCT((MAX(0,$AY37-MIN(($P37-'Methodology &amp; Sources'!$C$10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Sources'!$B$211:$J$214,0,4))*(MAX(0,$AY37-MIN(($P37-'Methodology &amp; Sources'!$C$10*$D37)*Inputs!$C$8,IF(OR($AU37="Married",AND($AU37="Single",$AS37&gt;=3)),IF($AY37&lt;250000,8750,IF($AY37&lt;260000,7000,IF($AY37&lt;270000,5250,IF($AY37&lt;280000,3500,IF($AY37&lt;290000,1750,0))))),IF($AY37&lt;125000,8750,IF($AY37&lt;130000,7000,IF($AY37&lt;135000,5250,IF($AY37&lt;140000,3500,IF($AY37&lt;145000,1750,0)))))))-IF(OR($AU37="Married",AND($AU37="Single",$AS37&gt;=3)),5820,2910))-INDEX('Methodology &amp; Sources'!$B$211:$J$214,0,4))*INDEX('Methodology &amp; Sources'!$B$211:$J$214,0,4+2)),SUMPRODUCT((MAX(0,$AY37-MIN(($P37-'Methodology &amp; Sources'!$C$10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Sources'!$B$211:$J$214,0,1))*(MAX(0,$AY37-MIN(($P37-'Methodology &amp; Sources'!$C$10*$D37)*Inputs!$C$8,IF(OR($AU37="Married",AND($AU37="Single",$AS37&gt;=3)),IF($AY37&lt;250000,8750,IF($AY37&lt;260000,7000,IF($AY37&lt;270000,5250,IF($AY37&lt;280000,3500,IF($AY37&lt;290000,1750,0))))),IF($AY37&lt;125000,8750,IF($AY37&lt;130000,7000,IF($AY37&lt;135000,5250,IF($AY37&lt;140000,3500,IF($AY37&lt;145000,1750,0)))))))-IF(OR($AU37="Married",AND($AU37="Single",$AS37&gt;=3)),5820,2910))-INDEX('Methodology &amp; Sources'!$B$211:$J$214,0,1))*INDEX('Methodology &amp; Sources'!$B$211:$J$214,0,1+2)))+263-263*IF(IF($AU37="Married",$AY37&gt;200000,$AY37&gt;100000),0,$AS37),IF($AN37="PA",0.0307*(($O37+$E37+$G37)*Inputs!$C$8),IF($AN37="NY",IF($AU37="Married",IF($AZ37&gt;=2155350,0,IF($AZ37&gt;=1077550,0.48,IF($AZ37&gt;=373200,1.21,IF($AZ37&gt;=323200,0.21,IF($AZ37&gt;=211550,-0.19,IF($AZ37&gt;=157650,-2.8,IF($AZ37&gt;=107650,-0.8,IF($AZ37&gt;=96800,0.05,IF($AZ37&gt;=80650,-0.1,IF($AZ37&gt;=13900,0.4,IF($AZ37&gt;=11700,-0.3,IF($AZ37&gt;=8500,0.5,0)))))))))))),IF($AZ37&gt;=1077550,0,IF($AZ37&gt;=265400,4.29,IF($AZ37&gt;=215400,2.29,IF($AZ37&gt;=157650,2.29,IF($AZ37&gt;=107650,0.29,IF($AZ37&gt;=96800,0.05,IF($AZ37&gt;=80650,-0.1,IF($AZ37&gt;=13900,0.4,IF($AZ37&gt;=11700,-0.3,IF($AZ37&gt;=8500,0.5,0))))))))))),0))))))))))))))))))</f>
      </c>
      <c r="BC37" s="7">
        <f>IF($B37="","",IF($AN37="AL",0.05*$D37,IF($AN37="AR",0.039*$D37,IF($AN37="ID",0.053*$D37,IF($AN37="IN",(0.0295+Inputs!$C$76)*$D37,IF($AN37="KS",0.05*$D37,IF($AN37="MA",0.09*MIN($D37,MAX(0,MAX(0,$AY37-MIN(($BD36+$Q37+$R37+$S37),2000)-IF($AS37=0,0,IF($AS37=1,4400,1000*$AS37+3400)))+$D37-1107750))+0.05*($D37-MIN($D37,MAX(0,MAX(0,$AY37-MIN(($BD36+$Q37+$R37+$S37),2000)-IF($AS37=0,0,IF($AS37=1,4400,1000*$AS37+3400)))+$D37-1107750))),IF($AN37="MD",(0.065+Inputs!$C$74)*$D37,IF($AN37="MI",0.0425*$D37,IF($AN37="MN",0.0625*$D37,IF($AN37="MO",0.047*$D37,IF($AN37="MT",0.05*$D37,IF($AN37="ND",0.015*$D37,IF($AN37="NE",0.035*$D37,IF($AN37="NJ",IF(Inputs!$C$77="B",SUMPRODUCT(($D37*Inputs!$C$8&gt;INDEX('Methodology &amp; Sources'!$B$155:$J$162,0,4))*($D37*Inputs!$C$8-INDEX('Methodology &amp; Sources'!$B$155:$J$162,0,4))*INDEX('Methodology &amp; Sources'!$B$155:$J$162,0,4+2)),IF(Inputs!$C$77="C",SUMPRODUCT(($D37*Inputs!$C$8&gt;INDEX('Methodology &amp; Sources'!$B$155:$J$162,0,7))*($D37*Inputs!$C$8-INDEX('Methodology &amp; Sources'!$B$155:$J$162,0,7))*INDEX('Methodology &amp; Sources'!$B$155:$J$162,0,7+2)),IF(Inputs!$C$77="D",SUMPRODUCT(($D37*Inputs!$C$8&gt;INDEX('Methodology &amp; Sources'!$B$167:$J$179,0,1))*($D37*Inputs!$C$8-INDEX('Methodology &amp; Sources'!$B$167:$J$179,0,1))*INDEX('Methodology &amp; Sources'!$B$167:$J$179,0,1+2)),IF(Inputs!$C$77="E",SUMPRODUCT(($D37*Inputs!$C$8&gt;INDEX('Methodology &amp; Sources'!$B$167:$J$179,0,4))*($D37*Inputs!$C$8-INDEX('Methodology &amp; Sources'!$B$167:$J$179,0,4))*INDEX('Methodology &amp; Sources'!$B$167:$J$179,0,4+2)),SUMPRODUCT(($D37*Inputs!$C$8&gt;INDEX('Methodology &amp; Sources'!$B$155:$J$162,0,1))*($D37*Inputs!$C$8-INDEX('Methodology &amp; Sources'!$B$155:$J$162,0,1))*INDEX('Methodology &amp; Sources'!$B$155:$J$162,0,1+2))))))/Inputs!$C$8,IF($AN37="NY",0.117*$D37,IF($AN37="OH",0.0275*$D37,IF($AN37="OK",0.045*$D37,IF($AN37="OR",0.08*$D37,IF($AN37="WI",IF($AY37&lt;12760,0.0354,IF($AY37&lt;25520,0.0465,IF($AY37&lt;280950,0.053,0.0765)))*$D37,0))))))))))))))))))))</f>
      </c>
      <c r="BD37" s="7">
        <f>IF($B37="","",$BD36+$Q37+$R37+$S37)</f>
      </c>
      <c r="BE37" s="6">
        <f>IF($B37="",$BE36,$BE36+$BF37)</f>
      </c>
      <c r="BF37" s="6">
        <f>IF($B37="","",IF(AND(IF(YEAR(IF(Inputs!$C$7="Weekly",Inputs!$C$90+7*(($BE36+1)-1),IF(Inputs!$C$7="Biweekly",Inputs!$C$90+14*(($BE36+1)-1),IF(Inputs!$C$7="Semimonthly",DATE(YEAR(Inputs!$C$9),MONTH(Inputs!$C$9)+INT((($BE36+1)-1+'Rest of 2026'!$C$2)/2),MIN(DAY(Inputs!$C$9),DAY(EOMONTH(DATE(YEAR(Inputs!$C$9),MONTH(Inputs!$C$9)+INT((($BE36+1)-1+'Rest of 2026'!$C$2)/2),1),0))))+IF(MOD(($BE36+1)-1+'Rest of 2026'!$C$2,2)=1,15,0),EDATE(Inputs!$C$90,($BE36+1)-1)))))&lt;&gt;Inputs!$C$10,"",IF(Inputs!$C$7="Weekly",Inputs!$C$90+7*(($BE36+1)-1),IF(Inputs!$C$7="Biweekly",Inputs!$C$90+14*(($BE36+1)-1),IF(Inputs!$C$7="Semimonthly",DATE(YEAR(Inputs!$C$9),MONTH(Inputs!$C$9)+INT((($BE36+1)-1+'Rest of 2026'!$C$2)/2),MIN(DAY(Inputs!$C$9),DAY(EOMONTH(DATE(YEAR(Inputs!$C$9),MONTH(Inputs!$C$9)+INT((($BE36+1)-1+'Rest of 2026'!$C$2)/2),1),0))))+IF(MOD(($BE36+1)-1+'Rest of 2026'!$C$2,2)=1,15,0),EDATE(Inputs!$C$90,($BE36+1)-1)))))&lt;&gt;"",$B37=IF(YEAR(IF(Inputs!$C$7="Weekly",Inputs!$C$90+7*(($BE36+1)-1),IF(Inputs!$C$7="Biweekly",Inputs!$C$90+14*(($BE36+1)-1),IF(Inputs!$C$7="Semimonthly",DATE(YEAR(Inputs!$C$9),MONTH(Inputs!$C$9)+INT((($BE36+1)-1+'Rest of 2026'!$C$2)/2),MIN(DAY(Inputs!$C$9),DAY(EOMONTH(DATE(YEAR(Inputs!$C$9),MONTH(Inputs!$C$9)+INT((($BE36+1)-1+'Rest of 2026'!$C$2)/2),1),0))))+IF(MOD(($BE36+1)-1+'Rest of 2026'!$C$2,2)=1,15,0),EDATE(Inputs!$C$90,($BE36+1)-1)))))&lt;&gt;Inputs!$C$10,"",IF(Inputs!$C$7="Weekly",Inputs!$C$90+7*(($BE36+1)-1),IF(Inputs!$C$7="Biweekly",Inputs!$C$90+14*(($BE36+1)-1),IF(Inputs!$C$7="Semimonthly",DATE(YEAR(Inputs!$C$9),MONTH(Inputs!$C$9)+INT((($BE36+1)-1+'Rest of 2026'!$C$2)/2),MIN(DAY(Inputs!$C$9),DAY(EOMONTH(DATE(YEAR(Inputs!$C$9),MONTH(Inputs!$C$9)+INT((($BE36+1)-1+'Rest of 2026'!$C$2)/2),1),0))))+IF(MOD(($BE36+1)-1+'Rest of 2026'!$C$2,2)=1,15,0),EDATE(Inputs!$C$90,($BE36+1)-1)))))),1,0))</f>
      </c>
      <c r="BG37" s="7">
        <f>IF($B37="","",$BG36+$H37)</f>
      </c>
      <c r="BH37" s="7">
        <f>IF($B37="","",$BH36+$I37)</f>
      </c>
      <c r="BI37" s="7">
        <f>IF($B37="","",$BI36+$G37)</f>
      </c>
      <c r="BJ37" s="7">
        <f>IF($B37="","",IFERROR(LOOKUP(2,1/((((Events!$C$6:$C$17="Deduction start"))*(Events!$D$6:$D$17="Health FSA"))*(Events!$B$6:$B$17&lt;=$B37)*(Events!$B$6:$B$17&lt;&gt;"")),Events!$E$6:$E$17),Inputs!$D$38))</f>
      </c>
      <c r="BK37" s="7">
        <f>IF($B37="","",IFERROR(LOOKUP(2,1/((((Events!$C$6:$C$17="Deduction start"))*(Events!$D$6:$D$17="Dependent-care FSA"))*(Events!$B$6:$B$17&lt;=$B37)*(Events!$B$6:$B$17&lt;&gt;"")),Events!$E$6:$E$17),Inputs!$D$39))</f>
      </c>
      <c r="BL37" s="7">
        <f>IF($B37="","",IFERROR(LOOKUP(2,1/((((Events!$C$6:$C$17="Deduction start")+(Events!$C$6:$C$17="Deduction stop"))*(Events!$D$6:$D$17="HSA"))*(Events!$B$6:$B$17&lt;=$B37)*(Events!$B$6:$B$17&lt;&gt;"")),Events!$I$6:$I$17),Inputs!$D$35))</f>
      </c>
      <c r="BM37" s="7">
        <f>IF($B37="","",IFERROR(LOOKUP(2,1/((((Events!$C$6:$C$17="Deduction start")+(Events!$C$6:$C$17="Deduction stop"))*(Events!$D$6:$D$17="Premiums"))*(Events!$B$6:$B$17&lt;=$B37)*(Events!$B$6:$B$17&lt;&gt;"")),Events!$I$6:$I$17),Inputs!$D$40+Inputs!$D$41+Inputs!$D$42))</f>
      </c>
      <c r="BN37" s="7">
        <f>IF($B37="","",IFERROR(LOOKUP(2,1/((((Events!$C$6:$C$17="Deduction start")+(Events!$C$6:$C$17="Deduction stop"))*(Events!$D$6:$D$17="Commuter"))*(Events!$B$6:$B$17&lt;=$B37)*(Events!$B$6:$B$17&lt;&gt;"")),Events!$I$6:$I$17),Inputs!$D$43))</f>
      </c>
      <c r="BO37" s="7">
        <f>IF($B37="","",IFERROR(LOOKUP(2,1/((((Events!$C$6:$C$17="Deduction start")+(Events!$C$6:$C$17="Deduction stop"))*(Events!$D$6:$D$17="Other pre-tax"))*(Events!$B$6:$B$17&lt;=$B37)*(Events!$B$6:$B$17&lt;&gt;"")),Events!$I$6:$I$17),Inputs!$D$44))</f>
      </c>
      <c r="BP37" s="7">
        <f>IF($B37="","",IFERROR(LOOKUP(2,1/((((Events!$C$6:$C$17="Deduction start")+(Events!$C$6:$C$17="Deduction stop"))*(Events!$D$6:$D$17="Other post-tax"))*(Events!$B$6:$B$17&lt;=$B37)*(Events!$B$6:$B$17&lt;&gt;"")),Events!$I$6:$I$17),Inputs!$D$45))</f>
      </c>
      <c r="BQ37" s="6">
        <f>IF($B37="","",IFERROR(LOOKUP(2,1/((((Events!$C$6:$C$17="Deduction start")+(Events!$C$6:$C$17="Deduction stop"))*(Events!$D$6:$D$17="Health FSA"))*(Events!$B$6:$B$17&lt;=$B37)*(Events!$B$6:$B$17&lt;&gt;"")),Events!$J$6:$J$17),0))</f>
      </c>
      <c r="BR37" s="6">
        <f>IF($B37="","",IFERROR(LOOKUP(2,1/((((Events!$C$6:$C$17="Deduction start")+(Events!$C$6:$C$17="Deduction stop"))*(Events!$D$6:$D$17="Dependent-care FSA"))*(Events!$B$6:$B$17&lt;=$B37)*(Events!$B$6:$B$17&lt;&gt;"")),Events!$J$6:$J$17),0))</f>
      </c>
      <c r="BS37" s="6">
        <f>IF($B37="","",IF(SUMPRODUCT((Events!$C$6:$C$17="Deduction start")*(Events!$B$6:$B$17&lt;=$B37)*(Events!$B$6:$B$17&lt;&gt;"")*(Events!$D$6:$D$17="Health FSA"))&gt;0,1,0))</f>
      </c>
      <c r="BT37" s="6">
        <f>IF($B37="","",IF(SUMPRODUCT((Events!$C$6:$C$17="Deduction start")*(Events!$B$6:$B$17&lt;=$B37)*(Events!$B$6:$B$17&lt;&gt;"")*(Events!$D$6:$D$17="Dependent-care FSA"))&gt;0,1,0))</f>
      </c>
      <c r="BU37" s="24">
        <f>IF($B37="","",IF(Inputs!$C$13,SUMPRODUCT(($AH37&gt;=INDEX('Methodology &amp; Sources'!$B$29:$J$36,0,IF(Inputs!$C$12="MFJ",1,IF(Inputs!$C$12="HoH",7,4))))*INDEX('Methodology &amp; Sources'!$B$29:$J$36,0,IF(Inputs!$C$12="MFJ",1,IF(Inputs!$C$12="HoH",7,4))+2)),SUMPRODUCT(($AH37&gt;=INDEX('Methodology &amp; Sources'!$B$19:$J$26,0,IF(Inputs!$C$12="MFJ",1,IF(Inputs!$C$12="HoH",7,4))))*INDEX('Methodology &amp; Sources'!$B$19:$J$26,0,IF(Inputs!$C$12="MFJ",1,IF(Inputs!$C$12="HoH",7,4))+2))))</f>
      </c>
      <c r="BV37" s="24">
        <f>IF($B37="","",IF($BZ37&lt;&gt;"",$BZ37,IF($CA37&lt;&gt;"",$CA37,IF($CB37&lt;&gt;"",$CB37,IF($CC37&lt;&gt;"",$CC37,0)))))</f>
      </c>
      <c r="BW37" s="7">
        <f>IF($B37="","",IF($AN37="MD",IF(OR($AU37="Married",$AU37="Head of household"),SUMPRODUCT(($AZ37&gt;INDEX('Methodology &amp; Sources'!$B$114:$J$120,0,1))*($AZ37-INDEX('Methodology &amp; Sources'!$B$114:$J$120,0,1))*INDEX('Methodology &amp; Sources'!$B$114:$J$120,0,1+2)),SUMPRODUCT(($AZ37&gt;INDEX('Methodology &amp; Sources'!$B$103:$J$109,0,7))*($AZ37-INDEX('Methodology &amp; Sources'!$B$103:$J$109,0,7))*INDEX('Methodology &amp; Sources'!$B$103:$J$109,0,7+2))),IF($AN37="MO",SUMPRODUCT(($AZ37&gt;INDEX('Methodology &amp; Sources'!$B$125:$J$132,0,1))*($AZ37-INDEX('Methodology &amp; Sources'!$B$125:$J$132,0,1))*INDEX('Methodology &amp; Sources'!$B$125:$J$132,0,1+2)),IF($AN37="MT",IF($AU37="Head of household",SUMPRODUCT(($AZ37&gt;INDEX('Methodology &amp; Sources'!$B$137:$J$139,0,1))*($AZ37-INDEX('Methodology &amp; Sources'!$B$137:$J$139,0,1))*INDEX('Methodology &amp; Sources'!$B$137:$J$139,0,1+2)),IF($AU37="Married",SUMPRODUCT(($AZ37&gt;INDEX('Methodology &amp; Sources'!$B$125:$J$132,0,7))*($AZ37-INDEX('Methodology &amp; Sources'!$B$125:$J$132,0,7))*INDEX('Methodology &amp; Sources'!$B$125:$J$132,0,7+2)),SUMPRODUCT(($AZ37&gt;INDEX('Methodology &amp; Sources'!$B$125:$J$132,0,4))*($AZ37-INDEX('Methodology &amp; Sources'!$B$125:$J$132,0,4))*INDEX('Methodology &amp; Sources'!$B$125:$J$132,0,4+2)))),IF($AN37="ND",IF($AU37="Head of household",SUMPRODUCT(($AZ37&gt;INDEX('Methodology &amp; Sources'!$B$144:$J$150,0,1))*($AZ37-INDEX('Methodology &amp; Sources'!$B$144:$J$150,0,1))*INDEX('Methodology &amp; Sources'!$B$144:$J$150,0,1+2)),IF($AU37="Married",SUMPRODUCT(($AZ37&gt;INDEX('Methodology &amp; Sources'!$B$137:$J$139,0,7))*($AZ37-INDEX('Methodology &amp; Sources'!$B$137:$J$139,0,7))*INDEX('Methodology &amp; Sources'!$B$137:$J$139,0,7+2)),SUMPRODUCT(($AZ37&gt;INDEX('Methodology &amp; Sources'!$B$137:$J$139,0,4))*($AZ37-INDEX('Methodology &amp; Sources'!$B$137:$J$139,0,4))*INDEX('Methodology &amp; Sources'!$B$137:$J$139,0,4+2)))),IF($AN37="NJ",IF(Inputs!$C$77="B",SUMPRODUCT(($AZ37&gt;INDEX('Methodology &amp; Sources'!$B$155:$J$162,0,4))*($AZ37-INDEX('Methodology &amp; Sources'!$B$155:$J$162,0,4))*INDEX('Methodology &amp; Sources'!$B$155:$J$162,0,4+2)),IF(Inputs!$C$77="C",SUMPRODUCT(($AZ37&gt;INDEX('Methodology &amp; Sources'!$B$155:$J$162,0,7))*($AZ37-INDEX('Methodology &amp; Sources'!$B$155:$J$162,0,7))*INDEX('Methodology &amp; Sources'!$B$155:$J$162,0,7+2)),IF(Inputs!$C$77="D",SUMPRODUCT(($AZ37&gt;INDEX('Methodology &amp; Sources'!$B$167:$J$179,0,1))*($AZ37-INDEX('Methodology &amp; Sources'!$B$167:$J$179,0,1))*INDEX('Methodology &amp; Sources'!$B$167:$J$179,0,1+2)),IF(Inputs!$C$77="E",SUMPRODUCT(($AZ37&gt;INDEX('Methodology &amp; Sources'!$B$167:$J$179,0,4))*($AZ37-INDEX('Methodology &amp; Sources'!$B$167:$J$179,0,4))*INDEX('Methodology &amp; Sources'!$B$167:$J$179,0,4+2)),SUMPRODUCT(($AZ37&gt;INDEX('Methodology &amp; Sources'!$B$155:$J$162,0,1))*($AZ37-INDEX('Methodology &amp; Sources'!$B$155:$J$162,0,1))*INDEX('Methodology &amp; Sources'!$B$155:$J$162,0,1+2)))))),IF($AN37="NY",IF($AU37="Married",IF($AZ37&gt;=2155350,$AZ37*IF($AZ37&gt;25000000,0.117,IF($AZ37&gt;5000000,0.111,0.1045)),SUMPRODUCT(($AZ37&gt;INDEX('Methodology &amp; Sources'!$B$184:$J$198,0,1))*($AZ37-INDEX('Methodology &amp; Sources'!$B$184:$J$198,0,1))*INDEX('Methodology &amp; Sources'!$B$184:$J$198,0,1+2))),IF($AZ37&gt;=1077550,$AZ37*IF($AZ37&gt;25000000,0.117,IF($AZ37&gt;5000000,0.111,0.1045)),SUMPRODUCT(($AZ37&gt;INDEX('Methodology &amp; Sources'!$B$167:$J$179,0,7))*($AZ37-INDEX('Methodology &amp; Sources'!$B$167:$J$179,0,7))*INDEX('Methodology &amp; Sources'!$B$167:$J$179,0,7+2)))),"")))))))</f>
      </c>
      <c r="BX37" s="7">
        <f>IF($B37="","",IF($AN37="AL",IF(OR($AU37="Married",$AU37="Head of household"),SUMPRODUCT(($AZ37&gt;INDEX('Methodology &amp; Sources'!$B$82:$J$86,0,4))*($AZ37-INDEX('Methodology &amp; Sources'!$B$82:$J$86,0,4))*INDEX('Methodology &amp; Sources'!$B$82:$J$86,0,4+2)),SUMPRODUCT(($AZ37&gt;INDEX('Methodology &amp; Sources'!$B$82:$J$86,0,1))*($AZ37-INDEX('Methodology &amp; Sources'!$B$82:$J$86,0,1))*INDEX('Methodology &amp; Sources'!$B$82:$J$86,0,1+2))),IF($AN37="KS",IF($AU37="Married",SUMPRODUCT(($AZ37&gt;INDEX('Methodology &amp; Sources'!$B$103:$J$109,0,4))*($AZ37-INDEX('Methodology &amp; Sources'!$B$103:$J$109,0,4))*INDEX('Methodology &amp; Sources'!$B$103:$J$109,0,4+2)),SUMPRODUCT(($AZ37&gt;INDEX('Methodology &amp; Sources'!$B$103:$J$109,0,1))*($AZ37-INDEX('Methodology &amp; Sources'!$B$103:$J$109,0,1))*INDEX('Methodology &amp; Sources'!$B$103:$J$109,0,1+2))),IF($AN37="MN",IF($AU37="Married",SUMPRODUCT(($AZ37&gt;INDEX('Methodology &amp; Sources'!$B$114:$J$120,0,7))*($AZ37-INDEX('Methodology &amp; Sources'!$B$114:$J$120,0,7))*INDEX('Methodology &amp; Sources'!$B$114:$J$120,0,7+2)),SUMPRODUCT(($AZ37&gt;INDEX('Methodology &amp; Sources'!$B$114:$J$120,0,4))*($AZ37-INDEX('Methodology &amp; Sources'!$B$114:$J$120,0,4))*INDEX('Methodology &amp; Sources'!$B$114:$J$120,0,4+2))),IF($AN37="NE",MAX(IF($AU37="Married",SUMPRODUCT(($AZ37&gt;INDEX('Methodology &amp; Sources'!$B$144:$J$150,0,7))*($AZ37-INDEX('Methodology &amp; Sources'!$B$144:$J$150,0,7))*INDEX('Methodology &amp; Sources'!$B$144:$J$150,0,7+2)),SUMPRODUCT(($AZ37&gt;INDEX('Methodology &amp; Sources'!$B$144:$J$150,0,4))*($AZ37-INDEX('Methodology &amp; Sources'!$B$144:$J$150,0,4))*INDEX('Methodology &amp; Sources'!$B$144:$J$150,0,4+2))),0.015*$AZ37),IF($AN37="OH",IF($B37&gt;=DATE(2027,8,1),SUMPRODUCT(($AZ37&gt;INDEX('Methodology &amp; Sources'!$B$203:$J$206,0,1))*($AZ37-INDEX('Methodology &amp; Sources'!$B$203:$J$206,0,1))*INDEX('Methodology &amp; Sources'!$B$203:$J$206,0,1+2)),SUMPRODUCT(($AZ37&gt;INDEX('Methodology &amp; Sources'!$B$184:$J$198,0,7))*($AZ37-INDEX('Methodology &amp; Sources'!$B$184:$J$198,0,7))*INDEX('Methodology &amp; Sources'!$B$184:$J$198,0,7+2))),IF($AN37="OK",IF($AU37="Married",SUMPRODUCT(($AZ37&gt;INDEX('Methodology &amp; Sources'!$B$203:$J$206,0,7))*($AZ37-INDEX('Methodology &amp; Sources'!$B$203:$J$206,0,7))*INDEX('Methodology &amp; Sources'!$B$203:$J$206,0,7+2)),SUMPRODUCT(($AZ37&gt;INDEX('Methodology &amp; Sources'!$B$203:$J$206,0,4))*($AZ37-INDEX('Methodology &amp; Sources'!$B$203:$J$206,0,4))*INDEX('Methodology &amp; Sources'!$B$203:$J$206,0,4+2))),IF($AN37="RI",SUMPRODUCT(($AZ37&gt;INDEX('Methodology &amp; Sources'!$B$211:$J$214,0,7))*($AZ37-INDEX('Methodology &amp; Sources'!$B$211:$J$214,0,7))*INDEX('Methodology &amp; Sources'!$B$211:$J$214,0,7+2)),IF($AN37="VT",IF($AU37="Married",SUMPRODUCT(($AZ37&gt;INDEX('Methodology &amp; Sources'!$B$228:$J$232,0,1))*($AZ37-INDEX('Methodology &amp; Sources'!$B$228:$J$232,0,1))*INDEX('Methodology &amp; Sources'!$B$228:$J$232,0,1+2)),SUMPRODUCT(($AZ37&gt;INDEX('Methodology &amp; Sources'!$B$219:$J$223,0,7))*($AZ37-INDEX('Methodology &amp; Sources'!$B$219:$J$223,0,7))*INDEX('Methodology &amp; Sources'!$B$219:$J$223,0,7+2))),IF($AN37="WV",IF($AU37="Married",SUMPRODUCT(($AZ37&gt;INDEX('Methodology &amp; Sources'!$B$237:$J$241,0,7))*($AZ37-INDEX('Methodology &amp; Sources'!$B$237:$J$241,0,7))*INDEX('Methodology &amp; Sources'!$B$237:$J$241,0,7+2)),SUMPRODUCT(($AZ37&gt;INDEX('Methodology &amp; Sources'!$B$228:$J$232,0,7))*($AZ37-INDEX('Methodology &amp; Sources'!$B$228:$J$232,0,7))*INDEX('Methodology &amp; Sources'!$B$228:$J$232,0,7+2))),""))))))))))</f>
      </c>
      <c r="BY37" s="7">
        <f>IF($B37="","",IF($AN37="AR",SUMPRODUCT(($AZ37&gt;INDEX('Methodology &amp; Sources'!$B$82:$J$86,0,7))*($AZ37-INDEX('Methodology &amp; Sources'!$B$82:$J$86,0,7))*INDEX('Methodology &amp; Sources'!$B$82:$J$86,0,7+2)),IF($AN37="DE",SUMPRODUCT(($AZ37&gt;INDEX('Methodology &amp; Sources'!$B$91:$J$98,0,1))*($AZ37-INDEX('Methodology &amp; Sources'!$B$91:$J$98,0,1))*INDEX('Methodology &amp; Sources'!$B$91:$J$98,0,1+2)),IF($AN37="HI",IF($AU37="Married",SUMPRODUCT(($AZ37&gt;INDEX('Methodology &amp; Sources'!$B$91:$J$98,0,7))*($AZ37-INDEX('Methodology &amp; Sources'!$B$91:$J$98,0,7))*INDEX('Methodology &amp; Sources'!$B$91:$J$98,0,7+2)),SUMPRODUCT(($AZ37&gt;INDEX('Methodology &amp; Sources'!$B$91:$J$98,0,4))*($AZ37-INDEX('Methodology &amp; Sources'!$B$91:$J$98,0,4))*INDEX('Methodology &amp; Sources'!$B$91:$J$98,0,4+2))),IF($AN37="SC",SUMPRODUCT(($AZ37&gt;INDEX('Methodology &amp; Sources'!$B$219:$J$223,0,1))*($AZ37-INDEX('Methodology &amp; Sources'!$B$219:$J$223,0,1))*INDEX('Methodology &amp; Sources'!$B$219:$J$223,0,1+2)),IF($AN37="VA",SUMPRODUCT(($AZ37&gt;INDEX('Methodology &amp; Sources'!$B$219:$J$223,0,4))*($AZ37-INDEX('Methodology &amp; Sources'!$B$219:$J$223,0,4))*INDEX('Methodology &amp; Sources'!$B$219:$J$223,0,4+2)),IF($AN37="WI",SUMPRODUCT(($AZ37&gt;INDEX('Methodology &amp; Sources'!$B$228:$J$232,0,4))*($AZ37-INDEX('Methodology &amp; Sources'!$B$228:$J$232,0,4))*INDEX('Methodology &amp; Sources'!$B$228:$J$232,0,4+2)),"")))))))</f>
      </c>
      <c r="BZ37" s="24">
        <f>IF($B37="","",IF($AN37="NJ",IF(Inputs!$C$77="B",SUMPRODUCT(($AZ37&gt;=INDEX('Methodology &amp; Sources'!$B$155:$J$162,0,4))*INDEX('Methodology &amp; Sources'!$B$155:$J$162,0,4+2)),IF(Inputs!$C$77="C",SUMPRODUCT(($AZ37&gt;=INDEX('Methodology &amp; Sources'!$B$155:$J$162,0,7))*INDEX('Methodology &amp; Sources'!$B$155:$J$162,0,7+2)),IF(Inputs!$C$77="D",SUMPRODUCT(($AZ37&gt;=INDEX('Methodology &amp; Sources'!$B$167:$J$179,0,1))*INDEX('Methodology &amp; Sources'!$B$167:$J$179,0,1+2)),IF(Inputs!$C$77="E",SUMPRODUCT(($AZ37&gt;=INDEX('Methodology &amp; Sources'!$B$167:$J$179,0,4))*INDEX('Methodology &amp; Sources'!$B$167:$J$179,0,4+2)),SUMPRODUCT(($AZ37&gt;=INDEX('Methodology &amp; Sources'!$B$155:$J$162,0,1))*INDEX('Methodology &amp; Sources'!$B$155:$J$162,0,1+2)))))),IF($AN37="OR",IF(OR($AU37="Married",AND($AU37="Single",$AS37&gt;=3)),SUMPRODUCT((MAX(0,$AY37-MIN(($P37-'Methodology &amp; Sources'!$C$10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Sources'!$B$211:$J$214,0,4))*INDEX('Methodology &amp; Sources'!$B$211:$J$214,0,4+2)),SUMPRODUCT((MAX(0,$AY37-MIN(($P37-'Methodology &amp; Sources'!$C$10*$D37)*Inputs!$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Sources'!$B$211:$J$214,0,1))*INDEX('Methodology &amp; Sources'!$B$211:$J$214,0,1+2)))*IF(($P37-'Methodology &amp; Sources'!$C$10*$D37)*Inputs!$C$8&gt;=IF(OR($AU37="Married",AND($AU37="Single",$AS37&gt;=3)),IF($AY37&lt;250000,8750,IF($AY37&lt;260000,7000,IF($AY37&lt;270000,5250,IF($AY37&lt;280000,3500,IF($AY37&lt;290000,1750,0))))),IF($AY37&lt;125000,8750,IF($AY37&lt;130000,7000,IF($AY37&lt;135000,5250,IF($AY37&lt;140000,3500,IF($AY37&lt;145000,1750,0)))))),1,1-IF(Inputs!$C$13,SUMPRODUCT(($AH37&gt;=INDEX('Methodology &amp; Sources'!$B$29:$J$36,0,IF(Inputs!$C$12="MFJ",1,IF(Inputs!$C$12="HoH",7,4))))*INDEX('Methodology &amp; Sources'!$B$29:$J$36,0,IF(Inputs!$C$12="MFJ",1,IF(Inputs!$C$12="HoH",7,4))+2)),SUMPRODUCT(($AH37&gt;=INDEX('Methodology &amp; Sources'!$B$19:$J$26,0,IF(Inputs!$C$12="MFJ",1,IF(Inputs!$C$12="HoH",7,4))))*INDEX('Methodology &amp; Sources'!$B$19:$J$26,0,IF(Inputs!$C$12="MFJ",1,IF(Inputs!$C$12="HoH",7,4))+2)))),IF($AN37="MI",IF($AY37&gt;5900*$AS37,0.0425,0),""))))</f>
      </c>
      <c r="CA37" s="24">
        <f>IF($B37="","",IF($AN37="AL",IF(OR($AU37="Married",$AU37="Head of household"),SUMPRODUCT(($AZ37&gt;=INDEX('Methodology &amp; Sources'!$B$82:$J$86,0,4))*INDEX('Methodology &amp; Sources'!$B$82:$J$86,0,4+2)),SUMPRODUCT(($AZ37&gt;=INDEX('Methodology &amp; Sources'!$B$82:$J$86,0,1))*INDEX('Methodology &amp; Sources'!$B$82:$J$86,0,1+2)))*(1-IF(Inputs!$C$13,SUMPRODUCT(($AH37&gt;=INDEX('Methodology &amp; Sources'!$B$29:$J$36,0,IF(Inputs!$C$12="MFJ",1,IF(Inputs!$C$12="HoH",7,4))))*INDEX('Methodology &amp; Sources'!$B$29:$J$36,0,IF(Inputs!$C$12="MFJ",1,IF(Inputs!$C$12="HoH",7,4))+2)),SUMPRODUCT(($AH37&gt;=INDEX('Methodology &amp; Sources'!$B$19:$J$26,0,IF(Inputs!$C$12="MFJ",1,IF(Inputs!$C$12="HoH",7,4))))*INDEX('Methodology &amp; Sources'!$B$19:$J$26,0,IF(Inputs!$C$12="MFJ",1,IF(Inputs!$C$12="HoH",7,4))+2)))),IF($AN37="KS",IF($AU37="Married",SUMPRODUCT(($AZ37&gt;=INDEX('Methodology &amp; Sources'!$B$103:$J$109,0,4))*INDEX('Methodology &amp; Sources'!$B$103:$J$109,0,4+2)),SUMPRODUCT(($AZ37&gt;=INDEX('Methodology &amp; Sources'!$B$103:$J$109,0,1))*INDEX('Methodology &amp; Sources'!$B$103:$J$109,0,1+2))),IF($AN37="MD",IF(OR($AU37="Married",$AU37="Head of household"),SUMPRODUCT(($AZ37&gt;=INDEX('Methodology &amp; Sources'!$B$114:$J$120,0,1))*INDEX('Methodology &amp; Sources'!$B$114:$J$120,0,1+2)),SUMPRODUCT(($AZ37&gt;=INDEX('Methodology &amp; Sources'!$B$103:$J$109,0,7))*INDEX('Methodology &amp; Sources'!$B$103:$J$109,0,7+2)))+Inputs!$C$74,IF($AN37="MT",IF($AU37="Head of household",SUMPRODUCT(($AZ37&gt;=INDEX('Methodology &amp; Sources'!$B$137:$J$139,0,1))*INDEX('Methodology &amp; Sources'!$B$137:$J$139,0,1+2)),IF($AU37="Married",SUMPRODUCT(($AZ37&gt;=INDEX('Methodology &amp; Sources'!$B$125:$J$132,0,7))*INDEX('Methodology &amp; Sources'!$B$125:$J$132,0,7+2)),SUMPRODUCT(($AZ37&gt;=INDEX('Methodology &amp; Sources'!$B$125:$J$132,0,4))*INDEX('Methodology &amp; Sources'!$B$125:$J$132,0,4+2)))),IF($AN37="ND",IF($AU37="Head of household",SUMPRODUCT(($AZ37&gt;=INDEX('Methodology &amp; Sources'!$B$144:$J$150,0,1))*INDEX('Methodology &amp; Sources'!$B$144:$J$150,0,1+2)),IF($AU37="Married",SUMPRODUCT(($AZ37&gt;=INDEX('Methodology &amp; Sources'!$B$137:$J$139,0,7))*INDEX('Methodology &amp; Sources'!$B$137:$J$139,0,7+2)),SUMPRODUCT(($AZ37&gt;=INDEX('Methodology &amp; Sources'!$B$137:$J$139,0,4))*INDEX('Methodology &amp; Sources'!$B$137:$J$139,0,4+2)))),IF($AN37="NY",IF($AU37="Married",IF($AZ37&gt;=2155350,IF($AZ37&gt;25000000,0.117,IF($AZ37&gt;5000000,0.111,0.1045)),SUMPRODUCT(($AZ37&gt;=INDEX('Methodology &amp; Sources'!$B$184:$J$198,0,1))*INDEX('Methodology &amp; Sources'!$B$184:$J$198,0,1+2))),IF($AZ37&gt;=1077550,IF($AZ37&gt;25000000,0.117,IF($AZ37&gt;5000000,0.111,0.1045)),SUMPRODUCT(($AZ37&gt;=INDEX('Methodology &amp; Sources'!$B$167:$J$179,0,7))*INDEX('Methodology &amp; Sources'!$B$167:$J$179,0,7+2)))),"")))))))</f>
      </c>
      <c r="CB37" s="24">
        <f>IF($B37="","",IF($AN37="CA",SUMPRODUCT(($AJ37&gt;=INDEX('Methodology &amp; Sources'!$B$39:$J$48,0,IF($AU37="Married",4,IF($AU37="Head of household",7,1))))*INDEX('Methodology &amp; Sources'!$B$39:$J$48,0,IF($AU37="Married",4,IF($AU37="Head of household",7,1))+2)),IF($AN37="HI",IF($AU37="Married",SUMPRODUCT(($AZ37&gt;=INDEX('Methodology &amp; Sources'!$B$91:$J$98,0,7))*INDEX('Methodology &amp; Sources'!$B$91:$J$98,0,7+2)),SUMPRODUCT(($AZ37&gt;=INDEX('Methodology &amp; Sources'!$B$91:$J$98,0,4))*INDEX('Methodology &amp; Sources'!$B$91:$J$98,0,4+2))),IF($AN37="MN",IF($AU37="Married",SUMPRODUCT(($AZ37&gt;=INDEX('Methodology &amp; Sources'!$B$114:$J$120,0,7))*INDEX('Methodology &amp; Sources'!$B$114:$J$120,0,7+2)),SUMPRODUCT(($AZ37&gt;=INDEX('Methodology &amp; Sources'!$B$114:$J$120,0,4))*INDEX('Methodology &amp; Sources'!$B$114:$J$120,0,4+2))),IF($AN37="MO",SUMPRODUCT(($AZ37&gt;=INDEX('Methodology &amp; Sources'!$B$125:$J$132,0,1))*INDEX('Methodology &amp; Sources'!$B$125:$J$132,0,1+2)),IF($AN37="NE",MAX(IF($AU37="Married",SUMPRODUCT(($AZ37&gt;=INDEX('Methodology &amp; Sources'!$B$144:$J$150,0,7))*INDEX('Methodology &amp; Sources'!$B$144:$J$150,0,7+2)),SUMPRODUCT(($AZ37&gt;=INDEX('Methodology &amp; Sources'!$B$144:$J$150,0,4))*INDEX('Methodology &amp; Sources'!$B$144:$J$150,0,4+2))),0.015),IF($AN37="OH",IF($B37&gt;=DATE(2027,8,1),SUMPRODUCT(($AZ37&gt;=INDEX('Methodology &amp; Sources'!$B$203:$J$206,0,1))*INDEX('Methodology &amp; Sources'!$B$203:$J$206,0,1+2)),SUMPRODUCT(($AZ37&gt;=INDEX('Methodology &amp; Sources'!$B$184:$J$198,0,7))*INDEX('Methodology &amp; Sources'!$B$184:$J$198,0,7+2))),IF($AN37="OK",IF($AU37="Married",SUMPRODUCT(($AZ37&gt;=INDEX('Methodology &amp; Sources'!$B$203:$J$206,0,7))*INDEX('Methodology &amp; Sources'!$B$203:$J$206,0,7+2)),SUMPRODUCT(($AZ37&gt;=INDEX('Methodology &amp; Sources'!$B$203:$J$206,0,4))*INDEX('Methodology &amp; Sources'!$B$203:$J$206,0,4+2))),IF($AN37="RI",SUMPRODUCT(($AZ37&gt;=INDEX('Methodology &amp; Sources'!$B$211:$J$214,0,7))*INDEX('Methodology &amp; Sources'!$B$211:$J$214,0,7+2)),IF($AN37="SC",SUMPRODUCT(($AZ37&gt;=INDEX('Methodology &amp; Sources'!$B$219:$J$223,0,1))*INDEX('Methodology &amp; Sources'!$B$219:$J$223,0,1+2)),IF($AN37="VT",IF($AU37="Married",SUMPRODUCT(($AZ37&gt;=INDEX('Methodology &amp; Sources'!$B$228:$J$232,0,1))*INDEX('Methodology &amp; Sources'!$B$228:$J$232,0,1+2)),SUMPRODUCT(($AZ37&gt;=INDEX('Methodology &amp; Sources'!$B$219:$J$223,0,7))*INDEX('Methodology &amp; Sources'!$B$219:$J$223,0,7+2))),IF($AN37="WV",IF($AU37="Married",SUMPRODUCT(($AZ37&gt;=INDEX('Methodology &amp; Sources'!$B$237:$J$241,0,7))*INDEX('Methodology &amp; Sources'!$B$237:$J$241,0,7+2)),SUMPRODUCT(($AZ37&gt;=INDEX('Methodology &amp; Sources'!$B$228:$J$232,0,7))*INDEX('Methodology &amp; Sources'!$B$228:$J$232,0,7+2))),IF($AN37="IN",(0.0295+Inputs!$C$76),"")))))))))))))</f>
      </c>
      <c r="CC37" s="24">
        <f>IF($B37="","",IF($AN37="AR",SUMPRODUCT(($AZ37&gt;=INDEX('Methodology &amp; Sources'!$B$82:$J$86,0,7))*INDEX('Methodology &amp; Sources'!$B$82:$J$86,0,7+2)),IF($AN37="DE",SUMPRODUCT(($AZ37&gt;=INDEX('Methodology &amp; Sources'!$B$91:$J$98,0,1))*INDEX('Methodology &amp; Sources'!$B$91:$J$98,0,1+2)),IF($AN37="VA",SUMPRODUCT(($AZ37&gt;=INDEX('Methodology &amp; Sources'!$B$219:$J$223,0,4))*INDEX('Methodology &amp; Sources'!$B$219:$J$223,0,4+2)),IF($AN37="WI",SUMPRODUCT(($AZ37&gt;=INDEX('Methodology &amp; Sources'!$B$228:$J$232,0,4))*INDEX('Methodology &amp; Sources'!$B$228:$J$232,0,4+2)),IF($AN37="AZ",Inputs!$C$82,IF($AN37="CO",IF($AY37&gt;IF($AU37="Married",10000,5000),0.044,0),IF($AN37="IA",IF($AY37&gt;IF($AU37="Head of household",19500,IF($AU37="Married",26000,13000)),0.038,0),IF($AN37="ID",IF($AY37&gt;IF($AU37="Married",32000,16094),0.053,0),IF($AN37="IL",IF($AY37&gt;(2925*$AS37+1000*$AT37),0.0495,0),IF($AN37="KY",IF($AI37&gt;3360,0.035,0),IF($AN37="LA",0.0309,IF($AN37="MA",IF(MAX(0,$AY37-MIN(($BD36+$Q37+$R37+$S37),2000)-IF($AS37=0,0,IF($AS37=1,4400,1000*$AS37+3400)))&gt;=1107750,0.09,0.05),IF($AN37="MS",IF($AI37-IF($AU37="Head of household",3400,IF($AU37="Married",4600,2300))-Inputs!$C$85&gt;10000,0.04,0),IF($AN37="PA",0.0307,"")))))))))))))))</f>
      </c>
      <c r="CD37" s="21">
        <f>IF(YEAR(IF(Inputs!$C$7="Weekly",Inputs!$C$90+7*(($BE36+1)-1),IF(Inputs!$C$7="Biweekly",Inputs!$C$90+14*(($BE36+1)-1),IF(Inputs!$C$7="Semimonthly",DATE(YEAR(Inputs!$C$9),MONTH(Inputs!$C$9)+INT((($BE36+1)-1+'Rest of 2026'!$C$2)/2),MIN(DAY(Inputs!$C$9),DAY(EOMONTH(DATE(YEAR(Inputs!$C$9),MONTH(Inputs!$C$9)+INT((($BE36+1)-1+'Rest of 2026'!$C$2)/2),1),0))))+IF(MOD(($BE36+1)-1+'Rest of 2026'!$C$2,2)=1,15,0),EDATE(Inputs!$C$90,($BE36+1)-1)))))&lt;&gt;Inputs!$C$10,"",IF(Inputs!$C$7="Weekly",Inputs!$C$90+7*(($BE36+1)-1),IF(Inputs!$C$7="Biweekly",Inputs!$C$90+14*(($BE36+1)-1),IF(Inputs!$C$7="Semimonthly",DATE(YEAR(Inputs!$C$9),MONTH(Inputs!$C$9)+INT((($BE36+1)-1+'Rest of 2026'!$C$2)/2),MIN(DAY(Inputs!$C$9),DAY(EOMONTH(DATE(YEAR(Inputs!$C$9),MONTH(Inputs!$C$9)+INT((($BE36+1)-1+'Rest of 2026'!$C$2)/2),1),0))))+IF(MOD(($BE36+1)-1+'Rest of 2026'!$C$2,2)=1,15,0),EDATE(Inputs!$C$90,($BE36+1)-1)))))</f>
      </c>
      <c r="CE37" s="21">
        <f>IF(SUMPRODUCT(MIN(IF((Inputs!$C$58:$C$67&gt;MAX($B$6:$B36))*(Inputs!$C$58:$C$67&gt;=DATE(Inputs!$C$10,1,1))*(Inputs!$C$58:$C$67&lt;=DATE(Inputs!$C$10,12,31)),Inputs!$C$58:$C$67,999999)))=999999,"",SUMPRODUCT(MIN(IF((Inputs!$C$58:$C$67&gt;MAX($B$6:$B36))*(Inputs!$C$58:$C$67&gt;=DATE(Inputs!$C$10,1,1))*(Inputs!$C$58:$C$67&lt;=DATE(Inputs!$C$10,12,31)),Inputs!$C$58:$C$67,999999))))</f>
      </c>
    </row>
    <row r="38">
      <c r="A38" t="n">
        <v>33</v>
      </c>
      <c r="B38" s="21">
        <f>IF(AND($CD38="",$CE38=""),"",IF($CE38="",$CD38,IF($CD38="",$CE38,MIN($CD38,$CE38))))</f>
      </c>
      <c r="C38" s="7">
        <f>IF($B38="","",IF($BF38=0,0,IF(Inputs!$C$4="Annual salary",ROUND($AK38/IF(AND(Inputs!$C$88="Actual paydays",MONTH(Inputs!$C$90)=1),MAX(1,MAX($BE$6:$BE$68)),Inputs!$C$8),2),$AK38)))</f>
      </c>
      <c r="D38" s="7">
        <f>IF($B38="","",SUMIF(Inputs!$C$58:$C$67,$B38,Inputs!$D$58:$D$67))</f>
      </c>
      <c r="E38" s="7">
        <f>IF($B38="","",ROUND(MAX(0,MIN(IF($AL38="Percent",$AM38*($C38+$D38),$AM38),MAX(0,Inputs!$C$34-$AC37))),2))</f>
      </c>
      <c r="F38" s="7">
        <f>IF($B38="","",ROUND(MAX(0,MIN(IF(Inputs!$C$32="Percent",Inputs!$D$32*($C38+$D38),Inputs!$D$32),MAX(0,Inputs!$C$34-$AC37-$E38))),2))</f>
      </c>
      <c r="G38" s="7">
        <f>IF($B38="","",IF($BF38=0,0,ROUND(MAX(0,MIN($BL38,Inputs!$C$37-Inputs!$C$99-$BI37)),2)))</f>
      </c>
      <c r="H38" s="7">
        <f>IF($B38="","",IF(OR($BF38=0,$BQ38=1),0,ROUND(MAX(0,MIN(IF($BS38=1,ROUND(MAX(0,MIN($BJ38,'Methodology &amp; Sources'!$C$13)-$BG37)/MAX(1,MAX($BE$6:$BE$68)-($BE37)),2),ROUND(MIN($BJ38,'Methodology &amp; Sources'!$C$13)/Inputs!$C$8,2)),MIN($BJ38,'Methodology &amp; Sources'!$C$13)-$BG37)),2)))</f>
      </c>
      <c r="I38" s="7">
        <f>IF($B38="","",IF(OR($BF38=0,$BR38=1),0,ROUND(MAX(0,MIN(IF($BT38=1,ROUND(MAX(0,MIN($BK38,IF(Inputs!$C$12="MFJ",'Methodology &amp; Sources'!$C$14,'Methodology &amp; Sources'!$C$15))-$BH37)/MAX(1,MAX($BE$6:$BE$68)-($BE37)),2),ROUND(MIN($BK38,IF(Inputs!$C$12="MFJ",'Methodology &amp; Sources'!$C$14,'Methodology &amp; Sources'!$C$15))/Inputs!$C$8,2)),MIN($BK38,IF(Inputs!$C$12="MFJ",'Methodology &amp; Sources'!$C$14,'Methodology &amp; Sources'!$C$15))-$BH37)),2)))</f>
      </c>
      <c r="J38" s="7">
        <f>IF($B38="","",IF($BF38=0,0,$BM38))</f>
      </c>
      <c r="K38" s="7">
        <f>IF($B38="","",IF($BF38=0,0,$BN38+$BO38))</f>
      </c>
      <c r="L38" s="7">
        <f>IF($B38="","",IF($BF38=0,0,Inputs!$D$46))</f>
      </c>
      <c r="M38" s="7">
        <f>IF($B38="","",$C38+$D38+$L38-$E38-$G38-$H38-$I38-$J38-$K38)</f>
      </c>
      <c r="N38" s="7">
        <f>IF($B38="","",$C38+$D38+$L38-$G38-$H38-$I38-$J38-$K38)</f>
      </c>
      <c r="O38" s="7">
        <f>IF($B38="","",$C38+$D38+$L38-$E38-$H38-$I38-$J38-$K38-IF(OR($AN38="CA",$AN38="NJ"),0,$G38))</f>
      </c>
      <c r="P38" s="7">
        <f>IF($B38="","",IF(Inputs!$C$18,0,ROUND(MAX(0,IF(Inputs!$C$13,SUMPRODUCT(($AH38&gt;INDEX('Methodology &amp; Sources'!$B$29:$J$36,0,IF(Inputs!$C$12="MFJ",1,IF(Inputs!$C$12="HoH",7,4))))*($AH38-INDEX('Methodology &amp; Sources'!$B$29:$J$36,0,IF(Inputs!$C$12="MFJ",1,IF(Inputs!$C$12="HoH",7,4))))*INDEX('Methodology &amp; Sources'!$B$29:$J$36,0,IF(Inputs!$C$12="MFJ",1,IF(Inputs!$C$12="HoH",7,4))+2)),SUMPRODUCT(($AH38&gt;INDEX('Methodology &amp; Sources'!$B$19:$J$26,0,IF(Inputs!$C$12="MFJ",1,IF(Inputs!$C$12="HoH",7,4))))*($AH38-INDEX('Methodology &amp; Sources'!$B$19:$J$26,0,IF(Inputs!$C$12="MFJ",1,IF(Inputs!$C$12="HoH",7,4))))*INDEX('Methodology &amp; Sources'!$B$19:$J$26,0,IF(Inputs!$C$12="MFJ",1,IF(Inputs!$C$12="HoH",7,4))+2)))/Inputs!$C$8-$AO38/Inputs!$C$8)+$AR38+IF(Inputs!$C$89="Aggregate",MAX(0,IF(Inputs!$C$13,SUMPRODUCT((($AH38+$D38)&gt;INDEX('Methodology &amp; Sources'!$B$29:$J$36,0,IF(Inputs!$C$12="MFJ",1,IF(Inputs!$C$12="HoH",7,4))))*(($AH38+$D38)-INDEX('Methodology &amp; Sources'!$B$29:$J$36,0,IF(Inputs!$C$12="MFJ",1,IF(Inputs!$C$12="HoH",7,4))))*INDEX('Methodology &amp; Sources'!$B$29:$J$36,0,IF(Inputs!$C$12="MFJ",1,IF(Inputs!$C$12="HoH",7,4))+2)),SUMPRODUCT((($AH38+$D38)&gt;INDEX('Methodology &amp; Sources'!$B$19:$J$26,0,IF(Inputs!$C$12="MFJ",1,IF(Inputs!$C$12="HoH",7,4))))*(($AH38+$D38)-INDEX('Methodology &amp; Sources'!$B$19:$J$26,0,IF(Inputs!$C$12="MFJ",1,IF(Inputs!$C$12="HoH",7,4))))*INDEX('Methodology &amp; Sources'!$B$19:$J$26,0,IF(Inputs!$C$12="MFJ",1,IF(Inputs!$C$12="HoH",7,4))+2)))-IF(Inputs!$C$13,SUMPRODUCT(($AH38&gt;INDEX('Methodology &amp; Sources'!$B$29:$J$36,0,IF(Inputs!$C$12="MFJ",1,IF(Inputs!$C$12="HoH",7,4))))*($AH38-INDEX('Methodology &amp; Sources'!$B$29:$J$36,0,IF(Inputs!$C$12="MFJ",1,IF(Inputs!$C$12="HoH",7,4))))*INDEX('Methodology &amp; Sources'!$B$29:$J$36,0,IF(Inputs!$C$12="MFJ",1,IF(Inputs!$C$12="HoH",7,4))+2)),SUMPRODUCT(($AH38&gt;INDEX('Methodology &amp; Sources'!$B$19:$J$26,0,IF(Inputs!$C$12="MFJ",1,IF(Inputs!$C$12="HoH",7,4))))*($AH38-INDEX('Methodology &amp; Sources'!$B$19:$J$26,0,IF(Inputs!$C$12="MFJ",1,IF(Inputs!$C$12="HoH",7,4))))*INDEX('Methodology &amp; Sources'!$B$19:$J$26,0,IF(Inputs!$C$12="MFJ",1,IF(Inputs!$C$12="HoH",7,4))+2)))),'Methodology &amp; Sources'!$C$10*$D38),2)))</f>
      </c>
      <c r="Q38" s="7">
        <f>IF($B38="","",ROUND('Methodology &amp; Sources'!$C$4*MIN($N38,MAX(0,'Methodology &amp; Sources'!$C$3-($AX38+$AB37-$AW38))),2))</f>
      </c>
      <c r="R38" s="7">
        <f>IF($B38="","",ROUND('Methodology &amp; Sources'!$C$5*$N38,2))</f>
      </c>
      <c r="S38" s="7">
        <f>IF($B38="","",ROUND('Methodology &amp; Sources'!$C$6*MAX(0,MIN($N38,$AG37+$N38-'Methodology &amp; Sources'!$C$7)),2))</f>
      </c>
      <c r="T38" s="7">
        <f>IF($B38="","",IF(Inputs!$C$26,0,IF($AN38="CA",ROUND(IF($AI38&lt;=IF(($AS38+$AT38)&gt;=2,VLOOKUP($AN38,StateTables!$A$6:$AB$56,10,FALSE),VLOOKUP($AN38,StateTables!$A$6:$AB$56,9,FALSE)),0,MAX(0,SUMPRODUCT(($AJ38&gt;INDEX('Methodology &amp; Sources'!$B$39:$J$48,0,IF($AU38="Married",4,IF($AU38="Head of household",7,1))))*($AJ38-INDEX('Methodology &amp; Sources'!$B$39:$J$48,0,IF($AU38="Married",4,IF($AU38="Head of household",7,1))))*INDEX('Methodology &amp; Sources'!$B$39:$J$48,0,IF($AU38="Married",4,IF($AU38="Head of household",7,1))+2))-VLOOKUP($AN38,StateTables!$A$6:$AB$56,11,FALSE)*$AS38)/Inputs!$C$8)+Inputs!$C$25+VLOOKUP($AN38,StateTables!$A$6:$AB$56,13,FALSE)*$D38,2),IF(VLOOKUP($AN38,StateTables!$A$6:$AB$56,4,FALSE)="None",0,IF(ISNUMBER(SEARCH("MANUAL",VLOOKUP($AN38,StateTables!$A$6:$AB$56,5,FALSE))),Inputs!$C$28,ROUND(MAX(0,$BA38+$BB38)/Inputs!$C$8+Inputs!$C$25+$BC38,2))))))</f>
      </c>
      <c r="U38" s="7">
        <f>IF($B38="","",IF(VLOOKUP($AN38,StateTables!$A$6:$AB$56,24,FALSE)="flatq",IF(OR(MONTH($B38)=1,MONTH($B38)=4,MONTH($B38)=7,MONTH($B38)=10),VLOOKUP($AN38,StateTables!$A$6:$AB$56,25,FALSE),0),IF(VLOOKUP($AN38,StateTables!$A$6:$AB$56,24,FALSE)="dbl",MIN(ROUND(0.005*$N38,2),ROUND(0.6*52/Inputs!$C$8,2)),IF(OR(VLOOKUP($AN38,StateTables!$A$6:$AB$56,15,FALSE)="",VLOOKUP($AN38,StateTables!$A$6:$AB$56,15,FALSE)=0),0,ROUND(VLOOKUP($AN38,StateTables!$A$6:$AB$56,15,FALSE)*IF(OR(VLOOKUP($AN38,StateTables!$A$6:$AB$56,16,FALSE)="",VLOOKUP($AN38,StateTables!$A$6:$AB$56,16,FALSE)=0),$N38,MIN($N38,MAX(0,VLOOKUP($AN38,StateTables!$A$6:$AB$56,16,FALSE)-($AX38+$AB37-$AW38)))),2))))+IF(VLOOKUP($AN38,StateTables!$A$6:$AB$56,27,FALSE)="flatq",IF(OR(MONTH($B38)=1,MONTH($B38)=4,MONTH($B38)=7,MONTH($B38)=10),VLOOKUP($AN38,StateTables!$A$6:$AB$56,28,FALSE),0),IF(VLOOKUP($AN38,StateTables!$A$6:$AB$56,27,FALSE)="dbl",MIN(ROUND(0.005*$N38,2),ROUND(0.6*52/Inputs!$C$8,2)),IF(OR(VLOOKUP($AN38,StateTables!$A$6:$AB$56,18,FALSE)="",VLOOKUP($AN38,StateTables!$A$6:$AB$56,18,FALSE)=0),0,ROUND(VLOOKUP($AN38,StateTables!$A$6:$AB$56,18,FALSE)*IF(OR(VLOOKUP($AN38,StateTables!$A$6:$AB$56,19,FALSE)="",VLOOKUP($AN38,StateTables!$A$6:$AB$56,19,FALSE)=0),$N38,MIN($N38,MAX(0,VLOOKUP($AN38,StateTables!$A$6:$AB$56,19,FALSE)-($AX38+$AB37-$AW38)))),2)))))</f>
      </c>
      <c r="V38" s="7">
        <f>IF($B38="","",IF($AN38="NY",IF(Inputs!$C$78,ROUND(SUMPRODUCT((MAX(0,($O38-$D38)*Inputs!$C$8-(IF($AU38="Married",5500,5000)+1000*$AS38))&gt;INDEX('Methodology &amp; Sources'!$B$184:$J$198,0,4))*(MAX(0,($O38-$D38)*Inputs!$C$8-(IF($AU38="Married",5500,5000)+1000*$AS38))-INDEX('Methodology &amp; Sources'!$B$184:$J$198,0,4))*INDEX('Methodology &amp; Sources'!$B$184:$J$198,0,4+2))/Inputs!$C$8+0.0425*$D38,2),0)+IF(Inputs!$C$79="Resident",ROUND(0.1675*$T38,2),IF(Inputs!$C$79="Nonresident",ROUND(0.005*MAX(0,($O38-$D38)-(IF($AU38="Married",7950,7400)+1000*$AS38)/Inputs!$C$8),2),0)),IF($AN38="PA",IF(Inputs!$C$80="None",Inputs!$C$27+ROUND(Inputs!$C$81*($C38+$D38),2),ROUND(IF(Inputs!$C$80="Resident",IF($B38&lt;DATE(2027,7,1),0.03735,0.03735),IF($B38&lt;DATE(2027,7,1),0.03425,0.03425))*($C38+$D38),2)),IF($BF38=0,ROUND(Inputs!$C$81*($C38+$D38),2),Inputs!$C$27+ROUND(Inputs!$C$81*($C38+$D38),2)))))</f>
      </c>
      <c r="W38" s="7">
        <f>IF($B38="","",IF($BF38=0,0,$BP38))</f>
      </c>
      <c r="X38" s="7">
        <f>IF($B38="","",SUM($E38:$K38)+$P38+$Q38+$R38+$S38+$T38+$U38+$V38+$W38)</f>
      </c>
      <c r="Y38" s="22">
        <f>IF($B38="","",$C38+$D38-$X38)</f>
      </c>
      <c r="Z38" s="7">
        <f>IF($B38="","",$Z37+$C38+$D38)</f>
      </c>
      <c r="AA38" s="7">
        <f>IF($B38="","",$AA37+$Y38)</f>
      </c>
      <c r="AB38" s="7">
        <f>IF($B38="","",$AB37+MIN($N38,MAX(0,'Methodology &amp; Sources'!$C$3-($AX38+$AB37-$AW38))))</f>
      </c>
      <c r="AC38" s="7">
        <f>IF($B38="","",$AC37+$E38+$F38)</f>
      </c>
      <c r="AD38" s="3">
        <f>IF($B38="","",IF(AND($AB37&lt;'Methodology &amp; Sources'!$C$3,$AB38&gt;='Methodology &amp; Sources'!$C$3),"★ Social Security maxed on this check — from the next check your net rises by about $"&amp;TEXT(ROUND('Methodology &amp; Sources'!$C$4*$N38,2),"#,##0.00")&amp;". ","")&amp;IF(AND($AC37&lt;Inputs!$C$34,$AC38&gt;=Inputs!$C$34),"★ 401(k) reaches the $"&amp;TEXT(Inputs!$C$34,"#,##0")&amp;" cap on this check — deferrals stop and net pay rises. ","")&amp;IF(AND($AG37&lt;'Methodology &amp; Sources'!$C$7,$AG38&gt;='Methodology &amp; Sources'!$C$7),"★ Wages pass $200,000 — the 0.9% Additional Medicare Tax starts here. ","")&amp;IF(AND($BJ38&gt;0,$H38&gt;0,$BG37&lt;MIN($BJ38,'Methodology &amp; Sources'!$C$13),$BG37+$H38&gt;=MIN($BJ38,'Methodology &amp; Sources'!$C$13)),"★ Health FSA election is now fully deferred for the year. ",""))</f>
      </c>
      <c r="AE38" s="41" t="n"/>
      <c r="AF38" s="7">
        <f>IF(OR($B38="",$AE38=""),"",$AE38-$Y38)</f>
      </c>
      <c r="AG38" s="7">
        <f>IF($B38="","",$AG37+$N38)</f>
      </c>
      <c r="AH38" s="7">
        <f>IF($B38="","",MAX(0,($M38-$D38)*Inputs!$C$8+$AP38-$AQ38-IF(Inputs!$C$13,0,IF(Inputs!$C$12="MFJ",'Methodology &amp; Sources'!$C$8,'Methodology &amp; Sources'!$C$9))))</f>
      </c>
      <c r="AI38" s="7">
        <f>IF($B38="","",$O38*Inputs!$C$8)</f>
      </c>
      <c r="AJ38" s="7">
        <f>IF($B38="","",MAX(0,$AI38-VLOOKUP($AN38,StateTables!$A$6:$AB$56,12,FALSE)*$AT38-IF(($AS38+$AT38)&gt;=2,VLOOKUP($AN38,StateTables!$A$6:$AB$56,8,FALSE),VLOOKUP($AN38,StateTables!$A$6:$AB$56,7,FALSE))))</f>
      </c>
      <c r="AK38" s="7">
        <f>IF($B38="","",IFERROR(LOOKUP(2,1/((Events!$C$6:$C$17="Salary change")*(Events!$B$6:$B$17&lt;=$B38)*(Events!$B$6:$B$17&lt;&gt;"")),Events!$D$6:$D$17),IF(Inputs!$C$4="Annual salary",Inputs!$C$5,Inputs!$C$6)))</f>
      </c>
      <c r="AL38">
        <f>IF($B38="","",IFERROR(LOOKUP(2,1/((Events!$C$6:$C$17="401(k) change")*(Events!$B$6:$B$17&lt;=$B38)*(Events!$B$6:$B$17&lt;&gt;"")),Events!$D$6:$D$17),Inputs!$C$30))</f>
      </c>
      <c r="AM38" s="7">
        <f>IF($B38="","",IFERROR(LOOKUP(2,1/((Events!$C$6:$C$17="401(k) change")*(Events!$B$6:$B$17&lt;=$B38)*(Events!$B$6:$B$17&lt;&gt;"")),Events!$E$6:$E$17),Inputs!$D$30))</f>
      </c>
      <c r="AN38">
        <f>IF($B38="","",IFERROR(LOOKUP(2,1/((Events!$C$6:$C$17="State move")*(Events!$B$6:$B$17&lt;=$B38)*(Events!$B$6:$B$17&lt;&gt;"")),Events!$D$6:$D$17),Inputs!$C$21))</f>
      </c>
      <c r="AO38" s="7">
        <f>IF($B38="","",IFERROR(LOOKUP(2,1/((Events!$C$6:$C$17="W-4 change")*(Events!$B$6:$B$17&lt;=$B38)*(Events!$B$6:$B$17&lt;&gt;"")),Events!$D$6:$D$17),Inputs!$C$14))</f>
      </c>
      <c r="AP38" s="7">
        <f>IF($B38="","",IFERROR(LOOKUP(2,1/((Events!$C$6:$C$17="W-4 change")*(Events!$B$6:$B$17&lt;=$B38)*(Events!$B$6:$B$17&lt;&gt;"")),Events!$E$6:$E$17),Inputs!$C$15))</f>
      </c>
      <c r="AQ38" s="7">
        <f>IF($B38="","",IFERROR(LOOKUP(2,1/((Events!$C$6:$C$17="W-4 change")*(Events!$B$6:$B$17&lt;=$B38)*(Events!$B$6:$B$17&lt;&gt;"")),Events!$F$6:$F$17),Inputs!$C$16))</f>
      </c>
      <c r="AR38" s="7">
        <f>IF($B38="","",IFERROR(LOOKUP(2,1/((Events!$C$6:$C$17="W-4 change")*(Events!$B$6:$B$17&lt;=$B38)*(Events!$B$6:$B$17&lt;&gt;"")),Events!$G$6:$G$17),Inputs!$C$17))</f>
      </c>
      <c r="AS38" s="6">
        <f>IF($B38="","",IFERROR(LOOKUP(2,1/(((Events!$C$6:$C$17="State move")+(Events!$C$6:$C$17="State cert change"))*(Events!$B$6:$B$17&lt;=$B38)*(Events!$B$6:$B$17&lt;&gt;"")),Events!$F$6:$F$17),Inputs!$C$23))</f>
      </c>
      <c r="AT38" s="6">
        <f>IF($B38="","",IFERROR(LOOKUP(2,1/(((Events!$C$6:$C$17="State move")+(Events!$C$6:$C$17="State cert change"))*(Events!$B$6:$B$17&lt;=$B38)*(Events!$B$6:$B$17&lt;&gt;"")),Events!$G$6:$G$17),Inputs!$C$24))</f>
      </c>
      <c r="AU38">
        <f>IF($B38="","",IFERROR(LOOKUP(2,1/((Events!$C$6:$C$17="State move")*(Events!$B$6:$B$17&lt;=$B38)*(Events!$B$6:$B$17&lt;&gt;"")),Events!$E$6:$E$17),Inputs!$C$22))</f>
      </c>
      <c r="AV38" s="6">
        <f>IF($B38="","",1+COUNTIFS(Events!$C$6:$C$17,"Employer change",Events!$B$6:$B$17,"&lt;="&amp;$B38,Events!$B$6:$B$17,"&lt;&gt;"))</f>
      </c>
      <c r="AW38" s="7">
        <f>IF($B38="","",IF($AV38=1,Inputs!$C$94,IF(IFERROR(MATCH(IFERROR(LOOKUP(2,1/((Events!$C$6:$C$17="Employer change")*(Events!$B$6:$B$17&lt;=$B38)*(Events!$B$6:$B$17&lt;&gt;"")),Events!$B$6:$B$17),""),$B$6:$B$68,1),1)&lt;=1,Inputs!$C$94,INDEX($AB$6:$AB$68,MATCH(IFERROR(LOOKUP(2,1/((Events!$C$6:$C$17="Employer change")*(Events!$B$6:$B$17&lt;=$B38)*(Events!$B$6:$B$17&lt;&gt;"")),Events!$B$6:$B$17),""),$B$6:$B$68,1)-1))))</f>
      </c>
      <c r="AX38" s="7">
        <f>IF($B38="","",IF($AV38=1,Inputs!$C$94,IFERROR(LOOKUP(2,1/((Events!$C$6:$C$17="Employer change")*(Events!$B$6:$B$17&lt;=$B38)*(Events!$B$6:$B$17&lt;&gt;"")),Events!$D$6:$D$17),0)))</f>
      </c>
      <c r="AY38" s="7">
        <f>IF($B38="","",($O38-$D38)*Inputs!$C$8)</f>
      </c>
      <c r="AZ38" s="7">
        <f>IF($B38="","",IF($AN38="AL",MAX(0,$AY38-IF($AU38="Married",IF($AY38&lt;=25999,8500,MAX(5000,8500-175*CEILING(($AY38-25999)/500,1))),IF($AU38="Head of household",IF($AY38&lt;=25999,5200,MAX(2500,5200-135*CEILING(($AY38-25999)/500,1))),IF($AY38&lt;=25999,3000,MAX(2500,3000-25*CEILING(($AY38-25999)/500,1)))))-($P38-'Methodology &amp; Sources'!$C$10*$D38)*Inputs!$C$8-IF(OR($AU38="Married",$AU38="Head of household"),3000,1500)-$AT38*IF($AY38&lt;=50000,1000,IF($AY38&lt;=100000,500,300))),IF($AN38="AR",IF(MAX(0,$AY38-2470)&lt;97701,INT(MAX(0,$AY38-2470)/100)*100+50,MAX(0,$AY38-2470)),IF($AN38="DE",MAX(0,$AI38-3250),IF($AN38="HI",MAX(0,$AI38-1144*$AS38-4350),IF($AN38="KS",MAX(0,$AI38-(9160*IF($AU38="Married",2,1)+2320*$AT38+IF($AU38="Head of household",2320,0))),IF($AN38="MD",MAX(0,$AI38-3400-3200*$AS38),IF($AN38="MN",MAX(0,$AY38-5300*$AS38),IF($AN38="MO",MAX(0,$AI38-IF($AU38="Head of household",24150,IF($AU38="Married",IF(Inputs!$C$83,16100,32200),16100))),IF($AN38="MT",$AY38,IF($AN38="ND",($C38+$L38)*Inputs!$C$8,IF($AN38="NE",MAX(0,$AY38-2440*$AS38),IF($AN38="NJ",MAX(0,$AY38-1000*$AS38),IF($AN38="NY",MAX(0,$AY38-(IF($AU38="Married",7950,7400)+1000*$AS38)),IF($AN38="OH",MAX(0,$AY38-650*$AS38),IF($AN38="OK",MAX(0,$AY38-1000*$AS38),IF($AN38="RI",MAX(0,$AI38-1000*$AS38),IF($AN38="SC",MAX(0,$AI38-5000*$AS38-IF($AS38=0,0,MIN(0.1*$AI38,7500))),IF($AN38="VA",MAX(0,$AI38-IF($AU38="Married",17500,8750)-930*$AS38-800*$AT38),IF($AN38="VT",MAX(0,$AI38-5400*$AS38),IF($AN38="WI",MAX(0,$AI38-MAX(0,IF($AU38="Married",9461-0.2*MAX(0,$AI38-25727),6702-0.12*MAX(0,$AI38-17780)))-400*$AS38),IF($AN38="WV",MAX(0,$AI38-2000*$AS38),$AI38))))))))))))))))))))))</f>
      </c>
      <c r="BA38" s="7">
        <f>IF($B38="","",IF($BW38&lt;&gt;"",$BW38,IF($BX38&lt;&gt;"",$BX38,IF($BY38&lt;&gt;"",$BY38,0))))</f>
      </c>
      <c r="BB38" s="7">
        <f>IF($B38="","",IF($AN38="AR",-29*$AS38,IF($AN38="DE",-110*$AS38,IF($AN38="MD",$AZ38*Inputs!$C$74,IF($AN38="AZ",Inputs!$C$82*($M38-$D38)*Inputs!$C$8,IF($AN38="CO",0.044*MAX(0,$AY38-IF($AU38="Married",10000,5000)),IF($AN38="IA",MAX(0,0.038*MAX(0,$AY38-IF($AU38="Head of household",19500,IF($AU38="Married",26000,13000)))-40*$AS38),IF($AN38="ID",0.053*MAX(0,$AY38-IF($AU38="Married",32000,16094)),IF($AN38="IL",0.0495*MAX(0,$AY38-(2925*$AS38+1000*$AT38)),IF($AN38="IN",(0.0295+Inputs!$C$76)*MAX(0,$AY38-(1000*$AS38+1500*$AT38+3000*Inputs!$C$86)),IF($AN38="KY",0.035*MAX(0,$AI38-3360),IF($AN38="LA",IF(Inputs!$C$84="0",0.0309*$AI38,0.0309*MAX(0,$AI38-IF(Inputs!$C$84="2",25750,12875))),IF($AN38="MA",0.05*MIN(MAX(0,$AY38-MIN(($BD37+$Q38+$R38+$S38),2000)-IF($AS38=0,0,IF($AS38=1,4400,1000*$AS38+3400))),1107750)+0.09*MAX(0,MAX(0,$AY38-MIN(($BD37+$Q38+$R38+$S38),2000)-IF($AS38=0,0,IF($AS38=1,4400,1000*$AS38+3400)))-1107750)-IF($AU38="Head of household",120,0)-110*Inputs!$C$75,IF($AN38="MI",0.0425*MAX(0,$AY38-5900*$AS38),IF($AN38="MS",0.04*MAX(0,$AI38-IF($AU38="Head of household",3400,IF($AU38="Married",4600,2300))-Inputs!$C$85-10000),IF($AN38="OR",IF(OR($AU38="Married",AND($AU38="Single",$AS38&gt;=3)),SUMPRODUCT((MAX(0,$AY38-MIN(($P38-'Methodology &amp; Sources'!$C$10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Sources'!$B$211:$J$214,0,4))*(MAX(0,$AY38-MIN(($P38-'Methodology &amp; Sources'!$C$10*$D38)*Inputs!$C$8,IF(OR($AU38="Married",AND($AU38="Single",$AS38&gt;=3)),IF($AY38&lt;250000,8750,IF($AY38&lt;260000,7000,IF($AY38&lt;270000,5250,IF($AY38&lt;280000,3500,IF($AY38&lt;290000,1750,0))))),IF($AY38&lt;125000,8750,IF($AY38&lt;130000,7000,IF($AY38&lt;135000,5250,IF($AY38&lt;140000,3500,IF($AY38&lt;145000,1750,0)))))))-IF(OR($AU38="Married",AND($AU38="Single",$AS38&gt;=3)),5820,2910))-INDEX('Methodology &amp; Sources'!$B$211:$J$214,0,4))*INDEX('Methodology &amp; Sources'!$B$211:$J$214,0,4+2)),SUMPRODUCT((MAX(0,$AY38-MIN(($P38-'Methodology &amp; Sources'!$C$10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Sources'!$B$211:$J$214,0,1))*(MAX(0,$AY38-MIN(($P38-'Methodology &amp; Sources'!$C$10*$D38)*Inputs!$C$8,IF(OR($AU38="Married",AND($AU38="Single",$AS38&gt;=3)),IF($AY38&lt;250000,8750,IF($AY38&lt;260000,7000,IF($AY38&lt;270000,5250,IF($AY38&lt;280000,3500,IF($AY38&lt;290000,1750,0))))),IF($AY38&lt;125000,8750,IF($AY38&lt;130000,7000,IF($AY38&lt;135000,5250,IF($AY38&lt;140000,3500,IF($AY38&lt;145000,1750,0)))))))-IF(OR($AU38="Married",AND($AU38="Single",$AS38&gt;=3)),5820,2910))-INDEX('Methodology &amp; Sources'!$B$211:$J$214,0,1))*INDEX('Methodology &amp; Sources'!$B$211:$J$214,0,1+2)))+263-263*IF(IF($AU38="Married",$AY38&gt;200000,$AY38&gt;100000),0,$AS38),IF($AN38="PA",0.0307*(($O38+$E38+$G38)*Inputs!$C$8),IF($AN38="NY",IF($AU38="Married",IF($AZ38&gt;=2155350,0,IF($AZ38&gt;=1077550,0.48,IF($AZ38&gt;=373200,1.21,IF($AZ38&gt;=323200,0.21,IF($AZ38&gt;=211550,-0.19,IF($AZ38&gt;=157650,-2.8,IF($AZ38&gt;=107650,-0.8,IF($AZ38&gt;=96800,0.05,IF($AZ38&gt;=80650,-0.1,IF($AZ38&gt;=13900,0.4,IF($AZ38&gt;=11700,-0.3,IF($AZ38&gt;=8500,0.5,0)))))))))))),IF($AZ38&gt;=1077550,0,IF($AZ38&gt;=265400,4.29,IF($AZ38&gt;=215400,2.29,IF($AZ38&gt;=157650,2.29,IF($AZ38&gt;=107650,0.29,IF($AZ38&gt;=96800,0.05,IF($AZ38&gt;=80650,-0.1,IF($AZ38&gt;=13900,0.4,IF($AZ38&gt;=11700,-0.3,IF($AZ38&gt;=8500,0.5,0))))))))))),0))))))))))))))))))</f>
      </c>
      <c r="BC38" s="7">
        <f>IF($B38="","",IF($AN38="AL",0.05*$D38,IF($AN38="AR",0.039*$D38,IF($AN38="ID",0.053*$D38,IF($AN38="IN",(0.0295+Inputs!$C$76)*$D38,IF($AN38="KS",0.05*$D38,IF($AN38="MA",0.09*MIN($D38,MAX(0,MAX(0,$AY38-MIN(($BD37+$Q38+$R38+$S38),2000)-IF($AS38=0,0,IF($AS38=1,4400,1000*$AS38+3400)))+$D38-1107750))+0.05*($D38-MIN($D38,MAX(0,MAX(0,$AY38-MIN(($BD37+$Q38+$R38+$S38),2000)-IF($AS38=0,0,IF($AS38=1,4400,1000*$AS38+3400)))+$D38-1107750))),IF($AN38="MD",(0.065+Inputs!$C$74)*$D38,IF($AN38="MI",0.0425*$D38,IF($AN38="MN",0.0625*$D38,IF($AN38="MO",0.047*$D38,IF($AN38="MT",0.05*$D38,IF($AN38="ND",0.015*$D38,IF($AN38="NE",0.035*$D38,IF($AN38="NJ",IF(Inputs!$C$77="B",SUMPRODUCT(($D38*Inputs!$C$8&gt;INDEX('Methodology &amp; Sources'!$B$155:$J$162,0,4))*($D38*Inputs!$C$8-INDEX('Methodology &amp; Sources'!$B$155:$J$162,0,4))*INDEX('Methodology &amp; Sources'!$B$155:$J$162,0,4+2)),IF(Inputs!$C$77="C",SUMPRODUCT(($D38*Inputs!$C$8&gt;INDEX('Methodology &amp; Sources'!$B$155:$J$162,0,7))*($D38*Inputs!$C$8-INDEX('Methodology &amp; Sources'!$B$155:$J$162,0,7))*INDEX('Methodology &amp; Sources'!$B$155:$J$162,0,7+2)),IF(Inputs!$C$77="D",SUMPRODUCT(($D38*Inputs!$C$8&gt;INDEX('Methodology &amp; Sources'!$B$167:$J$179,0,1))*($D38*Inputs!$C$8-INDEX('Methodology &amp; Sources'!$B$167:$J$179,0,1))*INDEX('Methodology &amp; Sources'!$B$167:$J$179,0,1+2)),IF(Inputs!$C$77="E",SUMPRODUCT(($D38*Inputs!$C$8&gt;INDEX('Methodology &amp; Sources'!$B$167:$J$179,0,4))*($D38*Inputs!$C$8-INDEX('Methodology &amp; Sources'!$B$167:$J$179,0,4))*INDEX('Methodology &amp; Sources'!$B$167:$J$179,0,4+2)),SUMPRODUCT(($D38*Inputs!$C$8&gt;INDEX('Methodology &amp; Sources'!$B$155:$J$162,0,1))*($D38*Inputs!$C$8-INDEX('Methodology &amp; Sources'!$B$155:$J$162,0,1))*INDEX('Methodology &amp; Sources'!$B$155:$J$162,0,1+2))))))/Inputs!$C$8,IF($AN38="NY",0.117*$D38,IF($AN38="OH",0.0275*$D38,IF($AN38="OK",0.045*$D38,IF($AN38="OR",0.08*$D38,IF($AN38="WI",IF($AY38&lt;12760,0.0354,IF($AY38&lt;25520,0.0465,IF($AY38&lt;280950,0.053,0.0765)))*$D38,0))))))))))))))))))))</f>
      </c>
      <c r="BD38" s="7">
        <f>IF($B38="","",$BD37+$Q38+$R38+$S38)</f>
      </c>
      <c r="BE38" s="6">
        <f>IF($B38="",$BE37,$BE37+$BF38)</f>
      </c>
      <c r="BF38" s="6">
        <f>IF($B38="","",IF(AND(IF(YEAR(IF(Inputs!$C$7="Weekly",Inputs!$C$90+7*(($BE37+1)-1),IF(Inputs!$C$7="Biweekly",Inputs!$C$90+14*(($BE37+1)-1),IF(Inputs!$C$7="Semimonthly",DATE(YEAR(Inputs!$C$9),MONTH(Inputs!$C$9)+INT((($BE37+1)-1+'Rest of 2026'!$C$2)/2),MIN(DAY(Inputs!$C$9),DAY(EOMONTH(DATE(YEAR(Inputs!$C$9),MONTH(Inputs!$C$9)+INT((($BE37+1)-1+'Rest of 2026'!$C$2)/2),1),0))))+IF(MOD(($BE37+1)-1+'Rest of 2026'!$C$2,2)=1,15,0),EDATE(Inputs!$C$90,($BE37+1)-1)))))&lt;&gt;Inputs!$C$10,"",IF(Inputs!$C$7="Weekly",Inputs!$C$90+7*(($BE37+1)-1),IF(Inputs!$C$7="Biweekly",Inputs!$C$90+14*(($BE37+1)-1),IF(Inputs!$C$7="Semimonthly",DATE(YEAR(Inputs!$C$9),MONTH(Inputs!$C$9)+INT((($BE37+1)-1+'Rest of 2026'!$C$2)/2),MIN(DAY(Inputs!$C$9),DAY(EOMONTH(DATE(YEAR(Inputs!$C$9),MONTH(Inputs!$C$9)+INT((($BE37+1)-1+'Rest of 2026'!$C$2)/2),1),0))))+IF(MOD(($BE37+1)-1+'Rest of 2026'!$C$2,2)=1,15,0),EDATE(Inputs!$C$90,($BE37+1)-1)))))&lt;&gt;"",$B38=IF(YEAR(IF(Inputs!$C$7="Weekly",Inputs!$C$90+7*(($BE37+1)-1),IF(Inputs!$C$7="Biweekly",Inputs!$C$90+14*(($BE37+1)-1),IF(Inputs!$C$7="Semimonthly",DATE(YEAR(Inputs!$C$9),MONTH(Inputs!$C$9)+INT((($BE37+1)-1+'Rest of 2026'!$C$2)/2),MIN(DAY(Inputs!$C$9),DAY(EOMONTH(DATE(YEAR(Inputs!$C$9),MONTH(Inputs!$C$9)+INT((($BE37+1)-1+'Rest of 2026'!$C$2)/2),1),0))))+IF(MOD(($BE37+1)-1+'Rest of 2026'!$C$2,2)=1,15,0),EDATE(Inputs!$C$90,($BE37+1)-1)))))&lt;&gt;Inputs!$C$10,"",IF(Inputs!$C$7="Weekly",Inputs!$C$90+7*(($BE37+1)-1),IF(Inputs!$C$7="Biweekly",Inputs!$C$90+14*(($BE37+1)-1),IF(Inputs!$C$7="Semimonthly",DATE(YEAR(Inputs!$C$9),MONTH(Inputs!$C$9)+INT((($BE37+1)-1+'Rest of 2026'!$C$2)/2),MIN(DAY(Inputs!$C$9),DAY(EOMONTH(DATE(YEAR(Inputs!$C$9),MONTH(Inputs!$C$9)+INT((($BE37+1)-1+'Rest of 2026'!$C$2)/2),1),0))))+IF(MOD(($BE37+1)-1+'Rest of 2026'!$C$2,2)=1,15,0),EDATE(Inputs!$C$90,($BE37+1)-1)))))),1,0))</f>
      </c>
      <c r="BG38" s="7">
        <f>IF($B38="","",$BG37+$H38)</f>
      </c>
      <c r="BH38" s="7">
        <f>IF($B38="","",$BH37+$I38)</f>
      </c>
      <c r="BI38" s="7">
        <f>IF($B38="","",$BI37+$G38)</f>
      </c>
      <c r="BJ38" s="7">
        <f>IF($B38="","",IFERROR(LOOKUP(2,1/((((Events!$C$6:$C$17="Deduction start"))*(Events!$D$6:$D$17="Health FSA"))*(Events!$B$6:$B$17&lt;=$B38)*(Events!$B$6:$B$17&lt;&gt;"")),Events!$E$6:$E$17),Inputs!$D$38))</f>
      </c>
      <c r="BK38" s="7">
        <f>IF($B38="","",IFERROR(LOOKUP(2,1/((((Events!$C$6:$C$17="Deduction start"))*(Events!$D$6:$D$17="Dependent-care FSA"))*(Events!$B$6:$B$17&lt;=$B38)*(Events!$B$6:$B$17&lt;&gt;"")),Events!$E$6:$E$17),Inputs!$D$39))</f>
      </c>
      <c r="BL38" s="7">
        <f>IF($B38="","",IFERROR(LOOKUP(2,1/((((Events!$C$6:$C$17="Deduction start")+(Events!$C$6:$C$17="Deduction stop"))*(Events!$D$6:$D$17="HSA"))*(Events!$B$6:$B$17&lt;=$B38)*(Events!$B$6:$B$17&lt;&gt;"")),Events!$I$6:$I$17),Inputs!$D$35))</f>
      </c>
      <c r="BM38" s="7">
        <f>IF($B38="","",IFERROR(LOOKUP(2,1/((((Events!$C$6:$C$17="Deduction start")+(Events!$C$6:$C$17="Deduction stop"))*(Events!$D$6:$D$17="Premiums"))*(Events!$B$6:$B$17&lt;=$B38)*(Events!$B$6:$B$17&lt;&gt;"")),Events!$I$6:$I$17),Inputs!$D$40+Inputs!$D$41+Inputs!$D$42))</f>
      </c>
      <c r="BN38" s="7">
        <f>IF($B38="","",IFERROR(LOOKUP(2,1/((((Events!$C$6:$C$17="Deduction start")+(Events!$C$6:$C$17="Deduction stop"))*(Events!$D$6:$D$17="Commuter"))*(Events!$B$6:$B$17&lt;=$B38)*(Events!$B$6:$B$17&lt;&gt;"")),Events!$I$6:$I$17),Inputs!$D$43))</f>
      </c>
      <c r="BO38" s="7">
        <f>IF($B38="","",IFERROR(LOOKUP(2,1/((((Events!$C$6:$C$17="Deduction start")+(Events!$C$6:$C$17="Deduction stop"))*(Events!$D$6:$D$17="Other pre-tax"))*(Events!$B$6:$B$17&lt;=$B38)*(Events!$B$6:$B$17&lt;&gt;"")),Events!$I$6:$I$17),Inputs!$D$44))</f>
      </c>
      <c r="BP38" s="7">
        <f>IF($B38="","",IFERROR(LOOKUP(2,1/((((Events!$C$6:$C$17="Deduction start")+(Events!$C$6:$C$17="Deduction stop"))*(Events!$D$6:$D$17="Other post-tax"))*(Events!$B$6:$B$17&lt;=$B38)*(Events!$B$6:$B$17&lt;&gt;"")),Events!$I$6:$I$17),Inputs!$D$45))</f>
      </c>
      <c r="BQ38" s="6">
        <f>IF($B38="","",IFERROR(LOOKUP(2,1/((((Events!$C$6:$C$17="Deduction start")+(Events!$C$6:$C$17="Deduction stop"))*(Events!$D$6:$D$17="Health FSA"))*(Events!$B$6:$B$17&lt;=$B38)*(Events!$B$6:$B$17&lt;&gt;"")),Events!$J$6:$J$17),0))</f>
      </c>
      <c r="BR38" s="6">
        <f>IF($B38="","",IFERROR(LOOKUP(2,1/((((Events!$C$6:$C$17="Deduction start")+(Events!$C$6:$C$17="Deduction stop"))*(Events!$D$6:$D$17="Dependent-care FSA"))*(Events!$B$6:$B$17&lt;=$B38)*(Events!$B$6:$B$17&lt;&gt;"")),Events!$J$6:$J$17),0))</f>
      </c>
      <c r="BS38" s="6">
        <f>IF($B38="","",IF(SUMPRODUCT((Events!$C$6:$C$17="Deduction start")*(Events!$B$6:$B$17&lt;=$B38)*(Events!$B$6:$B$17&lt;&gt;"")*(Events!$D$6:$D$17="Health FSA"))&gt;0,1,0))</f>
      </c>
      <c r="BT38" s="6">
        <f>IF($B38="","",IF(SUMPRODUCT((Events!$C$6:$C$17="Deduction start")*(Events!$B$6:$B$17&lt;=$B38)*(Events!$B$6:$B$17&lt;&gt;"")*(Events!$D$6:$D$17="Dependent-care FSA"))&gt;0,1,0))</f>
      </c>
      <c r="BU38" s="24">
        <f>IF($B38="","",IF(Inputs!$C$13,SUMPRODUCT(($AH38&gt;=INDEX('Methodology &amp; Sources'!$B$29:$J$36,0,IF(Inputs!$C$12="MFJ",1,IF(Inputs!$C$12="HoH",7,4))))*INDEX('Methodology &amp; Sources'!$B$29:$J$36,0,IF(Inputs!$C$12="MFJ",1,IF(Inputs!$C$12="HoH",7,4))+2)),SUMPRODUCT(($AH38&gt;=INDEX('Methodology &amp; Sources'!$B$19:$J$26,0,IF(Inputs!$C$12="MFJ",1,IF(Inputs!$C$12="HoH",7,4))))*INDEX('Methodology &amp; Sources'!$B$19:$J$26,0,IF(Inputs!$C$12="MFJ",1,IF(Inputs!$C$12="HoH",7,4))+2))))</f>
      </c>
      <c r="BV38" s="24">
        <f>IF($B38="","",IF($BZ38&lt;&gt;"",$BZ38,IF($CA38&lt;&gt;"",$CA38,IF($CB38&lt;&gt;"",$CB38,IF($CC38&lt;&gt;"",$CC38,0)))))</f>
      </c>
      <c r="BW38" s="7">
        <f>IF($B38="","",IF($AN38="MD",IF(OR($AU38="Married",$AU38="Head of household"),SUMPRODUCT(($AZ38&gt;INDEX('Methodology &amp; Sources'!$B$114:$J$120,0,1))*($AZ38-INDEX('Methodology &amp; Sources'!$B$114:$J$120,0,1))*INDEX('Methodology &amp; Sources'!$B$114:$J$120,0,1+2)),SUMPRODUCT(($AZ38&gt;INDEX('Methodology &amp; Sources'!$B$103:$J$109,0,7))*($AZ38-INDEX('Methodology &amp; Sources'!$B$103:$J$109,0,7))*INDEX('Methodology &amp; Sources'!$B$103:$J$109,0,7+2))),IF($AN38="MO",SUMPRODUCT(($AZ38&gt;INDEX('Methodology &amp; Sources'!$B$125:$J$132,0,1))*($AZ38-INDEX('Methodology &amp; Sources'!$B$125:$J$132,0,1))*INDEX('Methodology &amp; Sources'!$B$125:$J$132,0,1+2)),IF($AN38="MT",IF($AU38="Head of household",SUMPRODUCT(($AZ38&gt;INDEX('Methodology &amp; Sources'!$B$137:$J$139,0,1))*($AZ38-INDEX('Methodology &amp; Sources'!$B$137:$J$139,0,1))*INDEX('Methodology &amp; Sources'!$B$137:$J$139,0,1+2)),IF($AU38="Married",SUMPRODUCT(($AZ38&gt;INDEX('Methodology &amp; Sources'!$B$125:$J$132,0,7))*($AZ38-INDEX('Methodology &amp; Sources'!$B$125:$J$132,0,7))*INDEX('Methodology &amp; Sources'!$B$125:$J$132,0,7+2)),SUMPRODUCT(($AZ38&gt;INDEX('Methodology &amp; Sources'!$B$125:$J$132,0,4))*($AZ38-INDEX('Methodology &amp; Sources'!$B$125:$J$132,0,4))*INDEX('Methodology &amp; Sources'!$B$125:$J$132,0,4+2)))),IF($AN38="ND",IF($AU38="Head of household",SUMPRODUCT(($AZ38&gt;INDEX('Methodology &amp; Sources'!$B$144:$J$150,0,1))*($AZ38-INDEX('Methodology &amp; Sources'!$B$144:$J$150,0,1))*INDEX('Methodology &amp; Sources'!$B$144:$J$150,0,1+2)),IF($AU38="Married",SUMPRODUCT(($AZ38&gt;INDEX('Methodology &amp; Sources'!$B$137:$J$139,0,7))*($AZ38-INDEX('Methodology &amp; Sources'!$B$137:$J$139,0,7))*INDEX('Methodology &amp; Sources'!$B$137:$J$139,0,7+2)),SUMPRODUCT(($AZ38&gt;INDEX('Methodology &amp; Sources'!$B$137:$J$139,0,4))*($AZ38-INDEX('Methodology &amp; Sources'!$B$137:$J$139,0,4))*INDEX('Methodology &amp; Sources'!$B$137:$J$139,0,4+2)))),IF($AN38="NJ",IF(Inputs!$C$77="B",SUMPRODUCT(($AZ38&gt;INDEX('Methodology &amp; Sources'!$B$155:$J$162,0,4))*($AZ38-INDEX('Methodology &amp; Sources'!$B$155:$J$162,0,4))*INDEX('Methodology &amp; Sources'!$B$155:$J$162,0,4+2)),IF(Inputs!$C$77="C",SUMPRODUCT(($AZ38&gt;INDEX('Methodology &amp; Sources'!$B$155:$J$162,0,7))*($AZ38-INDEX('Methodology &amp; Sources'!$B$155:$J$162,0,7))*INDEX('Methodology &amp; Sources'!$B$155:$J$162,0,7+2)),IF(Inputs!$C$77="D",SUMPRODUCT(($AZ38&gt;INDEX('Methodology &amp; Sources'!$B$167:$J$179,0,1))*($AZ38-INDEX('Methodology &amp; Sources'!$B$167:$J$179,0,1))*INDEX('Methodology &amp; Sources'!$B$167:$J$179,0,1+2)),IF(Inputs!$C$77="E",SUMPRODUCT(($AZ38&gt;INDEX('Methodology &amp; Sources'!$B$167:$J$179,0,4))*($AZ38-INDEX('Methodology &amp; Sources'!$B$167:$J$179,0,4))*INDEX('Methodology &amp; Sources'!$B$167:$J$179,0,4+2)),SUMPRODUCT(($AZ38&gt;INDEX('Methodology &amp; Sources'!$B$155:$J$162,0,1))*($AZ38-INDEX('Methodology &amp; Sources'!$B$155:$J$162,0,1))*INDEX('Methodology &amp; Sources'!$B$155:$J$162,0,1+2)))))),IF($AN38="NY",IF($AU38="Married",IF($AZ38&gt;=2155350,$AZ38*IF($AZ38&gt;25000000,0.117,IF($AZ38&gt;5000000,0.111,0.1045)),SUMPRODUCT(($AZ38&gt;INDEX('Methodology &amp; Sources'!$B$184:$J$198,0,1))*($AZ38-INDEX('Methodology &amp; Sources'!$B$184:$J$198,0,1))*INDEX('Methodology &amp; Sources'!$B$184:$J$198,0,1+2))),IF($AZ38&gt;=1077550,$AZ38*IF($AZ38&gt;25000000,0.117,IF($AZ38&gt;5000000,0.111,0.1045)),SUMPRODUCT(($AZ38&gt;INDEX('Methodology &amp; Sources'!$B$167:$J$179,0,7))*($AZ38-INDEX('Methodology &amp; Sources'!$B$167:$J$179,0,7))*INDEX('Methodology &amp; Sources'!$B$167:$J$179,0,7+2)))),"")))))))</f>
      </c>
      <c r="BX38" s="7">
        <f>IF($B38="","",IF($AN38="AL",IF(OR($AU38="Married",$AU38="Head of household"),SUMPRODUCT(($AZ38&gt;INDEX('Methodology &amp; Sources'!$B$82:$J$86,0,4))*($AZ38-INDEX('Methodology &amp; Sources'!$B$82:$J$86,0,4))*INDEX('Methodology &amp; Sources'!$B$82:$J$86,0,4+2)),SUMPRODUCT(($AZ38&gt;INDEX('Methodology &amp; Sources'!$B$82:$J$86,0,1))*($AZ38-INDEX('Methodology &amp; Sources'!$B$82:$J$86,0,1))*INDEX('Methodology &amp; Sources'!$B$82:$J$86,0,1+2))),IF($AN38="KS",IF($AU38="Married",SUMPRODUCT(($AZ38&gt;INDEX('Methodology &amp; Sources'!$B$103:$J$109,0,4))*($AZ38-INDEX('Methodology &amp; Sources'!$B$103:$J$109,0,4))*INDEX('Methodology &amp; Sources'!$B$103:$J$109,0,4+2)),SUMPRODUCT(($AZ38&gt;INDEX('Methodology &amp; Sources'!$B$103:$J$109,0,1))*($AZ38-INDEX('Methodology &amp; Sources'!$B$103:$J$109,0,1))*INDEX('Methodology &amp; Sources'!$B$103:$J$109,0,1+2))),IF($AN38="MN",IF($AU38="Married",SUMPRODUCT(($AZ38&gt;INDEX('Methodology &amp; Sources'!$B$114:$J$120,0,7))*($AZ38-INDEX('Methodology &amp; Sources'!$B$114:$J$120,0,7))*INDEX('Methodology &amp; Sources'!$B$114:$J$120,0,7+2)),SUMPRODUCT(($AZ38&gt;INDEX('Methodology &amp; Sources'!$B$114:$J$120,0,4))*($AZ38-INDEX('Methodology &amp; Sources'!$B$114:$J$120,0,4))*INDEX('Methodology &amp; Sources'!$B$114:$J$120,0,4+2))),IF($AN38="NE",MAX(IF($AU38="Married",SUMPRODUCT(($AZ38&gt;INDEX('Methodology &amp; Sources'!$B$144:$J$150,0,7))*($AZ38-INDEX('Methodology &amp; Sources'!$B$144:$J$150,0,7))*INDEX('Methodology &amp; Sources'!$B$144:$J$150,0,7+2)),SUMPRODUCT(($AZ38&gt;INDEX('Methodology &amp; Sources'!$B$144:$J$150,0,4))*($AZ38-INDEX('Methodology &amp; Sources'!$B$144:$J$150,0,4))*INDEX('Methodology &amp; Sources'!$B$144:$J$150,0,4+2))),0.015*$AZ38),IF($AN38="OH",IF($B38&gt;=DATE(2027,8,1),SUMPRODUCT(($AZ38&gt;INDEX('Methodology &amp; Sources'!$B$203:$J$206,0,1))*($AZ38-INDEX('Methodology &amp; Sources'!$B$203:$J$206,0,1))*INDEX('Methodology &amp; Sources'!$B$203:$J$206,0,1+2)),SUMPRODUCT(($AZ38&gt;INDEX('Methodology &amp; Sources'!$B$184:$J$198,0,7))*($AZ38-INDEX('Methodology &amp; Sources'!$B$184:$J$198,0,7))*INDEX('Methodology &amp; Sources'!$B$184:$J$198,0,7+2))),IF($AN38="OK",IF($AU38="Married",SUMPRODUCT(($AZ38&gt;INDEX('Methodology &amp; Sources'!$B$203:$J$206,0,7))*($AZ38-INDEX('Methodology &amp; Sources'!$B$203:$J$206,0,7))*INDEX('Methodology &amp; Sources'!$B$203:$J$206,0,7+2)),SUMPRODUCT(($AZ38&gt;INDEX('Methodology &amp; Sources'!$B$203:$J$206,0,4))*($AZ38-INDEX('Methodology &amp; Sources'!$B$203:$J$206,0,4))*INDEX('Methodology &amp; Sources'!$B$203:$J$206,0,4+2))),IF($AN38="RI",SUMPRODUCT(($AZ38&gt;INDEX('Methodology &amp; Sources'!$B$211:$J$214,0,7))*($AZ38-INDEX('Methodology &amp; Sources'!$B$211:$J$214,0,7))*INDEX('Methodology &amp; Sources'!$B$211:$J$214,0,7+2)),IF($AN38="VT",IF($AU38="Married",SUMPRODUCT(($AZ38&gt;INDEX('Methodology &amp; Sources'!$B$228:$J$232,0,1))*($AZ38-INDEX('Methodology &amp; Sources'!$B$228:$J$232,0,1))*INDEX('Methodology &amp; Sources'!$B$228:$J$232,0,1+2)),SUMPRODUCT(($AZ38&gt;INDEX('Methodology &amp; Sources'!$B$219:$J$223,0,7))*($AZ38-INDEX('Methodology &amp; Sources'!$B$219:$J$223,0,7))*INDEX('Methodology &amp; Sources'!$B$219:$J$223,0,7+2))),IF($AN38="WV",IF($AU38="Married",SUMPRODUCT(($AZ38&gt;INDEX('Methodology &amp; Sources'!$B$237:$J$241,0,7))*($AZ38-INDEX('Methodology &amp; Sources'!$B$237:$J$241,0,7))*INDEX('Methodology &amp; Sources'!$B$237:$J$241,0,7+2)),SUMPRODUCT(($AZ38&gt;INDEX('Methodology &amp; Sources'!$B$228:$J$232,0,7))*($AZ38-INDEX('Methodology &amp; Sources'!$B$228:$J$232,0,7))*INDEX('Methodology &amp; Sources'!$B$228:$J$232,0,7+2))),""))))))))))</f>
      </c>
      <c r="BY38" s="7">
        <f>IF($B38="","",IF($AN38="AR",SUMPRODUCT(($AZ38&gt;INDEX('Methodology &amp; Sources'!$B$82:$J$86,0,7))*($AZ38-INDEX('Methodology &amp; Sources'!$B$82:$J$86,0,7))*INDEX('Methodology &amp; Sources'!$B$82:$J$86,0,7+2)),IF($AN38="DE",SUMPRODUCT(($AZ38&gt;INDEX('Methodology &amp; Sources'!$B$91:$J$98,0,1))*($AZ38-INDEX('Methodology &amp; Sources'!$B$91:$J$98,0,1))*INDEX('Methodology &amp; Sources'!$B$91:$J$98,0,1+2)),IF($AN38="HI",IF($AU38="Married",SUMPRODUCT(($AZ38&gt;INDEX('Methodology &amp; Sources'!$B$91:$J$98,0,7))*($AZ38-INDEX('Methodology &amp; Sources'!$B$91:$J$98,0,7))*INDEX('Methodology &amp; Sources'!$B$91:$J$98,0,7+2)),SUMPRODUCT(($AZ38&gt;INDEX('Methodology &amp; Sources'!$B$91:$J$98,0,4))*($AZ38-INDEX('Methodology &amp; Sources'!$B$91:$J$98,0,4))*INDEX('Methodology &amp; Sources'!$B$91:$J$98,0,4+2))),IF($AN38="SC",SUMPRODUCT(($AZ38&gt;INDEX('Methodology &amp; Sources'!$B$219:$J$223,0,1))*($AZ38-INDEX('Methodology &amp; Sources'!$B$219:$J$223,0,1))*INDEX('Methodology &amp; Sources'!$B$219:$J$223,0,1+2)),IF($AN38="VA",SUMPRODUCT(($AZ38&gt;INDEX('Methodology &amp; Sources'!$B$219:$J$223,0,4))*($AZ38-INDEX('Methodology &amp; Sources'!$B$219:$J$223,0,4))*INDEX('Methodology &amp; Sources'!$B$219:$J$223,0,4+2)),IF($AN38="WI",SUMPRODUCT(($AZ38&gt;INDEX('Methodology &amp; Sources'!$B$228:$J$232,0,4))*($AZ38-INDEX('Methodology &amp; Sources'!$B$228:$J$232,0,4))*INDEX('Methodology &amp; Sources'!$B$228:$J$232,0,4+2)),"")))))))</f>
      </c>
      <c r="BZ38" s="24">
        <f>IF($B38="","",IF($AN38="NJ",IF(Inputs!$C$77="B",SUMPRODUCT(($AZ38&gt;=INDEX('Methodology &amp; Sources'!$B$155:$J$162,0,4))*INDEX('Methodology &amp; Sources'!$B$155:$J$162,0,4+2)),IF(Inputs!$C$77="C",SUMPRODUCT(($AZ38&gt;=INDEX('Methodology &amp; Sources'!$B$155:$J$162,0,7))*INDEX('Methodology &amp; Sources'!$B$155:$J$162,0,7+2)),IF(Inputs!$C$77="D",SUMPRODUCT(($AZ38&gt;=INDEX('Methodology &amp; Sources'!$B$167:$J$179,0,1))*INDEX('Methodology &amp; Sources'!$B$167:$J$179,0,1+2)),IF(Inputs!$C$77="E",SUMPRODUCT(($AZ38&gt;=INDEX('Methodology &amp; Sources'!$B$167:$J$179,0,4))*INDEX('Methodology &amp; Sources'!$B$167:$J$179,0,4+2)),SUMPRODUCT(($AZ38&gt;=INDEX('Methodology &amp; Sources'!$B$155:$J$162,0,1))*INDEX('Methodology &amp; Sources'!$B$155:$J$162,0,1+2)))))),IF($AN38="OR",IF(OR($AU38="Married",AND($AU38="Single",$AS38&gt;=3)),SUMPRODUCT((MAX(0,$AY38-MIN(($P38-'Methodology &amp; Sources'!$C$10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Sources'!$B$211:$J$214,0,4))*INDEX('Methodology &amp; Sources'!$B$211:$J$214,0,4+2)),SUMPRODUCT((MAX(0,$AY38-MIN(($P38-'Methodology &amp; Sources'!$C$10*$D38)*Inputs!$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Sources'!$B$211:$J$214,0,1))*INDEX('Methodology &amp; Sources'!$B$211:$J$214,0,1+2)))*IF(($P38-'Methodology &amp; Sources'!$C$10*$D38)*Inputs!$C$8&gt;=IF(OR($AU38="Married",AND($AU38="Single",$AS38&gt;=3)),IF($AY38&lt;250000,8750,IF($AY38&lt;260000,7000,IF($AY38&lt;270000,5250,IF($AY38&lt;280000,3500,IF($AY38&lt;290000,1750,0))))),IF($AY38&lt;125000,8750,IF($AY38&lt;130000,7000,IF($AY38&lt;135000,5250,IF($AY38&lt;140000,3500,IF($AY38&lt;145000,1750,0)))))),1,1-IF(Inputs!$C$13,SUMPRODUCT(($AH38&gt;=INDEX('Methodology &amp; Sources'!$B$29:$J$36,0,IF(Inputs!$C$12="MFJ",1,IF(Inputs!$C$12="HoH",7,4))))*INDEX('Methodology &amp; Sources'!$B$29:$J$36,0,IF(Inputs!$C$12="MFJ",1,IF(Inputs!$C$12="HoH",7,4))+2)),SUMPRODUCT(($AH38&gt;=INDEX('Methodology &amp; Sources'!$B$19:$J$26,0,IF(Inputs!$C$12="MFJ",1,IF(Inputs!$C$12="HoH",7,4))))*INDEX('Methodology &amp; Sources'!$B$19:$J$26,0,IF(Inputs!$C$12="MFJ",1,IF(Inputs!$C$12="HoH",7,4))+2)))),IF($AN38="MI",IF($AY38&gt;5900*$AS38,0.0425,0),""))))</f>
      </c>
      <c r="CA38" s="24">
        <f>IF($B38="","",IF($AN38="AL",IF(OR($AU38="Married",$AU38="Head of household"),SUMPRODUCT(($AZ38&gt;=INDEX('Methodology &amp; Sources'!$B$82:$J$86,0,4))*INDEX('Methodology &amp; Sources'!$B$82:$J$86,0,4+2)),SUMPRODUCT(($AZ38&gt;=INDEX('Methodology &amp; Sources'!$B$82:$J$86,0,1))*INDEX('Methodology &amp; Sources'!$B$82:$J$86,0,1+2)))*(1-IF(Inputs!$C$13,SUMPRODUCT(($AH38&gt;=INDEX('Methodology &amp; Sources'!$B$29:$J$36,0,IF(Inputs!$C$12="MFJ",1,IF(Inputs!$C$12="HoH",7,4))))*INDEX('Methodology &amp; Sources'!$B$29:$J$36,0,IF(Inputs!$C$12="MFJ",1,IF(Inputs!$C$12="HoH",7,4))+2)),SUMPRODUCT(($AH38&gt;=INDEX('Methodology &amp; Sources'!$B$19:$J$26,0,IF(Inputs!$C$12="MFJ",1,IF(Inputs!$C$12="HoH",7,4))))*INDEX('Methodology &amp; Sources'!$B$19:$J$26,0,IF(Inputs!$C$12="MFJ",1,IF(Inputs!$C$12="HoH",7,4))+2)))),IF($AN38="KS",IF($AU38="Married",SUMPRODUCT(($AZ38&gt;=INDEX('Methodology &amp; Sources'!$B$103:$J$109,0,4))*INDEX('Methodology &amp; Sources'!$B$103:$J$109,0,4+2)),SUMPRODUCT(($AZ38&gt;=INDEX('Methodology &amp; Sources'!$B$103:$J$109,0,1))*INDEX('Methodology &amp; Sources'!$B$103:$J$109,0,1+2))),IF($AN38="MD",IF(OR($AU38="Married",$AU38="Head of household"),SUMPRODUCT(($AZ38&gt;=INDEX('Methodology &amp; Sources'!$B$114:$J$120,0,1))*INDEX('Methodology &amp; Sources'!$B$114:$J$120,0,1+2)),SUMPRODUCT(($AZ38&gt;=INDEX('Methodology &amp; Sources'!$B$103:$J$109,0,7))*INDEX('Methodology &amp; Sources'!$B$103:$J$109,0,7+2)))+Inputs!$C$74,IF($AN38="MT",IF($AU38="Head of household",SUMPRODUCT(($AZ38&gt;=INDEX('Methodology &amp; Sources'!$B$137:$J$139,0,1))*INDEX('Methodology &amp; Sources'!$B$137:$J$139,0,1+2)),IF($AU38="Married",SUMPRODUCT(($AZ38&gt;=INDEX('Methodology &amp; Sources'!$B$125:$J$132,0,7))*INDEX('Methodology &amp; Sources'!$B$125:$J$132,0,7+2)),SUMPRODUCT(($AZ38&gt;=INDEX('Methodology &amp; Sources'!$B$125:$J$132,0,4))*INDEX('Methodology &amp; Sources'!$B$125:$J$132,0,4+2)))),IF($AN38="ND",IF($AU38="Head of household",SUMPRODUCT(($AZ38&gt;=INDEX('Methodology &amp; Sources'!$B$144:$J$150,0,1))*INDEX('Methodology &amp; Sources'!$B$144:$J$150,0,1+2)),IF($AU38="Married",SUMPRODUCT(($AZ38&gt;=INDEX('Methodology &amp; Sources'!$B$137:$J$139,0,7))*INDEX('Methodology &amp; Sources'!$B$137:$J$139,0,7+2)),SUMPRODUCT(($AZ38&gt;=INDEX('Methodology &amp; Sources'!$B$137:$J$139,0,4))*INDEX('Methodology &amp; Sources'!$B$137:$J$139,0,4+2)))),IF($AN38="NY",IF($AU38="Married",IF($AZ38&gt;=2155350,IF($AZ38&gt;25000000,0.117,IF($AZ38&gt;5000000,0.111,0.1045)),SUMPRODUCT(($AZ38&gt;=INDEX('Methodology &amp; Sources'!$B$184:$J$198,0,1))*INDEX('Methodology &amp; Sources'!$B$184:$J$198,0,1+2))),IF($AZ38&gt;=1077550,IF($AZ38&gt;25000000,0.117,IF($AZ38&gt;5000000,0.111,0.1045)),SUMPRODUCT(($AZ38&gt;=INDEX('Methodology &amp; Sources'!$B$167:$J$179,0,7))*INDEX('Methodology &amp; Sources'!$B$167:$J$179,0,7+2)))),"")))))))</f>
      </c>
      <c r="CB38" s="24">
        <f>IF($B38="","",IF($AN38="CA",SUMPRODUCT(($AJ38&gt;=INDEX('Methodology &amp; Sources'!$B$39:$J$48,0,IF($AU38="Married",4,IF($AU38="Head of household",7,1))))*INDEX('Methodology &amp; Sources'!$B$39:$J$48,0,IF($AU38="Married",4,IF($AU38="Head of household",7,1))+2)),IF($AN38="HI",IF($AU38="Married",SUMPRODUCT(($AZ38&gt;=INDEX('Methodology &amp; Sources'!$B$91:$J$98,0,7))*INDEX('Methodology &amp; Sources'!$B$91:$J$98,0,7+2)),SUMPRODUCT(($AZ38&gt;=INDEX('Methodology &amp; Sources'!$B$91:$J$98,0,4))*INDEX('Methodology &amp; Sources'!$B$91:$J$98,0,4+2))),IF($AN38="MN",IF($AU38="Married",SUMPRODUCT(($AZ38&gt;=INDEX('Methodology &amp; Sources'!$B$114:$J$120,0,7))*INDEX('Methodology &amp; Sources'!$B$114:$J$120,0,7+2)),SUMPRODUCT(($AZ38&gt;=INDEX('Methodology &amp; Sources'!$B$114:$J$120,0,4))*INDEX('Methodology &amp; Sources'!$B$114:$J$120,0,4+2))),IF($AN38="MO",SUMPRODUCT(($AZ38&gt;=INDEX('Methodology &amp; Sources'!$B$125:$J$132,0,1))*INDEX('Methodology &amp; Sources'!$B$125:$J$132,0,1+2)),IF($AN38="NE",MAX(IF($AU38="Married",SUMPRODUCT(($AZ38&gt;=INDEX('Methodology &amp; Sources'!$B$144:$J$150,0,7))*INDEX('Methodology &amp; Sources'!$B$144:$J$150,0,7+2)),SUMPRODUCT(($AZ38&gt;=INDEX('Methodology &amp; Sources'!$B$144:$J$150,0,4))*INDEX('Methodology &amp; Sources'!$B$144:$J$150,0,4+2))),0.015),IF($AN38="OH",IF($B38&gt;=DATE(2027,8,1),SUMPRODUCT(($AZ38&gt;=INDEX('Methodology &amp; Sources'!$B$203:$J$206,0,1))*INDEX('Methodology &amp; Sources'!$B$203:$J$206,0,1+2)),SUMPRODUCT(($AZ38&gt;=INDEX('Methodology &amp; Sources'!$B$184:$J$198,0,7))*INDEX('Methodology &amp; Sources'!$B$184:$J$198,0,7+2))),IF($AN38="OK",IF($AU38="Married",SUMPRODUCT(($AZ38&gt;=INDEX('Methodology &amp; Sources'!$B$203:$J$206,0,7))*INDEX('Methodology &amp; Sources'!$B$203:$J$206,0,7+2)),SUMPRODUCT(($AZ38&gt;=INDEX('Methodology &amp; Sources'!$B$203:$J$206,0,4))*INDEX('Methodology &amp; Sources'!$B$203:$J$206,0,4+2))),IF($AN38="RI",SUMPRODUCT(($AZ38&gt;=INDEX('Methodology &amp; Sources'!$B$211:$J$214,0,7))*INDEX('Methodology &amp; Sources'!$B$211:$J$214,0,7+2)),IF($AN38="SC",SUMPRODUCT(($AZ38&gt;=INDEX('Methodology &amp; Sources'!$B$219:$J$223,0,1))*INDEX('Methodology &amp; Sources'!$B$219:$J$223,0,1+2)),IF($AN38="VT",IF($AU38="Married",SUMPRODUCT(($AZ38&gt;=INDEX('Methodology &amp; Sources'!$B$228:$J$232,0,1))*INDEX('Methodology &amp; Sources'!$B$228:$J$232,0,1+2)),SUMPRODUCT(($AZ38&gt;=INDEX('Methodology &amp; Sources'!$B$219:$J$223,0,7))*INDEX('Methodology &amp; Sources'!$B$219:$J$223,0,7+2))),IF($AN38="WV",IF($AU38="Married",SUMPRODUCT(($AZ38&gt;=INDEX('Methodology &amp; Sources'!$B$237:$J$241,0,7))*INDEX('Methodology &amp; Sources'!$B$237:$J$241,0,7+2)),SUMPRODUCT(($AZ38&gt;=INDEX('Methodology &amp; Sources'!$B$228:$J$232,0,7))*INDEX('Methodology &amp; Sources'!$B$228:$J$232,0,7+2))),IF($AN38="IN",(0.0295+Inputs!$C$76),"")))))))))))))</f>
      </c>
      <c r="CC38" s="24">
        <f>IF($B38="","",IF($AN38="AR",SUMPRODUCT(($AZ38&gt;=INDEX('Methodology &amp; Sources'!$B$82:$J$86,0,7))*INDEX('Methodology &amp; Sources'!$B$82:$J$86,0,7+2)),IF($AN38="DE",SUMPRODUCT(($AZ38&gt;=INDEX('Methodology &amp; Sources'!$B$91:$J$98,0,1))*INDEX('Methodology &amp; Sources'!$B$91:$J$98,0,1+2)),IF($AN38="VA",SUMPRODUCT(($AZ38&gt;=INDEX('Methodology &amp; Sources'!$B$219:$J$223,0,4))*INDEX('Methodology &amp; Sources'!$B$219:$J$223,0,4+2)),IF($AN38="WI",SUMPRODUCT(($AZ38&gt;=INDEX('Methodology &amp; Sources'!$B$228:$J$232,0,4))*INDEX('Methodology &amp; Sources'!$B$228:$J$232,0,4+2)),IF($AN38="AZ",Inputs!$C$82,IF($AN38="CO",IF($AY38&gt;IF($AU38="Married",10000,5000),0.044,0),IF($AN38="IA",IF($AY38&gt;IF($AU38="Head of household",19500,IF($AU38="Married",26000,13000)),0.038,0),IF($AN38="ID",IF($AY38&gt;IF($AU38="Married",32000,16094),0.053,0),IF($AN38="IL",IF($AY38&gt;(2925*$AS38+1000*$AT38),0.0495,0),IF($AN38="KY",IF($AI38&gt;3360,0.035,0),IF($AN38="LA",0.0309,IF($AN38="MA",IF(MAX(0,$AY38-MIN(($BD37+$Q38+$R38+$S38),2000)-IF($AS38=0,0,IF($AS38=1,4400,1000*$AS38+3400)))&gt;=1107750,0.09,0.05),IF($AN38="MS",IF($AI38-IF($AU38="Head of household",3400,IF($AU38="Married",4600,2300))-Inputs!$C$85&gt;10000,0.04,0),IF($AN38="PA",0.0307,"")))))))))))))))</f>
      </c>
      <c r="CD38" s="21">
        <f>IF(YEAR(IF(Inputs!$C$7="Weekly",Inputs!$C$90+7*(($BE37+1)-1),IF(Inputs!$C$7="Biweekly",Inputs!$C$90+14*(($BE37+1)-1),IF(Inputs!$C$7="Semimonthly",DATE(YEAR(Inputs!$C$9),MONTH(Inputs!$C$9)+INT((($BE37+1)-1+'Rest of 2026'!$C$2)/2),MIN(DAY(Inputs!$C$9),DAY(EOMONTH(DATE(YEAR(Inputs!$C$9),MONTH(Inputs!$C$9)+INT((($BE37+1)-1+'Rest of 2026'!$C$2)/2),1),0))))+IF(MOD(($BE37+1)-1+'Rest of 2026'!$C$2,2)=1,15,0),EDATE(Inputs!$C$90,($BE37+1)-1)))))&lt;&gt;Inputs!$C$10,"",IF(Inputs!$C$7="Weekly",Inputs!$C$90+7*(($BE37+1)-1),IF(Inputs!$C$7="Biweekly",Inputs!$C$90+14*(($BE37+1)-1),IF(Inputs!$C$7="Semimonthly",DATE(YEAR(Inputs!$C$9),MONTH(Inputs!$C$9)+INT((($BE37+1)-1+'Rest of 2026'!$C$2)/2),MIN(DAY(Inputs!$C$9),DAY(EOMONTH(DATE(YEAR(Inputs!$C$9),MONTH(Inputs!$C$9)+INT((($BE37+1)-1+'Rest of 2026'!$C$2)/2),1),0))))+IF(MOD(($BE37+1)-1+'Rest of 2026'!$C$2,2)=1,15,0),EDATE(Inputs!$C$90,($BE37+1)-1)))))</f>
      </c>
      <c r="CE38" s="21">
        <f>IF(SUMPRODUCT(MIN(IF((Inputs!$C$58:$C$67&gt;MAX($B$6:$B37))*(Inputs!$C$58:$C$67&gt;=DATE(Inputs!$C$10,1,1))*(Inputs!$C$58:$C$67&lt;=DATE(Inputs!$C$10,12,31)),Inputs!$C$58:$C$67,999999)))=999999,"",SUMPRODUCT(MIN(IF((Inputs!$C$58:$C$67&gt;MAX($B$6:$B37))*(Inputs!$C$58:$C$67&gt;=DATE(Inputs!$C$10,1,1))*(Inputs!$C$58:$C$67&lt;=DATE(Inputs!$C$10,12,31)),Inputs!$C$58:$C$67,999999))))</f>
      </c>
    </row>
    <row r="39">
      <c r="A39" t="n">
        <v>34</v>
      </c>
      <c r="B39" s="21">
        <f>IF(AND($CD39="",$CE39=""),"",IF($CE39="",$CD39,IF($CD39="",$CE39,MIN($CD39,$CE39))))</f>
      </c>
      <c r="C39" s="7">
        <f>IF($B39="","",IF($BF39=0,0,IF(Inputs!$C$4="Annual salary",ROUND($AK39/IF(AND(Inputs!$C$88="Actual paydays",MONTH(Inputs!$C$90)=1),MAX(1,MAX($BE$6:$BE$68)),Inputs!$C$8),2),$AK39)))</f>
      </c>
      <c r="D39" s="7">
        <f>IF($B39="","",SUMIF(Inputs!$C$58:$C$67,$B39,Inputs!$D$58:$D$67))</f>
      </c>
      <c r="E39" s="7">
        <f>IF($B39="","",ROUND(MAX(0,MIN(IF($AL39="Percent",$AM39*($C39+$D39),$AM39),MAX(0,Inputs!$C$34-$AC38))),2))</f>
      </c>
      <c r="F39" s="7">
        <f>IF($B39="","",ROUND(MAX(0,MIN(IF(Inputs!$C$32="Percent",Inputs!$D$32*($C39+$D39),Inputs!$D$32),MAX(0,Inputs!$C$34-$AC38-$E39))),2))</f>
      </c>
      <c r="G39" s="7">
        <f>IF($B39="","",IF($BF39=0,0,ROUND(MAX(0,MIN($BL39,Inputs!$C$37-Inputs!$C$99-$BI38)),2)))</f>
      </c>
      <c r="H39" s="7">
        <f>IF($B39="","",IF(OR($BF39=0,$BQ39=1),0,ROUND(MAX(0,MIN(IF($BS39=1,ROUND(MAX(0,MIN($BJ39,'Methodology &amp; Sources'!$C$13)-$BG38)/MAX(1,MAX($BE$6:$BE$68)-($BE38)),2),ROUND(MIN($BJ39,'Methodology &amp; Sources'!$C$13)/Inputs!$C$8,2)),MIN($BJ39,'Methodology &amp; Sources'!$C$13)-$BG38)),2)))</f>
      </c>
      <c r="I39" s="7">
        <f>IF($B39="","",IF(OR($BF39=0,$BR39=1),0,ROUND(MAX(0,MIN(IF($BT39=1,ROUND(MAX(0,MIN($BK39,IF(Inputs!$C$12="MFJ",'Methodology &amp; Sources'!$C$14,'Methodology &amp; Sources'!$C$15))-$BH38)/MAX(1,MAX($BE$6:$BE$68)-($BE38)),2),ROUND(MIN($BK39,IF(Inputs!$C$12="MFJ",'Methodology &amp; Sources'!$C$14,'Methodology &amp; Sources'!$C$15))/Inputs!$C$8,2)),MIN($BK39,IF(Inputs!$C$12="MFJ",'Methodology &amp; Sources'!$C$14,'Methodology &amp; Sources'!$C$15))-$BH38)),2)))</f>
      </c>
      <c r="J39" s="7">
        <f>IF($B39="","",IF($BF39=0,0,$BM39))</f>
      </c>
      <c r="K39" s="7">
        <f>IF($B39="","",IF($BF39=0,0,$BN39+$BO39))</f>
      </c>
      <c r="L39" s="7">
        <f>IF($B39="","",IF($BF39=0,0,Inputs!$D$46))</f>
      </c>
      <c r="M39" s="7">
        <f>IF($B39="","",$C39+$D39+$L39-$E39-$G39-$H39-$I39-$J39-$K39)</f>
      </c>
      <c r="N39" s="7">
        <f>IF($B39="","",$C39+$D39+$L39-$G39-$H39-$I39-$J39-$K39)</f>
      </c>
      <c r="O39" s="7">
        <f>IF($B39="","",$C39+$D39+$L39-$E39-$H39-$I39-$J39-$K39-IF(OR($AN39="CA",$AN39="NJ"),0,$G39))</f>
      </c>
      <c r="P39" s="7">
        <f>IF($B39="","",IF(Inputs!$C$18,0,ROUND(MAX(0,IF(Inputs!$C$13,SUMPRODUCT(($AH39&gt;INDEX('Methodology &amp; Sources'!$B$29:$J$36,0,IF(Inputs!$C$12="MFJ",1,IF(Inputs!$C$12="HoH",7,4))))*($AH39-INDEX('Methodology &amp; Sources'!$B$29:$J$36,0,IF(Inputs!$C$12="MFJ",1,IF(Inputs!$C$12="HoH",7,4))))*INDEX('Methodology &amp; Sources'!$B$29:$J$36,0,IF(Inputs!$C$12="MFJ",1,IF(Inputs!$C$12="HoH",7,4))+2)),SUMPRODUCT(($AH39&gt;INDEX('Methodology &amp; Sources'!$B$19:$J$26,0,IF(Inputs!$C$12="MFJ",1,IF(Inputs!$C$12="HoH",7,4))))*($AH39-INDEX('Methodology &amp; Sources'!$B$19:$J$26,0,IF(Inputs!$C$12="MFJ",1,IF(Inputs!$C$12="HoH",7,4))))*INDEX('Methodology &amp; Sources'!$B$19:$J$26,0,IF(Inputs!$C$12="MFJ",1,IF(Inputs!$C$12="HoH",7,4))+2)))/Inputs!$C$8-$AO39/Inputs!$C$8)+$AR39+IF(Inputs!$C$89="Aggregate",MAX(0,IF(Inputs!$C$13,SUMPRODUCT((($AH39+$D39)&gt;INDEX('Methodology &amp; Sources'!$B$29:$J$36,0,IF(Inputs!$C$12="MFJ",1,IF(Inputs!$C$12="HoH",7,4))))*(($AH39+$D39)-INDEX('Methodology &amp; Sources'!$B$29:$J$36,0,IF(Inputs!$C$12="MFJ",1,IF(Inputs!$C$12="HoH",7,4))))*INDEX('Methodology &amp; Sources'!$B$29:$J$36,0,IF(Inputs!$C$12="MFJ",1,IF(Inputs!$C$12="HoH",7,4))+2)),SUMPRODUCT((($AH39+$D39)&gt;INDEX('Methodology &amp; Sources'!$B$19:$J$26,0,IF(Inputs!$C$12="MFJ",1,IF(Inputs!$C$12="HoH",7,4))))*(($AH39+$D39)-INDEX('Methodology &amp; Sources'!$B$19:$J$26,0,IF(Inputs!$C$12="MFJ",1,IF(Inputs!$C$12="HoH",7,4))))*INDEX('Methodology &amp; Sources'!$B$19:$J$26,0,IF(Inputs!$C$12="MFJ",1,IF(Inputs!$C$12="HoH",7,4))+2)))-IF(Inputs!$C$13,SUMPRODUCT(($AH39&gt;INDEX('Methodology &amp; Sources'!$B$29:$J$36,0,IF(Inputs!$C$12="MFJ",1,IF(Inputs!$C$12="HoH",7,4))))*($AH39-INDEX('Methodology &amp; Sources'!$B$29:$J$36,0,IF(Inputs!$C$12="MFJ",1,IF(Inputs!$C$12="HoH",7,4))))*INDEX('Methodology &amp; Sources'!$B$29:$J$36,0,IF(Inputs!$C$12="MFJ",1,IF(Inputs!$C$12="HoH",7,4))+2)),SUMPRODUCT(($AH39&gt;INDEX('Methodology &amp; Sources'!$B$19:$J$26,0,IF(Inputs!$C$12="MFJ",1,IF(Inputs!$C$12="HoH",7,4))))*($AH39-INDEX('Methodology &amp; Sources'!$B$19:$J$26,0,IF(Inputs!$C$12="MFJ",1,IF(Inputs!$C$12="HoH",7,4))))*INDEX('Methodology &amp; Sources'!$B$19:$J$26,0,IF(Inputs!$C$12="MFJ",1,IF(Inputs!$C$12="HoH",7,4))+2)))),'Methodology &amp; Sources'!$C$10*$D39),2)))</f>
      </c>
      <c r="Q39" s="7">
        <f>IF($B39="","",ROUND('Methodology &amp; Sources'!$C$4*MIN($N39,MAX(0,'Methodology &amp; Sources'!$C$3-($AX39+$AB38-$AW39))),2))</f>
      </c>
      <c r="R39" s="7">
        <f>IF($B39="","",ROUND('Methodology &amp; Sources'!$C$5*$N39,2))</f>
      </c>
      <c r="S39" s="7">
        <f>IF($B39="","",ROUND('Methodology &amp; Sources'!$C$6*MAX(0,MIN($N39,$AG38+$N39-'Methodology &amp; Sources'!$C$7)),2))</f>
      </c>
      <c r="T39" s="7">
        <f>IF($B39="","",IF(Inputs!$C$26,0,IF($AN39="CA",ROUND(IF($AI39&lt;=IF(($AS39+$AT39)&gt;=2,VLOOKUP($AN39,StateTables!$A$6:$AB$56,10,FALSE),VLOOKUP($AN39,StateTables!$A$6:$AB$56,9,FALSE)),0,MAX(0,SUMPRODUCT(($AJ39&gt;INDEX('Methodology &amp; Sources'!$B$39:$J$48,0,IF($AU39="Married",4,IF($AU39="Head of household",7,1))))*($AJ39-INDEX('Methodology &amp; Sources'!$B$39:$J$48,0,IF($AU39="Married",4,IF($AU39="Head of household",7,1))))*INDEX('Methodology &amp; Sources'!$B$39:$J$48,0,IF($AU39="Married",4,IF($AU39="Head of household",7,1))+2))-VLOOKUP($AN39,StateTables!$A$6:$AB$56,11,FALSE)*$AS39)/Inputs!$C$8)+Inputs!$C$25+VLOOKUP($AN39,StateTables!$A$6:$AB$56,13,FALSE)*$D39,2),IF(VLOOKUP($AN39,StateTables!$A$6:$AB$56,4,FALSE)="None",0,IF(ISNUMBER(SEARCH("MANUAL",VLOOKUP($AN39,StateTables!$A$6:$AB$56,5,FALSE))),Inputs!$C$28,ROUND(MAX(0,$BA39+$BB39)/Inputs!$C$8+Inputs!$C$25+$BC39,2))))))</f>
      </c>
      <c r="U39" s="7">
        <f>IF($B39="","",IF(VLOOKUP($AN39,StateTables!$A$6:$AB$56,24,FALSE)="flatq",IF(OR(MONTH($B39)=1,MONTH($B39)=4,MONTH($B39)=7,MONTH($B39)=10),VLOOKUP($AN39,StateTables!$A$6:$AB$56,25,FALSE),0),IF(VLOOKUP($AN39,StateTables!$A$6:$AB$56,24,FALSE)="dbl",MIN(ROUND(0.005*$N39,2),ROUND(0.6*52/Inputs!$C$8,2)),IF(OR(VLOOKUP($AN39,StateTables!$A$6:$AB$56,15,FALSE)="",VLOOKUP($AN39,StateTables!$A$6:$AB$56,15,FALSE)=0),0,ROUND(VLOOKUP($AN39,StateTables!$A$6:$AB$56,15,FALSE)*IF(OR(VLOOKUP($AN39,StateTables!$A$6:$AB$56,16,FALSE)="",VLOOKUP($AN39,StateTables!$A$6:$AB$56,16,FALSE)=0),$N39,MIN($N39,MAX(0,VLOOKUP($AN39,StateTables!$A$6:$AB$56,16,FALSE)-($AX39+$AB38-$AW39)))),2))))+IF(VLOOKUP($AN39,StateTables!$A$6:$AB$56,27,FALSE)="flatq",IF(OR(MONTH($B39)=1,MONTH($B39)=4,MONTH($B39)=7,MONTH($B39)=10),VLOOKUP($AN39,StateTables!$A$6:$AB$56,28,FALSE),0),IF(VLOOKUP($AN39,StateTables!$A$6:$AB$56,27,FALSE)="dbl",MIN(ROUND(0.005*$N39,2),ROUND(0.6*52/Inputs!$C$8,2)),IF(OR(VLOOKUP($AN39,StateTables!$A$6:$AB$56,18,FALSE)="",VLOOKUP($AN39,StateTables!$A$6:$AB$56,18,FALSE)=0),0,ROUND(VLOOKUP($AN39,StateTables!$A$6:$AB$56,18,FALSE)*IF(OR(VLOOKUP($AN39,StateTables!$A$6:$AB$56,19,FALSE)="",VLOOKUP($AN39,StateTables!$A$6:$AB$56,19,FALSE)=0),$N39,MIN($N39,MAX(0,VLOOKUP($AN39,StateTables!$A$6:$AB$56,19,FALSE)-($AX39+$AB38-$AW39)))),2)))))</f>
      </c>
      <c r="V39" s="7">
        <f>IF($B39="","",IF($AN39="NY",IF(Inputs!$C$78,ROUND(SUMPRODUCT((MAX(0,($O39-$D39)*Inputs!$C$8-(IF($AU39="Married",5500,5000)+1000*$AS39))&gt;INDEX('Methodology &amp; Sources'!$B$184:$J$198,0,4))*(MAX(0,($O39-$D39)*Inputs!$C$8-(IF($AU39="Married",5500,5000)+1000*$AS39))-INDEX('Methodology &amp; Sources'!$B$184:$J$198,0,4))*INDEX('Methodology &amp; Sources'!$B$184:$J$198,0,4+2))/Inputs!$C$8+0.0425*$D39,2),0)+IF(Inputs!$C$79="Resident",ROUND(0.1675*$T39,2),IF(Inputs!$C$79="Nonresident",ROUND(0.005*MAX(0,($O39-$D39)-(IF($AU39="Married",7950,7400)+1000*$AS39)/Inputs!$C$8),2),0)),IF($AN39="PA",IF(Inputs!$C$80="None",Inputs!$C$27+ROUND(Inputs!$C$81*($C39+$D39),2),ROUND(IF(Inputs!$C$80="Resident",IF($B39&lt;DATE(2027,7,1),0.03735,0.03735),IF($B39&lt;DATE(2027,7,1),0.03425,0.03425))*($C39+$D39),2)),IF($BF39=0,ROUND(Inputs!$C$81*($C39+$D39),2),Inputs!$C$27+ROUND(Inputs!$C$81*($C39+$D39),2)))))</f>
      </c>
      <c r="W39" s="7">
        <f>IF($B39="","",IF($BF39=0,0,$BP39))</f>
      </c>
      <c r="X39" s="7">
        <f>IF($B39="","",SUM($E39:$K39)+$P39+$Q39+$R39+$S39+$T39+$U39+$V39+$W39)</f>
      </c>
      <c r="Y39" s="22">
        <f>IF($B39="","",$C39+$D39-$X39)</f>
      </c>
      <c r="Z39" s="7">
        <f>IF($B39="","",$Z38+$C39+$D39)</f>
      </c>
      <c r="AA39" s="7">
        <f>IF($B39="","",$AA38+$Y39)</f>
      </c>
      <c r="AB39" s="7">
        <f>IF($B39="","",$AB38+MIN($N39,MAX(0,'Methodology &amp; Sources'!$C$3-($AX39+$AB38-$AW39))))</f>
      </c>
      <c r="AC39" s="7">
        <f>IF($B39="","",$AC38+$E39+$F39)</f>
      </c>
      <c r="AD39" s="3">
        <f>IF($B39="","",IF(AND($AB38&lt;'Methodology &amp; Sources'!$C$3,$AB39&gt;='Methodology &amp; Sources'!$C$3),"★ Social Security maxed on this check — from the next check your net rises by about $"&amp;TEXT(ROUND('Methodology &amp; Sources'!$C$4*$N39,2),"#,##0.00")&amp;". ","")&amp;IF(AND($AC38&lt;Inputs!$C$34,$AC39&gt;=Inputs!$C$34),"★ 401(k) reaches the $"&amp;TEXT(Inputs!$C$34,"#,##0")&amp;" cap on this check — deferrals stop and net pay rises. ","")&amp;IF(AND($AG38&lt;'Methodology &amp; Sources'!$C$7,$AG39&gt;='Methodology &amp; Sources'!$C$7),"★ Wages pass $200,000 — the 0.9% Additional Medicare Tax starts here. ","")&amp;IF(AND($BJ39&gt;0,$H39&gt;0,$BG38&lt;MIN($BJ39,'Methodology &amp; Sources'!$C$13),$BG38+$H39&gt;=MIN($BJ39,'Methodology &amp; Sources'!$C$13)),"★ Health FSA election is now fully deferred for the year. ",""))</f>
      </c>
      <c r="AE39" s="41" t="n"/>
      <c r="AF39" s="7">
        <f>IF(OR($B39="",$AE39=""),"",$AE39-$Y39)</f>
      </c>
      <c r="AG39" s="7">
        <f>IF($B39="","",$AG38+$N39)</f>
      </c>
      <c r="AH39" s="7">
        <f>IF($B39="","",MAX(0,($M39-$D39)*Inputs!$C$8+$AP39-$AQ39-IF(Inputs!$C$13,0,IF(Inputs!$C$12="MFJ",'Methodology &amp; Sources'!$C$8,'Methodology &amp; Sources'!$C$9))))</f>
      </c>
      <c r="AI39" s="7">
        <f>IF($B39="","",$O39*Inputs!$C$8)</f>
      </c>
      <c r="AJ39" s="7">
        <f>IF($B39="","",MAX(0,$AI39-VLOOKUP($AN39,StateTables!$A$6:$AB$56,12,FALSE)*$AT39-IF(($AS39+$AT39)&gt;=2,VLOOKUP($AN39,StateTables!$A$6:$AB$56,8,FALSE),VLOOKUP($AN39,StateTables!$A$6:$AB$56,7,FALSE))))</f>
      </c>
      <c r="AK39" s="7">
        <f>IF($B39="","",IFERROR(LOOKUP(2,1/((Events!$C$6:$C$17="Salary change")*(Events!$B$6:$B$17&lt;=$B39)*(Events!$B$6:$B$17&lt;&gt;"")),Events!$D$6:$D$17),IF(Inputs!$C$4="Annual salary",Inputs!$C$5,Inputs!$C$6)))</f>
      </c>
      <c r="AL39">
        <f>IF($B39="","",IFERROR(LOOKUP(2,1/((Events!$C$6:$C$17="401(k) change")*(Events!$B$6:$B$17&lt;=$B39)*(Events!$B$6:$B$17&lt;&gt;"")),Events!$D$6:$D$17),Inputs!$C$30))</f>
      </c>
      <c r="AM39" s="7">
        <f>IF($B39="","",IFERROR(LOOKUP(2,1/((Events!$C$6:$C$17="401(k) change")*(Events!$B$6:$B$17&lt;=$B39)*(Events!$B$6:$B$17&lt;&gt;"")),Events!$E$6:$E$17),Inputs!$D$30))</f>
      </c>
      <c r="AN39">
        <f>IF($B39="","",IFERROR(LOOKUP(2,1/((Events!$C$6:$C$17="State move")*(Events!$B$6:$B$17&lt;=$B39)*(Events!$B$6:$B$17&lt;&gt;"")),Events!$D$6:$D$17),Inputs!$C$21))</f>
      </c>
      <c r="AO39" s="7">
        <f>IF($B39="","",IFERROR(LOOKUP(2,1/((Events!$C$6:$C$17="W-4 change")*(Events!$B$6:$B$17&lt;=$B39)*(Events!$B$6:$B$17&lt;&gt;"")),Events!$D$6:$D$17),Inputs!$C$14))</f>
      </c>
      <c r="AP39" s="7">
        <f>IF($B39="","",IFERROR(LOOKUP(2,1/((Events!$C$6:$C$17="W-4 change")*(Events!$B$6:$B$17&lt;=$B39)*(Events!$B$6:$B$17&lt;&gt;"")),Events!$E$6:$E$17),Inputs!$C$15))</f>
      </c>
      <c r="AQ39" s="7">
        <f>IF($B39="","",IFERROR(LOOKUP(2,1/((Events!$C$6:$C$17="W-4 change")*(Events!$B$6:$B$17&lt;=$B39)*(Events!$B$6:$B$17&lt;&gt;"")),Events!$F$6:$F$17),Inputs!$C$16))</f>
      </c>
      <c r="AR39" s="7">
        <f>IF($B39="","",IFERROR(LOOKUP(2,1/((Events!$C$6:$C$17="W-4 change")*(Events!$B$6:$B$17&lt;=$B39)*(Events!$B$6:$B$17&lt;&gt;"")),Events!$G$6:$G$17),Inputs!$C$17))</f>
      </c>
      <c r="AS39" s="6">
        <f>IF($B39="","",IFERROR(LOOKUP(2,1/(((Events!$C$6:$C$17="State move")+(Events!$C$6:$C$17="State cert change"))*(Events!$B$6:$B$17&lt;=$B39)*(Events!$B$6:$B$17&lt;&gt;"")),Events!$F$6:$F$17),Inputs!$C$23))</f>
      </c>
      <c r="AT39" s="6">
        <f>IF($B39="","",IFERROR(LOOKUP(2,1/(((Events!$C$6:$C$17="State move")+(Events!$C$6:$C$17="State cert change"))*(Events!$B$6:$B$17&lt;=$B39)*(Events!$B$6:$B$17&lt;&gt;"")),Events!$G$6:$G$17),Inputs!$C$24))</f>
      </c>
      <c r="AU39">
        <f>IF($B39="","",IFERROR(LOOKUP(2,1/((Events!$C$6:$C$17="State move")*(Events!$B$6:$B$17&lt;=$B39)*(Events!$B$6:$B$17&lt;&gt;"")),Events!$E$6:$E$17),Inputs!$C$22))</f>
      </c>
      <c r="AV39" s="6">
        <f>IF($B39="","",1+COUNTIFS(Events!$C$6:$C$17,"Employer change",Events!$B$6:$B$17,"&lt;="&amp;$B39,Events!$B$6:$B$17,"&lt;&gt;"))</f>
      </c>
      <c r="AW39" s="7">
        <f>IF($B39="","",IF($AV39=1,Inputs!$C$94,IF(IFERROR(MATCH(IFERROR(LOOKUP(2,1/((Events!$C$6:$C$17="Employer change")*(Events!$B$6:$B$17&lt;=$B39)*(Events!$B$6:$B$17&lt;&gt;"")),Events!$B$6:$B$17),""),$B$6:$B$68,1),1)&lt;=1,Inputs!$C$94,INDEX($AB$6:$AB$68,MATCH(IFERROR(LOOKUP(2,1/((Events!$C$6:$C$17="Employer change")*(Events!$B$6:$B$17&lt;=$B39)*(Events!$B$6:$B$17&lt;&gt;"")),Events!$B$6:$B$17),""),$B$6:$B$68,1)-1))))</f>
      </c>
      <c r="AX39" s="7">
        <f>IF($B39="","",IF($AV39=1,Inputs!$C$94,IFERROR(LOOKUP(2,1/((Events!$C$6:$C$17="Employer change")*(Events!$B$6:$B$17&lt;=$B39)*(Events!$B$6:$B$17&lt;&gt;"")),Events!$D$6:$D$17),0)))</f>
      </c>
      <c r="AY39" s="7">
        <f>IF($B39="","",($O39-$D39)*Inputs!$C$8)</f>
      </c>
      <c r="AZ39" s="7">
        <f>IF($B39="","",IF($AN39="AL",MAX(0,$AY39-IF($AU39="Married",IF($AY39&lt;=25999,8500,MAX(5000,8500-175*CEILING(($AY39-25999)/500,1))),IF($AU39="Head of household",IF($AY39&lt;=25999,5200,MAX(2500,5200-135*CEILING(($AY39-25999)/500,1))),IF($AY39&lt;=25999,3000,MAX(2500,3000-25*CEILING(($AY39-25999)/500,1)))))-($P39-'Methodology &amp; Sources'!$C$10*$D39)*Inputs!$C$8-IF(OR($AU39="Married",$AU39="Head of household"),3000,1500)-$AT39*IF($AY39&lt;=50000,1000,IF($AY39&lt;=100000,500,300))),IF($AN39="AR",IF(MAX(0,$AY39-2470)&lt;97701,INT(MAX(0,$AY39-2470)/100)*100+50,MAX(0,$AY39-2470)),IF($AN39="DE",MAX(0,$AI39-3250),IF($AN39="HI",MAX(0,$AI39-1144*$AS39-4350),IF($AN39="KS",MAX(0,$AI39-(9160*IF($AU39="Married",2,1)+2320*$AT39+IF($AU39="Head of household",2320,0))),IF($AN39="MD",MAX(0,$AI39-3400-3200*$AS39),IF($AN39="MN",MAX(0,$AY39-5300*$AS39),IF($AN39="MO",MAX(0,$AI39-IF($AU39="Head of household",24150,IF($AU39="Married",IF(Inputs!$C$83,16100,32200),16100))),IF($AN39="MT",$AY39,IF($AN39="ND",($C39+$L39)*Inputs!$C$8,IF($AN39="NE",MAX(0,$AY39-2440*$AS39),IF($AN39="NJ",MAX(0,$AY39-1000*$AS39),IF($AN39="NY",MAX(0,$AY39-(IF($AU39="Married",7950,7400)+1000*$AS39)),IF($AN39="OH",MAX(0,$AY39-650*$AS39),IF($AN39="OK",MAX(0,$AY39-1000*$AS39),IF($AN39="RI",MAX(0,$AI39-1000*$AS39),IF($AN39="SC",MAX(0,$AI39-5000*$AS39-IF($AS39=0,0,MIN(0.1*$AI39,7500))),IF($AN39="VA",MAX(0,$AI39-IF($AU39="Married",17500,8750)-930*$AS39-800*$AT39),IF($AN39="VT",MAX(0,$AI39-5400*$AS39),IF($AN39="WI",MAX(0,$AI39-MAX(0,IF($AU39="Married",9461-0.2*MAX(0,$AI39-25727),6702-0.12*MAX(0,$AI39-17780)))-400*$AS39),IF($AN39="WV",MAX(0,$AI39-2000*$AS39),$AI39))))))))))))))))))))))</f>
      </c>
      <c r="BA39" s="7">
        <f>IF($B39="","",IF($BW39&lt;&gt;"",$BW39,IF($BX39&lt;&gt;"",$BX39,IF($BY39&lt;&gt;"",$BY39,0))))</f>
      </c>
      <c r="BB39" s="7">
        <f>IF($B39="","",IF($AN39="AR",-29*$AS39,IF($AN39="DE",-110*$AS39,IF($AN39="MD",$AZ39*Inputs!$C$74,IF($AN39="AZ",Inputs!$C$82*($M39-$D39)*Inputs!$C$8,IF($AN39="CO",0.044*MAX(0,$AY39-IF($AU39="Married",10000,5000)),IF($AN39="IA",MAX(0,0.038*MAX(0,$AY39-IF($AU39="Head of household",19500,IF($AU39="Married",26000,13000)))-40*$AS39),IF($AN39="ID",0.053*MAX(0,$AY39-IF($AU39="Married",32000,16094)),IF($AN39="IL",0.0495*MAX(0,$AY39-(2925*$AS39+1000*$AT39)),IF($AN39="IN",(0.0295+Inputs!$C$76)*MAX(0,$AY39-(1000*$AS39+1500*$AT39+3000*Inputs!$C$86)),IF($AN39="KY",0.035*MAX(0,$AI39-3360),IF($AN39="LA",IF(Inputs!$C$84="0",0.0309*$AI39,0.0309*MAX(0,$AI39-IF(Inputs!$C$84="2",25750,12875))),IF($AN39="MA",0.05*MIN(MAX(0,$AY39-MIN(($BD38+$Q39+$R39+$S39),2000)-IF($AS39=0,0,IF($AS39=1,4400,1000*$AS39+3400))),1107750)+0.09*MAX(0,MAX(0,$AY39-MIN(($BD38+$Q39+$R39+$S39),2000)-IF($AS39=0,0,IF($AS39=1,4400,1000*$AS39+3400)))-1107750)-IF($AU39="Head of household",120,0)-110*Inputs!$C$75,IF($AN39="MI",0.0425*MAX(0,$AY39-5900*$AS39),IF($AN39="MS",0.04*MAX(0,$AI39-IF($AU39="Head of household",3400,IF($AU39="Married",4600,2300))-Inputs!$C$85-10000),IF($AN39="OR",IF(OR($AU39="Married",AND($AU39="Single",$AS39&gt;=3)),SUMPRODUCT((MAX(0,$AY39-MIN(($P39-'Methodology &amp; Sources'!$C$10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Sources'!$B$211:$J$214,0,4))*(MAX(0,$AY39-MIN(($P39-'Methodology &amp; Sources'!$C$10*$D39)*Inputs!$C$8,IF(OR($AU39="Married",AND($AU39="Single",$AS39&gt;=3)),IF($AY39&lt;250000,8750,IF($AY39&lt;260000,7000,IF($AY39&lt;270000,5250,IF($AY39&lt;280000,3500,IF($AY39&lt;290000,1750,0))))),IF($AY39&lt;125000,8750,IF($AY39&lt;130000,7000,IF($AY39&lt;135000,5250,IF($AY39&lt;140000,3500,IF($AY39&lt;145000,1750,0)))))))-IF(OR($AU39="Married",AND($AU39="Single",$AS39&gt;=3)),5820,2910))-INDEX('Methodology &amp; Sources'!$B$211:$J$214,0,4))*INDEX('Methodology &amp; Sources'!$B$211:$J$214,0,4+2)),SUMPRODUCT((MAX(0,$AY39-MIN(($P39-'Methodology &amp; Sources'!$C$10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Sources'!$B$211:$J$214,0,1))*(MAX(0,$AY39-MIN(($P39-'Methodology &amp; Sources'!$C$10*$D39)*Inputs!$C$8,IF(OR($AU39="Married",AND($AU39="Single",$AS39&gt;=3)),IF($AY39&lt;250000,8750,IF($AY39&lt;260000,7000,IF($AY39&lt;270000,5250,IF($AY39&lt;280000,3500,IF($AY39&lt;290000,1750,0))))),IF($AY39&lt;125000,8750,IF($AY39&lt;130000,7000,IF($AY39&lt;135000,5250,IF($AY39&lt;140000,3500,IF($AY39&lt;145000,1750,0)))))))-IF(OR($AU39="Married",AND($AU39="Single",$AS39&gt;=3)),5820,2910))-INDEX('Methodology &amp; Sources'!$B$211:$J$214,0,1))*INDEX('Methodology &amp; Sources'!$B$211:$J$214,0,1+2)))+263-263*IF(IF($AU39="Married",$AY39&gt;200000,$AY39&gt;100000),0,$AS39),IF($AN39="PA",0.0307*(($O39+$E39+$G39)*Inputs!$C$8),IF($AN39="NY",IF($AU39="Married",IF($AZ39&gt;=2155350,0,IF($AZ39&gt;=1077550,0.48,IF($AZ39&gt;=373200,1.21,IF($AZ39&gt;=323200,0.21,IF($AZ39&gt;=211550,-0.19,IF($AZ39&gt;=157650,-2.8,IF($AZ39&gt;=107650,-0.8,IF($AZ39&gt;=96800,0.05,IF($AZ39&gt;=80650,-0.1,IF($AZ39&gt;=13900,0.4,IF($AZ39&gt;=11700,-0.3,IF($AZ39&gt;=8500,0.5,0)))))))))))),IF($AZ39&gt;=1077550,0,IF($AZ39&gt;=265400,4.29,IF($AZ39&gt;=215400,2.29,IF($AZ39&gt;=157650,2.29,IF($AZ39&gt;=107650,0.29,IF($AZ39&gt;=96800,0.05,IF($AZ39&gt;=80650,-0.1,IF($AZ39&gt;=13900,0.4,IF($AZ39&gt;=11700,-0.3,IF($AZ39&gt;=8500,0.5,0))))))))))),0))))))))))))))))))</f>
      </c>
      <c r="BC39" s="7">
        <f>IF($B39="","",IF($AN39="AL",0.05*$D39,IF($AN39="AR",0.039*$D39,IF($AN39="ID",0.053*$D39,IF($AN39="IN",(0.0295+Inputs!$C$76)*$D39,IF($AN39="KS",0.05*$D39,IF($AN39="MA",0.09*MIN($D39,MAX(0,MAX(0,$AY39-MIN(($BD38+$Q39+$R39+$S39),2000)-IF($AS39=0,0,IF($AS39=1,4400,1000*$AS39+3400)))+$D39-1107750))+0.05*($D39-MIN($D39,MAX(0,MAX(0,$AY39-MIN(($BD38+$Q39+$R39+$S39),2000)-IF($AS39=0,0,IF($AS39=1,4400,1000*$AS39+3400)))+$D39-1107750))),IF($AN39="MD",(0.065+Inputs!$C$74)*$D39,IF($AN39="MI",0.0425*$D39,IF($AN39="MN",0.0625*$D39,IF($AN39="MO",0.047*$D39,IF($AN39="MT",0.05*$D39,IF($AN39="ND",0.015*$D39,IF($AN39="NE",0.035*$D39,IF($AN39="NJ",IF(Inputs!$C$77="B",SUMPRODUCT(($D39*Inputs!$C$8&gt;INDEX('Methodology &amp; Sources'!$B$155:$J$162,0,4))*($D39*Inputs!$C$8-INDEX('Methodology &amp; Sources'!$B$155:$J$162,0,4))*INDEX('Methodology &amp; Sources'!$B$155:$J$162,0,4+2)),IF(Inputs!$C$77="C",SUMPRODUCT(($D39*Inputs!$C$8&gt;INDEX('Methodology &amp; Sources'!$B$155:$J$162,0,7))*($D39*Inputs!$C$8-INDEX('Methodology &amp; Sources'!$B$155:$J$162,0,7))*INDEX('Methodology &amp; Sources'!$B$155:$J$162,0,7+2)),IF(Inputs!$C$77="D",SUMPRODUCT(($D39*Inputs!$C$8&gt;INDEX('Methodology &amp; Sources'!$B$167:$J$179,0,1))*($D39*Inputs!$C$8-INDEX('Methodology &amp; Sources'!$B$167:$J$179,0,1))*INDEX('Methodology &amp; Sources'!$B$167:$J$179,0,1+2)),IF(Inputs!$C$77="E",SUMPRODUCT(($D39*Inputs!$C$8&gt;INDEX('Methodology &amp; Sources'!$B$167:$J$179,0,4))*($D39*Inputs!$C$8-INDEX('Methodology &amp; Sources'!$B$167:$J$179,0,4))*INDEX('Methodology &amp; Sources'!$B$167:$J$179,0,4+2)),SUMPRODUCT(($D39*Inputs!$C$8&gt;INDEX('Methodology &amp; Sources'!$B$155:$J$162,0,1))*($D39*Inputs!$C$8-INDEX('Methodology &amp; Sources'!$B$155:$J$162,0,1))*INDEX('Methodology &amp; Sources'!$B$155:$J$162,0,1+2))))))/Inputs!$C$8,IF($AN39="NY",0.117*$D39,IF($AN39="OH",0.0275*$D39,IF($AN39="OK",0.045*$D39,IF($AN39="OR",0.08*$D39,IF($AN39="WI",IF($AY39&lt;12760,0.0354,IF($AY39&lt;25520,0.0465,IF($AY39&lt;280950,0.053,0.0765)))*$D39,0))))))))))))))))))))</f>
      </c>
      <c r="BD39" s="7">
        <f>IF($B39="","",$BD38+$Q39+$R39+$S39)</f>
      </c>
      <c r="BE39" s="6">
        <f>IF($B39="",$BE38,$BE38+$BF39)</f>
      </c>
      <c r="BF39" s="6">
        <f>IF($B39="","",IF(AND(IF(YEAR(IF(Inputs!$C$7="Weekly",Inputs!$C$90+7*(($BE38+1)-1),IF(Inputs!$C$7="Biweekly",Inputs!$C$90+14*(($BE38+1)-1),IF(Inputs!$C$7="Semimonthly",DATE(YEAR(Inputs!$C$9),MONTH(Inputs!$C$9)+INT((($BE38+1)-1+'Rest of 2026'!$C$2)/2),MIN(DAY(Inputs!$C$9),DAY(EOMONTH(DATE(YEAR(Inputs!$C$9),MONTH(Inputs!$C$9)+INT((($BE38+1)-1+'Rest of 2026'!$C$2)/2),1),0))))+IF(MOD(($BE38+1)-1+'Rest of 2026'!$C$2,2)=1,15,0),EDATE(Inputs!$C$90,($BE38+1)-1)))))&lt;&gt;Inputs!$C$10,"",IF(Inputs!$C$7="Weekly",Inputs!$C$90+7*(($BE38+1)-1),IF(Inputs!$C$7="Biweekly",Inputs!$C$90+14*(($BE38+1)-1),IF(Inputs!$C$7="Semimonthly",DATE(YEAR(Inputs!$C$9),MONTH(Inputs!$C$9)+INT((($BE38+1)-1+'Rest of 2026'!$C$2)/2),MIN(DAY(Inputs!$C$9),DAY(EOMONTH(DATE(YEAR(Inputs!$C$9),MONTH(Inputs!$C$9)+INT((($BE38+1)-1+'Rest of 2026'!$C$2)/2),1),0))))+IF(MOD(($BE38+1)-1+'Rest of 2026'!$C$2,2)=1,15,0),EDATE(Inputs!$C$90,($BE38+1)-1)))))&lt;&gt;"",$B39=IF(YEAR(IF(Inputs!$C$7="Weekly",Inputs!$C$90+7*(($BE38+1)-1),IF(Inputs!$C$7="Biweekly",Inputs!$C$90+14*(($BE38+1)-1),IF(Inputs!$C$7="Semimonthly",DATE(YEAR(Inputs!$C$9),MONTH(Inputs!$C$9)+INT((($BE38+1)-1+'Rest of 2026'!$C$2)/2),MIN(DAY(Inputs!$C$9),DAY(EOMONTH(DATE(YEAR(Inputs!$C$9),MONTH(Inputs!$C$9)+INT((($BE38+1)-1+'Rest of 2026'!$C$2)/2),1),0))))+IF(MOD(($BE38+1)-1+'Rest of 2026'!$C$2,2)=1,15,0),EDATE(Inputs!$C$90,($BE38+1)-1)))))&lt;&gt;Inputs!$C$10,"",IF(Inputs!$C$7="Weekly",Inputs!$C$90+7*(($BE38+1)-1),IF(Inputs!$C$7="Biweekly",Inputs!$C$90+14*(($BE38+1)-1),IF(Inputs!$C$7="Semimonthly",DATE(YEAR(Inputs!$C$9),MONTH(Inputs!$C$9)+INT((($BE38+1)-1+'Rest of 2026'!$C$2)/2),MIN(DAY(Inputs!$C$9),DAY(EOMONTH(DATE(YEAR(Inputs!$C$9),MONTH(Inputs!$C$9)+INT((($BE38+1)-1+'Rest of 2026'!$C$2)/2),1),0))))+IF(MOD(($BE38+1)-1+'Rest of 2026'!$C$2,2)=1,15,0),EDATE(Inputs!$C$90,($BE38+1)-1)))))),1,0))</f>
      </c>
      <c r="BG39" s="7">
        <f>IF($B39="","",$BG38+$H39)</f>
      </c>
      <c r="BH39" s="7">
        <f>IF($B39="","",$BH38+$I39)</f>
      </c>
      <c r="BI39" s="7">
        <f>IF($B39="","",$BI38+$G39)</f>
      </c>
      <c r="BJ39" s="7">
        <f>IF($B39="","",IFERROR(LOOKUP(2,1/((((Events!$C$6:$C$17="Deduction start"))*(Events!$D$6:$D$17="Health FSA"))*(Events!$B$6:$B$17&lt;=$B39)*(Events!$B$6:$B$17&lt;&gt;"")),Events!$E$6:$E$17),Inputs!$D$38))</f>
      </c>
      <c r="BK39" s="7">
        <f>IF($B39="","",IFERROR(LOOKUP(2,1/((((Events!$C$6:$C$17="Deduction start"))*(Events!$D$6:$D$17="Dependent-care FSA"))*(Events!$B$6:$B$17&lt;=$B39)*(Events!$B$6:$B$17&lt;&gt;"")),Events!$E$6:$E$17),Inputs!$D$39))</f>
      </c>
      <c r="BL39" s="7">
        <f>IF($B39="","",IFERROR(LOOKUP(2,1/((((Events!$C$6:$C$17="Deduction start")+(Events!$C$6:$C$17="Deduction stop"))*(Events!$D$6:$D$17="HSA"))*(Events!$B$6:$B$17&lt;=$B39)*(Events!$B$6:$B$17&lt;&gt;"")),Events!$I$6:$I$17),Inputs!$D$35))</f>
      </c>
      <c r="BM39" s="7">
        <f>IF($B39="","",IFERROR(LOOKUP(2,1/((((Events!$C$6:$C$17="Deduction start")+(Events!$C$6:$C$17="Deduction stop"))*(Events!$D$6:$D$17="Premiums"))*(Events!$B$6:$B$17&lt;=$B39)*(Events!$B$6:$B$17&lt;&gt;"")),Events!$I$6:$I$17),Inputs!$D$40+Inputs!$D$41+Inputs!$D$42))</f>
      </c>
      <c r="BN39" s="7">
        <f>IF($B39="","",IFERROR(LOOKUP(2,1/((((Events!$C$6:$C$17="Deduction start")+(Events!$C$6:$C$17="Deduction stop"))*(Events!$D$6:$D$17="Commuter"))*(Events!$B$6:$B$17&lt;=$B39)*(Events!$B$6:$B$17&lt;&gt;"")),Events!$I$6:$I$17),Inputs!$D$43))</f>
      </c>
      <c r="BO39" s="7">
        <f>IF($B39="","",IFERROR(LOOKUP(2,1/((((Events!$C$6:$C$17="Deduction start")+(Events!$C$6:$C$17="Deduction stop"))*(Events!$D$6:$D$17="Other pre-tax"))*(Events!$B$6:$B$17&lt;=$B39)*(Events!$B$6:$B$17&lt;&gt;"")),Events!$I$6:$I$17),Inputs!$D$44))</f>
      </c>
      <c r="BP39" s="7">
        <f>IF($B39="","",IFERROR(LOOKUP(2,1/((((Events!$C$6:$C$17="Deduction start")+(Events!$C$6:$C$17="Deduction stop"))*(Events!$D$6:$D$17="Other post-tax"))*(Events!$B$6:$B$17&lt;=$B39)*(Events!$B$6:$B$17&lt;&gt;"")),Events!$I$6:$I$17),Inputs!$D$45))</f>
      </c>
      <c r="BQ39" s="6">
        <f>IF($B39="","",IFERROR(LOOKUP(2,1/((((Events!$C$6:$C$17="Deduction start")+(Events!$C$6:$C$17="Deduction stop"))*(Events!$D$6:$D$17="Health FSA"))*(Events!$B$6:$B$17&lt;=$B39)*(Events!$B$6:$B$17&lt;&gt;"")),Events!$J$6:$J$17),0))</f>
      </c>
      <c r="BR39" s="6">
        <f>IF($B39="","",IFERROR(LOOKUP(2,1/((((Events!$C$6:$C$17="Deduction start")+(Events!$C$6:$C$17="Deduction stop"))*(Events!$D$6:$D$17="Dependent-care FSA"))*(Events!$B$6:$B$17&lt;=$B39)*(Events!$B$6:$B$17&lt;&gt;"")),Events!$J$6:$J$17),0))</f>
      </c>
      <c r="BS39" s="6">
        <f>IF($B39="","",IF(SUMPRODUCT((Events!$C$6:$C$17="Deduction start")*(Events!$B$6:$B$17&lt;=$B39)*(Events!$B$6:$B$17&lt;&gt;"")*(Events!$D$6:$D$17="Health FSA"))&gt;0,1,0))</f>
      </c>
      <c r="BT39" s="6">
        <f>IF($B39="","",IF(SUMPRODUCT((Events!$C$6:$C$17="Deduction start")*(Events!$B$6:$B$17&lt;=$B39)*(Events!$B$6:$B$17&lt;&gt;"")*(Events!$D$6:$D$17="Dependent-care FSA"))&gt;0,1,0))</f>
      </c>
      <c r="BU39" s="24">
        <f>IF($B39="","",IF(Inputs!$C$13,SUMPRODUCT(($AH39&gt;=INDEX('Methodology &amp; Sources'!$B$29:$J$36,0,IF(Inputs!$C$12="MFJ",1,IF(Inputs!$C$12="HoH",7,4))))*INDEX('Methodology &amp; Sources'!$B$29:$J$36,0,IF(Inputs!$C$12="MFJ",1,IF(Inputs!$C$12="HoH",7,4))+2)),SUMPRODUCT(($AH39&gt;=INDEX('Methodology &amp; Sources'!$B$19:$J$26,0,IF(Inputs!$C$12="MFJ",1,IF(Inputs!$C$12="HoH",7,4))))*INDEX('Methodology &amp; Sources'!$B$19:$J$26,0,IF(Inputs!$C$12="MFJ",1,IF(Inputs!$C$12="HoH",7,4))+2))))</f>
      </c>
      <c r="BV39" s="24">
        <f>IF($B39="","",IF($BZ39&lt;&gt;"",$BZ39,IF($CA39&lt;&gt;"",$CA39,IF($CB39&lt;&gt;"",$CB39,IF($CC39&lt;&gt;"",$CC39,0)))))</f>
      </c>
      <c r="BW39" s="7">
        <f>IF($B39="","",IF($AN39="MD",IF(OR($AU39="Married",$AU39="Head of household"),SUMPRODUCT(($AZ39&gt;INDEX('Methodology &amp; Sources'!$B$114:$J$120,0,1))*($AZ39-INDEX('Methodology &amp; Sources'!$B$114:$J$120,0,1))*INDEX('Methodology &amp; Sources'!$B$114:$J$120,0,1+2)),SUMPRODUCT(($AZ39&gt;INDEX('Methodology &amp; Sources'!$B$103:$J$109,0,7))*($AZ39-INDEX('Methodology &amp; Sources'!$B$103:$J$109,0,7))*INDEX('Methodology &amp; Sources'!$B$103:$J$109,0,7+2))),IF($AN39="MO",SUMPRODUCT(($AZ39&gt;INDEX('Methodology &amp; Sources'!$B$125:$J$132,0,1))*($AZ39-INDEX('Methodology &amp; Sources'!$B$125:$J$132,0,1))*INDEX('Methodology &amp; Sources'!$B$125:$J$132,0,1+2)),IF($AN39="MT",IF($AU39="Head of household",SUMPRODUCT(($AZ39&gt;INDEX('Methodology &amp; Sources'!$B$137:$J$139,0,1))*($AZ39-INDEX('Methodology &amp; Sources'!$B$137:$J$139,0,1))*INDEX('Methodology &amp; Sources'!$B$137:$J$139,0,1+2)),IF($AU39="Married",SUMPRODUCT(($AZ39&gt;INDEX('Methodology &amp; Sources'!$B$125:$J$132,0,7))*($AZ39-INDEX('Methodology &amp; Sources'!$B$125:$J$132,0,7))*INDEX('Methodology &amp; Sources'!$B$125:$J$132,0,7+2)),SUMPRODUCT(($AZ39&gt;INDEX('Methodology &amp; Sources'!$B$125:$J$132,0,4))*($AZ39-INDEX('Methodology &amp; Sources'!$B$125:$J$132,0,4))*INDEX('Methodology &amp; Sources'!$B$125:$J$132,0,4+2)))),IF($AN39="ND",IF($AU39="Head of household",SUMPRODUCT(($AZ39&gt;INDEX('Methodology &amp; Sources'!$B$144:$J$150,0,1))*($AZ39-INDEX('Methodology &amp; Sources'!$B$144:$J$150,0,1))*INDEX('Methodology &amp; Sources'!$B$144:$J$150,0,1+2)),IF($AU39="Married",SUMPRODUCT(($AZ39&gt;INDEX('Methodology &amp; Sources'!$B$137:$J$139,0,7))*($AZ39-INDEX('Methodology &amp; Sources'!$B$137:$J$139,0,7))*INDEX('Methodology &amp; Sources'!$B$137:$J$139,0,7+2)),SUMPRODUCT(($AZ39&gt;INDEX('Methodology &amp; Sources'!$B$137:$J$139,0,4))*($AZ39-INDEX('Methodology &amp; Sources'!$B$137:$J$139,0,4))*INDEX('Methodology &amp; Sources'!$B$137:$J$139,0,4+2)))),IF($AN39="NJ",IF(Inputs!$C$77="B",SUMPRODUCT(($AZ39&gt;INDEX('Methodology &amp; Sources'!$B$155:$J$162,0,4))*($AZ39-INDEX('Methodology &amp; Sources'!$B$155:$J$162,0,4))*INDEX('Methodology &amp; Sources'!$B$155:$J$162,0,4+2)),IF(Inputs!$C$77="C",SUMPRODUCT(($AZ39&gt;INDEX('Methodology &amp; Sources'!$B$155:$J$162,0,7))*($AZ39-INDEX('Methodology &amp; Sources'!$B$155:$J$162,0,7))*INDEX('Methodology &amp; Sources'!$B$155:$J$162,0,7+2)),IF(Inputs!$C$77="D",SUMPRODUCT(($AZ39&gt;INDEX('Methodology &amp; Sources'!$B$167:$J$179,0,1))*($AZ39-INDEX('Methodology &amp; Sources'!$B$167:$J$179,0,1))*INDEX('Methodology &amp; Sources'!$B$167:$J$179,0,1+2)),IF(Inputs!$C$77="E",SUMPRODUCT(($AZ39&gt;INDEX('Methodology &amp; Sources'!$B$167:$J$179,0,4))*($AZ39-INDEX('Methodology &amp; Sources'!$B$167:$J$179,0,4))*INDEX('Methodology &amp; Sources'!$B$167:$J$179,0,4+2)),SUMPRODUCT(($AZ39&gt;INDEX('Methodology &amp; Sources'!$B$155:$J$162,0,1))*($AZ39-INDEX('Methodology &amp; Sources'!$B$155:$J$162,0,1))*INDEX('Methodology &amp; Sources'!$B$155:$J$162,0,1+2)))))),IF($AN39="NY",IF($AU39="Married",IF($AZ39&gt;=2155350,$AZ39*IF($AZ39&gt;25000000,0.117,IF($AZ39&gt;5000000,0.111,0.1045)),SUMPRODUCT(($AZ39&gt;INDEX('Methodology &amp; Sources'!$B$184:$J$198,0,1))*($AZ39-INDEX('Methodology &amp; Sources'!$B$184:$J$198,0,1))*INDEX('Methodology &amp; Sources'!$B$184:$J$198,0,1+2))),IF($AZ39&gt;=1077550,$AZ39*IF($AZ39&gt;25000000,0.117,IF($AZ39&gt;5000000,0.111,0.1045)),SUMPRODUCT(($AZ39&gt;INDEX('Methodology &amp; Sources'!$B$167:$J$179,0,7))*($AZ39-INDEX('Methodology &amp; Sources'!$B$167:$J$179,0,7))*INDEX('Methodology &amp; Sources'!$B$167:$J$179,0,7+2)))),"")))))))</f>
      </c>
      <c r="BX39" s="7">
        <f>IF($B39="","",IF($AN39="AL",IF(OR($AU39="Married",$AU39="Head of household"),SUMPRODUCT(($AZ39&gt;INDEX('Methodology &amp; Sources'!$B$82:$J$86,0,4))*($AZ39-INDEX('Methodology &amp; Sources'!$B$82:$J$86,0,4))*INDEX('Methodology &amp; Sources'!$B$82:$J$86,0,4+2)),SUMPRODUCT(($AZ39&gt;INDEX('Methodology &amp; Sources'!$B$82:$J$86,0,1))*($AZ39-INDEX('Methodology &amp; Sources'!$B$82:$J$86,0,1))*INDEX('Methodology &amp; Sources'!$B$82:$J$86,0,1+2))),IF($AN39="KS",IF($AU39="Married",SUMPRODUCT(($AZ39&gt;INDEX('Methodology &amp; Sources'!$B$103:$J$109,0,4))*($AZ39-INDEX('Methodology &amp; Sources'!$B$103:$J$109,0,4))*INDEX('Methodology &amp; Sources'!$B$103:$J$109,0,4+2)),SUMPRODUCT(($AZ39&gt;INDEX('Methodology &amp; Sources'!$B$103:$J$109,0,1))*($AZ39-INDEX('Methodology &amp; Sources'!$B$103:$J$109,0,1))*INDEX('Methodology &amp; Sources'!$B$103:$J$109,0,1+2))),IF($AN39="MN",IF($AU39="Married",SUMPRODUCT(($AZ39&gt;INDEX('Methodology &amp; Sources'!$B$114:$J$120,0,7))*($AZ39-INDEX('Methodology &amp; Sources'!$B$114:$J$120,0,7))*INDEX('Methodology &amp; Sources'!$B$114:$J$120,0,7+2)),SUMPRODUCT(($AZ39&gt;INDEX('Methodology &amp; Sources'!$B$114:$J$120,0,4))*($AZ39-INDEX('Methodology &amp; Sources'!$B$114:$J$120,0,4))*INDEX('Methodology &amp; Sources'!$B$114:$J$120,0,4+2))),IF($AN39="NE",MAX(IF($AU39="Married",SUMPRODUCT(($AZ39&gt;INDEX('Methodology &amp; Sources'!$B$144:$J$150,0,7))*($AZ39-INDEX('Methodology &amp; Sources'!$B$144:$J$150,0,7))*INDEX('Methodology &amp; Sources'!$B$144:$J$150,0,7+2)),SUMPRODUCT(($AZ39&gt;INDEX('Methodology &amp; Sources'!$B$144:$J$150,0,4))*($AZ39-INDEX('Methodology &amp; Sources'!$B$144:$J$150,0,4))*INDEX('Methodology &amp; Sources'!$B$144:$J$150,0,4+2))),0.015*$AZ39),IF($AN39="OH",IF($B39&gt;=DATE(2027,8,1),SUMPRODUCT(($AZ39&gt;INDEX('Methodology &amp; Sources'!$B$203:$J$206,0,1))*($AZ39-INDEX('Methodology &amp; Sources'!$B$203:$J$206,0,1))*INDEX('Methodology &amp; Sources'!$B$203:$J$206,0,1+2)),SUMPRODUCT(($AZ39&gt;INDEX('Methodology &amp; Sources'!$B$184:$J$198,0,7))*($AZ39-INDEX('Methodology &amp; Sources'!$B$184:$J$198,0,7))*INDEX('Methodology &amp; Sources'!$B$184:$J$198,0,7+2))),IF($AN39="OK",IF($AU39="Married",SUMPRODUCT(($AZ39&gt;INDEX('Methodology &amp; Sources'!$B$203:$J$206,0,7))*($AZ39-INDEX('Methodology &amp; Sources'!$B$203:$J$206,0,7))*INDEX('Methodology &amp; Sources'!$B$203:$J$206,0,7+2)),SUMPRODUCT(($AZ39&gt;INDEX('Methodology &amp; Sources'!$B$203:$J$206,0,4))*($AZ39-INDEX('Methodology &amp; Sources'!$B$203:$J$206,0,4))*INDEX('Methodology &amp; Sources'!$B$203:$J$206,0,4+2))),IF($AN39="RI",SUMPRODUCT(($AZ39&gt;INDEX('Methodology &amp; Sources'!$B$211:$J$214,0,7))*($AZ39-INDEX('Methodology &amp; Sources'!$B$211:$J$214,0,7))*INDEX('Methodology &amp; Sources'!$B$211:$J$214,0,7+2)),IF($AN39="VT",IF($AU39="Married",SUMPRODUCT(($AZ39&gt;INDEX('Methodology &amp; Sources'!$B$228:$J$232,0,1))*($AZ39-INDEX('Methodology &amp; Sources'!$B$228:$J$232,0,1))*INDEX('Methodology &amp; Sources'!$B$228:$J$232,0,1+2)),SUMPRODUCT(($AZ39&gt;INDEX('Methodology &amp; Sources'!$B$219:$J$223,0,7))*($AZ39-INDEX('Methodology &amp; Sources'!$B$219:$J$223,0,7))*INDEX('Methodology &amp; Sources'!$B$219:$J$223,0,7+2))),IF($AN39="WV",IF($AU39="Married",SUMPRODUCT(($AZ39&gt;INDEX('Methodology &amp; Sources'!$B$237:$J$241,0,7))*($AZ39-INDEX('Methodology &amp; Sources'!$B$237:$J$241,0,7))*INDEX('Methodology &amp; Sources'!$B$237:$J$241,0,7+2)),SUMPRODUCT(($AZ39&gt;INDEX('Methodology &amp; Sources'!$B$228:$J$232,0,7))*($AZ39-INDEX('Methodology &amp; Sources'!$B$228:$J$232,0,7))*INDEX('Methodology &amp; Sources'!$B$228:$J$232,0,7+2))),""))))))))))</f>
      </c>
      <c r="BY39" s="7">
        <f>IF($B39="","",IF($AN39="AR",SUMPRODUCT(($AZ39&gt;INDEX('Methodology &amp; Sources'!$B$82:$J$86,0,7))*($AZ39-INDEX('Methodology &amp; Sources'!$B$82:$J$86,0,7))*INDEX('Methodology &amp; Sources'!$B$82:$J$86,0,7+2)),IF($AN39="DE",SUMPRODUCT(($AZ39&gt;INDEX('Methodology &amp; Sources'!$B$91:$J$98,0,1))*($AZ39-INDEX('Methodology &amp; Sources'!$B$91:$J$98,0,1))*INDEX('Methodology &amp; Sources'!$B$91:$J$98,0,1+2)),IF($AN39="HI",IF($AU39="Married",SUMPRODUCT(($AZ39&gt;INDEX('Methodology &amp; Sources'!$B$91:$J$98,0,7))*($AZ39-INDEX('Methodology &amp; Sources'!$B$91:$J$98,0,7))*INDEX('Methodology &amp; Sources'!$B$91:$J$98,0,7+2)),SUMPRODUCT(($AZ39&gt;INDEX('Methodology &amp; Sources'!$B$91:$J$98,0,4))*($AZ39-INDEX('Methodology &amp; Sources'!$B$91:$J$98,0,4))*INDEX('Methodology &amp; Sources'!$B$91:$J$98,0,4+2))),IF($AN39="SC",SUMPRODUCT(($AZ39&gt;INDEX('Methodology &amp; Sources'!$B$219:$J$223,0,1))*($AZ39-INDEX('Methodology &amp; Sources'!$B$219:$J$223,0,1))*INDEX('Methodology &amp; Sources'!$B$219:$J$223,0,1+2)),IF($AN39="VA",SUMPRODUCT(($AZ39&gt;INDEX('Methodology &amp; Sources'!$B$219:$J$223,0,4))*($AZ39-INDEX('Methodology &amp; Sources'!$B$219:$J$223,0,4))*INDEX('Methodology &amp; Sources'!$B$219:$J$223,0,4+2)),IF($AN39="WI",SUMPRODUCT(($AZ39&gt;INDEX('Methodology &amp; Sources'!$B$228:$J$232,0,4))*($AZ39-INDEX('Methodology &amp; Sources'!$B$228:$J$232,0,4))*INDEX('Methodology &amp; Sources'!$B$228:$J$232,0,4+2)),"")))))))</f>
      </c>
      <c r="BZ39" s="24">
        <f>IF($B39="","",IF($AN39="NJ",IF(Inputs!$C$77="B",SUMPRODUCT(($AZ39&gt;=INDEX('Methodology &amp; Sources'!$B$155:$J$162,0,4))*INDEX('Methodology &amp; Sources'!$B$155:$J$162,0,4+2)),IF(Inputs!$C$77="C",SUMPRODUCT(($AZ39&gt;=INDEX('Methodology &amp; Sources'!$B$155:$J$162,0,7))*INDEX('Methodology &amp; Sources'!$B$155:$J$162,0,7+2)),IF(Inputs!$C$77="D",SUMPRODUCT(($AZ39&gt;=INDEX('Methodology &amp; Sources'!$B$167:$J$179,0,1))*INDEX('Methodology &amp; Sources'!$B$167:$J$179,0,1+2)),IF(Inputs!$C$77="E",SUMPRODUCT(($AZ39&gt;=INDEX('Methodology &amp; Sources'!$B$167:$J$179,0,4))*INDEX('Methodology &amp; Sources'!$B$167:$J$179,0,4+2)),SUMPRODUCT(($AZ39&gt;=INDEX('Methodology &amp; Sources'!$B$155:$J$162,0,1))*INDEX('Methodology &amp; Sources'!$B$155:$J$162,0,1+2)))))),IF($AN39="OR",IF(OR($AU39="Married",AND($AU39="Single",$AS39&gt;=3)),SUMPRODUCT((MAX(0,$AY39-MIN(($P39-'Methodology &amp; Sources'!$C$10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Sources'!$B$211:$J$214,0,4))*INDEX('Methodology &amp; Sources'!$B$211:$J$214,0,4+2)),SUMPRODUCT((MAX(0,$AY39-MIN(($P39-'Methodology &amp; Sources'!$C$10*$D39)*Inputs!$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Sources'!$B$211:$J$214,0,1))*INDEX('Methodology &amp; Sources'!$B$211:$J$214,0,1+2)))*IF(($P39-'Methodology &amp; Sources'!$C$10*$D39)*Inputs!$C$8&gt;=IF(OR($AU39="Married",AND($AU39="Single",$AS39&gt;=3)),IF($AY39&lt;250000,8750,IF($AY39&lt;260000,7000,IF($AY39&lt;270000,5250,IF($AY39&lt;280000,3500,IF($AY39&lt;290000,1750,0))))),IF($AY39&lt;125000,8750,IF($AY39&lt;130000,7000,IF($AY39&lt;135000,5250,IF($AY39&lt;140000,3500,IF($AY39&lt;145000,1750,0)))))),1,1-IF(Inputs!$C$13,SUMPRODUCT(($AH39&gt;=INDEX('Methodology &amp; Sources'!$B$29:$J$36,0,IF(Inputs!$C$12="MFJ",1,IF(Inputs!$C$12="HoH",7,4))))*INDEX('Methodology &amp; Sources'!$B$29:$J$36,0,IF(Inputs!$C$12="MFJ",1,IF(Inputs!$C$12="HoH",7,4))+2)),SUMPRODUCT(($AH39&gt;=INDEX('Methodology &amp; Sources'!$B$19:$J$26,0,IF(Inputs!$C$12="MFJ",1,IF(Inputs!$C$12="HoH",7,4))))*INDEX('Methodology &amp; Sources'!$B$19:$J$26,0,IF(Inputs!$C$12="MFJ",1,IF(Inputs!$C$12="HoH",7,4))+2)))),IF($AN39="MI",IF($AY39&gt;5900*$AS39,0.0425,0),""))))</f>
      </c>
      <c r="CA39" s="24">
        <f>IF($B39="","",IF($AN39="AL",IF(OR($AU39="Married",$AU39="Head of household"),SUMPRODUCT(($AZ39&gt;=INDEX('Methodology &amp; Sources'!$B$82:$J$86,0,4))*INDEX('Methodology &amp; Sources'!$B$82:$J$86,0,4+2)),SUMPRODUCT(($AZ39&gt;=INDEX('Methodology &amp; Sources'!$B$82:$J$86,0,1))*INDEX('Methodology &amp; Sources'!$B$82:$J$86,0,1+2)))*(1-IF(Inputs!$C$13,SUMPRODUCT(($AH39&gt;=INDEX('Methodology &amp; Sources'!$B$29:$J$36,0,IF(Inputs!$C$12="MFJ",1,IF(Inputs!$C$12="HoH",7,4))))*INDEX('Methodology &amp; Sources'!$B$29:$J$36,0,IF(Inputs!$C$12="MFJ",1,IF(Inputs!$C$12="HoH",7,4))+2)),SUMPRODUCT(($AH39&gt;=INDEX('Methodology &amp; Sources'!$B$19:$J$26,0,IF(Inputs!$C$12="MFJ",1,IF(Inputs!$C$12="HoH",7,4))))*INDEX('Methodology &amp; Sources'!$B$19:$J$26,0,IF(Inputs!$C$12="MFJ",1,IF(Inputs!$C$12="HoH",7,4))+2)))),IF($AN39="KS",IF($AU39="Married",SUMPRODUCT(($AZ39&gt;=INDEX('Methodology &amp; Sources'!$B$103:$J$109,0,4))*INDEX('Methodology &amp; Sources'!$B$103:$J$109,0,4+2)),SUMPRODUCT(($AZ39&gt;=INDEX('Methodology &amp; Sources'!$B$103:$J$109,0,1))*INDEX('Methodology &amp; Sources'!$B$103:$J$109,0,1+2))),IF($AN39="MD",IF(OR($AU39="Married",$AU39="Head of household"),SUMPRODUCT(($AZ39&gt;=INDEX('Methodology &amp; Sources'!$B$114:$J$120,0,1))*INDEX('Methodology &amp; Sources'!$B$114:$J$120,0,1+2)),SUMPRODUCT(($AZ39&gt;=INDEX('Methodology &amp; Sources'!$B$103:$J$109,0,7))*INDEX('Methodology &amp; Sources'!$B$103:$J$109,0,7+2)))+Inputs!$C$74,IF($AN39="MT",IF($AU39="Head of household",SUMPRODUCT(($AZ39&gt;=INDEX('Methodology &amp; Sources'!$B$137:$J$139,0,1))*INDEX('Methodology &amp; Sources'!$B$137:$J$139,0,1+2)),IF($AU39="Married",SUMPRODUCT(($AZ39&gt;=INDEX('Methodology &amp; Sources'!$B$125:$J$132,0,7))*INDEX('Methodology &amp; Sources'!$B$125:$J$132,0,7+2)),SUMPRODUCT(($AZ39&gt;=INDEX('Methodology &amp; Sources'!$B$125:$J$132,0,4))*INDEX('Methodology &amp; Sources'!$B$125:$J$132,0,4+2)))),IF($AN39="ND",IF($AU39="Head of household",SUMPRODUCT(($AZ39&gt;=INDEX('Methodology &amp; Sources'!$B$144:$J$150,0,1))*INDEX('Methodology &amp; Sources'!$B$144:$J$150,0,1+2)),IF($AU39="Married",SUMPRODUCT(($AZ39&gt;=INDEX('Methodology &amp; Sources'!$B$137:$J$139,0,7))*INDEX('Methodology &amp; Sources'!$B$137:$J$139,0,7+2)),SUMPRODUCT(($AZ39&gt;=INDEX('Methodology &amp; Sources'!$B$137:$J$139,0,4))*INDEX('Methodology &amp; Sources'!$B$137:$J$139,0,4+2)))),IF($AN39="NY",IF($AU39="Married",IF($AZ39&gt;=2155350,IF($AZ39&gt;25000000,0.117,IF($AZ39&gt;5000000,0.111,0.1045)),SUMPRODUCT(($AZ39&gt;=INDEX('Methodology &amp; Sources'!$B$184:$J$198,0,1))*INDEX('Methodology &amp; Sources'!$B$184:$J$198,0,1+2))),IF($AZ39&gt;=1077550,IF($AZ39&gt;25000000,0.117,IF($AZ39&gt;5000000,0.111,0.1045)),SUMPRODUCT(($AZ39&gt;=INDEX('Methodology &amp; Sources'!$B$167:$J$179,0,7))*INDEX('Methodology &amp; Sources'!$B$167:$J$179,0,7+2)))),"")))))))</f>
      </c>
      <c r="CB39" s="24">
        <f>IF($B39="","",IF($AN39="CA",SUMPRODUCT(($AJ39&gt;=INDEX('Methodology &amp; Sources'!$B$39:$J$48,0,IF($AU39="Married",4,IF($AU39="Head of household",7,1))))*INDEX('Methodology &amp; Sources'!$B$39:$J$48,0,IF($AU39="Married",4,IF($AU39="Head of household",7,1))+2)),IF($AN39="HI",IF($AU39="Married",SUMPRODUCT(($AZ39&gt;=INDEX('Methodology &amp; Sources'!$B$91:$J$98,0,7))*INDEX('Methodology &amp; Sources'!$B$91:$J$98,0,7+2)),SUMPRODUCT(($AZ39&gt;=INDEX('Methodology &amp; Sources'!$B$91:$J$98,0,4))*INDEX('Methodology &amp; Sources'!$B$91:$J$98,0,4+2))),IF($AN39="MN",IF($AU39="Married",SUMPRODUCT(($AZ39&gt;=INDEX('Methodology &amp; Sources'!$B$114:$J$120,0,7))*INDEX('Methodology &amp; Sources'!$B$114:$J$120,0,7+2)),SUMPRODUCT(($AZ39&gt;=INDEX('Methodology &amp; Sources'!$B$114:$J$120,0,4))*INDEX('Methodology &amp; Sources'!$B$114:$J$120,0,4+2))),IF($AN39="MO",SUMPRODUCT(($AZ39&gt;=INDEX('Methodology &amp; Sources'!$B$125:$J$132,0,1))*INDEX('Methodology &amp; Sources'!$B$125:$J$132,0,1+2)),IF($AN39="NE",MAX(IF($AU39="Married",SUMPRODUCT(($AZ39&gt;=INDEX('Methodology &amp; Sources'!$B$144:$J$150,0,7))*INDEX('Methodology &amp; Sources'!$B$144:$J$150,0,7+2)),SUMPRODUCT(($AZ39&gt;=INDEX('Methodology &amp; Sources'!$B$144:$J$150,0,4))*INDEX('Methodology &amp; Sources'!$B$144:$J$150,0,4+2))),0.015),IF($AN39="OH",IF($B39&gt;=DATE(2027,8,1),SUMPRODUCT(($AZ39&gt;=INDEX('Methodology &amp; Sources'!$B$203:$J$206,0,1))*INDEX('Methodology &amp; Sources'!$B$203:$J$206,0,1+2)),SUMPRODUCT(($AZ39&gt;=INDEX('Methodology &amp; Sources'!$B$184:$J$198,0,7))*INDEX('Methodology &amp; Sources'!$B$184:$J$198,0,7+2))),IF($AN39="OK",IF($AU39="Married",SUMPRODUCT(($AZ39&gt;=INDEX('Methodology &amp; Sources'!$B$203:$J$206,0,7))*INDEX('Methodology &amp; Sources'!$B$203:$J$206,0,7+2)),SUMPRODUCT(($AZ39&gt;=INDEX('Methodology &amp; Sources'!$B$203:$J$206,0,4))*INDEX('Methodology &amp; Sources'!$B$203:$J$206,0,4+2))),IF($AN39="RI",SUMPRODUCT(($AZ39&gt;=INDEX('Methodology &amp; Sources'!$B$211:$J$214,0,7))*INDEX('Methodology &amp; Sources'!$B$211:$J$214,0,7+2)),IF($AN39="SC",SUMPRODUCT(($AZ39&gt;=INDEX('Methodology &amp; Sources'!$B$219:$J$223,0,1))*INDEX('Methodology &amp; Sources'!$B$219:$J$223,0,1+2)),IF($AN39="VT",IF($AU39="Married",SUMPRODUCT(($AZ39&gt;=INDEX('Methodology &amp; Sources'!$B$228:$J$232,0,1))*INDEX('Methodology &amp; Sources'!$B$228:$J$232,0,1+2)),SUMPRODUCT(($AZ39&gt;=INDEX('Methodology &amp; Sources'!$B$219:$J$223,0,7))*INDEX('Methodology &amp; Sources'!$B$219:$J$223,0,7+2))),IF($AN39="WV",IF($AU39="Married",SUMPRODUCT(($AZ39&gt;=INDEX('Methodology &amp; Sources'!$B$237:$J$241,0,7))*INDEX('Methodology &amp; Sources'!$B$237:$J$241,0,7+2)),SUMPRODUCT(($AZ39&gt;=INDEX('Methodology &amp; Sources'!$B$228:$J$232,0,7))*INDEX('Methodology &amp; Sources'!$B$228:$J$232,0,7+2))),IF($AN39="IN",(0.0295+Inputs!$C$76),"")))))))))))))</f>
      </c>
      <c r="CC39" s="24">
        <f>IF($B39="","",IF($AN39="AR",SUMPRODUCT(($AZ39&gt;=INDEX('Methodology &amp; Sources'!$B$82:$J$86,0,7))*INDEX('Methodology &amp; Sources'!$B$82:$J$86,0,7+2)),IF($AN39="DE",SUMPRODUCT(($AZ39&gt;=INDEX('Methodology &amp; Sources'!$B$91:$J$98,0,1))*INDEX('Methodology &amp; Sources'!$B$91:$J$98,0,1+2)),IF($AN39="VA",SUMPRODUCT(($AZ39&gt;=INDEX('Methodology &amp; Sources'!$B$219:$J$223,0,4))*INDEX('Methodology &amp; Sources'!$B$219:$J$223,0,4+2)),IF($AN39="WI",SUMPRODUCT(($AZ39&gt;=INDEX('Methodology &amp; Sources'!$B$228:$J$232,0,4))*INDEX('Methodology &amp; Sources'!$B$228:$J$232,0,4+2)),IF($AN39="AZ",Inputs!$C$82,IF($AN39="CO",IF($AY39&gt;IF($AU39="Married",10000,5000),0.044,0),IF($AN39="IA",IF($AY39&gt;IF($AU39="Head of household",19500,IF($AU39="Married",26000,13000)),0.038,0),IF($AN39="ID",IF($AY39&gt;IF($AU39="Married",32000,16094),0.053,0),IF($AN39="IL",IF($AY39&gt;(2925*$AS39+1000*$AT39),0.0495,0),IF($AN39="KY",IF($AI39&gt;3360,0.035,0),IF($AN39="LA",0.0309,IF($AN39="MA",IF(MAX(0,$AY39-MIN(($BD38+$Q39+$R39+$S39),2000)-IF($AS39=0,0,IF($AS39=1,4400,1000*$AS39+3400)))&gt;=1107750,0.09,0.05),IF($AN39="MS",IF($AI39-IF($AU39="Head of household",3400,IF($AU39="Married",4600,2300))-Inputs!$C$85&gt;10000,0.04,0),IF($AN39="PA",0.0307,"")))))))))))))))</f>
      </c>
      <c r="CD39" s="21">
        <f>IF(YEAR(IF(Inputs!$C$7="Weekly",Inputs!$C$90+7*(($BE38+1)-1),IF(Inputs!$C$7="Biweekly",Inputs!$C$90+14*(($BE38+1)-1),IF(Inputs!$C$7="Semimonthly",DATE(YEAR(Inputs!$C$9),MONTH(Inputs!$C$9)+INT((($BE38+1)-1+'Rest of 2026'!$C$2)/2),MIN(DAY(Inputs!$C$9),DAY(EOMONTH(DATE(YEAR(Inputs!$C$9),MONTH(Inputs!$C$9)+INT((($BE38+1)-1+'Rest of 2026'!$C$2)/2),1),0))))+IF(MOD(($BE38+1)-1+'Rest of 2026'!$C$2,2)=1,15,0),EDATE(Inputs!$C$90,($BE38+1)-1)))))&lt;&gt;Inputs!$C$10,"",IF(Inputs!$C$7="Weekly",Inputs!$C$90+7*(($BE38+1)-1),IF(Inputs!$C$7="Biweekly",Inputs!$C$90+14*(($BE38+1)-1),IF(Inputs!$C$7="Semimonthly",DATE(YEAR(Inputs!$C$9),MONTH(Inputs!$C$9)+INT((($BE38+1)-1+'Rest of 2026'!$C$2)/2),MIN(DAY(Inputs!$C$9),DAY(EOMONTH(DATE(YEAR(Inputs!$C$9),MONTH(Inputs!$C$9)+INT((($BE38+1)-1+'Rest of 2026'!$C$2)/2),1),0))))+IF(MOD(($BE38+1)-1+'Rest of 2026'!$C$2,2)=1,15,0),EDATE(Inputs!$C$90,($BE38+1)-1)))))</f>
      </c>
      <c r="CE39" s="21">
        <f>IF(SUMPRODUCT(MIN(IF((Inputs!$C$58:$C$67&gt;MAX($B$6:$B38))*(Inputs!$C$58:$C$67&gt;=DATE(Inputs!$C$10,1,1))*(Inputs!$C$58:$C$67&lt;=DATE(Inputs!$C$10,12,31)),Inputs!$C$58:$C$67,999999)))=999999,"",SUMPRODUCT(MIN(IF((Inputs!$C$58:$C$67&gt;MAX($B$6:$B38))*(Inputs!$C$58:$C$67&gt;=DATE(Inputs!$C$10,1,1))*(Inputs!$C$58:$C$67&lt;=DATE(Inputs!$C$10,12,31)),Inputs!$C$58:$C$67,999999))))</f>
      </c>
    </row>
    <row r="40">
      <c r="A40" t="n">
        <v>35</v>
      </c>
      <c r="B40" s="21">
        <f>IF(AND($CD40="",$CE40=""),"",IF($CE40="",$CD40,IF($CD40="",$CE40,MIN($CD40,$CE40))))</f>
      </c>
      <c r="C40" s="7">
        <f>IF($B40="","",IF($BF40=0,0,IF(Inputs!$C$4="Annual salary",ROUND($AK40/IF(AND(Inputs!$C$88="Actual paydays",MONTH(Inputs!$C$90)=1),MAX(1,MAX($BE$6:$BE$68)),Inputs!$C$8),2),$AK40)))</f>
      </c>
      <c r="D40" s="7">
        <f>IF($B40="","",SUMIF(Inputs!$C$58:$C$67,$B40,Inputs!$D$58:$D$67))</f>
      </c>
      <c r="E40" s="7">
        <f>IF($B40="","",ROUND(MAX(0,MIN(IF($AL40="Percent",$AM40*($C40+$D40),$AM40),MAX(0,Inputs!$C$34-$AC39))),2))</f>
      </c>
      <c r="F40" s="7">
        <f>IF($B40="","",ROUND(MAX(0,MIN(IF(Inputs!$C$32="Percent",Inputs!$D$32*($C40+$D40),Inputs!$D$32),MAX(0,Inputs!$C$34-$AC39-$E40))),2))</f>
      </c>
      <c r="G40" s="7">
        <f>IF($B40="","",IF($BF40=0,0,ROUND(MAX(0,MIN($BL40,Inputs!$C$37-Inputs!$C$99-$BI39)),2)))</f>
      </c>
      <c r="H40" s="7">
        <f>IF($B40="","",IF(OR($BF40=0,$BQ40=1),0,ROUND(MAX(0,MIN(IF($BS40=1,ROUND(MAX(0,MIN($BJ40,'Methodology &amp; Sources'!$C$13)-$BG39)/MAX(1,MAX($BE$6:$BE$68)-($BE39)),2),ROUND(MIN($BJ40,'Methodology &amp; Sources'!$C$13)/Inputs!$C$8,2)),MIN($BJ40,'Methodology &amp; Sources'!$C$13)-$BG39)),2)))</f>
      </c>
      <c r="I40" s="7">
        <f>IF($B40="","",IF(OR($BF40=0,$BR40=1),0,ROUND(MAX(0,MIN(IF($BT40=1,ROUND(MAX(0,MIN($BK40,IF(Inputs!$C$12="MFJ",'Methodology &amp; Sources'!$C$14,'Methodology &amp; Sources'!$C$15))-$BH39)/MAX(1,MAX($BE$6:$BE$68)-($BE39)),2),ROUND(MIN($BK40,IF(Inputs!$C$12="MFJ",'Methodology &amp; Sources'!$C$14,'Methodology &amp; Sources'!$C$15))/Inputs!$C$8,2)),MIN($BK40,IF(Inputs!$C$12="MFJ",'Methodology &amp; Sources'!$C$14,'Methodology &amp; Sources'!$C$15))-$BH39)),2)))</f>
      </c>
      <c r="J40" s="7">
        <f>IF($B40="","",IF($BF40=0,0,$BM40))</f>
      </c>
      <c r="K40" s="7">
        <f>IF($B40="","",IF($BF40=0,0,$BN40+$BO40))</f>
      </c>
      <c r="L40" s="7">
        <f>IF($B40="","",IF($BF40=0,0,Inputs!$D$46))</f>
      </c>
      <c r="M40" s="7">
        <f>IF($B40="","",$C40+$D40+$L40-$E40-$G40-$H40-$I40-$J40-$K40)</f>
      </c>
      <c r="N40" s="7">
        <f>IF($B40="","",$C40+$D40+$L40-$G40-$H40-$I40-$J40-$K40)</f>
      </c>
      <c r="O40" s="7">
        <f>IF($B40="","",$C40+$D40+$L40-$E40-$H40-$I40-$J40-$K40-IF(OR($AN40="CA",$AN40="NJ"),0,$G40))</f>
      </c>
      <c r="P40" s="7">
        <f>IF($B40="","",IF(Inputs!$C$18,0,ROUND(MAX(0,IF(Inputs!$C$13,SUMPRODUCT(($AH40&gt;INDEX('Methodology &amp; Sources'!$B$29:$J$36,0,IF(Inputs!$C$12="MFJ",1,IF(Inputs!$C$12="HoH",7,4))))*($AH40-INDEX('Methodology &amp; Sources'!$B$29:$J$36,0,IF(Inputs!$C$12="MFJ",1,IF(Inputs!$C$12="HoH",7,4))))*INDEX('Methodology &amp; Sources'!$B$29:$J$36,0,IF(Inputs!$C$12="MFJ",1,IF(Inputs!$C$12="HoH",7,4))+2)),SUMPRODUCT(($AH40&gt;INDEX('Methodology &amp; Sources'!$B$19:$J$26,0,IF(Inputs!$C$12="MFJ",1,IF(Inputs!$C$12="HoH",7,4))))*($AH40-INDEX('Methodology &amp; Sources'!$B$19:$J$26,0,IF(Inputs!$C$12="MFJ",1,IF(Inputs!$C$12="HoH",7,4))))*INDEX('Methodology &amp; Sources'!$B$19:$J$26,0,IF(Inputs!$C$12="MFJ",1,IF(Inputs!$C$12="HoH",7,4))+2)))/Inputs!$C$8-$AO40/Inputs!$C$8)+$AR40+IF(Inputs!$C$89="Aggregate",MAX(0,IF(Inputs!$C$13,SUMPRODUCT((($AH40+$D40)&gt;INDEX('Methodology &amp; Sources'!$B$29:$J$36,0,IF(Inputs!$C$12="MFJ",1,IF(Inputs!$C$12="HoH",7,4))))*(($AH40+$D40)-INDEX('Methodology &amp; Sources'!$B$29:$J$36,0,IF(Inputs!$C$12="MFJ",1,IF(Inputs!$C$12="HoH",7,4))))*INDEX('Methodology &amp; Sources'!$B$29:$J$36,0,IF(Inputs!$C$12="MFJ",1,IF(Inputs!$C$12="HoH",7,4))+2)),SUMPRODUCT((($AH40+$D40)&gt;INDEX('Methodology &amp; Sources'!$B$19:$J$26,0,IF(Inputs!$C$12="MFJ",1,IF(Inputs!$C$12="HoH",7,4))))*(($AH40+$D40)-INDEX('Methodology &amp; Sources'!$B$19:$J$26,0,IF(Inputs!$C$12="MFJ",1,IF(Inputs!$C$12="HoH",7,4))))*INDEX('Methodology &amp; Sources'!$B$19:$J$26,0,IF(Inputs!$C$12="MFJ",1,IF(Inputs!$C$12="HoH",7,4))+2)))-IF(Inputs!$C$13,SUMPRODUCT(($AH40&gt;INDEX('Methodology &amp; Sources'!$B$29:$J$36,0,IF(Inputs!$C$12="MFJ",1,IF(Inputs!$C$12="HoH",7,4))))*($AH40-INDEX('Methodology &amp; Sources'!$B$29:$J$36,0,IF(Inputs!$C$12="MFJ",1,IF(Inputs!$C$12="HoH",7,4))))*INDEX('Methodology &amp; Sources'!$B$29:$J$36,0,IF(Inputs!$C$12="MFJ",1,IF(Inputs!$C$12="HoH",7,4))+2)),SUMPRODUCT(($AH40&gt;INDEX('Methodology &amp; Sources'!$B$19:$J$26,0,IF(Inputs!$C$12="MFJ",1,IF(Inputs!$C$12="HoH",7,4))))*($AH40-INDEX('Methodology &amp; Sources'!$B$19:$J$26,0,IF(Inputs!$C$12="MFJ",1,IF(Inputs!$C$12="HoH",7,4))))*INDEX('Methodology &amp; Sources'!$B$19:$J$26,0,IF(Inputs!$C$12="MFJ",1,IF(Inputs!$C$12="HoH",7,4))+2)))),'Methodology &amp; Sources'!$C$10*$D40),2)))</f>
      </c>
      <c r="Q40" s="7">
        <f>IF($B40="","",ROUND('Methodology &amp; Sources'!$C$4*MIN($N40,MAX(0,'Methodology &amp; Sources'!$C$3-($AX40+$AB39-$AW40))),2))</f>
      </c>
      <c r="R40" s="7">
        <f>IF($B40="","",ROUND('Methodology &amp; Sources'!$C$5*$N40,2))</f>
      </c>
      <c r="S40" s="7">
        <f>IF($B40="","",ROUND('Methodology &amp; Sources'!$C$6*MAX(0,MIN($N40,$AG39+$N40-'Methodology &amp; Sources'!$C$7)),2))</f>
      </c>
      <c r="T40" s="7">
        <f>IF($B40="","",IF(Inputs!$C$26,0,IF($AN40="CA",ROUND(IF($AI40&lt;=IF(($AS40+$AT40)&gt;=2,VLOOKUP($AN40,StateTables!$A$6:$AB$56,10,FALSE),VLOOKUP($AN40,StateTables!$A$6:$AB$56,9,FALSE)),0,MAX(0,SUMPRODUCT(($AJ40&gt;INDEX('Methodology &amp; Sources'!$B$39:$J$48,0,IF($AU40="Married",4,IF($AU40="Head of household",7,1))))*($AJ40-INDEX('Methodology &amp; Sources'!$B$39:$J$48,0,IF($AU40="Married",4,IF($AU40="Head of household",7,1))))*INDEX('Methodology &amp; Sources'!$B$39:$J$48,0,IF($AU40="Married",4,IF($AU40="Head of household",7,1))+2))-VLOOKUP($AN40,StateTables!$A$6:$AB$56,11,FALSE)*$AS40)/Inputs!$C$8)+Inputs!$C$25+VLOOKUP($AN40,StateTables!$A$6:$AB$56,13,FALSE)*$D40,2),IF(VLOOKUP($AN40,StateTables!$A$6:$AB$56,4,FALSE)="None",0,IF(ISNUMBER(SEARCH("MANUAL",VLOOKUP($AN40,StateTables!$A$6:$AB$56,5,FALSE))),Inputs!$C$28,ROUND(MAX(0,$BA40+$BB40)/Inputs!$C$8+Inputs!$C$25+$BC40,2))))))</f>
      </c>
      <c r="U40" s="7">
        <f>IF($B40="","",IF(VLOOKUP($AN40,StateTables!$A$6:$AB$56,24,FALSE)="flatq",IF(OR(MONTH($B40)=1,MONTH($B40)=4,MONTH($B40)=7,MONTH($B40)=10),VLOOKUP($AN40,StateTables!$A$6:$AB$56,25,FALSE),0),IF(VLOOKUP($AN40,StateTables!$A$6:$AB$56,24,FALSE)="dbl",MIN(ROUND(0.005*$N40,2),ROUND(0.6*52/Inputs!$C$8,2)),IF(OR(VLOOKUP($AN40,StateTables!$A$6:$AB$56,15,FALSE)="",VLOOKUP($AN40,StateTables!$A$6:$AB$56,15,FALSE)=0),0,ROUND(VLOOKUP($AN40,StateTables!$A$6:$AB$56,15,FALSE)*IF(OR(VLOOKUP($AN40,StateTables!$A$6:$AB$56,16,FALSE)="",VLOOKUP($AN40,StateTables!$A$6:$AB$56,16,FALSE)=0),$N40,MIN($N40,MAX(0,VLOOKUP($AN40,StateTables!$A$6:$AB$56,16,FALSE)-($AX40+$AB39-$AW40)))),2))))+IF(VLOOKUP($AN40,StateTables!$A$6:$AB$56,27,FALSE)="flatq",IF(OR(MONTH($B40)=1,MONTH($B40)=4,MONTH($B40)=7,MONTH($B40)=10),VLOOKUP($AN40,StateTables!$A$6:$AB$56,28,FALSE),0),IF(VLOOKUP($AN40,StateTables!$A$6:$AB$56,27,FALSE)="dbl",MIN(ROUND(0.005*$N40,2),ROUND(0.6*52/Inputs!$C$8,2)),IF(OR(VLOOKUP($AN40,StateTables!$A$6:$AB$56,18,FALSE)="",VLOOKUP($AN40,StateTables!$A$6:$AB$56,18,FALSE)=0),0,ROUND(VLOOKUP($AN40,StateTables!$A$6:$AB$56,18,FALSE)*IF(OR(VLOOKUP($AN40,StateTables!$A$6:$AB$56,19,FALSE)="",VLOOKUP($AN40,StateTables!$A$6:$AB$56,19,FALSE)=0),$N40,MIN($N40,MAX(0,VLOOKUP($AN40,StateTables!$A$6:$AB$56,19,FALSE)-($AX40+$AB39-$AW40)))),2)))))</f>
      </c>
      <c r="V40" s="7">
        <f>IF($B40="","",IF($AN40="NY",IF(Inputs!$C$78,ROUND(SUMPRODUCT((MAX(0,($O40-$D40)*Inputs!$C$8-(IF($AU40="Married",5500,5000)+1000*$AS40))&gt;INDEX('Methodology &amp; Sources'!$B$184:$J$198,0,4))*(MAX(0,($O40-$D40)*Inputs!$C$8-(IF($AU40="Married",5500,5000)+1000*$AS40))-INDEX('Methodology &amp; Sources'!$B$184:$J$198,0,4))*INDEX('Methodology &amp; Sources'!$B$184:$J$198,0,4+2))/Inputs!$C$8+0.0425*$D40,2),0)+IF(Inputs!$C$79="Resident",ROUND(0.1675*$T40,2),IF(Inputs!$C$79="Nonresident",ROUND(0.005*MAX(0,($O40-$D40)-(IF($AU40="Married",7950,7400)+1000*$AS40)/Inputs!$C$8),2),0)),IF($AN40="PA",IF(Inputs!$C$80="None",Inputs!$C$27+ROUND(Inputs!$C$81*($C40+$D40),2),ROUND(IF(Inputs!$C$80="Resident",IF($B40&lt;DATE(2027,7,1),0.03735,0.03735),IF($B40&lt;DATE(2027,7,1),0.03425,0.03425))*($C40+$D40),2)),IF($BF40=0,ROUND(Inputs!$C$81*($C40+$D40),2),Inputs!$C$27+ROUND(Inputs!$C$81*($C40+$D40),2)))))</f>
      </c>
      <c r="W40" s="7">
        <f>IF($B40="","",IF($BF40=0,0,$BP40))</f>
      </c>
      <c r="X40" s="7">
        <f>IF($B40="","",SUM($E40:$K40)+$P40+$Q40+$R40+$S40+$T40+$U40+$V40+$W40)</f>
      </c>
      <c r="Y40" s="22">
        <f>IF($B40="","",$C40+$D40-$X40)</f>
      </c>
      <c r="Z40" s="7">
        <f>IF($B40="","",$Z39+$C40+$D40)</f>
      </c>
      <c r="AA40" s="7">
        <f>IF($B40="","",$AA39+$Y40)</f>
      </c>
      <c r="AB40" s="7">
        <f>IF($B40="","",$AB39+MIN($N40,MAX(0,'Methodology &amp; Sources'!$C$3-($AX40+$AB39-$AW40))))</f>
      </c>
      <c r="AC40" s="7">
        <f>IF($B40="","",$AC39+$E40+$F40)</f>
      </c>
      <c r="AD40" s="3">
        <f>IF($B40="","",IF(AND($AB39&lt;'Methodology &amp; Sources'!$C$3,$AB40&gt;='Methodology &amp; Sources'!$C$3),"★ Social Security maxed on this check — from the next check your net rises by about $"&amp;TEXT(ROUND('Methodology &amp; Sources'!$C$4*$N40,2),"#,##0.00")&amp;". ","")&amp;IF(AND($AC39&lt;Inputs!$C$34,$AC40&gt;=Inputs!$C$34),"★ 401(k) reaches the $"&amp;TEXT(Inputs!$C$34,"#,##0")&amp;" cap on this check — deferrals stop and net pay rises. ","")&amp;IF(AND($AG39&lt;'Methodology &amp; Sources'!$C$7,$AG40&gt;='Methodology &amp; Sources'!$C$7),"★ Wages pass $200,000 — the 0.9% Additional Medicare Tax starts here. ","")&amp;IF(AND($BJ40&gt;0,$H40&gt;0,$BG39&lt;MIN($BJ40,'Methodology &amp; Sources'!$C$13),$BG39+$H40&gt;=MIN($BJ40,'Methodology &amp; Sources'!$C$13)),"★ Health FSA election is now fully deferred for the year. ",""))</f>
      </c>
      <c r="AE40" s="41" t="n"/>
      <c r="AF40" s="7">
        <f>IF(OR($B40="",$AE40=""),"",$AE40-$Y40)</f>
      </c>
      <c r="AG40" s="7">
        <f>IF($B40="","",$AG39+$N40)</f>
      </c>
      <c r="AH40" s="7">
        <f>IF($B40="","",MAX(0,($M40-$D40)*Inputs!$C$8+$AP40-$AQ40-IF(Inputs!$C$13,0,IF(Inputs!$C$12="MFJ",'Methodology &amp; Sources'!$C$8,'Methodology &amp; Sources'!$C$9))))</f>
      </c>
      <c r="AI40" s="7">
        <f>IF($B40="","",$O40*Inputs!$C$8)</f>
      </c>
      <c r="AJ40" s="7">
        <f>IF($B40="","",MAX(0,$AI40-VLOOKUP($AN40,StateTables!$A$6:$AB$56,12,FALSE)*$AT40-IF(($AS40+$AT40)&gt;=2,VLOOKUP($AN40,StateTables!$A$6:$AB$56,8,FALSE),VLOOKUP($AN40,StateTables!$A$6:$AB$56,7,FALSE))))</f>
      </c>
      <c r="AK40" s="7">
        <f>IF($B40="","",IFERROR(LOOKUP(2,1/((Events!$C$6:$C$17="Salary change")*(Events!$B$6:$B$17&lt;=$B40)*(Events!$B$6:$B$17&lt;&gt;"")),Events!$D$6:$D$17),IF(Inputs!$C$4="Annual salary",Inputs!$C$5,Inputs!$C$6)))</f>
      </c>
      <c r="AL40">
        <f>IF($B40="","",IFERROR(LOOKUP(2,1/((Events!$C$6:$C$17="401(k) change")*(Events!$B$6:$B$17&lt;=$B40)*(Events!$B$6:$B$17&lt;&gt;"")),Events!$D$6:$D$17),Inputs!$C$30))</f>
      </c>
      <c r="AM40" s="7">
        <f>IF($B40="","",IFERROR(LOOKUP(2,1/((Events!$C$6:$C$17="401(k) change")*(Events!$B$6:$B$17&lt;=$B40)*(Events!$B$6:$B$17&lt;&gt;"")),Events!$E$6:$E$17),Inputs!$D$30))</f>
      </c>
      <c r="AN40">
        <f>IF($B40="","",IFERROR(LOOKUP(2,1/((Events!$C$6:$C$17="State move")*(Events!$B$6:$B$17&lt;=$B40)*(Events!$B$6:$B$17&lt;&gt;"")),Events!$D$6:$D$17),Inputs!$C$21))</f>
      </c>
      <c r="AO40" s="7">
        <f>IF($B40="","",IFERROR(LOOKUP(2,1/((Events!$C$6:$C$17="W-4 change")*(Events!$B$6:$B$17&lt;=$B40)*(Events!$B$6:$B$17&lt;&gt;"")),Events!$D$6:$D$17),Inputs!$C$14))</f>
      </c>
      <c r="AP40" s="7">
        <f>IF($B40="","",IFERROR(LOOKUP(2,1/((Events!$C$6:$C$17="W-4 change")*(Events!$B$6:$B$17&lt;=$B40)*(Events!$B$6:$B$17&lt;&gt;"")),Events!$E$6:$E$17),Inputs!$C$15))</f>
      </c>
      <c r="AQ40" s="7">
        <f>IF($B40="","",IFERROR(LOOKUP(2,1/((Events!$C$6:$C$17="W-4 change")*(Events!$B$6:$B$17&lt;=$B40)*(Events!$B$6:$B$17&lt;&gt;"")),Events!$F$6:$F$17),Inputs!$C$16))</f>
      </c>
      <c r="AR40" s="7">
        <f>IF($B40="","",IFERROR(LOOKUP(2,1/((Events!$C$6:$C$17="W-4 change")*(Events!$B$6:$B$17&lt;=$B40)*(Events!$B$6:$B$17&lt;&gt;"")),Events!$G$6:$G$17),Inputs!$C$17))</f>
      </c>
      <c r="AS40" s="6">
        <f>IF($B40="","",IFERROR(LOOKUP(2,1/(((Events!$C$6:$C$17="State move")+(Events!$C$6:$C$17="State cert change"))*(Events!$B$6:$B$17&lt;=$B40)*(Events!$B$6:$B$17&lt;&gt;"")),Events!$F$6:$F$17),Inputs!$C$23))</f>
      </c>
      <c r="AT40" s="6">
        <f>IF($B40="","",IFERROR(LOOKUP(2,1/(((Events!$C$6:$C$17="State move")+(Events!$C$6:$C$17="State cert change"))*(Events!$B$6:$B$17&lt;=$B40)*(Events!$B$6:$B$17&lt;&gt;"")),Events!$G$6:$G$17),Inputs!$C$24))</f>
      </c>
      <c r="AU40">
        <f>IF($B40="","",IFERROR(LOOKUP(2,1/((Events!$C$6:$C$17="State move")*(Events!$B$6:$B$17&lt;=$B40)*(Events!$B$6:$B$17&lt;&gt;"")),Events!$E$6:$E$17),Inputs!$C$22))</f>
      </c>
      <c r="AV40" s="6">
        <f>IF($B40="","",1+COUNTIFS(Events!$C$6:$C$17,"Employer change",Events!$B$6:$B$17,"&lt;="&amp;$B40,Events!$B$6:$B$17,"&lt;&gt;"))</f>
      </c>
      <c r="AW40" s="7">
        <f>IF($B40="","",IF($AV40=1,Inputs!$C$94,IF(IFERROR(MATCH(IFERROR(LOOKUP(2,1/((Events!$C$6:$C$17="Employer change")*(Events!$B$6:$B$17&lt;=$B40)*(Events!$B$6:$B$17&lt;&gt;"")),Events!$B$6:$B$17),""),$B$6:$B$68,1),1)&lt;=1,Inputs!$C$94,INDEX($AB$6:$AB$68,MATCH(IFERROR(LOOKUP(2,1/((Events!$C$6:$C$17="Employer change")*(Events!$B$6:$B$17&lt;=$B40)*(Events!$B$6:$B$17&lt;&gt;"")),Events!$B$6:$B$17),""),$B$6:$B$68,1)-1))))</f>
      </c>
      <c r="AX40" s="7">
        <f>IF($B40="","",IF($AV40=1,Inputs!$C$94,IFERROR(LOOKUP(2,1/((Events!$C$6:$C$17="Employer change")*(Events!$B$6:$B$17&lt;=$B40)*(Events!$B$6:$B$17&lt;&gt;"")),Events!$D$6:$D$17),0)))</f>
      </c>
      <c r="AY40" s="7">
        <f>IF($B40="","",($O40-$D40)*Inputs!$C$8)</f>
      </c>
      <c r="AZ40" s="7">
        <f>IF($B40="","",IF($AN40="AL",MAX(0,$AY40-IF($AU40="Married",IF($AY40&lt;=25999,8500,MAX(5000,8500-175*CEILING(($AY40-25999)/500,1))),IF($AU40="Head of household",IF($AY40&lt;=25999,5200,MAX(2500,5200-135*CEILING(($AY40-25999)/500,1))),IF($AY40&lt;=25999,3000,MAX(2500,3000-25*CEILING(($AY40-25999)/500,1)))))-($P40-'Methodology &amp; Sources'!$C$10*$D40)*Inputs!$C$8-IF(OR($AU40="Married",$AU40="Head of household"),3000,1500)-$AT40*IF($AY40&lt;=50000,1000,IF($AY40&lt;=100000,500,300))),IF($AN40="AR",IF(MAX(0,$AY40-2470)&lt;97701,INT(MAX(0,$AY40-2470)/100)*100+50,MAX(0,$AY40-2470)),IF($AN40="DE",MAX(0,$AI40-3250),IF($AN40="HI",MAX(0,$AI40-1144*$AS40-4350),IF($AN40="KS",MAX(0,$AI40-(9160*IF($AU40="Married",2,1)+2320*$AT40+IF($AU40="Head of household",2320,0))),IF($AN40="MD",MAX(0,$AI40-3400-3200*$AS40),IF($AN40="MN",MAX(0,$AY40-5300*$AS40),IF($AN40="MO",MAX(0,$AI40-IF($AU40="Head of household",24150,IF($AU40="Married",IF(Inputs!$C$83,16100,32200),16100))),IF($AN40="MT",$AY40,IF($AN40="ND",($C40+$L40)*Inputs!$C$8,IF($AN40="NE",MAX(0,$AY40-2440*$AS40),IF($AN40="NJ",MAX(0,$AY40-1000*$AS40),IF($AN40="NY",MAX(0,$AY40-(IF($AU40="Married",7950,7400)+1000*$AS40)),IF($AN40="OH",MAX(0,$AY40-650*$AS40),IF($AN40="OK",MAX(0,$AY40-1000*$AS40),IF($AN40="RI",MAX(0,$AI40-1000*$AS40),IF($AN40="SC",MAX(0,$AI40-5000*$AS40-IF($AS40=0,0,MIN(0.1*$AI40,7500))),IF($AN40="VA",MAX(0,$AI40-IF($AU40="Married",17500,8750)-930*$AS40-800*$AT40),IF($AN40="VT",MAX(0,$AI40-5400*$AS40),IF($AN40="WI",MAX(0,$AI40-MAX(0,IF($AU40="Married",9461-0.2*MAX(0,$AI40-25727),6702-0.12*MAX(0,$AI40-17780)))-400*$AS40),IF($AN40="WV",MAX(0,$AI40-2000*$AS40),$AI40))))))))))))))))))))))</f>
      </c>
      <c r="BA40" s="7">
        <f>IF($B40="","",IF($BW40&lt;&gt;"",$BW40,IF($BX40&lt;&gt;"",$BX40,IF($BY40&lt;&gt;"",$BY40,0))))</f>
      </c>
      <c r="BB40" s="7">
        <f>IF($B40="","",IF($AN40="AR",-29*$AS40,IF($AN40="DE",-110*$AS40,IF($AN40="MD",$AZ40*Inputs!$C$74,IF($AN40="AZ",Inputs!$C$82*($M40-$D40)*Inputs!$C$8,IF($AN40="CO",0.044*MAX(0,$AY40-IF($AU40="Married",10000,5000)),IF($AN40="IA",MAX(0,0.038*MAX(0,$AY40-IF($AU40="Head of household",19500,IF($AU40="Married",26000,13000)))-40*$AS40),IF($AN40="ID",0.053*MAX(0,$AY40-IF($AU40="Married",32000,16094)),IF($AN40="IL",0.0495*MAX(0,$AY40-(2925*$AS40+1000*$AT40)),IF($AN40="IN",(0.0295+Inputs!$C$76)*MAX(0,$AY40-(1000*$AS40+1500*$AT40+3000*Inputs!$C$86)),IF($AN40="KY",0.035*MAX(0,$AI40-3360),IF($AN40="LA",IF(Inputs!$C$84="0",0.0309*$AI40,0.0309*MAX(0,$AI40-IF(Inputs!$C$84="2",25750,12875))),IF($AN40="MA",0.05*MIN(MAX(0,$AY40-MIN(($BD39+$Q40+$R40+$S40),2000)-IF($AS40=0,0,IF($AS40=1,4400,1000*$AS40+3400))),1107750)+0.09*MAX(0,MAX(0,$AY40-MIN(($BD39+$Q40+$R40+$S40),2000)-IF($AS40=0,0,IF($AS40=1,4400,1000*$AS40+3400)))-1107750)-IF($AU40="Head of household",120,0)-110*Inputs!$C$75,IF($AN40="MI",0.0425*MAX(0,$AY40-5900*$AS40),IF($AN40="MS",0.04*MAX(0,$AI40-IF($AU40="Head of household",3400,IF($AU40="Married",4600,2300))-Inputs!$C$85-10000),IF($AN40="OR",IF(OR($AU40="Married",AND($AU40="Single",$AS40&gt;=3)),SUMPRODUCT((MAX(0,$AY40-MIN(($P40-'Methodology &amp; Sources'!$C$10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Sources'!$B$211:$J$214,0,4))*(MAX(0,$AY40-MIN(($P40-'Methodology &amp; Sources'!$C$10*$D40)*Inputs!$C$8,IF(OR($AU40="Married",AND($AU40="Single",$AS40&gt;=3)),IF($AY40&lt;250000,8750,IF($AY40&lt;260000,7000,IF($AY40&lt;270000,5250,IF($AY40&lt;280000,3500,IF($AY40&lt;290000,1750,0))))),IF($AY40&lt;125000,8750,IF($AY40&lt;130000,7000,IF($AY40&lt;135000,5250,IF($AY40&lt;140000,3500,IF($AY40&lt;145000,1750,0)))))))-IF(OR($AU40="Married",AND($AU40="Single",$AS40&gt;=3)),5820,2910))-INDEX('Methodology &amp; Sources'!$B$211:$J$214,0,4))*INDEX('Methodology &amp; Sources'!$B$211:$J$214,0,4+2)),SUMPRODUCT((MAX(0,$AY40-MIN(($P40-'Methodology &amp; Sources'!$C$10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Sources'!$B$211:$J$214,0,1))*(MAX(0,$AY40-MIN(($P40-'Methodology &amp; Sources'!$C$10*$D40)*Inputs!$C$8,IF(OR($AU40="Married",AND($AU40="Single",$AS40&gt;=3)),IF($AY40&lt;250000,8750,IF($AY40&lt;260000,7000,IF($AY40&lt;270000,5250,IF($AY40&lt;280000,3500,IF($AY40&lt;290000,1750,0))))),IF($AY40&lt;125000,8750,IF($AY40&lt;130000,7000,IF($AY40&lt;135000,5250,IF($AY40&lt;140000,3500,IF($AY40&lt;145000,1750,0)))))))-IF(OR($AU40="Married",AND($AU40="Single",$AS40&gt;=3)),5820,2910))-INDEX('Methodology &amp; Sources'!$B$211:$J$214,0,1))*INDEX('Methodology &amp; Sources'!$B$211:$J$214,0,1+2)))+263-263*IF(IF($AU40="Married",$AY40&gt;200000,$AY40&gt;100000),0,$AS40),IF($AN40="PA",0.0307*(($O40+$E40+$G40)*Inputs!$C$8),IF($AN40="NY",IF($AU40="Married",IF($AZ40&gt;=2155350,0,IF($AZ40&gt;=1077550,0.48,IF($AZ40&gt;=373200,1.21,IF($AZ40&gt;=323200,0.21,IF($AZ40&gt;=211550,-0.19,IF($AZ40&gt;=157650,-2.8,IF($AZ40&gt;=107650,-0.8,IF($AZ40&gt;=96800,0.05,IF($AZ40&gt;=80650,-0.1,IF($AZ40&gt;=13900,0.4,IF($AZ40&gt;=11700,-0.3,IF($AZ40&gt;=8500,0.5,0)))))))))))),IF($AZ40&gt;=1077550,0,IF($AZ40&gt;=265400,4.29,IF($AZ40&gt;=215400,2.29,IF($AZ40&gt;=157650,2.29,IF($AZ40&gt;=107650,0.29,IF($AZ40&gt;=96800,0.05,IF($AZ40&gt;=80650,-0.1,IF($AZ40&gt;=13900,0.4,IF($AZ40&gt;=11700,-0.3,IF($AZ40&gt;=8500,0.5,0))))))))))),0))))))))))))))))))</f>
      </c>
      <c r="BC40" s="7">
        <f>IF($B40="","",IF($AN40="AL",0.05*$D40,IF($AN40="AR",0.039*$D40,IF($AN40="ID",0.053*$D40,IF($AN40="IN",(0.0295+Inputs!$C$76)*$D40,IF($AN40="KS",0.05*$D40,IF($AN40="MA",0.09*MIN($D40,MAX(0,MAX(0,$AY40-MIN(($BD39+$Q40+$R40+$S40),2000)-IF($AS40=0,0,IF($AS40=1,4400,1000*$AS40+3400)))+$D40-1107750))+0.05*($D40-MIN($D40,MAX(0,MAX(0,$AY40-MIN(($BD39+$Q40+$R40+$S40),2000)-IF($AS40=0,0,IF($AS40=1,4400,1000*$AS40+3400)))+$D40-1107750))),IF($AN40="MD",(0.065+Inputs!$C$74)*$D40,IF($AN40="MI",0.0425*$D40,IF($AN40="MN",0.0625*$D40,IF($AN40="MO",0.047*$D40,IF($AN40="MT",0.05*$D40,IF($AN40="ND",0.015*$D40,IF($AN40="NE",0.035*$D40,IF($AN40="NJ",IF(Inputs!$C$77="B",SUMPRODUCT(($D40*Inputs!$C$8&gt;INDEX('Methodology &amp; Sources'!$B$155:$J$162,0,4))*($D40*Inputs!$C$8-INDEX('Methodology &amp; Sources'!$B$155:$J$162,0,4))*INDEX('Methodology &amp; Sources'!$B$155:$J$162,0,4+2)),IF(Inputs!$C$77="C",SUMPRODUCT(($D40*Inputs!$C$8&gt;INDEX('Methodology &amp; Sources'!$B$155:$J$162,0,7))*($D40*Inputs!$C$8-INDEX('Methodology &amp; Sources'!$B$155:$J$162,0,7))*INDEX('Methodology &amp; Sources'!$B$155:$J$162,0,7+2)),IF(Inputs!$C$77="D",SUMPRODUCT(($D40*Inputs!$C$8&gt;INDEX('Methodology &amp; Sources'!$B$167:$J$179,0,1))*($D40*Inputs!$C$8-INDEX('Methodology &amp; Sources'!$B$167:$J$179,0,1))*INDEX('Methodology &amp; Sources'!$B$167:$J$179,0,1+2)),IF(Inputs!$C$77="E",SUMPRODUCT(($D40*Inputs!$C$8&gt;INDEX('Methodology &amp; Sources'!$B$167:$J$179,0,4))*($D40*Inputs!$C$8-INDEX('Methodology &amp; Sources'!$B$167:$J$179,0,4))*INDEX('Methodology &amp; Sources'!$B$167:$J$179,0,4+2)),SUMPRODUCT(($D40*Inputs!$C$8&gt;INDEX('Methodology &amp; Sources'!$B$155:$J$162,0,1))*($D40*Inputs!$C$8-INDEX('Methodology &amp; Sources'!$B$155:$J$162,0,1))*INDEX('Methodology &amp; Sources'!$B$155:$J$162,0,1+2))))))/Inputs!$C$8,IF($AN40="NY",0.117*$D40,IF($AN40="OH",0.0275*$D40,IF($AN40="OK",0.045*$D40,IF($AN40="OR",0.08*$D40,IF($AN40="WI",IF($AY40&lt;12760,0.0354,IF($AY40&lt;25520,0.0465,IF($AY40&lt;280950,0.053,0.0765)))*$D40,0))))))))))))))))))))</f>
      </c>
      <c r="BD40" s="7">
        <f>IF($B40="","",$BD39+$Q40+$R40+$S40)</f>
      </c>
      <c r="BE40" s="6">
        <f>IF($B40="",$BE39,$BE39+$BF40)</f>
      </c>
      <c r="BF40" s="6">
        <f>IF($B40="","",IF(AND(IF(YEAR(IF(Inputs!$C$7="Weekly",Inputs!$C$90+7*(($BE39+1)-1),IF(Inputs!$C$7="Biweekly",Inputs!$C$90+14*(($BE39+1)-1),IF(Inputs!$C$7="Semimonthly",DATE(YEAR(Inputs!$C$9),MONTH(Inputs!$C$9)+INT((($BE39+1)-1+'Rest of 2026'!$C$2)/2),MIN(DAY(Inputs!$C$9),DAY(EOMONTH(DATE(YEAR(Inputs!$C$9),MONTH(Inputs!$C$9)+INT((($BE39+1)-1+'Rest of 2026'!$C$2)/2),1),0))))+IF(MOD(($BE39+1)-1+'Rest of 2026'!$C$2,2)=1,15,0),EDATE(Inputs!$C$90,($BE39+1)-1)))))&lt;&gt;Inputs!$C$10,"",IF(Inputs!$C$7="Weekly",Inputs!$C$90+7*(($BE39+1)-1),IF(Inputs!$C$7="Biweekly",Inputs!$C$90+14*(($BE39+1)-1),IF(Inputs!$C$7="Semimonthly",DATE(YEAR(Inputs!$C$9),MONTH(Inputs!$C$9)+INT((($BE39+1)-1+'Rest of 2026'!$C$2)/2),MIN(DAY(Inputs!$C$9),DAY(EOMONTH(DATE(YEAR(Inputs!$C$9),MONTH(Inputs!$C$9)+INT((($BE39+1)-1+'Rest of 2026'!$C$2)/2),1),0))))+IF(MOD(($BE39+1)-1+'Rest of 2026'!$C$2,2)=1,15,0),EDATE(Inputs!$C$90,($BE39+1)-1)))))&lt;&gt;"",$B40=IF(YEAR(IF(Inputs!$C$7="Weekly",Inputs!$C$90+7*(($BE39+1)-1),IF(Inputs!$C$7="Biweekly",Inputs!$C$90+14*(($BE39+1)-1),IF(Inputs!$C$7="Semimonthly",DATE(YEAR(Inputs!$C$9),MONTH(Inputs!$C$9)+INT((($BE39+1)-1+'Rest of 2026'!$C$2)/2),MIN(DAY(Inputs!$C$9),DAY(EOMONTH(DATE(YEAR(Inputs!$C$9),MONTH(Inputs!$C$9)+INT((($BE39+1)-1+'Rest of 2026'!$C$2)/2),1),0))))+IF(MOD(($BE39+1)-1+'Rest of 2026'!$C$2,2)=1,15,0),EDATE(Inputs!$C$90,($BE39+1)-1)))))&lt;&gt;Inputs!$C$10,"",IF(Inputs!$C$7="Weekly",Inputs!$C$90+7*(($BE39+1)-1),IF(Inputs!$C$7="Biweekly",Inputs!$C$90+14*(($BE39+1)-1),IF(Inputs!$C$7="Semimonthly",DATE(YEAR(Inputs!$C$9),MONTH(Inputs!$C$9)+INT((($BE39+1)-1+'Rest of 2026'!$C$2)/2),MIN(DAY(Inputs!$C$9),DAY(EOMONTH(DATE(YEAR(Inputs!$C$9),MONTH(Inputs!$C$9)+INT((($BE39+1)-1+'Rest of 2026'!$C$2)/2),1),0))))+IF(MOD(($BE39+1)-1+'Rest of 2026'!$C$2,2)=1,15,0),EDATE(Inputs!$C$90,($BE39+1)-1)))))),1,0))</f>
      </c>
      <c r="BG40" s="7">
        <f>IF($B40="","",$BG39+$H40)</f>
      </c>
      <c r="BH40" s="7">
        <f>IF($B40="","",$BH39+$I40)</f>
      </c>
      <c r="BI40" s="7">
        <f>IF($B40="","",$BI39+$G40)</f>
      </c>
      <c r="BJ40" s="7">
        <f>IF($B40="","",IFERROR(LOOKUP(2,1/((((Events!$C$6:$C$17="Deduction start"))*(Events!$D$6:$D$17="Health FSA"))*(Events!$B$6:$B$17&lt;=$B40)*(Events!$B$6:$B$17&lt;&gt;"")),Events!$E$6:$E$17),Inputs!$D$38))</f>
      </c>
      <c r="BK40" s="7">
        <f>IF($B40="","",IFERROR(LOOKUP(2,1/((((Events!$C$6:$C$17="Deduction start"))*(Events!$D$6:$D$17="Dependent-care FSA"))*(Events!$B$6:$B$17&lt;=$B40)*(Events!$B$6:$B$17&lt;&gt;"")),Events!$E$6:$E$17),Inputs!$D$39))</f>
      </c>
      <c r="BL40" s="7">
        <f>IF($B40="","",IFERROR(LOOKUP(2,1/((((Events!$C$6:$C$17="Deduction start")+(Events!$C$6:$C$17="Deduction stop"))*(Events!$D$6:$D$17="HSA"))*(Events!$B$6:$B$17&lt;=$B40)*(Events!$B$6:$B$17&lt;&gt;"")),Events!$I$6:$I$17),Inputs!$D$35))</f>
      </c>
      <c r="BM40" s="7">
        <f>IF($B40="","",IFERROR(LOOKUP(2,1/((((Events!$C$6:$C$17="Deduction start")+(Events!$C$6:$C$17="Deduction stop"))*(Events!$D$6:$D$17="Premiums"))*(Events!$B$6:$B$17&lt;=$B40)*(Events!$B$6:$B$17&lt;&gt;"")),Events!$I$6:$I$17),Inputs!$D$40+Inputs!$D$41+Inputs!$D$42))</f>
      </c>
      <c r="BN40" s="7">
        <f>IF($B40="","",IFERROR(LOOKUP(2,1/((((Events!$C$6:$C$17="Deduction start")+(Events!$C$6:$C$17="Deduction stop"))*(Events!$D$6:$D$17="Commuter"))*(Events!$B$6:$B$17&lt;=$B40)*(Events!$B$6:$B$17&lt;&gt;"")),Events!$I$6:$I$17),Inputs!$D$43))</f>
      </c>
      <c r="BO40" s="7">
        <f>IF($B40="","",IFERROR(LOOKUP(2,1/((((Events!$C$6:$C$17="Deduction start")+(Events!$C$6:$C$17="Deduction stop"))*(Events!$D$6:$D$17="Other pre-tax"))*(Events!$B$6:$B$17&lt;=$B40)*(Events!$B$6:$B$17&lt;&gt;"")),Events!$I$6:$I$17),Inputs!$D$44))</f>
      </c>
      <c r="BP40" s="7">
        <f>IF($B40="","",IFERROR(LOOKUP(2,1/((((Events!$C$6:$C$17="Deduction start")+(Events!$C$6:$C$17="Deduction stop"))*(Events!$D$6:$D$17="Other post-tax"))*(Events!$B$6:$B$17&lt;=$B40)*(Events!$B$6:$B$17&lt;&gt;"")),Events!$I$6:$I$17),Inputs!$D$45))</f>
      </c>
      <c r="BQ40" s="6">
        <f>IF($B40="","",IFERROR(LOOKUP(2,1/((((Events!$C$6:$C$17="Deduction start")+(Events!$C$6:$C$17="Deduction stop"))*(Events!$D$6:$D$17="Health FSA"))*(Events!$B$6:$B$17&lt;=$B40)*(Events!$B$6:$B$17&lt;&gt;"")),Events!$J$6:$J$17),0))</f>
      </c>
      <c r="BR40" s="6">
        <f>IF($B40="","",IFERROR(LOOKUP(2,1/((((Events!$C$6:$C$17="Deduction start")+(Events!$C$6:$C$17="Deduction stop"))*(Events!$D$6:$D$17="Dependent-care FSA"))*(Events!$B$6:$B$17&lt;=$B40)*(Events!$B$6:$B$17&lt;&gt;"")),Events!$J$6:$J$17),0))</f>
      </c>
      <c r="BS40" s="6">
        <f>IF($B40="","",IF(SUMPRODUCT((Events!$C$6:$C$17="Deduction start")*(Events!$B$6:$B$17&lt;=$B40)*(Events!$B$6:$B$17&lt;&gt;"")*(Events!$D$6:$D$17="Health FSA"))&gt;0,1,0))</f>
      </c>
      <c r="BT40" s="6">
        <f>IF($B40="","",IF(SUMPRODUCT((Events!$C$6:$C$17="Deduction start")*(Events!$B$6:$B$17&lt;=$B40)*(Events!$B$6:$B$17&lt;&gt;"")*(Events!$D$6:$D$17="Dependent-care FSA"))&gt;0,1,0))</f>
      </c>
      <c r="BU40" s="24">
        <f>IF($B40="","",IF(Inputs!$C$13,SUMPRODUCT(($AH40&gt;=INDEX('Methodology &amp; Sources'!$B$29:$J$36,0,IF(Inputs!$C$12="MFJ",1,IF(Inputs!$C$12="HoH",7,4))))*INDEX('Methodology &amp; Sources'!$B$29:$J$36,0,IF(Inputs!$C$12="MFJ",1,IF(Inputs!$C$12="HoH",7,4))+2)),SUMPRODUCT(($AH40&gt;=INDEX('Methodology &amp; Sources'!$B$19:$J$26,0,IF(Inputs!$C$12="MFJ",1,IF(Inputs!$C$12="HoH",7,4))))*INDEX('Methodology &amp; Sources'!$B$19:$J$26,0,IF(Inputs!$C$12="MFJ",1,IF(Inputs!$C$12="HoH",7,4))+2))))</f>
      </c>
      <c r="BV40" s="24">
        <f>IF($B40="","",IF($BZ40&lt;&gt;"",$BZ40,IF($CA40&lt;&gt;"",$CA40,IF($CB40&lt;&gt;"",$CB40,IF($CC40&lt;&gt;"",$CC40,0)))))</f>
      </c>
      <c r="BW40" s="7">
        <f>IF($B40="","",IF($AN40="MD",IF(OR($AU40="Married",$AU40="Head of household"),SUMPRODUCT(($AZ40&gt;INDEX('Methodology &amp; Sources'!$B$114:$J$120,0,1))*($AZ40-INDEX('Methodology &amp; Sources'!$B$114:$J$120,0,1))*INDEX('Methodology &amp; Sources'!$B$114:$J$120,0,1+2)),SUMPRODUCT(($AZ40&gt;INDEX('Methodology &amp; Sources'!$B$103:$J$109,0,7))*($AZ40-INDEX('Methodology &amp; Sources'!$B$103:$J$109,0,7))*INDEX('Methodology &amp; Sources'!$B$103:$J$109,0,7+2))),IF($AN40="MO",SUMPRODUCT(($AZ40&gt;INDEX('Methodology &amp; Sources'!$B$125:$J$132,0,1))*($AZ40-INDEX('Methodology &amp; Sources'!$B$125:$J$132,0,1))*INDEX('Methodology &amp; Sources'!$B$125:$J$132,0,1+2)),IF($AN40="MT",IF($AU40="Head of household",SUMPRODUCT(($AZ40&gt;INDEX('Methodology &amp; Sources'!$B$137:$J$139,0,1))*($AZ40-INDEX('Methodology &amp; Sources'!$B$137:$J$139,0,1))*INDEX('Methodology &amp; Sources'!$B$137:$J$139,0,1+2)),IF($AU40="Married",SUMPRODUCT(($AZ40&gt;INDEX('Methodology &amp; Sources'!$B$125:$J$132,0,7))*($AZ40-INDEX('Methodology &amp; Sources'!$B$125:$J$132,0,7))*INDEX('Methodology &amp; Sources'!$B$125:$J$132,0,7+2)),SUMPRODUCT(($AZ40&gt;INDEX('Methodology &amp; Sources'!$B$125:$J$132,0,4))*($AZ40-INDEX('Methodology &amp; Sources'!$B$125:$J$132,0,4))*INDEX('Methodology &amp; Sources'!$B$125:$J$132,0,4+2)))),IF($AN40="ND",IF($AU40="Head of household",SUMPRODUCT(($AZ40&gt;INDEX('Methodology &amp; Sources'!$B$144:$J$150,0,1))*($AZ40-INDEX('Methodology &amp; Sources'!$B$144:$J$150,0,1))*INDEX('Methodology &amp; Sources'!$B$144:$J$150,0,1+2)),IF($AU40="Married",SUMPRODUCT(($AZ40&gt;INDEX('Methodology &amp; Sources'!$B$137:$J$139,0,7))*($AZ40-INDEX('Methodology &amp; Sources'!$B$137:$J$139,0,7))*INDEX('Methodology &amp; Sources'!$B$137:$J$139,0,7+2)),SUMPRODUCT(($AZ40&gt;INDEX('Methodology &amp; Sources'!$B$137:$J$139,0,4))*($AZ40-INDEX('Methodology &amp; Sources'!$B$137:$J$139,0,4))*INDEX('Methodology &amp; Sources'!$B$137:$J$139,0,4+2)))),IF($AN40="NJ",IF(Inputs!$C$77="B",SUMPRODUCT(($AZ40&gt;INDEX('Methodology &amp; Sources'!$B$155:$J$162,0,4))*($AZ40-INDEX('Methodology &amp; Sources'!$B$155:$J$162,0,4))*INDEX('Methodology &amp; Sources'!$B$155:$J$162,0,4+2)),IF(Inputs!$C$77="C",SUMPRODUCT(($AZ40&gt;INDEX('Methodology &amp; Sources'!$B$155:$J$162,0,7))*($AZ40-INDEX('Methodology &amp; Sources'!$B$155:$J$162,0,7))*INDEX('Methodology &amp; Sources'!$B$155:$J$162,0,7+2)),IF(Inputs!$C$77="D",SUMPRODUCT(($AZ40&gt;INDEX('Methodology &amp; Sources'!$B$167:$J$179,0,1))*($AZ40-INDEX('Methodology &amp; Sources'!$B$167:$J$179,0,1))*INDEX('Methodology &amp; Sources'!$B$167:$J$179,0,1+2)),IF(Inputs!$C$77="E",SUMPRODUCT(($AZ40&gt;INDEX('Methodology &amp; Sources'!$B$167:$J$179,0,4))*($AZ40-INDEX('Methodology &amp; Sources'!$B$167:$J$179,0,4))*INDEX('Methodology &amp; Sources'!$B$167:$J$179,0,4+2)),SUMPRODUCT(($AZ40&gt;INDEX('Methodology &amp; Sources'!$B$155:$J$162,0,1))*($AZ40-INDEX('Methodology &amp; Sources'!$B$155:$J$162,0,1))*INDEX('Methodology &amp; Sources'!$B$155:$J$162,0,1+2)))))),IF($AN40="NY",IF($AU40="Married",IF($AZ40&gt;=2155350,$AZ40*IF($AZ40&gt;25000000,0.117,IF($AZ40&gt;5000000,0.111,0.1045)),SUMPRODUCT(($AZ40&gt;INDEX('Methodology &amp; Sources'!$B$184:$J$198,0,1))*($AZ40-INDEX('Methodology &amp; Sources'!$B$184:$J$198,0,1))*INDEX('Methodology &amp; Sources'!$B$184:$J$198,0,1+2))),IF($AZ40&gt;=1077550,$AZ40*IF($AZ40&gt;25000000,0.117,IF($AZ40&gt;5000000,0.111,0.1045)),SUMPRODUCT(($AZ40&gt;INDEX('Methodology &amp; Sources'!$B$167:$J$179,0,7))*($AZ40-INDEX('Methodology &amp; Sources'!$B$167:$J$179,0,7))*INDEX('Methodology &amp; Sources'!$B$167:$J$179,0,7+2)))),"")))))))</f>
      </c>
      <c r="BX40" s="7">
        <f>IF($B40="","",IF($AN40="AL",IF(OR($AU40="Married",$AU40="Head of household"),SUMPRODUCT(($AZ40&gt;INDEX('Methodology &amp; Sources'!$B$82:$J$86,0,4))*($AZ40-INDEX('Methodology &amp; Sources'!$B$82:$J$86,0,4))*INDEX('Methodology &amp; Sources'!$B$82:$J$86,0,4+2)),SUMPRODUCT(($AZ40&gt;INDEX('Methodology &amp; Sources'!$B$82:$J$86,0,1))*($AZ40-INDEX('Methodology &amp; Sources'!$B$82:$J$86,0,1))*INDEX('Methodology &amp; Sources'!$B$82:$J$86,0,1+2))),IF($AN40="KS",IF($AU40="Married",SUMPRODUCT(($AZ40&gt;INDEX('Methodology &amp; Sources'!$B$103:$J$109,0,4))*($AZ40-INDEX('Methodology &amp; Sources'!$B$103:$J$109,0,4))*INDEX('Methodology &amp; Sources'!$B$103:$J$109,0,4+2)),SUMPRODUCT(($AZ40&gt;INDEX('Methodology &amp; Sources'!$B$103:$J$109,0,1))*($AZ40-INDEX('Methodology &amp; Sources'!$B$103:$J$109,0,1))*INDEX('Methodology &amp; Sources'!$B$103:$J$109,0,1+2))),IF($AN40="MN",IF($AU40="Married",SUMPRODUCT(($AZ40&gt;INDEX('Methodology &amp; Sources'!$B$114:$J$120,0,7))*($AZ40-INDEX('Methodology &amp; Sources'!$B$114:$J$120,0,7))*INDEX('Methodology &amp; Sources'!$B$114:$J$120,0,7+2)),SUMPRODUCT(($AZ40&gt;INDEX('Methodology &amp; Sources'!$B$114:$J$120,0,4))*($AZ40-INDEX('Methodology &amp; Sources'!$B$114:$J$120,0,4))*INDEX('Methodology &amp; Sources'!$B$114:$J$120,0,4+2))),IF($AN40="NE",MAX(IF($AU40="Married",SUMPRODUCT(($AZ40&gt;INDEX('Methodology &amp; Sources'!$B$144:$J$150,0,7))*($AZ40-INDEX('Methodology &amp; Sources'!$B$144:$J$150,0,7))*INDEX('Methodology &amp; Sources'!$B$144:$J$150,0,7+2)),SUMPRODUCT(($AZ40&gt;INDEX('Methodology &amp; Sources'!$B$144:$J$150,0,4))*($AZ40-INDEX('Methodology &amp; Sources'!$B$144:$J$150,0,4))*INDEX('Methodology &amp; Sources'!$B$144:$J$150,0,4+2))),0.015*$AZ40),IF($AN40="OH",IF($B40&gt;=DATE(2027,8,1),SUMPRODUCT(($AZ40&gt;INDEX('Methodology &amp; Sources'!$B$203:$J$206,0,1))*($AZ40-INDEX('Methodology &amp; Sources'!$B$203:$J$206,0,1))*INDEX('Methodology &amp; Sources'!$B$203:$J$206,0,1+2)),SUMPRODUCT(($AZ40&gt;INDEX('Methodology &amp; Sources'!$B$184:$J$198,0,7))*($AZ40-INDEX('Methodology &amp; Sources'!$B$184:$J$198,0,7))*INDEX('Methodology &amp; Sources'!$B$184:$J$198,0,7+2))),IF($AN40="OK",IF($AU40="Married",SUMPRODUCT(($AZ40&gt;INDEX('Methodology &amp; Sources'!$B$203:$J$206,0,7))*($AZ40-INDEX('Methodology &amp; Sources'!$B$203:$J$206,0,7))*INDEX('Methodology &amp; Sources'!$B$203:$J$206,0,7+2)),SUMPRODUCT(($AZ40&gt;INDEX('Methodology &amp; Sources'!$B$203:$J$206,0,4))*($AZ40-INDEX('Methodology &amp; Sources'!$B$203:$J$206,0,4))*INDEX('Methodology &amp; Sources'!$B$203:$J$206,0,4+2))),IF($AN40="RI",SUMPRODUCT(($AZ40&gt;INDEX('Methodology &amp; Sources'!$B$211:$J$214,0,7))*($AZ40-INDEX('Methodology &amp; Sources'!$B$211:$J$214,0,7))*INDEX('Methodology &amp; Sources'!$B$211:$J$214,0,7+2)),IF($AN40="VT",IF($AU40="Married",SUMPRODUCT(($AZ40&gt;INDEX('Methodology &amp; Sources'!$B$228:$J$232,0,1))*($AZ40-INDEX('Methodology &amp; Sources'!$B$228:$J$232,0,1))*INDEX('Methodology &amp; Sources'!$B$228:$J$232,0,1+2)),SUMPRODUCT(($AZ40&gt;INDEX('Methodology &amp; Sources'!$B$219:$J$223,0,7))*($AZ40-INDEX('Methodology &amp; Sources'!$B$219:$J$223,0,7))*INDEX('Methodology &amp; Sources'!$B$219:$J$223,0,7+2))),IF($AN40="WV",IF($AU40="Married",SUMPRODUCT(($AZ40&gt;INDEX('Methodology &amp; Sources'!$B$237:$J$241,0,7))*($AZ40-INDEX('Methodology &amp; Sources'!$B$237:$J$241,0,7))*INDEX('Methodology &amp; Sources'!$B$237:$J$241,0,7+2)),SUMPRODUCT(($AZ40&gt;INDEX('Methodology &amp; Sources'!$B$228:$J$232,0,7))*($AZ40-INDEX('Methodology &amp; Sources'!$B$228:$J$232,0,7))*INDEX('Methodology &amp; Sources'!$B$228:$J$232,0,7+2))),""))))))))))</f>
      </c>
      <c r="BY40" s="7">
        <f>IF($B40="","",IF($AN40="AR",SUMPRODUCT(($AZ40&gt;INDEX('Methodology &amp; Sources'!$B$82:$J$86,0,7))*($AZ40-INDEX('Methodology &amp; Sources'!$B$82:$J$86,0,7))*INDEX('Methodology &amp; Sources'!$B$82:$J$86,0,7+2)),IF($AN40="DE",SUMPRODUCT(($AZ40&gt;INDEX('Methodology &amp; Sources'!$B$91:$J$98,0,1))*($AZ40-INDEX('Methodology &amp; Sources'!$B$91:$J$98,0,1))*INDEX('Methodology &amp; Sources'!$B$91:$J$98,0,1+2)),IF($AN40="HI",IF($AU40="Married",SUMPRODUCT(($AZ40&gt;INDEX('Methodology &amp; Sources'!$B$91:$J$98,0,7))*($AZ40-INDEX('Methodology &amp; Sources'!$B$91:$J$98,0,7))*INDEX('Methodology &amp; Sources'!$B$91:$J$98,0,7+2)),SUMPRODUCT(($AZ40&gt;INDEX('Methodology &amp; Sources'!$B$91:$J$98,0,4))*($AZ40-INDEX('Methodology &amp; Sources'!$B$91:$J$98,0,4))*INDEX('Methodology &amp; Sources'!$B$91:$J$98,0,4+2))),IF($AN40="SC",SUMPRODUCT(($AZ40&gt;INDEX('Methodology &amp; Sources'!$B$219:$J$223,0,1))*($AZ40-INDEX('Methodology &amp; Sources'!$B$219:$J$223,0,1))*INDEX('Methodology &amp; Sources'!$B$219:$J$223,0,1+2)),IF($AN40="VA",SUMPRODUCT(($AZ40&gt;INDEX('Methodology &amp; Sources'!$B$219:$J$223,0,4))*($AZ40-INDEX('Methodology &amp; Sources'!$B$219:$J$223,0,4))*INDEX('Methodology &amp; Sources'!$B$219:$J$223,0,4+2)),IF($AN40="WI",SUMPRODUCT(($AZ40&gt;INDEX('Methodology &amp; Sources'!$B$228:$J$232,0,4))*($AZ40-INDEX('Methodology &amp; Sources'!$B$228:$J$232,0,4))*INDEX('Methodology &amp; Sources'!$B$228:$J$232,0,4+2)),"")))))))</f>
      </c>
      <c r="BZ40" s="24">
        <f>IF($B40="","",IF($AN40="NJ",IF(Inputs!$C$77="B",SUMPRODUCT(($AZ40&gt;=INDEX('Methodology &amp; Sources'!$B$155:$J$162,0,4))*INDEX('Methodology &amp; Sources'!$B$155:$J$162,0,4+2)),IF(Inputs!$C$77="C",SUMPRODUCT(($AZ40&gt;=INDEX('Methodology &amp; Sources'!$B$155:$J$162,0,7))*INDEX('Methodology &amp; Sources'!$B$155:$J$162,0,7+2)),IF(Inputs!$C$77="D",SUMPRODUCT(($AZ40&gt;=INDEX('Methodology &amp; Sources'!$B$167:$J$179,0,1))*INDEX('Methodology &amp; Sources'!$B$167:$J$179,0,1+2)),IF(Inputs!$C$77="E",SUMPRODUCT(($AZ40&gt;=INDEX('Methodology &amp; Sources'!$B$167:$J$179,0,4))*INDEX('Methodology &amp; Sources'!$B$167:$J$179,0,4+2)),SUMPRODUCT(($AZ40&gt;=INDEX('Methodology &amp; Sources'!$B$155:$J$162,0,1))*INDEX('Methodology &amp; Sources'!$B$155:$J$162,0,1+2)))))),IF($AN40="OR",IF(OR($AU40="Married",AND($AU40="Single",$AS40&gt;=3)),SUMPRODUCT((MAX(0,$AY40-MIN(($P40-'Methodology &amp; Sources'!$C$10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Sources'!$B$211:$J$214,0,4))*INDEX('Methodology &amp; Sources'!$B$211:$J$214,0,4+2)),SUMPRODUCT((MAX(0,$AY40-MIN(($P40-'Methodology &amp; Sources'!$C$10*$D40)*Inputs!$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Sources'!$B$211:$J$214,0,1))*INDEX('Methodology &amp; Sources'!$B$211:$J$214,0,1+2)))*IF(($P40-'Methodology &amp; Sources'!$C$10*$D40)*Inputs!$C$8&gt;=IF(OR($AU40="Married",AND($AU40="Single",$AS40&gt;=3)),IF($AY40&lt;250000,8750,IF($AY40&lt;260000,7000,IF($AY40&lt;270000,5250,IF($AY40&lt;280000,3500,IF($AY40&lt;290000,1750,0))))),IF($AY40&lt;125000,8750,IF($AY40&lt;130000,7000,IF($AY40&lt;135000,5250,IF($AY40&lt;140000,3500,IF($AY40&lt;145000,1750,0)))))),1,1-IF(Inputs!$C$13,SUMPRODUCT(($AH40&gt;=INDEX('Methodology &amp; Sources'!$B$29:$J$36,0,IF(Inputs!$C$12="MFJ",1,IF(Inputs!$C$12="HoH",7,4))))*INDEX('Methodology &amp; Sources'!$B$29:$J$36,0,IF(Inputs!$C$12="MFJ",1,IF(Inputs!$C$12="HoH",7,4))+2)),SUMPRODUCT(($AH40&gt;=INDEX('Methodology &amp; Sources'!$B$19:$J$26,0,IF(Inputs!$C$12="MFJ",1,IF(Inputs!$C$12="HoH",7,4))))*INDEX('Methodology &amp; Sources'!$B$19:$J$26,0,IF(Inputs!$C$12="MFJ",1,IF(Inputs!$C$12="HoH",7,4))+2)))),IF($AN40="MI",IF($AY40&gt;5900*$AS40,0.0425,0),""))))</f>
      </c>
      <c r="CA40" s="24">
        <f>IF($B40="","",IF($AN40="AL",IF(OR($AU40="Married",$AU40="Head of household"),SUMPRODUCT(($AZ40&gt;=INDEX('Methodology &amp; Sources'!$B$82:$J$86,0,4))*INDEX('Methodology &amp; Sources'!$B$82:$J$86,0,4+2)),SUMPRODUCT(($AZ40&gt;=INDEX('Methodology &amp; Sources'!$B$82:$J$86,0,1))*INDEX('Methodology &amp; Sources'!$B$82:$J$86,0,1+2)))*(1-IF(Inputs!$C$13,SUMPRODUCT(($AH40&gt;=INDEX('Methodology &amp; Sources'!$B$29:$J$36,0,IF(Inputs!$C$12="MFJ",1,IF(Inputs!$C$12="HoH",7,4))))*INDEX('Methodology &amp; Sources'!$B$29:$J$36,0,IF(Inputs!$C$12="MFJ",1,IF(Inputs!$C$12="HoH",7,4))+2)),SUMPRODUCT(($AH40&gt;=INDEX('Methodology &amp; Sources'!$B$19:$J$26,0,IF(Inputs!$C$12="MFJ",1,IF(Inputs!$C$12="HoH",7,4))))*INDEX('Methodology &amp; Sources'!$B$19:$J$26,0,IF(Inputs!$C$12="MFJ",1,IF(Inputs!$C$12="HoH",7,4))+2)))),IF($AN40="KS",IF($AU40="Married",SUMPRODUCT(($AZ40&gt;=INDEX('Methodology &amp; Sources'!$B$103:$J$109,0,4))*INDEX('Methodology &amp; Sources'!$B$103:$J$109,0,4+2)),SUMPRODUCT(($AZ40&gt;=INDEX('Methodology &amp; Sources'!$B$103:$J$109,0,1))*INDEX('Methodology &amp; Sources'!$B$103:$J$109,0,1+2))),IF($AN40="MD",IF(OR($AU40="Married",$AU40="Head of household"),SUMPRODUCT(($AZ40&gt;=INDEX('Methodology &amp; Sources'!$B$114:$J$120,0,1))*INDEX('Methodology &amp; Sources'!$B$114:$J$120,0,1+2)),SUMPRODUCT(($AZ40&gt;=INDEX('Methodology &amp; Sources'!$B$103:$J$109,0,7))*INDEX('Methodology &amp; Sources'!$B$103:$J$109,0,7+2)))+Inputs!$C$74,IF($AN40="MT",IF($AU40="Head of household",SUMPRODUCT(($AZ40&gt;=INDEX('Methodology &amp; Sources'!$B$137:$J$139,0,1))*INDEX('Methodology &amp; Sources'!$B$137:$J$139,0,1+2)),IF($AU40="Married",SUMPRODUCT(($AZ40&gt;=INDEX('Methodology &amp; Sources'!$B$125:$J$132,0,7))*INDEX('Methodology &amp; Sources'!$B$125:$J$132,0,7+2)),SUMPRODUCT(($AZ40&gt;=INDEX('Methodology &amp; Sources'!$B$125:$J$132,0,4))*INDEX('Methodology &amp; Sources'!$B$125:$J$132,0,4+2)))),IF($AN40="ND",IF($AU40="Head of household",SUMPRODUCT(($AZ40&gt;=INDEX('Methodology &amp; Sources'!$B$144:$J$150,0,1))*INDEX('Methodology &amp; Sources'!$B$144:$J$150,0,1+2)),IF($AU40="Married",SUMPRODUCT(($AZ40&gt;=INDEX('Methodology &amp; Sources'!$B$137:$J$139,0,7))*INDEX('Methodology &amp; Sources'!$B$137:$J$139,0,7+2)),SUMPRODUCT(($AZ40&gt;=INDEX('Methodology &amp; Sources'!$B$137:$J$139,0,4))*INDEX('Methodology &amp; Sources'!$B$137:$J$139,0,4+2)))),IF($AN40="NY",IF($AU40="Married",IF($AZ40&gt;=2155350,IF($AZ40&gt;25000000,0.117,IF($AZ40&gt;5000000,0.111,0.1045)),SUMPRODUCT(($AZ40&gt;=INDEX('Methodology &amp; Sources'!$B$184:$J$198,0,1))*INDEX('Methodology &amp; Sources'!$B$184:$J$198,0,1+2))),IF($AZ40&gt;=1077550,IF($AZ40&gt;25000000,0.117,IF($AZ40&gt;5000000,0.111,0.1045)),SUMPRODUCT(($AZ40&gt;=INDEX('Methodology &amp; Sources'!$B$167:$J$179,0,7))*INDEX('Methodology &amp; Sources'!$B$167:$J$179,0,7+2)))),"")))))))</f>
      </c>
      <c r="CB40" s="24">
        <f>IF($B40="","",IF($AN40="CA",SUMPRODUCT(($AJ40&gt;=INDEX('Methodology &amp; Sources'!$B$39:$J$48,0,IF($AU40="Married",4,IF($AU40="Head of household",7,1))))*INDEX('Methodology &amp; Sources'!$B$39:$J$48,0,IF($AU40="Married",4,IF($AU40="Head of household",7,1))+2)),IF($AN40="HI",IF($AU40="Married",SUMPRODUCT(($AZ40&gt;=INDEX('Methodology &amp; Sources'!$B$91:$J$98,0,7))*INDEX('Methodology &amp; Sources'!$B$91:$J$98,0,7+2)),SUMPRODUCT(($AZ40&gt;=INDEX('Methodology &amp; Sources'!$B$91:$J$98,0,4))*INDEX('Methodology &amp; Sources'!$B$91:$J$98,0,4+2))),IF($AN40="MN",IF($AU40="Married",SUMPRODUCT(($AZ40&gt;=INDEX('Methodology &amp; Sources'!$B$114:$J$120,0,7))*INDEX('Methodology &amp; Sources'!$B$114:$J$120,0,7+2)),SUMPRODUCT(($AZ40&gt;=INDEX('Methodology &amp; Sources'!$B$114:$J$120,0,4))*INDEX('Methodology &amp; Sources'!$B$114:$J$120,0,4+2))),IF($AN40="MO",SUMPRODUCT(($AZ40&gt;=INDEX('Methodology &amp; Sources'!$B$125:$J$132,0,1))*INDEX('Methodology &amp; Sources'!$B$125:$J$132,0,1+2)),IF($AN40="NE",MAX(IF($AU40="Married",SUMPRODUCT(($AZ40&gt;=INDEX('Methodology &amp; Sources'!$B$144:$J$150,0,7))*INDEX('Methodology &amp; Sources'!$B$144:$J$150,0,7+2)),SUMPRODUCT(($AZ40&gt;=INDEX('Methodology &amp; Sources'!$B$144:$J$150,0,4))*INDEX('Methodology &amp; Sources'!$B$144:$J$150,0,4+2))),0.015),IF($AN40="OH",IF($B40&gt;=DATE(2027,8,1),SUMPRODUCT(($AZ40&gt;=INDEX('Methodology &amp; Sources'!$B$203:$J$206,0,1))*INDEX('Methodology &amp; Sources'!$B$203:$J$206,0,1+2)),SUMPRODUCT(($AZ40&gt;=INDEX('Methodology &amp; Sources'!$B$184:$J$198,0,7))*INDEX('Methodology &amp; Sources'!$B$184:$J$198,0,7+2))),IF($AN40="OK",IF($AU40="Married",SUMPRODUCT(($AZ40&gt;=INDEX('Methodology &amp; Sources'!$B$203:$J$206,0,7))*INDEX('Methodology &amp; Sources'!$B$203:$J$206,0,7+2)),SUMPRODUCT(($AZ40&gt;=INDEX('Methodology &amp; Sources'!$B$203:$J$206,0,4))*INDEX('Methodology &amp; Sources'!$B$203:$J$206,0,4+2))),IF($AN40="RI",SUMPRODUCT(($AZ40&gt;=INDEX('Methodology &amp; Sources'!$B$211:$J$214,0,7))*INDEX('Methodology &amp; Sources'!$B$211:$J$214,0,7+2)),IF($AN40="SC",SUMPRODUCT(($AZ40&gt;=INDEX('Methodology &amp; Sources'!$B$219:$J$223,0,1))*INDEX('Methodology &amp; Sources'!$B$219:$J$223,0,1+2)),IF($AN40="VT",IF($AU40="Married",SUMPRODUCT(($AZ40&gt;=INDEX('Methodology &amp; Sources'!$B$228:$J$232,0,1))*INDEX('Methodology &amp; Sources'!$B$228:$J$232,0,1+2)),SUMPRODUCT(($AZ40&gt;=INDEX('Methodology &amp; Sources'!$B$219:$J$223,0,7))*INDEX('Methodology &amp; Sources'!$B$219:$J$223,0,7+2))),IF($AN40="WV",IF($AU40="Married",SUMPRODUCT(($AZ40&gt;=INDEX('Methodology &amp; Sources'!$B$237:$J$241,0,7))*INDEX('Methodology &amp; Sources'!$B$237:$J$241,0,7+2)),SUMPRODUCT(($AZ40&gt;=INDEX('Methodology &amp; Sources'!$B$228:$J$232,0,7))*INDEX('Methodology &amp; Sources'!$B$228:$J$232,0,7+2))),IF($AN40="IN",(0.0295+Inputs!$C$76),"")))))))))))))</f>
      </c>
      <c r="CC40" s="24">
        <f>IF($B40="","",IF($AN40="AR",SUMPRODUCT(($AZ40&gt;=INDEX('Methodology &amp; Sources'!$B$82:$J$86,0,7))*INDEX('Methodology &amp; Sources'!$B$82:$J$86,0,7+2)),IF($AN40="DE",SUMPRODUCT(($AZ40&gt;=INDEX('Methodology &amp; Sources'!$B$91:$J$98,0,1))*INDEX('Methodology &amp; Sources'!$B$91:$J$98,0,1+2)),IF($AN40="VA",SUMPRODUCT(($AZ40&gt;=INDEX('Methodology &amp; Sources'!$B$219:$J$223,0,4))*INDEX('Methodology &amp; Sources'!$B$219:$J$223,0,4+2)),IF($AN40="WI",SUMPRODUCT(($AZ40&gt;=INDEX('Methodology &amp; Sources'!$B$228:$J$232,0,4))*INDEX('Methodology &amp; Sources'!$B$228:$J$232,0,4+2)),IF($AN40="AZ",Inputs!$C$82,IF($AN40="CO",IF($AY40&gt;IF($AU40="Married",10000,5000),0.044,0),IF($AN40="IA",IF($AY40&gt;IF($AU40="Head of household",19500,IF($AU40="Married",26000,13000)),0.038,0),IF($AN40="ID",IF($AY40&gt;IF($AU40="Married",32000,16094),0.053,0),IF($AN40="IL",IF($AY40&gt;(2925*$AS40+1000*$AT40),0.0495,0),IF($AN40="KY",IF($AI40&gt;3360,0.035,0),IF($AN40="LA",0.0309,IF($AN40="MA",IF(MAX(0,$AY40-MIN(($BD39+$Q40+$R40+$S40),2000)-IF($AS40=0,0,IF($AS40=1,4400,1000*$AS40+3400)))&gt;=1107750,0.09,0.05),IF($AN40="MS",IF($AI40-IF($AU40="Head of household",3400,IF($AU40="Married",4600,2300))-Inputs!$C$85&gt;10000,0.04,0),IF($AN40="PA",0.0307,"")))))))))))))))</f>
      </c>
      <c r="CD40" s="21">
        <f>IF(YEAR(IF(Inputs!$C$7="Weekly",Inputs!$C$90+7*(($BE39+1)-1),IF(Inputs!$C$7="Biweekly",Inputs!$C$90+14*(($BE39+1)-1),IF(Inputs!$C$7="Semimonthly",DATE(YEAR(Inputs!$C$9),MONTH(Inputs!$C$9)+INT((($BE39+1)-1+'Rest of 2026'!$C$2)/2),MIN(DAY(Inputs!$C$9),DAY(EOMONTH(DATE(YEAR(Inputs!$C$9),MONTH(Inputs!$C$9)+INT((($BE39+1)-1+'Rest of 2026'!$C$2)/2),1),0))))+IF(MOD(($BE39+1)-1+'Rest of 2026'!$C$2,2)=1,15,0),EDATE(Inputs!$C$90,($BE39+1)-1)))))&lt;&gt;Inputs!$C$10,"",IF(Inputs!$C$7="Weekly",Inputs!$C$90+7*(($BE39+1)-1),IF(Inputs!$C$7="Biweekly",Inputs!$C$90+14*(($BE39+1)-1),IF(Inputs!$C$7="Semimonthly",DATE(YEAR(Inputs!$C$9),MONTH(Inputs!$C$9)+INT((($BE39+1)-1+'Rest of 2026'!$C$2)/2),MIN(DAY(Inputs!$C$9),DAY(EOMONTH(DATE(YEAR(Inputs!$C$9),MONTH(Inputs!$C$9)+INT((($BE39+1)-1+'Rest of 2026'!$C$2)/2),1),0))))+IF(MOD(($BE39+1)-1+'Rest of 2026'!$C$2,2)=1,15,0),EDATE(Inputs!$C$90,($BE39+1)-1)))))</f>
      </c>
      <c r="CE40" s="21">
        <f>IF(SUMPRODUCT(MIN(IF((Inputs!$C$58:$C$67&gt;MAX($B$6:$B39))*(Inputs!$C$58:$C$67&gt;=DATE(Inputs!$C$10,1,1))*(Inputs!$C$58:$C$67&lt;=DATE(Inputs!$C$10,12,31)),Inputs!$C$58:$C$67,999999)))=999999,"",SUMPRODUCT(MIN(IF((Inputs!$C$58:$C$67&gt;MAX($B$6:$B39))*(Inputs!$C$58:$C$67&gt;=DATE(Inputs!$C$10,1,1))*(Inputs!$C$58:$C$67&lt;=DATE(Inputs!$C$10,12,31)),Inputs!$C$58:$C$67,999999))))</f>
      </c>
    </row>
    <row r="41">
      <c r="A41" t="n">
        <v>36</v>
      </c>
      <c r="B41" s="21">
        <f>IF(AND($CD41="",$CE41=""),"",IF($CE41="",$CD41,IF($CD41="",$CE41,MIN($CD41,$CE41))))</f>
      </c>
      <c r="C41" s="7">
        <f>IF($B41="","",IF($BF41=0,0,IF(Inputs!$C$4="Annual salary",ROUND($AK41/IF(AND(Inputs!$C$88="Actual paydays",MONTH(Inputs!$C$90)=1),MAX(1,MAX($BE$6:$BE$68)),Inputs!$C$8),2),$AK41)))</f>
      </c>
      <c r="D41" s="7">
        <f>IF($B41="","",SUMIF(Inputs!$C$58:$C$67,$B41,Inputs!$D$58:$D$67))</f>
      </c>
      <c r="E41" s="7">
        <f>IF($B41="","",ROUND(MAX(0,MIN(IF($AL41="Percent",$AM41*($C41+$D41),$AM41),MAX(0,Inputs!$C$34-$AC40))),2))</f>
      </c>
      <c r="F41" s="7">
        <f>IF($B41="","",ROUND(MAX(0,MIN(IF(Inputs!$C$32="Percent",Inputs!$D$32*($C41+$D41),Inputs!$D$32),MAX(0,Inputs!$C$34-$AC40-$E41))),2))</f>
      </c>
      <c r="G41" s="7">
        <f>IF($B41="","",IF($BF41=0,0,ROUND(MAX(0,MIN($BL41,Inputs!$C$37-Inputs!$C$99-$BI40)),2)))</f>
      </c>
      <c r="H41" s="7">
        <f>IF($B41="","",IF(OR($BF41=0,$BQ41=1),0,ROUND(MAX(0,MIN(IF($BS41=1,ROUND(MAX(0,MIN($BJ41,'Methodology &amp; Sources'!$C$13)-$BG40)/MAX(1,MAX($BE$6:$BE$68)-($BE40)),2),ROUND(MIN($BJ41,'Methodology &amp; Sources'!$C$13)/Inputs!$C$8,2)),MIN($BJ41,'Methodology &amp; Sources'!$C$13)-$BG40)),2)))</f>
      </c>
      <c r="I41" s="7">
        <f>IF($B41="","",IF(OR($BF41=0,$BR41=1),0,ROUND(MAX(0,MIN(IF($BT41=1,ROUND(MAX(0,MIN($BK41,IF(Inputs!$C$12="MFJ",'Methodology &amp; Sources'!$C$14,'Methodology &amp; Sources'!$C$15))-$BH40)/MAX(1,MAX($BE$6:$BE$68)-($BE40)),2),ROUND(MIN($BK41,IF(Inputs!$C$12="MFJ",'Methodology &amp; Sources'!$C$14,'Methodology &amp; Sources'!$C$15))/Inputs!$C$8,2)),MIN($BK41,IF(Inputs!$C$12="MFJ",'Methodology &amp; Sources'!$C$14,'Methodology &amp; Sources'!$C$15))-$BH40)),2)))</f>
      </c>
      <c r="J41" s="7">
        <f>IF($B41="","",IF($BF41=0,0,$BM41))</f>
      </c>
      <c r="K41" s="7">
        <f>IF($B41="","",IF($BF41=0,0,$BN41+$BO41))</f>
      </c>
      <c r="L41" s="7">
        <f>IF($B41="","",IF($BF41=0,0,Inputs!$D$46))</f>
      </c>
      <c r="M41" s="7">
        <f>IF($B41="","",$C41+$D41+$L41-$E41-$G41-$H41-$I41-$J41-$K41)</f>
      </c>
      <c r="N41" s="7">
        <f>IF($B41="","",$C41+$D41+$L41-$G41-$H41-$I41-$J41-$K41)</f>
      </c>
      <c r="O41" s="7">
        <f>IF($B41="","",$C41+$D41+$L41-$E41-$H41-$I41-$J41-$K41-IF(OR($AN41="CA",$AN41="NJ"),0,$G41))</f>
      </c>
      <c r="P41" s="7">
        <f>IF($B41="","",IF(Inputs!$C$18,0,ROUND(MAX(0,IF(Inputs!$C$13,SUMPRODUCT(($AH41&gt;INDEX('Methodology &amp; Sources'!$B$29:$J$36,0,IF(Inputs!$C$12="MFJ",1,IF(Inputs!$C$12="HoH",7,4))))*($AH41-INDEX('Methodology &amp; Sources'!$B$29:$J$36,0,IF(Inputs!$C$12="MFJ",1,IF(Inputs!$C$12="HoH",7,4))))*INDEX('Methodology &amp; Sources'!$B$29:$J$36,0,IF(Inputs!$C$12="MFJ",1,IF(Inputs!$C$12="HoH",7,4))+2)),SUMPRODUCT(($AH41&gt;INDEX('Methodology &amp; Sources'!$B$19:$J$26,0,IF(Inputs!$C$12="MFJ",1,IF(Inputs!$C$12="HoH",7,4))))*($AH41-INDEX('Methodology &amp; Sources'!$B$19:$J$26,0,IF(Inputs!$C$12="MFJ",1,IF(Inputs!$C$12="HoH",7,4))))*INDEX('Methodology &amp; Sources'!$B$19:$J$26,0,IF(Inputs!$C$12="MFJ",1,IF(Inputs!$C$12="HoH",7,4))+2)))/Inputs!$C$8-$AO41/Inputs!$C$8)+$AR41+IF(Inputs!$C$89="Aggregate",MAX(0,IF(Inputs!$C$13,SUMPRODUCT((($AH41+$D41)&gt;INDEX('Methodology &amp; Sources'!$B$29:$J$36,0,IF(Inputs!$C$12="MFJ",1,IF(Inputs!$C$12="HoH",7,4))))*(($AH41+$D41)-INDEX('Methodology &amp; Sources'!$B$29:$J$36,0,IF(Inputs!$C$12="MFJ",1,IF(Inputs!$C$12="HoH",7,4))))*INDEX('Methodology &amp; Sources'!$B$29:$J$36,0,IF(Inputs!$C$12="MFJ",1,IF(Inputs!$C$12="HoH",7,4))+2)),SUMPRODUCT((($AH41+$D41)&gt;INDEX('Methodology &amp; Sources'!$B$19:$J$26,0,IF(Inputs!$C$12="MFJ",1,IF(Inputs!$C$12="HoH",7,4))))*(($AH41+$D41)-INDEX('Methodology &amp; Sources'!$B$19:$J$26,0,IF(Inputs!$C$12="MFJ",1,IF(Inputs!$C$12="HoH",7,4))))*INDEX('Methodology &amp; Sources'!$B$19:$J$26,0,IF(Inputs!$C$12="MFJ",1,IF(Inputs!$C$12="HoH",7,4))+2)))-IF(Inputs!$C$13,SUMPRODUCT(($AH41&gt;INDEX('Methodology &amp; Sources'!$B$29:$J$36,0,IF(Inputs!$C$12="MFJ",1,IF(Inputs!$C$12="HoH",7,4))))*($AH41-INDEX('Methodology &amp; Sources'!$B$29:$J$36,0,IF(Inputs!$C$12="MFJ",1,IF(Inputs!$C$12="HoH",7,4))))*INDEX('Methodology &amp; Sources'!$B$29:$J$36,0,IF(Inputs!$C$12="MFJ",1,IF(Inputs!$C$12="HoH",7,4))+2)),SUMPRODUCT(($AH41&gt;INDEX('Methodology &amp; Sources'!$B$19:$J$26,0,IF(Inputs!$C$12="MFJ",1,IF(Inputs!$C$12="HoH",7,4))))*($AH41-INDEX('Methodology &amp; Sources'!$B$19:$J$26,0,IF(Inputs!$C$12="MFJ",1,IF(Inputs!$C$12="HoH",7,4))))*INDEX('Methodology &amp; Sources'!$B$19:$J$26,0,IF(Inputs!$C$12="MFJ",1,IF(Inputs!$C$12="HoH",7,4))+2)))),'Methodology &amp; Sources'!$C$10*$D41),2)))</f>
      </c>
      <c r="Q41" s="7">
        <f>IF($B41="","",ROUND('Methodology &amp; Sources'!$C$4*MIN($N41,MAX(0,'Methodology &amp; Sources'!$C$3-($AX41+$AB40-$AW41))),2))</f>
      </c>
      <c r="R41" s="7">
        <f>IF($B41="","",ROUND('Methodology &amp; Sources'!$C$5*$N41,2))</f>
      </c>
      <c r="S41" s="7">
        <f>IF($B41="","",ROUND('Methodology &amp; Sources'!$C$6*MAX(0,MIN($N41,$AG40+$N41-'Methodology &amp; Sources'!$C$7)),2))</f>
      </c>
      <c r="T41" s="7">
        <f>IF($B41="","",IF(Inputs!$C$26,0,IF($AN41="CA",ROUND(IF($AI41&lt;=IF(($AS41+$AT41)&gt;=2,VLOOKUP($AN41,StateTables!$A$6:$AB$56,10,FALSE),VLOOKUP($AN41,StateTables!$A$6:$AB$56,9,FALSE)),0,MAX(0,SUMPRODUCT(($AJ41&gt;INDEX('Methodology &amp; Sources'!$B$39:$J$48,0,IF($AU41="Married",4,IF($AU41="Head of household",7,1))))*($AJ41-INDEX('Methodology &amp; Sources'!$B$39:$J$48,0,IF($AU41="Married",4,IF($AU41="Head of household",7,1))))*INDEX('Methodology &amp; Sources'!$B$39:$J$48,0,IF($AU41="Married",4,IF($AU41="Head of household",7,1))+2))-VLOOKUP($AN41,StateTables!$A$6:$AB$56,11,FALSE)*$AS41)/Inputs!$C$8)+Inputs!$C$25+VLOOKUP($AN41,StateTables!$A$6:$AB$56,13,FALSE)*$D41,2),IF(VLOOKUP($AN41,StateTables!$A$6:$AB$56,4,FALSE)="None",0,IF(ISNUMBER(SEARCH("MANUAL",VLOOKUP($AN41,StateTables!$A$6:$AB$56,5,FALSE))),Inputs!$C$28,ROUND(MAX(0,$BA41+$BB41)/Inputs!$C$8+Inputs!$C$25+$BC41,2))))))</f>
      </c>
      <c r="U41" s="7">
        <f>IF($B41="","",IF(VLOOKUP($AN41,StateTables!$A$6:$AB$56,24,FALSE)="flatq",IF(OR(MONTH($B41)=1,MONTH($B41)=4,MONTH($B41)=7,MONTH($B41)=10),VLOOKUP($AN41,StateTables!$A$6:$AB$56,25,FALSE),0),IF(VLOOKUP($AN41,StateTables!$A$6:$AB$56,24,FALSE)="dbl",MIN(ROUND(0.005*$N41,2),ROUND(0.6*52/Inputs!$C$8,2)),IF(OR(VLOOKUP($AN41,StateTables!$A$6:$AB$56,15,FALSE)="",VLOOKUP($AN41,StateTables!$A$6:$AB$56,15,FALSE)=0),0,ROUND(VLOOKUP($AN41,StateTables!$A$6:$AB$56,15,FALSE)*IF(OR(VLOOKUP($AN41,StateTables!$A$6:$AB$56,16,FALSE)="",VLOOKUP($AN41,StateTables!$A$6:$AB$56,16,FALSE)=0),$N41,MIN($N41,MAX(0,VLOOKUP($AN41,StateTables!$A$6:$AB$56,16,FALSE)-($AX41+$AB40-$AW41)))),2))))+IF(VLOOKUP($AN41,StateTables!$A$6:$AB$56,27,FALSE)="flatq",IF(OR(MONTH($B41)=1,MONTH($B41)=4,MONTH($B41)=7,MONTH($B41)=10),VLOOKUP($AN41,StateTables!$A$6:$AB$56,28,FALSE),0),IF(VLOOKUP($AN41,StateTables!$A$6:$AB$56,27,FALSE)="dbl",MIN(ROUND(0.005*$N41,2),ROUND(0.6*52/Inputs!$C$8,2)),IF(OR(VLOOKUP($AN41,StateTables!$A$6:$AB$56,18,FALSE)="",VLOOKUP($AN41,StateTables!$A$6:$AB$56,18,FALSE)=0),0,ROUND(VLOOKUP($AN41,StateTables!$A$6:$AB$56,18,FALSE)*IF(OR(VLOOKUP($AN41,StateTables!$A$6:$AB$56,19,FALSE)="",VLOOKUP($AN41,StateTables!$A$6:$AB$56,19,FALSE)=0),$N41,MIN($N41,MAX(0,VLOOKUP($AN41,StateTables!$A$6:$AB$56,19,FALSE)-($AX41+$AB40-$AW41)))),2)))))</f>
      </c>
      <c r="V41" s="7">
        <f>IF($B41="","",IF($AN41="NY",IF(Inputs!$C$78,ROUND(SUMPRODUCT((MAX(0,($O41-$D41)*Inputs!$C$8-(IF($AU41="Married",5500,5000)+1000*$AS41))&gt;INDEX('Methodology &amp; Sources'!$B$184:$J$198,0,4))*(MAX(0,($O41-$D41)*Inputs!$C$8-(IF($AU41="Married",5500,5000)+1000*$AS41))-INDEX('Methodology &amp; Sources'!$B$184:$J$198,0,4))*INDEX('Methodology &amp; Sources'!$B$184:$J$198,0,4+2))/Inputs!$C$8+0.0425*$D41,2),0)+IF(Inputs!$C$79="Resident",ROUND(0.1675*$T41,2),IF(Inputs!$C$79="Nonresident",ROUND(0.005*MAX(0,($O41-$D41)-(IF($AU41="Married",7950,7400)+1000*$AS41)/Inputs!$C$8),2),0)),IF($AN41="PA",IF(Inputs!$C$80="None",Inputs!$C$27+ROUND(Inputs!$C$81*($C41+$D41),2),ROUND(IF(Inputs!$C$80="Resident",IF($B41&lt;DATE(2027,7,1),0.03735,0.03735),IF($B41&lt;DATE(2027,7,1),0.03425,0.03425))*($C41+$D41),2)),IF($BF41=0,ROUND(Inputs!$C$81*($C41+$D41),2),Inputs!$C$27+ROUND(Inputs!$C$81*($C41+$D41),2)))))</f>
      </c>
      <c r="W41" s="7">
        <f>IF($B41="","",IF($BF41=0,0,$BP41))</f>
      </c>
      <c r="X41" s="7">
        <f>IF($B41="","",SUM($E41:$K41)+$P41+$Q41+$R41+$S41+$T41+$U41+$V41+$W41)</f>
      </c>
      <c r="Y41" s="22">
        <f>IF($B41="","",$C41+$D41-$X41)</f>
      </c>
      <c r="Z41" s="7">
        <f>IF($B41="","",$Z40+$C41+$D41)</f>
      </c>
      <c r="AA41" s="7">
        <f>IF($B41="","",$AA40+$Y41)</f>
      </c>
      <c r="AB41" s="7">
        <f>IF($B41="","",$AB40+MIN($N41,MAX(0,'Methodology &amp; Sources'!$C$3-($AX41+$AB40-$AW41))))</f>
      </c>
      <c r="AC41" s="7">
        <f>IF($B41="","",$AC40+$E41+$F41)</f>
      </c>
      <c r="AD41" s="3">
        <f>IF($B41="","",IF(AND($AB40&lt;'Methodology &amp; Sources'!$C$3,$AB41&gt;='Methodology &amp; Sources'!$C$3),"★ Social Security maxed on this check — from the next check your net rises by about $"&amp;TEXT(ROUND('Methodology &amp; Sources'!$C$4*$N41,2),"#,##0.00")&amp;". ","")&amp;IF(AND($AC40&lt;Inputs!$C$34,$AC41&gt;=Inputs!$C$34),"★ 401(k) reaches the $"&amp;TEXT(Inputs!$C$34,"#,##0")&amp;" cap on this check — deferrals stop and net pay rises. ","")&amp;IF(AND($AG40&lt;'Methodology &amp; Sources'!$C$7,$AG41&gt;='Methodology &amp; Sources'!$C$7),"★ Wages pass $200,000 — the 0.9% Additional Medicare Tax starts here. ","")&amp;IF(AND($BJ41&gt;0,$H41&gt;0,$BG40&lt;MIN($BJ41,'Methodology &amp; Sources'!$C$13),$BG40+$H41&gt;=MIN($BJ41,'Methodology &amp; Sources'!$C$13)),"★ Health FSA election is now fully deferred for the year. ",""))</f>
      </c>
      <c r="AE41" s="41" t="n"/>
      <c r="AF41" s="7">
        <f>IF(OR($B41="",$AE41=""),"",$AE41-$Y41)</f>
      </c>
      <c r="AG41" s="7">
        <f>IF($B41="","",$AG40+$N41)</f>
      </c>
      <c r="AH41" s="7">
        <f>IF($B41="","",MAX(0,($M41-$D41)*Inputs!$C$8+$AP41-$AQ41-IF(Inputs!$C$13,0,IF(Inputs!$C$12="MFJ",'Methodology &amp; Sources'!$C$8,'Methodology &amp; Sources'!$C$9))))</f>
      </c>
      <c r="AI41" s="7">
        <f>IF($B41="","",$O41*Inputs!$C$8)</f>
      </c>
      <c r="AJ41" s="7">
        <f>IF($B41="","",MAX(0,$AI41-VLOOKUP($AN41,StateTables!$A$6:$AB$56,12,FALSE)*$AT41-IF(($AS41+$AT41)&gt;=2,VLOOKUP($AN41,StateTables!$A$6:$AB$56,8,FALSE),VLOOKUP($AN41,StateTables!$A$6:$AB$56,7,FALSE))))</f>
      </c>
      <c r="AK41" s="7">
        <f>IF($B41="","",IFERROR(LOOKUP(2,1/((Events!$C$6:$C$17="Salary change")*(Events!$B$6:$B$17&lt;=$B41)*(Events!$B$6:$B$17&lt;&gt;"")),Events!$D$6:$D$17),IF(Inputs!$C$4="Annual salary",Inputs!$C$5,Inputs!$C$6)))</f>
      </c>
      <c r="AL41">
        <f>IF($B41="","",IFERROR(LOOKUP(2,1/((Events!$C$6:$C$17="401(k) change")*(Events!$B$6:$B$17&lt;=$B41)*(Events!$B$6:$B$17&lt;&gt;"")),Events!$D$6:$D$17),Inputs!$C$30))</f>
      </c>
      <c r="AM41" s="7">
        <f>IF($B41="","",IFERROR(LOOKUP(2,1/((Events!$C$6:$C$17="401(k) change")*(Events!$B$6:$B$17&lt;=$B41)*(Events!$B$6:$B$17&lt;&gt;"")),Events!$E$6:$E$17),Inputs!$D$30))</f>
      </c>
      <c r="AN41">
        <f>IF($B41="","",IFERROR(LOOKUP(2,1/((Events!$C$6:$C$17="State move")*(Events!$B$6:$B$17&lt;=$B41)*(Events!$B$6:$B$17&lt;&gt;"")),Events!$D$6:$D$17),Inputs!$C$21))</f>
      </c>
      <c r="AO41" s="7">
        <f>IF($B41="","",IFERROR(LOOKUP(2,1/((Events!$C$6:$C$17="W-4 change")*(Events!$B$6:$B$17&lt;=$B41)*(Events!$B$6:$B$17&lt;&gt;"")),Events!$D$6:$D$17),Inputs!$C$14))</f>
      </c>
      <c r="AP41" s="7">
        <f>IF($B41="","",IFERROR(LOOKUP(2,1/((Events!$C$6:$C$17="W-4 change")*(Events!$B$6:$B$17&lt;=$B41)*(Events!$B$6:$B$17&lt;&gt;"")),Events!$E$6:$E$17),Inputs!$C$15))</f>
      </c>
      <c r="AQ41" s="7">
        <f>IF($B41="","",IFERROR(LOOKUP(2,1/((Events!$C$6:$C$17="W-4 change")*(Events!$B$6:$B$17&lt;=$B41)*(Events!$B$6:$B$17&lt;&gt;"")),Events!$F$6:$F$17),Inputs!$C$16))</f>
      </c>
      <c r="AR41" s="7">
        <f>IF($B41="","",IFERROR(LOOKUP(2,1/((Events!$C$6:$C$17="W-4 change")*(Events!$B$6:$B$17&lt;=$B41)*(Events!$B$6:$B$17&lt;&gt;"")),Events!$G$6:$G$17),Inputs!$C$17))</f>
      </c>
      <c r="AS41" s="6">
        <f>IF($B41="","",IFERROR(LOOKUP(2,1/(((Events!$C$6:$C$17="State move")+(Events!$C$6:$C$17="State cert change"))*(Events!$B$6:$B$17&lt;=$B41)*(Events!$B$6:$B$17&lt;&gt;"")),Events!$F$6:$F$17),Inputs!$C$23))</f>
      </c>
      <c r="AT41" s="6">
        <f>IF($B41="","",IFERROR(LOOKUP(2,1/(((Events!$C$6:$C$17="State move")+(Events!$C$6:$C$17="State cert change"))*(Events!$B$6:$B$17&lt;=$B41)*(Events!$B$6:$B$17&lt;&gt;"")),Events!$G$6:$G$17),Inputs!$C$24))</f>
      </c>
      <c r="AU41">
        <f>IF($B41="","",IFERROR(LOOKUP(2,1/((Events!$C$6:$C$17="State move")*(Events!$B$6:$B$17&lt;=$B41)*(Events!$B$6:$B$17&lt;&gt;"")),Events!$E$6:$E$17),Inputs!$C$22))</f>
      </c>
      <c r="AV41" s="6">
        <f>IF($B41="","",1+COUNTIFS(Events!$C$6:$C$17,"Employer change",Events!$B$6:$B$17,"&lt;="&amp;$B41,Events!$B$6:$B$17,"&lt;&gt;"))</f>
      </c>
      <c r="AW41" s="7">
        <f>IF($B41="","",IF($AV41=1,Inputs!$C$94,IF(IFERROR(MATCH(IFERROR(LOOKUP(2,1/((Events!$C$6:$C$17="Employer change")*(Events!$B$6:$B$17&lt;=$B41)*(Events!$B$6:$B$17&lt;&gt;"")),Events!$B$6:$B$17),""),$B$6:$B$68,1),1)&lt;=1,Inputs!$C$94,INDEX($AB$6:$AB$68,MATCH(IFERROR(LOOKUP(2,1/((Events!$C$6:$C$17="Employer change")*(Events!$B$6:$B$17&lt;=$B41)*(Events!$B$6:$B$17&lt;&gt;"")),Events!$B$6:$B$17),""),$B$6:$B$68,1)-1))))</f>
      </c>
      <c r="AX41" s="7">
        <f>IF($B41="","",IF($AV41=1,Inputs!$C$94,IFERROR(LOOKUP(2,1/((Events!$C$6:$C$17="Employer change")*(Events!$B$6:$B$17&lt;=$B41)*(Events!$B$6:$B$17&lt;&gt;"")),Events!$D$6:$D$17),0)))</f>
      </c>
      <c r="AY41" s="7">
        <f>IF($B41="","",($O41-$D41)*Inputs!$C$8)</f>
      </c>
      <c r="AZ41" s="7">
        <f>IF($B41="","",IF($AN41="AL",MAX(0,$AY41-IF($AU41="Married",IF($AY41&lt;=25999,8500,MAX(5000,8500-175*CEILING(($AY41-25999)/500,1))),IF($AU41="Head of household",IF($AY41&lt;=25999,5200,MAX(2500,5200-135*CEILING(($AY41-25999)/500,1))),IF($AY41&lt;=25999,3000,MAX(2500,3000-25*CEILING(($AY41-25999)/500,1)))))-($P41-'Methodology &amp; Sources'!$C$10*$D41)*Inputs!$C$8-IF(OR($AU41="Married",$AU41="Head of household"),3000,1500)-$AT41*IF($AY41&lt;=50000,1000,IF($AY41&lt;=100000,500,300))),IF($AN41="AR",IF(MAX(0,$AY41-2470)&lt;97701,INT(MAX(0,$AY41-2470)/100)*100+50,MAX(0,$AY41-2470)),IF($AN41="DE",MAX(0,$AI41-3250),IF($AN41="HI",MAX(0,$AI41-1144*$AS41-4350),IF($AN41="KS",MAX(0,$AI41-(9160*IF($AU41="Married",2,1)+2320*$AT41+IF($AU41="Head of household",2320,0))),IF($AN41="MD",MAX(0,$AI41-3400-3200*$AS41),IF($AN41="MN",MAX(0,$AY41-5300*$AS41),IF($AN41="MO",MAX(0,$AI41-IF($AU41="Head of household",24150,IF($AU41="Married",IF(Inputs!$C$83,16100,32200),16100))),IF($AN41="MT",$AY41,IF($AN41="ND",($C41+$L41)*Inputs!$C$8,IF($AN41="NE",MAX(0,$AY41-2440*$AS41),IF($AN41="NJ",MAX(0,$AY41-1000*$AS41),IF($AN41="NY",MAX(0,$AY41-(IF($AU41="Married",7950,7400)+1000*$AS41)),IF($AN41="OH",MAX(0,$AY41-650*$AS41),IF($AN41="OK",MAX(0,$AY41-1000*$AS41),IF($AN41="RI",MAX(0,$AI41-1000*$AS41),IF($AN41="SC",MAX(0,$AI41-5000*$AS41-IF($AS41=0,0,MIN(0.1*$AI41,7500))),IF($AN41="VA",MAX(0,$AI41-IF($AU41="Married",17500,8750)-930*$AS41-800*$AT41),IF($AN41="VT",MAX(0,$AI41-5400*$AS41),IF($AN41="WI",MAX(0,$AI41-MAX(0,IF($AU41="Married",9461-0.2*MAX(0,$AI41-25727),6702-0.12*MAX(0,$AI41-17780)))-400*$AS41),IF($AN41="WV",MAX(0,$AI41-2000*$AS41),$AI41))))))))))))))))))))))</f>
      </c>
      <c r="BA41" s="7">
        <f>IF($B41="","",IF($BW41&lt;&gt;"",$BW41,IF($BX41&lt;&gt;"",$BX41,IF($BY41&lt;&gt;"",$BY41,0))))</f>
      </c>
      <c r="BB41" s="7">
        <f>IF($B41="","",IF($AN41="AR",-29*$AS41,IF($AN41="DE",-110*$AS41,IF($AN41="MD",$AZ41*Inputs!$C$74,IF($AN41="AZ",Inputs!$C$82*($M41-$D41)*Inputs!$C$8,IF($AN41="CO",0.044*MAX(0,$AY41-IF($AU41="Married",10000,5000)),IF($AN41="IA",MAX(0,0.038*MAX(0,$AY41-IF($AU41="Head of household",19500,IF($AU41="Married",26000,13000)))-40*$AS41),IF($AN41="ID",0.053*MAX(0,$AY41-IF($AU41="Married",32000,16094)),IF($AN41="IL",0.0495*MAX(0,$AY41-(2925*$AS41+1000*$AT41)),IF($AN41="IN",(0.0295+Inputs!$C$76)*MAX(0,$AY41-(1000*$AS41+1500*$AT41+3000*Inputs!$C$86)),IF($AN41="KY",0.035*MAX(0,$AI41-3360),IF($AN41="LA",IF(Inputs!$C$84="0",0.0309*$AI41,0.0309*MAX(0,$AI41-IF(Inputs!$C$84="2",25750,12875))),IF($AN41="MA",0.05*MIN(MAX(0,$AY41-MIN(($BD40+$Q41+$R41+$S41),2000)-IF($AS41=0,0,IF($AS41=1,4400,1000*$AS41+3400))),1107750)+0.09*MAX(0,MAX(0,$AY41-MIN(($BD40+$Q41+$R41+$S41),2000)-IF($AS41=0,0,IF($AS41=1,4400,1000*$AS41+3400)))-1107750)-IF($AU41="Head of household",120,0)-110*Inputs!$C$75,IF($AN41="MI",0.0425*MAX(0,$AY41-5900*$AS41),IF($AN41="MS",0.04*MAX(0,$AI41-IF($AU41="Head of household",3400,IF($AU41="Married",4600,2300))-Inputs!$C$85-10000),IF($AN41="OR",IF(OR($AU41="Married",AND($AU41="Single",$AS41&gt;=3)),SUMPRODUCT((MAX(0,$AY41-MIN(($P41-'Methodology &amp; Sources'!$C$10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Sources'!$B$211:$J$214,0,4))*(MAX(0,$AY41-MIN(($P41-'Methodology &amp; Sources'!$C$10*$D41)*Inputs!$C$8,IF(OR($AU41="Married",AND($AU41="Single",$AS41&gt;=3)),IF($AY41&lt;250000,8750,IF($AY41&lt;260000,7000,IF($AY41&lt;270000,5250,IF($AY41&lt;280000,3500,IF($AY41&lt;290000,1750,0))))),IF($AY41&lt;125000,8750,IF($AY41&lt;130000,7000,IF($AY41&lt;135000,5250,IF($AY41&lt;140000,3500,IF($AY41&lt;145000,1750,0)))))))-IF(OR($AU41="Married",AND($AU41="Single",$AS41&gt;=3)),5820,2910))-INDEX('Methodology &amp; Sources'!$B$211:$J$214,0,4))*INDEX('Methodology &amp; Sources'!$B$211:$J$214,0,4+2)),SUMPRODUCT((MAX(0,$AY41-MIN(($P41-'Methodology &amp; Sources'!$C$10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Sources'!$B$211:$J$214,0,1))*(MAX(0,$AY41-MIN(($P41-'Methodology &amp; Sources'!$C$10*$D41)*Inputs!$C$8,IF(OR($AU41="Married",AND($AU41="Single",$AS41&gt;=3)),IF($AY41&lt;250000,8750,IF($AY41&lt;260000,7000,IF($AY41&lt;270000,5250,IF($AY41&lt;280000,3500,IF($AY41&lt;290000,1750,0))))),IF($AY41&lt;125000,8750,IF($AY41&lt;130000,7000,IF($AY41&lt;135000,5250,IF($AY41&lt;140000,3500,IF($AY41&lt;145000,1750,0)))))))-IF(OR($AU41="Married",AND($AU41="Single",$AS41&gt;=3)),5820,2910))-INDEX('Methodology &amp; Sources'!$B$211:$J$214,0,1))*INDEX('Methodology &amp; Sources'!$B$211:$J$214,0,1+2)))+263-263*IF(IF($AU41="Married",$AY41&gt;200000,$AY41&gt;100000),0,$AS41),IF($AN41="PA",0.0307*(($O41+$E41+$G41)*Inputs!$C$8),IF($AN41="NY",IF($AU41="Married",IF($AZ41&gt;=2155350,0,IF($AZ41&gt;=1077550,0.48,IF($AZ41&gt;=373200,1.21,IF($AZ41&gt;=323200,0.21,IF($AZ41&gt;=211550,-0.19,IF($AZ41&gt;=157650,-2.8,IF($AZ41&gt;=107650,-0.8,IF($AZ41&gt;=96800,0.05,IF($AZ41&gt;=80650,-0.1,IF($AZ41&gt;=13900,0.4,IF($AZ41&gt;=11700,-0.3,IF($AZ41&gt;=8500,0.5,0)))))))))))),IF($AZ41&gt;=1077550,0,IF($AZ41&gt;=265400,4.29,IF($AZ41&gt;=215400,2.29,IF($AZ41&gt;=157650,2.29,IF($AZ41&gt;=107650,0.29,IF($AZ41&gt;=96800,0.05,IF($AZ41&gt;=80650,-0.1,IF($AZ41&gt;=13900,0.4,IF($AZ41&gt;=11700,-0.3,IF($AZ41&gt;=8500,0.5,0))))))))))),0))))))))))))))))))</f>
      </c>
      <c r="BC41" s="7">
        <f>IF($B41="","",IF($AN41="AL",0.05*$D41,IF($AN41="AR",0.039*$D41,IF($AN41="ID",0.053*$D41,IF($AN41="IN",(0.0295+Inputs!$C$76)*$D41,IF($AN41="KS",0.05*$D41,IF($AN41="MA",0.09*MIN($D41,MAX(0,MAX(0,$AY41-MIN(($BD40+$Q41+$R41+$S41),2000)-IF($AS41=0,0,IF($AS41=1,4400,1000*$AS41+3400)))+$D41-1107750))+0.05*($D41-MIN($D41,MAX(0,MAX(0,$AY41-MIN(($BD40+$Q41+$R41+$S41),2000)-IF($AS41=0,0,IF($AS41=1,4400,1000*$AS41+3400)))+$D41-1107750))),IF($AN41="MD",(0.065+Inputs!$C$74)*$D41,IF($AN41="MI",0.0425*$D41,IF($AN41="MN",0.0625*$D41,IF($AN41="MO",0.047*$D41,IF($AN41="MT",0.05*$D41,IF($AN41="ND",0.015*$D41,IF($AN41="NE",0.035*$D41,IF($AN41="NJ",IF(Inputs!$C$77="B",SUMPRODUCT(($D41*Inputs!$C$8&gt;INDEX('Methodology &amp; Sources'!$B$155:$J$162,0,4))*($D41*Inputs!$C$8-INDEX('Methodology &amp; Sources'!$B$155:$J$162,0,4))*INDEX('Methodology &amp; Sources'!$B$155:$J$162,0,4+2)),IF(Inputs!$C$77="C",SUMPRODUCT(($D41*Inputs!$C$8&gt;INDEX('Methodology &amp; Sources'!$B$155:$J$162,0,7))*($D41*Inputs!$C$8-INDEX('Methodology &amp; Sources'!$B$155:$J$162,0,7))*INDEX('Methodology &amp; Sources'!$B$155:$J$162,0,7+2)),IF(Inputs!$C$77="D",SUMPRODUCT(($D41*Inputs!$C$8&gt;INDEX('Methodology &amp; Sources'!$B$167:$J$179,0,1))*($D41*Inputs!$C$8-INDEX('Methodology &amp; Sources'!$B$167:$J$179,0,1))*INDEX('Methodology &amp; Sources'!$B$167:$J$179,0,1+2)),IF(Inputs!$C$77="E",SUMPRODUCT(($D41*Inputs!$C$8&gt;INDEX('Methodology &amp; Sources'!$B$167:$J$179,0,4))*($D41*Inputs!$C$8-INDEX('Methodology &amp; Sources'!$B$167:$J$179,0,4))*INDEX('Methodology &amp; Sources'!$B$167:$J$179,0,4+2)),SUMPRODUCT(($D41*Inputs!$C$8&gt;INDEX('Methodology &amp; Sources'!$B$155:$J$162,0,1))*($D41*Inputs!$C$8-INDEX('Methodology &amp; Sources'!$B$155:$J$162,0,1))*INDEX('Methodology &amp; Sources'!$B$155:$J$162,0,1+2))))))/Inputs!$C$8,IF($AN41="NY",0.117*$D41,IF($AN41="OH",0.0275*$D41,IF($AN41="OK",0.045*$D41,IF($AN41="OR",0.08*$D41,IF($AN41="WI",IF($AY41&lt;12760,0.0354,IF($AY41&lt;25520,0.0465,IF($AY41&lt;280950,0.053,0.0765)))*$D41,0))))))))))))))))))))</f>
      </c>
      <c r="BD41" s="7">
        <f>IF($B41="","",$BD40+$Q41+$R41+$S41)</f>
      </c>
      <c r="BE41" s="6">
        <f>IF($B41="",$BE40,$BE40+$BF41)</f>
      </c>
      <c r="BF41" s="6">
        <f>IF($B41="","",IF(AND(IF(YEAR(IF(Inputs!$C$7="Weekly",Inputs!$C$90+7*(($BE40+1)-1),IF(Inputs!$C$7="Biweekly",Inputs!$C$90+14*(($BE40+1)-1),IF(Inputs!$C$7="Semimonthly",DATE(YEAR(Inputs!$C$9),MONTH(Inputs!$C$9)+INT((($BE40+1)-1+'Rest of 2026'!$C$2)/2),MIN(DAY(Inputs!$C$9),DAY(EOMONTH(DATE(YEAR(Inputs!$C$9),MONTH(Inputs!$C$9)+INT((($BE40+1)-1+'Rest of 2026'!$C$2)/2),1),0))))+IF(MOD(($BE40+1)-1+'Rest of 2026'!$C$2,2)=1,15,0),EDATE(Inputs!$C$90,($BE40+1)-1)))))&lt;&gt;Inputs!$C$10,"",IF(Inputs!$C$7="Weekly",Inputs!$C$90+7*(($BE40+1)-1),IF(Inputs!$C$7="Biweekly",Inputs!$C$90+14*(($BE40+1)-1),IF(Inputs!$C$7="Semimonthly",DATE(YEAR(Inputs!$C$9),MONTH(Inputs!$C$9)+INT((($BE40+1)-1+'Rest of 2026'!$C$2)/2),MIN(DAY(Inputs!$C$9),DAY(EOMONTH(DATE(YEAR(Inputs!$C$9),MONTH(Inputs!$C$9)+INT((($BE40+1)-1+'Rest of 2026'!$C$2)/2),1),0))))+IF(MOD(($BE40+1)-1+'Rest of 2026'!$C$2,2)=1,15,0),EDATE(Inputs!$C$90,($BE40+1)-1)))))&lt;&gt;"",$B41=IF(YEAR(IF(Inputs!$C$7="Weekly",Inputs!$C$90+7*(($BE40+1)-1),IF(Inputs!$C$7="Biweekly",Inputs!$C$90+14*(($BE40+1)-1),IF(Inputs!$C$7="Semimonthly",DATE(YEAR(Inputs!$C$9),MONTH(Inputs!$C$9)+INT((($BE40+1)-1+'Rest of 2026'!$C$2)/2),MIN(DAY(Inputs!$C$9),DAY(EOMONTH(DATE(YEAR(Inputs!$C$9),MONTH(Inputs!$C$9)+INT((($BE40+1)-1+'Rest of 2026'!$C$2)/2),1),0))))+IF(MOD(($BE40+1)-1+'Rest of 2026'!$C$2,2)=1,15,0),EDATE(Inputs!$C$90,($BE40+1)-1)))))&lt;&gt;Inputs!$C$10,"",IF(Inputs!$C$7="Weekly",Inputs!$C$90+7*(($BE40+1)-1),IF(Inputs!$C$7="Biweekly",Inputs!$C$90+14*(($BE40+1)-1),IF(Inputs!$C$7="Semimonthly",DATE(YEAR(Inputs!$C$9),MONTH(Inputs!$C$9)+INT((($BE40+1)-1+'Rest of 2026'!$C$2)/2),MIN(DAY(Inputs!$C$9),DAY(EOMONTH(DATE(YEAR(Inputs!$C$9),MONTH(Inputs!$C$9)+INT((($BE40+1)-1+'Rest of 2026'!$C$2)/2),1),0))))+IF(MOD(($BE40+1)-1+'Rest of 2026'!$C$2,2)=1,15,0),EDATE(Inputs!$C$90,($BE40+1)-1)))))),1,0))</f>
      </c>
      <c r="BG41" s="7">
        <f>IF($B41="","",$BG40+$H41)</f>
      </c>
      <c r="BH41" s="7">
        <f>IF($B41="","",$BH40+$I41)</f>
      </c>
      <c r="BI41" s="7">
        <f>IF($B41="","",$BI40+$G41)</f>
      </c>
      <c r="BJ41" s="7">
        <f>IF($B41="","",IFERROR(LOOKUP(2,1/((((Events!$C$6:$C$17="Deduction start"))*(Events!$D$6:$D$17="Health FSA"))*(Events!$B$6:$B$17&lt;=$B41)*(Events!$B$6:$B$17&lt;&gt;"")),Events!$E$6:$E$17),Inputs!$D$38))</f>
      </c>
      <c r="BK41" s="7">
        <f>IF($B41="","",IFERROR(LOOKUP(2,1/((((Events!$C$6:$C$17="Deduction start"))*(Events!$D$6:$D$17="Dependent-care FSA"))*(Events!$B$6:$B$17&lt;=$B41)*(Events!$B$6:$B$17&lt;&gt;"")),Events!$E$6:$E$17),Inputs!$D$39))</f>
      </c>
      <c r="BL41" s="7">
        <f>IF($B41="","",IFERROR(LOOKUP(2,1/((((Events!$C$6:$C$17="Deduction start")+(Events!$C$6:$C$17="Deduction stop"))*(Events!$D$6:$D$17="HSA"))*(Events!$B$6:$B$17&lt;=$B41)*(Events!$B$6:$B$17&lt;&gt;"")),Events!$I$6:$I$17),Inputs!$D$35))</f>
      </c>
      <c r="BM41" s="7">
        <f>IF($B41="","",IFERROR(LOOKUP(2,1/((((Events!$C$6:$C$17="Deduction start")+(Events!$C$6:$C$17="Deduction stop"))*(Events!$D$6:$D$17="Premiums"))*(Events!$B$6:$B$17&lt;=$B41)*(Events!$B$6:$B$17&lt;&gt;"")),Events!$I$6:$I$17),Inputs!$D$40+Inputs!$D$41+Inputs!$D$42))</f>
      </c>
      <c r="BN41" s="7">
        <f>IF($B41="","",IFERROR(LOOKUP(2,1/((((Events!$C$6:$C$17="Deduction start")+(Events!$C$6:$C$17="Deduction stop"))*(Events!$D$6:$D$17="Commuter"))*(Events!$B$6:$B$17&lt;=$B41)*(Events!$B$6:$B$17&lt;&gt;"")),Events!$I$6:$I$17),Inputs!$D$43))</f>
      </c>
      <c r="BO41" s="7">
        <f>IF($B41="","",IFERROR(LOOKUP(2,1/((((Events!$C$6:$C$17="Deduction start")+(Events!$C$6:$C$17="Deduction stop"))*(Events!$D$6:$D$17="Other pre-tax"))*(Events!$B$6:$B$17&lt;=$B41)*(Events!$B$6:$B$17&lt;&gt;"")),Events!$I$6:$I$17),Inputs!$D$44))</f>
      </c>
      <c r="BP41" s="7">
        <f>IF($B41="","",IFERROR(LOOKUP(2,1/((((Events!$C$6:$C$17="Deduction start")+(Events!$C$6:$C$17="Deduction stop"))*(Events!$D$6:$D$17="Other post-tax"))*(Events!$B$6:$B$17&lt;=$B41)*(Events!$B$6:$B$17&lt;&gt;"")),Events!$I$6:$I$17),Inputs!$D$45))</f>
      </c>
      <c r="BQ41" s="6">
        <f>IF($B41="","",IFERROR(LOOKUP(2,1/((((Events!$C$6:$C$17="Deduction start")+(Events!$C$6:$C$17="Deduction stop"))*(Events!$D$6:$D$17="Health FSA"))*(Events!$B$6:$B$17&lt;=$B41)*(Events!$B$6:$B$17&lt;&gt;"")),Events!$J$6:$J$17),0))</f>
      </c>
      <c r="BR41" s="6">
        <f>IF($B41="","",IFERROR(LOOKUP(2,1/((((Events!$C$6:$C$17="Deduction start")+(Events!$C$6:$C$17="Deduction stop"))*(Events!$D$6:$D$17="Dependent-care FSA"))*(Events!$B$6:$B$17&lt;=$B41)*(Events!$B$6:$B$17&lt;&gt;"")),Events!$J$6:$J$17),0))</f>
      </c>
      <c r="BS41" s="6">
        <f>IF($B41="","",IF(SUMPRODUCT((Events!$C$6:$C$17="Deduction start")*(Events!$B$6:$B$17&lt;=$B41)*(Events!$B$6:$B$17&lt;&gt;"")*(Events!$D$6:$D$17="Health FSA"))&gt;0,1,0))</f>
      </c>
      <c r="BT41" s="6">
        <f>IF($B41="","",IF(SUMPRODUCT((Events!$C$6:$C$17="Deduction start")*(Events!$B$6:$B$17&lt;=$B41)*(Events!$B$6:$B$17&lt;&gt;"")*(Events!$D$6:$D$17="Dependent-care FSA"))&gt;0,1,0))</f>
      </c>
      <c r="BU41" s="24">
        <f>IF($B41="","",IF(Inputs!$C$13,SUMPRODUCT(($AH41&gt;=INDEX('Methodology &amp; Sources'!$B$29:$J$36,0,IF(Inputs!$C$12="MFJ",1,IF(Inputs!$C$12="HoH",7,4))))*INDEX('Methodology &amp; Sources'!$B$29:$J$36,0,IF(Inputs!$C$12="MFJ",1,IF(Inputs!$C$12="HoH",7,4))+2)),SUMPRODUCT(($AH41&gt;=INDEX('Methodology &amp; Sources'!$B$19:$J$26,0,IF(Inputs!$C$12="MFJ",1,IF(Inputs!$C$12="HoH",7,4))))*INDEX('Methodology &amp; Sources'!$B$19:$J$26,0,IF(Inputs!$C$12="MFJ",1,IF(Inputs!$C$12="HoH",7,4))+2))))</f>
      </c>
      <c r="BV41" s="24">
        <f>IF($B41="","",IF($BZ41&lt;&gt;"",$BZ41,IF($CA41&lt;&gt;"",$CA41,IF($CB41&lt;&gt;"",$CB41,IF($CC41&lt;&gt;"",$CC41,0)))))</f>
      </c>
      <c r="BW41" s="7">
        <f>IF($B41="","",IF($AN41="MD",IF(OR($AU41="Married",$AU41="Head of household"),SUMPRODUCT(($AZ41&gt;INDEX('Methodology &amp; Sources'!$B$114:$J$120,0,1))*($AZ41-INDEX('Methodology &amp; Sources'!$B$114:$J$120,0,1))*INDEX('Methodology &amp; Sources'!$B$114:$J$120,0,1+2)),SUMPRODUCT(($AZ41&gt;INDEX('Methodology &amp; Sources'!$B$103:$J$109,0,7))*($AZ41-INDEX('Methodology &amp; Sources'!$B$103:$J$109,0,7))*INDEX('Methodology &amp; Sources'!$B$103:$J$109,0,7+2))),IF($AN41="MO",SUMPRODUCT(($AZ41&gt;INDEX('Methodology &amp; Sources'!$B$125:$J$132,0,1))*($AZ41-INDEX('Methodology &amp; Sources'!$B$125:$J$132,0,1))*INDEX('Methodology &amp; Sources'!$B$125:$J$132,0,1+2)),IF($AN41="MT",IF($AU41="Head of household",SUMPRODUCT(($AZ41&gt;INDEX('Methodology &amp; Sources'!$B$137:$J$139,0,1))*($AZ41-INDEX('Methodology &amp; Sources'!$B$137:$J$139,0,1))*INDEX('Methodology &amp; Sources'!$B$137:$J$139,0,1+2)),IF($AU41="Married",SUMPRODUCT(($AZ41&gt;INDEX('Methodology &amp; Sources'!$B$125:$J$132,0,7))*($AZ41-INDEX('Methodology &amp; Sources'!$B$125:$J$132,0,7))*INDEX('Methodology &amp; Sources'!$B$125:$J$132,0,7+2)),SUMPRODUCT(($AZ41&gt;INDEX('Methodology &amp; Sources'!$B$125:$J$132,0,4))*($AZ41-INDEX('Methodology &amp; Sources'!$B$125:$J$132,0,4))*INDEX('Methodology &amp; Sources'!$B$125:$J$132,0,4+2)))),IF($AN41="ND",IF($AU41="Head of household",SUMPRODUCT(($AZ41&gt;INDEX('Methodology &amp; Sources'!$B$144:$J$150,0,1))*($AZ41-INDEX('Methodology &amp; Sources'!$B$144:$J$150,0,1))*INDEX('Methodology &amp; Sources'!$B$144:$J$150,0,1+2)),IF($AU41="Married",SUMPRODUCT(($AZ41&gt;INDEX('Methodology &amp; Sources'!$B$137:$J$139,0,7))*($AZ41-INDEX('Methodology &amp; Sources'!$B$137:$J$139,0,7))*INDEX('Methodology &amp; Sources'!$B$137:$J$139,0,7+2)),SUMPRODUCT(($AZ41&gt;INDEX('Methodology &amp; Sources'!$B$137:$J$139,0,4))*($AZ41-INDEX('Methodology &amp; Sources'!$B$137:$J$139,0,4))*INDEX('Methodology &amp; Sources'!$B$137:$J$139,0,4+2)))),IF($AN41="NJ",IF(Inputs!$C$77="B",SUMPRODUCT(($AZ41&gt;INDEX('Methodology &amp; Sources'!$B$155:$J$162,0,4))*($AZ41-INDEX('Methodology &amp; Sources'!$B$155:$J$162,0,4))*INDEX('Methodology &amp; Sources'!$B$155:$J$162,0,4+2)),IF(Inputs!$C$77="C",SUMPRODUCT(($AZ41&gt;INDEX('Methodology &amp; Sources'!$B$155:$J$162,0,7))*($AZ41-INDEX('Methodology &amp; Sources'!$B$155:$J$162,0,7))*INDEX('Methodology &amp; Sources'!$B$155:$J$162,0,7+2)),IF(Inputs!$C$77="D",SUMPRODUCT(($AZ41&gt;INDEX('Methodology &amp; Sources'!$B$167:$J$179,0,1))*($AZ41-INDEX('Methodology &amp; Sources'!$B$167:$J$179,0,1))*INDEX('Methodology &amp; Sources'!$B$167:$J$179,0,1+2)),IF(Inputs!$C$77="E",SUMPRODUCT(($AZ41&gt;INDEX('Methodology &amp; Sources'!$B$167:$J$179,0,4))*($AZ41-INDEX('Methodology &amp; Sources'!$B$167:$J$179,0,4))*INDEX('Methodology &amp; Sources'!$B$167:$J$179,0,4+2)),SUMPRODUCT(($AZ41&gt;INDEX('Methodology &amp; Sources'!$B$155:$J$162,0,1))*($AZ41-INDEX('Methodology &amp; Sources'!$B$155:$J$162,0,1))*INDEX('Methodology &amp; Sources'!$B$155:$J$162,0,1+2)))))),IF($AN41="NY",IF($AU41="Married",IF($AZ41&gt;=2155350,$AZ41*IF($AZ41&gt;25000000,0.117,IF($AZ41&gt;5000000,0.111,0.1045)),SUMPRODUCT(($AZ41&gt;INDEX('Methodology &amp; Sources'!$B$184:$J$198,0,1))*($AZ41-INDEX('Methodology &amp; Sources'!$B$184:$J$198,0,1))*INDEX('Methodology &amp; Sources'!$B$184:$J$198,0,1+2))),IF($AZ41&gt;=1077550,$AZ41*IF($AZ41&gt;25000000,0.117,IF($AZ41&gt;5000000,0.111,0.1045)),SUMPRODUCT(($AZ41&gt;INDEX('Methodology &amp; Sources'!$B$167:$J$179,0,7))*($AZ41-INDEX('Methodology &amp; Sources'!$B$167:$J$179,0,7))*INDEX('Methodology &amp; Sources'!$B$167:$J$179,0,7+2)))),"")))))))</f>
      </c>
      <c r="BX41" s="7">
        <f>IF($B41="","",IF($AN41="AL",IF(OR($AU41="Married",$AU41="Head of household"),SUMPRODUCT(($AZ41&gt;INDEX('Methodology &amp; Sources'!$B$82:$J$86,0,4))*($AZ41-INDEX('Methodology &amp; Sources'!$B$82:$J$86,0,4))*INDEX('Methodology &amp; Sources'!$B$82:$J$86,0,4+2)),SUMPRODUCT(($AZ41&gt;INDEX('Methodology &amp; Sources'!$B$82:$J$86,0,1))*($AZ41-INDEX('Methodology &amp; Sources'!$B$82:$J$86,0,1))*INDEX('Methodology &amp; Sources'!$B$82:$J$86,0,1+2))),IF($AN41="KS",IF($AU41="Married",SUMPRODUCT(($AZ41&gt;INDEX('Methodology &amp; Sources'!$B$103:$J$109,0,4))*($AZ41-INDEX('Methodology &amp; Sources'!$B$103:$J$109,0,4))*INDEX('Methodology &amp; Sources'!$B$103:$J$109,0,4+2)),SUMPRODUCT(($AZ41&gt;INDEX('Methodology &amp; Sources'!$B$103:$J$109,0,1))*($AZ41-INDEX('Methodology &amp; Sources'!$B$103:$J$109,0,1))*INDEX('Methodology &amp; Sources'!$B$103:$J$109,0,1+2))),IF($AN41="MN",IF($AU41="Married",SUMPRODUCT(($AZ41&gt;INDEX('Methodology &amp; Sources'!$B$114:$J$120,0,7))*($AZ41-INDEX('Methodology &amp; Sources'!$B$114:$J$120,0,7))*INDEX('Methodology &amp; Sources'!$B$114:$J$120,0,7+2)),SUMPRODUCT(($AZ41&gt;INDEX('Methodology &amp; Sources'!$B$114:$J$120,0,4))*($AZ41-INDEX('Methodology &amp; Sources'!$B$114:$J$120,0,4))*INDEX('Methodology &amp; Sources'!$B$114:$J$120,0,4+2))),IF($AN41="NE",MAX(IF($AU41="Married",SUMPRODUCT(($AZ41&gt;INDEX('Methodology &amp; Sources'!$B$144:$J$150,0,7))*($AZ41-INDEX('Methodology &amp; Sources'!$B$144:$J$150,0,7))*INDEX('Methodology &amp; Sources'!$B$144:$J$150,0,7+2)),SUMPRODUCT(($AZ41&gt;INDEX('Methodology &amp; Sources'!$B$144:$J$150,0,4))*($AZ41-INDEX('Methodology &amp; Sources'!$B$144:$J$150,0,4))*INDEX('Methodology &amp; Sources'!$B$144:$J$150,0,4+2))),0.015*$AZ41),IF($AN41="OH",IF($B41&gt;=DATE(2027,8,1),SUMPRODUCT(($AZ41&gt;INDEX('Methodology &amp; Sources'!$B$203:$J$206,0,1))*($AZ41-INDEX('Methodology &amp; Sources'!$B$203:$J$206,0,1))*INDEX('Methodology &amp; Sources'!$B$203:$J$206,0,1+2)),SUMPRODUCT(($AZ41&gt;INDEX('Methodology &amp; Sources'!$B$184:$J$198,0,7))*($AZ41-INDEX('Methodology &amp; Sources'!$B$184:$J$198,0,7))*INDEX('Methodology &amp; Sources'!$B$184:$J$198,0,7+2))),IF($AN41="OK",IF($AU41="Married",SUMPRODUCT(($AZ41&gt;INDEX('Methodology &amp; Sources'!$B$203:$J$206,0,7))*($AZ41-INDEX('Methodology &amp; Sources'!$B$203:$J$206,0,7))*INDEX('Methodology &amp; Sources'!$B$203:$J$206,0,7+2)),SUMPRODUCT(($AZ41&gt;INDEX('Methodology &amp; Sources'!$B$203:$J$206,0,4))*($AZ41-INDEX('Methodology &amp; Sources'!$B$203:$J$206,0,4))*INDEX('Methodology &amp; Sources'!$B$203:$J$206,0,4+2))),IF($AN41="RI",SUMPRODUCT(($AZ41&gt;INDEX('Methodology &amp; Sources'!$B$211:$J$214,0,7))*($AZ41-INDEX('Methodology &amp; Sources'!$B$211:$J$214,0,7))*INDEX('Methodology &amp; Sources'!$B$211:$J$214,0,7+2)),IF($AN41="VT",IF($AU41="Married",SUMPRODUCT(($AZ41&gt;INDEX('Methodology &amp; Sources'!$B$228:$J$232,0,1))*($AZ41-INDEX('Methodology &amp; Sources'!$B$228:$J$232,0,1))*INDEX('Methodology &amp; Sources'!$B$228:$J$232,0,1+2)),SUMPRODUCT(($AZ41&gt;INDEX('Methodology &amp; Sources'!$B$219:$J$223,0,7))*($AZ41-INDEX('Methodology &amp; Sources'!$B$219:$J$223,0,7))*INDEX('Methodology &amp; Sources'!$B$219:$J$223,0,7+2))),IF($AN41="WV",IF($AU41="Married",SUMPRODUCT(($AZ41&gt;INDEX('Methodology &amp; Sources'!$B$237:$J$241,0,7))*($AZ41-INDEX('Methodology &amp; Sources'!$B$237:$J$241,0,7))*INDEX('Methodology &amp; Sources'!$B$237:$J$241,0,7+2)),SUMPRODUCT(($AZ41&gt;INDEX('Methodology &amp; Sources'!$B$228:$J$232,0,7))*($AZ41-INDEX('Methodology &amp; Sources'!$B$228:$J$232,0,7))*INDEX('Methodology &amp; Sources'!$B$228:$J$232,0,7+2))),""))))))))))</f>
      </c>
      <c r="BY41" s="7">
        <f>IF($B41="","",IF($AN41="AR",SUMPRODUCT(($AZ41&gt;INDEX('Methodology &amp; Sources'!$B$82:$J$86,0,7))*($AZ41-INDEX('Methodology &amp; Sources'!$B$82:$J$86,0,7))*INDEX('Methodology &amp; Sources'!$B$82:$J$86,0,7+2)),IF($AN41="DE",SUMPRODUCT(($AZ41&gt;INDEX('Methodology &amp; Sources'!$B$91:$J$98,0,1))*($AZ41-INDEX('Methodology &amp; Sources'!$B$91:$J$98,0,1))*INDEX('Methodology &amp; Sources'!$B$91:$J$98,0,1+2)),IF($AN41="HI",IF($AU41="Married",SUMPRODUCT(($AZ41&gt;INDEX('Methodology &amp; Sources'!$B$91:$J$98,0,7))*($AZ41-INDEX('Methodology &amp; Sources'!$B$91:$J$98,0,7))*INDEX('Methodology &amp; Sources'!$B$91:$J$98,0,7+2)),SUMPRODUCT(($AZ41&gt;INDEX('Methodology &amp; Sources'!$B$91:$J$98,0,4))*($AZ41-INDEX('Methodology &amp; Sources'!$B$91:$J$98,0,4))*INDEX('Methodology &amp; Sources'!$B$91:$J$98,0,4+2))),IF($AN41="SC",SUMPRODUCT(($AZ41&gt;INDEX('Methodology &amp; Sources'!$B$219:$J$223,0,1))*($AZ41-INDEX('Methodology &amp; Sources'!$B$219:$J$223,0,1))*INDEX('Methodology &amp; Sources'!$B$219:$J$223,0,1+2)),IF($AN41="VA",SUMPRODUCT(($AZ41&gt;INDEX('Methodology &amp; Sources'!$B$219:$J$223,0,4))*($AZ41-INDEX('Methodology &amp; Sources'!$B$219:$J$223,0,4))*INDEX('Methodology &amp; Sources'!$B$219:$J$223,0,4+2)),IF($AN41="WI",SUMPRODUCT(($AZ41&gt;INDEX('Methodology &amp; Sources'!$B$228:$J$232,0,4))*($AZ41-INDEX('Methodology &amp; Sources'!$B$228:$J$232,0,4))*INDEX('Methodology &amp; Sources'!$B$228:$J$232,0,4+2)),"")))))))</f>
      </c>
      <c r="BZ41" s="24">
        <f>IF($B41="","",IF($AN41="NJ",IF(Inputs!$C$77="B",SUMPRODUCT(($AZ41&gt;=INDEX('Methodology &amp; Sources'!$B$155:$J$162,0,4))*INDEX('Methodology &amp; Sources'!$B$155:$J$162,0,4+2)),IF(Inputs!$C$77="C",SUMPRODUCT(($AZ41&gt;=INDEX('Methodology &amp; Sources'!$B$155:$J$162,0,7))*INDEX('Methodology &amp; Sources'!$B$155:$J$162,0,7+2)),IF(Inputs!$C$77="D",SUMPRODUCT(($AZ41&gt;=INDEX('Methodology &amp; Sources'!$B$167:$J$179,0,1))*INDEX('Methodology &amp; Sources'!$B$167:$J$179,0,1+2)),IF(Inputs!$C$77="E",SUMPRODUCT(($AZ41&gt;=INDEX('Methodology &amp; Sources'!$B$167:$J$179,0,4))*INDEX('Methodology &amp; Sources'!$B$167:$J$179,0,4+2)),SUMPRODUCT(($AZ41&gt;=INDEX('Methodology &amp; Sources'!$B$155:$J$162,0,1))*INDEX('Methodology &amp; Sources'!$B$155:$J$162,0,1+2)))))),IF($AN41="OR",IF(OR($AU41="Married",AND($AU41="Single",$AS41&gt;=3)),SUMPRODUCT((MAX(0,$AY41-MIN(($P41-'Methodology &amp; Sources'!$C$10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Sources'!$B$211:$J$214,0,4))*INDEX('Methodology &amp; Sources'!$B$211:$J$214,0,4+2)),SUMPRODUCT((MAX(0,$AY41-MIN(($P41-'Methodology &amp; Sources'!$C$10*$D41)*Inputs!$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Sources'!$B$211:$J$214,0,1))*INDEX('Methodology &amp; Sources'!$B$211:$J$214,0,1+2)))*IF(($P41-'Methodology &amp; Sources'!$C$10*$D41)*Inputs!$C$8&gt;=IF(OR($AU41="Married",AND($AU41="Single",$AS41&gt;=3)),IF($AY41&lt;250000,8750,IF($AY41&lt;260000,7000,IF($AY41&lt;270000,5250,IF($AY41&lt;280000,3500,IF($AY41&lt;290000,1750,0))))),IF($AY41&lt;125000,8750,IF($AY41&lt;130000,7000,IF($AY41&lt;135000,5250,IF($AY41&lt;140000,3500,IF($AY41&lt;145000,1750,0)))))),1,1-IF(Inputs!$C$13,SUMPRODUCT(($AH41&gt;=INDEX('Methodology &amp; Sources'!$B$29:$J$36,0,IF(Inputs!$C$12="MFJ",1,IF(Inputs!$C$12="HoH",7,4))))*INDEX('Methodology &amp; Sources'!$B$29:$J$36,0,IF(Inputs!$C$12="MFJ",1,IF(Inputs!$C$12="HoH",7,4))+2)),SUMPRODUCT(($AH41&gt;=INDEX('Methodology &amp; Sources'!$B$19:$J$26,0,IF(Inputs!$C$12="MFJ",1,IF(Inputs!$C$12="HoH",7,4))))*INDEX('Methodology &amp; Sources'!$B$19:$J$26,0,IF(Inputs!$C$12="MFJ",1,IF(Inputs!$C$12="HoH",7,4))+2)))),IF($AN41="MI",IF($AY41&gt;5900*$AS41,0.0425,0),""))))</f>
      </c>
      <c r="CA41" s="24">
        <f>IF($B41="","",IF($AN41="AL",IF(OR($AU41="Married",$AU41="Head of household"),SUMPRODUCT(($AZ41&gt;=INDEX('Methodology &amp; Sources'!$B$82:$J$86,0,4))*INDEX('Methodology &amp; Sources'!$B$82:$J$86,0,4+2)),SUMPRODUCT(($AZ41&gt;=INDEX('Methodology &amp; Sources'!$B$82:$J$86,0,1))*INDEX('Methodology &amp; Sources'!$B$82:$J$86,0,1+2)))*(1-IF(Inputs!$C$13,SUMPRODUCT(($AH41&gt;=INDEX('Methodology &amp; Sources'!$B$29:$J$36,0,IF(Inputs!$C$12="MFJ",1,IF(Inputs!$C$12="HoH",7,4))))*INDEX('Methodology &amp; Sources'!$B$29:$J$36,0,IF(Inputs!$C$12="MFJ",1,IF(Inputs!$C$12="HoH",7,4))+2)),SUMPRODUCT(($AH41&gt;=INDEX('Methodology &amp; Sources'!$B$19:$J$26,0,IF(Inputs!$C$12="MFJ",1,IF(Inputs!$C$12="HoH",7,4))))*INDEX('Methodology &amp; Sources'!$B$19:$J$26,0,IF(Inputs!$C$12="MFJ",1,IF(Inputs!$C$12="HoH",7,4))+2)))),IF($AN41="KS",IF($AU41="Married",SUMPRODUCT(($AZ41&gt;=INDEX('Methodology &amp; Sources'!$B$103:$J$109,0,4))*INDEX('Methodology &amp; Sources'!$B$103:$J$109,0,4+2)),SUMPRODUCT(($AZ41&gt;=INDEX('Methodology &amp; Sources'!$B$103:$J$109,0,1))*INDEX('Methodology &amp; Sources'!$B$103:$J$109,0,1+2))),IF($AN41="MD",IF(OR($AU41="Married",$AU41="Head of household"),SUMPRODUCT(($AZ41&gt;=INDEX('Methodology &amp; Sources'!$B$114:$J$120,0,1))*INDEX('Methodology &amp; Sources'!$B$114:$J$120,0,1+2)),SUMPRODUCT(($AZ41&gt;=INDEX('Methodology &amp; Sources'!$B$103:$J$109,0,7))*INDEX('Methodology &amp; Sources'!$B$103:$J$109,0,7+2)))+Inputs!$C$74,IF($AN41="MT",IF($AU41="Head of household",SUMPRODUCT(($AZ41&gt;=INDEX('Methodology &amp; Sources'!$B$137:$J$139,0,1))*INDEX('Methodology &amp; Sources'!$B$137:$J$139,0,1+2)),IF($AU41="Married",SUMPRODUCT(($AZ41&gt;=INDEX('Methodology &amp; Sources'!$B$125:$J$132,0,7))*INDEX('Methodology &amp; Sources'!$B$125:$J$132,0,7+2)),SUMPRODUCT(($AZ41&gt;=INDEX('Methodology &amp; Sources'!$B$125:$J$132,0,4))*INDEX('Methodology &amp; Sources'!$B$125:$J$132,0,4+2)))),IF($AN41="ND",IF($AU41="Head of household",SUMPRODUCT(($AZ41&gt;=INDEX('Methodology &amp; Sources'!$B$144:$J$150,0,1))*INDEX('Methodology &amp; Sources'!$B$144:$J$150,0,1+2)),IF($AU41="Married",SUMPRODUCT(($AZ41&gt;=INDEX('Methodology &amp; Sources'!$B$137:$J$139,0,7))*INDEX('Methodology &amp; Sources'!$B$137:$J$139,0,7+2)),SUMPRODUCT(($AZ41&gt;=INDEX('Methodology &amp; Sources'!$B$137:$J$139,0,4))*INDEX('Methodology &amp; Sources'!$B$137:$J$139,0,4+2)))),IF($AN41="NY",IF($AU41="Married",IF($AZ41&gt;=2155350,IF($AZ41&gt;25000000,0.117,IF($AZ41&gt;5000000,0.111,0.1045)),SUMPRODUCT(($AZ41&gt;=INDEX('Methodology &amp; Sources'!$B$184:$J$198,0,1))*INDEX('Methodology &amp; Sources'!$B$184:$J$198,0,1+2))),IF($AZ41&gt;=1077550,IF($AZ41&gt;25000000,0.117,IF($AZ41&gt;5000000,0.111,0.1045)),SUMPRODUCT(($AZ41&gt;=INDEX('Methodology &amp; Sources'!$B$167:$J$179,0,7))*INDEX('Methodology &amp; Sources'!$B$167:$J$179,0,7+2)))),"")))))))</f>
      </c>
      <c r="CB41" s="24">
        <f>IF($B41="","",IF($AN41="CA",SUMPRODUCT(($AJ41&gt;=INDEX('Methodology &amp; Sources'!$B$39:$J$48,0,IF($AU41="Married",4,IF($AU41="Head of household",7,1))))*INDEX('Methodology &amp; Sources'!$B$39:$J$48,0,IF($AU41="Married",4,IF($AU41="Head of household",7,1))+2)),IF($AN41="HI",IF($AU41="Married",SUMPRODUCT(($AZ41&gt;=INDEX('Methodology &amp; Sources'!$B$91:$J$98,0,7))*INDEX('Methodology &amp; Sources'!$B$91:$J$98,0,7+2)),SUMPRODUCT(($AZ41&gt;=INDEX('Methodology &amp; Sources'!$B$91:$J$98,0,4))*INDEX('Methodology &amp; Sources'!$B$91:$J$98,0,4+2))),IF($AN41="MN",IF($AU41="Married",SUMPRODUCT(($AZ41&gt;=INDEX('Methodology &amp; Sources'!$B$114:$J$120,0,7))*INDEX('Methodology &amp; Sources'!$B$114:$J$120,0,7+2)),SUMPRODUCT(($AZ41&gt;=INDEX('Methodology &amp; Sources'!$B$114:$J$120,0,4))*INDEX('Methodology &amp; Sources'!$B$114:$J$120,0,4+2))),IF($AN41="MO",SUMPRODUCT(($AZ41&gt;=INDEX('Methodology &amp; Sources'!$B$125:$J$132,0,1))*INDEX('Methodology &amp; Sources'!$B$125:$J$132,0,1+2)),IF($AN41="NE",MAX(IF($AU41="Married",SUMPRODUCT(($AZ41&gt;=INDEX('Methodology &amp; Sources'!$B$144:$J$150,0,7))*INDEX('Methodology &amp; Sources'!$B$144:$J$150,0,7+2)),SUMPRODUCT(($AZ41&gt;=INDEX('Methodology &amp; Sources'!$B$144:$J$150,0,4))*INDEX('Methodology &amp; Sources'!$B$144:$J$150,0,4+2))),0.015),IF($AN41="OH",IF($B41&gt;=DATE(2027,8,1),SUMPRODUCT(($AZ41&gt;=INDEX('Methodology &amp; Sources'!$B$203:$J$206,0,1))*INDEX('Methodology &amp; Sources'!$B$203:$J$206,0,1+2)),SUMPRODUCT(($AZ41&gt;=INDEX('Methodology &amp; Sources'!$B$184:$J$198,0,7))*INDEX('Methodology &amp; Sources'!$B$184:$J$198,0,7+2))),IF($AN41="OK",IF($AU41="Married",SUMPRODUCT(($AZ41&gt;=INDEX('Methodology &amp; Sources'!$B$203:$J$206,0,7))*INDEX('Methodology &amp; Sources'!$B$203:$J$206,0,7+2)),SUMPRODUCT(($AZ41&gt;=INDEX('Methodology &amp; Sources'!$B$203:$J$206,0,4))*INDEX('Methodology &amp; Sources'!$B$203:$J$206,0,4+2))),IF($AN41="RI",SUMPRODUCT(($AZ41&gt;=INDEX('Methodology &amp; Sources'!$B$211:$J$214,0,7))*INDEX('Methodology &amp; Sources'!$B$211:$J$214,0,7+2)),IF($AN41="SC",SUMPRODUCT(($AZ41&gt;=INDEX('Methodology &amp; Sources'!$B$219:$J$223,0,1))*INDEX('Methodology &amp; Sources'!$B$219:$J$223,0,1+2)),IF($AN41="VT",IF($AU41="Married",SUMPRODUCT(($AZ41&gt;=INDEX('Methodology &amp; Sources'!$B$228:$J$232,0,1))*INDEX('Methodology &amp; Sources'!$B$228:$J$232,0,1+2)),SUMPRODUCT(($AZ41&gt;=INDEX('Methodology &amp; Sources'!$B$219:$J$223,0,7))*INDEX('Methodology &amp; Sources'!$B$219:$J$223,0,7+2))),IF($AN41="WV",IF($AU41="Married",SUMPRODUCT(($AZ41&gt;=INDEX('Methodology &amp; Sources'!$B$237:$J$241,0,7))*INDEX('Methodology &amp; Sources'!$B$237:$J$241,0,7+2)),SUMPRODUCT(($AZ41&gt;=INDEX('Methodology &amp; Sources'!$B$228:$J$232,0,7))*INDEX('Methodology &amp; Sources'!$B$228:$J$232,0,7+2))),IF($AN41="IN",(0.0295+Inputs!$C$76),"")))))))))))))</f>
      </c>
      <c r="CC41" s="24">
        <f>IF($B41="","",IF($AN41="AR",SUMPRODUCT(($AZ41&gt;=INDEX('Methodology &amp; Sources'!$B$82:$J$86,0,7))*INDEX('Methodology &amp; Sources'!$B$82:$J$86,0,7+2)),IF($AN41="DE",SUMPRODUCT(($AZ41&gt;=INDEX('Methodology &amp; Sources'!$B$91:$J$98,0,1))*INDEX('Methodology &amp; Sources'!$B$91:$J$98,0,1+2)),IF($AN41="VA",SUMPRODUCT(($AZ41&gt;=INDEX('Methodology &amp; Sources'!$B$219:$J$223,0,4))*INDEX('Methodology &amp; Sources'!$B$219:$J$223,0,4+2)),IF($AN41="WI",SUMPRODUCT(($AZ41&gt;=INDEX('Methodology &amp; Sources'!$B$228:$J$232,0,4))*INDEX('Methodology &amp; Sources'!$B$228:$J$232,0,4+2)),IF($AN41="AZ",Inputs!$C$82,IF($AN41="CO",IF($AY41&gt;IF($AU41="Married",10000,5000),0.044,0),IF($AN41="IA",IF($AY41&gt;IF($AU41="Head of household",19500,IF($AU41="Married",26000,13000)),0.038,0),IF($AN41="ID",IF($AY41&gt;IF($AU41="Married",32000,16094),0.053,0),IF($AN41="IL",IF($AY41&gt;(2925*$AS41+1000*$AT41),0.0495,0),IF($AN41="KY",IF($AI41&gt;3360,0.035,0),IF($AN41="LA",0.0309,IF($AN41="MA",IF(MAX(0,$AY41-MIN(($BD40+$Q41+$R41+$S41),2000)-IF($AS41=0,0,IF($AS41=1,4400,1000*$AS41+3400)))&gt;=1107750,0.09,0.05),IF($AN41="MS",IF($AI41-IF($AU41="Head of household",3400,IF($AU41="Married",4600,2300))-Inputs!$C$85&gt;10000,0.04,0),IF($AN41="PA",0.0307,"")))))))))))))))</f>
      </c>
      <c r="CD41" s="21">
        <f>IF(YEAR(IF(Inputs!$C$7="Weekly",Inputs!$C$90+7*(($BE40+1)-1),IF(Inputs!$C$7="Biweekly",Inputs!$C$90+14*(($BE40+1)-1),IF(Inputs!$C$7="Semimonthly",DATE(YEAR(Inputs!$C$9),MONTH(Inputs!$C$9)+INT((($BE40+1)-1+'Rest of 2026'!$C$2)/2),MIN(DAY(Inputs!$C$9),DAY(EOMONTH(DATE(YEAR(Inputs!$C$9),MONTH(Inputs!$C$9)+INT((($BE40+1)-1+'Rest of 2026'!$C$2)/2),1),0))))+IF(MOD(($BE40+1)-1+'Rest of 2026'!$C$2,2)=1,15,0),EDATE(Inputs!$C$90,($BE40+1)-1)))))&lt;&gt;Inputs!$C$10,"",IF(Inputs!$C$7="Weekly",Inputs!$C$90+7*(($BE40+1)-1),IF(Inputs!$C$7="Biweekly",Inputs!$C$90+14*(($BE40+1)-1),IF(Inputs!$C$7="Semimonthly",DATE(YEAR(Inputs!$C$9),MONTH(Inputs!$C$9)+INT((($BE40+1)-1+'Rest of 2026'!$C$2)/2),MIN(DAY(Inputs!$C$9),DAY(EOMONTH(DATE(YEAR(Inputs!$C$9),MONTH(Inputs!$C$9)+INT((($BE40+1)-1+'Rest of 2026'!$C$2)/2),1),0))))+IF(MOD(($BE40+1)-1+'Rest of 2026'!$C$2,2)=1,15,0),EDATE(Inputs!$C$90,($BE40+1)-1)))))</f>
      </c>
      <c r="CE41" s="21">
        <f>IF(SUMPRODUCT(MIN(IF((Inputs!$C$58:$C$67&gt;MAX($B$6:$B40))*(Inputs!$C$58:$C$67&gt;=DATE(Inputs!$C$10,1,1))*(Inputs!$C$58:$C$67&lt;=DATE(Inputs!$C$10,12,31)),Inputs!$C$58:$C$67,999999)))=999999,"",SUMPRODUCT(MIN(IF((Inputs!$C$58:$C$67&gt;MAX($B$6:$B40))*(Inputs!$C$58:$C$67&gt;=DATE(Inputs!$C$10,1,1))*(Inputs!$C$58:$C$67&lt;=DATE(Inputs!$C$10,12,31)),Inputs!$C$58:$C$67,999999))))</f>
      </c>
    </row>
    <row r="42">
      <c r="A42" t="n">
        <v>37</v>
      </c>
      <c r="B42" s="21">
        <f>IF(AND($CD42="",$CE42=""),"",IF($CE42="",$CD42,IF($CD42="",$CE42,MIN($CD42,$CE42))))</f>
      </c>
      <c r="C42" s="7">
        <f>IF($B42="","",IF($BF42=0,0,IF(Inputs!$C$4="Annual salary",ROUND($AK42/IF(AND(Inputs!$C$88="Actual paydays",MONTH(Inputs!$C$90)=1),MAX(1,MAX($BE$6:$BE$68)),Inputs!$C$8),2),$AK42)))</f>
      </c>
      <c r="D42" s="7">
        <f>IF($B42="","",SUMIF(Inputs!$C$58:$C$67,$B42,Inputs!$D$58:$D$67))</f>
      </c>
      <c r="E42" s="7">
        <f>IF($B42="","",ROUND(MAX(0,MIN(IF($AL42="Percent",$AM42*($C42+$D42),$AM42),MAX(0,Inputs!$C$34-$AC41))),2))</f>
      </c>
      <c r="F42" s="7">
        <f>IF($B42="","",ROUND(MAX(0,MIN(IF(Inputs!$C$32="Percent",Inputs!$D$32*($C42+$D42),Inputs!$D$32),MAX(0,Inputs!$C$34-$AC41-$E42))),2))</f>
      </c>
      <c r="G42" s="7">
        <f>IF($B42="","",IF($BF42=0,0,ROUND(MAX(0,MIN($BL42,Inputs!$C$37-Inputs!$C$99-$BI41)),2)))</f>
      </c>
      <c r="H42" s="7">
        <f>IF($B42="","",IF(OR($BF42=0,$BQ42=1),0,ROUND(MAX(0,MIN(IF($BS42=1,ROUND(MAX(0,MIN($BJ42,'Methodology &amp; Sources'!$C$13)-$BG41)/MAX(1,MAX($BE$6:$BE$68)-($BE41)),2),ROUND(MIN($BJ42,'Methodology &amp; Sources'!$C$13)/Inputs!$C$8,2)),MIN($BJ42,'Methodology &amp; Sources'!$C$13)-$BG41)),2)))</f>
      </c>
      <c r="I42" s="7">
        <f>IF($B42="","",IF(OR($BF42=0,$BR42=1),0,ROUND(MAX(0,MIN(IF($BT42=1,ROUND(MAX(0,MIN($BK42,IF(Inputs!$C$12="MFJ",'Methodology &amp; Sources'!$C$14,'Methodology &amp; Sources'!$C$15))-$BH41)/MAX(1,MAX($BE$6:$BE$68)-($BE41)),2),ROUND(MIN($BK42,IF(Inputs!$C$12="MFJ",'Methodology &amp; Sources'!$C$14,'Methodology &amp; Sources'!$C$15))/Inputs!$C$8,2)),MIN($BK42,IF(Inputs!$C$12="MFJ",'Methodology &amp; Sources'!$C$14,'Methodology &amp; Sources'!$C$15))-$BH41)),2)))</f>
      </c>
      <c r="J42" s="7">
        <f>IF($B42="","",IF($BF42=0,0,$BM42))</f>
      </c>
      <c r="K42" s="7">
        <f>IF($B42="","",IF($BF42=0,0,$BN42+$BO42))</f>
      </c>
      <c r="L42" s="7">
        <f>IF($B42="","",IF($BF42=0,0,Inputs!$D$46))</f>
      </c>
      <c r="M42" s="7">
        <f>IF($B42="","",$C42+$D42+$L42-$E42-$G42-$H42-$I42-$J42-$K42)</f>
      </c>
      <c r="N42" s="7">
        <f>IF($B42="","",$C42+$D42+$L42-$G42-$H42-$I42-$J42-$K42)</f>
      </c>
      <c r="O42" s="7">
        <f>IF($B42="","",$C42+$D42+$L42-$E42-$H42-$I42-$J42-$K42-IF(OR($AN42="CA",$AN42="NJ"),0,$G42))</f>
      </c>
      <c r="P42" s="7">
        <f>IF($B42="","",IF(Inputs!$C$18,0,ROUND(MAX(0,IF(Inputs!$C$13,SUMPRODUCT(($AH42&gt;INDEX('Methodology &amp; Sources'!$B$29:$J$36,0,IF(Inputs!$C$12="MFJ",1,IF(Inputs!$C$12="HoH",7,4))))*($AH42-INDEX('Methodology &amp; Sources'!$B$29:$J$36,0,IF(Inputs!$C$12="MFJ",1,IF(Inputs!$C$12="HoH",7,4))))*INDEX('Methodology &amp; Sources'!$B$29:$J$36,0,IF(Inputs!$C$12="MFJ",1,IF(Inputs!$C$12="HoH",7,4))+2)),SUMPRODUCT(($AH42&gt;INDEX('Methodology &amp; Sources'!$B$19:$J$26,0,IF(Inputs!$C$12="MFJ",1,IF(Inputs!$C$12="HoH",7,4))))*($AH42-INDEX('Methodology &amp; Sources'!$B$19:$J$26,0,IF(Inputs!$C$12="MFJ",1,IF(Inputs!$C$12="HoH",7,4))))*INDEX('Methodology &amp; Sources'!$B$19:$J$26,0,IF(Inputs!$C$12="MFJ",1,IF(Inputs!$C$12="HoH",7,4))+2)))/Inputs!$C$8-$AO42/Inputs!$C$8)+$AR42+IF(Inputs!$C$89="Aggregate",MAX(0,IF(Inputs!$C$13,SUMPRODUCT((($AH42+$D42)&gt;INDEX('Methodology &amp; Sources'!$B$29:$J$36,0,IF(Inputs!$C$12="MFJ",1,IF(Inputs!$C$12="HoH",7,4))))*(($AH42+$D42)-INDEX('Methodology &amp; Sources'!$B$29:$J$36,0,IF(Inputs!$C$12="MFJ",1,IF(Inputs!$C$12="HoH",7,4))))*INDEX('Methodology &amp; Sources'!$B$29:$J$36,0,IF(Inputs!$C$12="MFJ",1,IF(Inputs!$C$12="HoH",7,4))+2)),SUMPRODUCT((($AH42+$D42)&gt;INDEX('Methodology &amp; Sources'!$B$19:$J$26,0,IF(Inputs!$C$12="MFJ",1,IF(Inputs!$C$12="HoH",7,4))))*(($AH42+$D42)-INDEX('Methodology &amp; Sources'!$B$19:$J$26,0,IF(Inputs!$C$12="MFJ",1,IF(Inputs!$C$12="HoH",7,4))))*INDEX('Methodology &amp; Sources'!$B$19:$J$26,0,IF(Inputs!$C$12="MFJ",1,IF(Inputs!$C$12="HoH",7,4))+2)))-IF(Inputs!$C$13,SUMPRODUCT(($AH42&gt;INDEX('Methodology &amp; Sources'!$B$29:$J$36,0,IF(Inputs!$C$12="MFJ",1,IF(Inputs!$C$12="HoH",7,4))))*($AH42-INDEX('Methodology &amp; Sources'!$B$29:$J$36,0,IF(Inputs!$C$12="MFJ",1,IF(Inputs!$C$12="HoH",7,4))))*INDEX('Methodology &amp; Sources'!$B$29:$J$36,0,IF(Inputs!$C$12="MFJ",1,IF(Inputs!$C$12="HoH",7,4))+2)),SUMPRODUCT(($AH42&gt;INDEX('Methodology &amp; Sources'!$B$19:$J$26,0,IF(Inputs!$C$12="MFJ",1,IF(Inputs!$C$12="HoH",7,4))))*($AH42-INDEX('Methodology &amp; Sources'!$B$19:$J$26,0,IF(Inputs!$C$12="MFJ",1,IF(Inputs!$C$12="HoH",7,4))))*INDEX('Methodology &amp; Sources'!$B$19:$J$26,0,IF(Inputs!$C$12="MFJ",1,IF(Inputs!$C$12="HoH",7,4))+2)))),'Methodology &amp; Sources'!$C$10*$D42),2)))</f>
      </c>
      <c r="Q42" s="7">
        <f>IF($B42="","",ROUND('Methodology &amp; Sources'!$C$4*MIN($N42,MAX(0,'Methodology &amp; Sources'!$C$3-($AX42+$AB41-$AW42))),2))</f>
      </c>
      <c r="R42" s="7">
        <f>IF($B42="","",ROUND('Methodology &amp; Sources'!$C$5*$N42,2))</f>
      </c>
      <c r="S42" s="7">
        <f>IF($B42="","",ROUND('Methodology &amp; Sources'!$C$6*MAX(0,MIN($N42,$AG41+$N42-'Methodology &amp; Sources'!$C$7)),2))</f>
      </c>
      <c r="T42" s="7">
        <f>IF($B42="","",IF(Inputs!$C$26,0,IF($AN42="CA",ROUND(IF($AI42&lt;=IF(($AS42+$AT42)&gt;=2,VLOOKUP($AN42,StateTables!$A$6:$AB$56,10,FALSE),VLOOKUP($AN42,StateTables!$A$6:$AB$56,9,FALSE)),0,MAX(0,SUMPRODUCT(($AJ42&gt;INDEX('Methodology &amp; Sources'!$B$39:$J$48,0,IF($AU42="Married",4,IF($AU42="Head of household",7,1))))*($AJ42-INDEX('Methodology &amp; Sources'!$B$39:$J$48,0,IF($AU42="Married",4,IF($AU42="Head of household",7,1))))*INDEX('Methodology &amp; Sources'!$B$39:$J$48,0,IF($AU42="Married",4,IF($AU42="Head of household",7,1))+2))-VLOOKUP($AN42,StateTables!$A$6:$AB$56,11,FALSE)*$AS42)/Inputs!$C$8)+Inputs!$C$25+VLOOKUP($AN42,StateTables!$A$6:$AB$56,13,FALSE)*$D42,2),IF(VLOOKUP($AN42,StateTables!$A$6:$AB$56,4,FALSE)="None",0,IF(ISNUMBER(SEARCH("MANUAL",VLOOKUP($AN42,StateTables!$A$6:$AB$56,5,FALSE))),Inputs!$C$28,ROUND(MAX(0,$BA42+$BB42)/Inputs!$C$8+Inputs!$C$25+$BC42,2))))))</f>
      </c>
      <c r="U42" s="7">
        <f>IF($B42="","",IF(VLOOKUP($AN42,StateTables!$A$6:$AB$56,24,FALSE)="flatq",IF(OR(MONTH($B42)=1,MONTH($B42)=4,MONTH($B42)=7,MONTH($B42)=10),VLOOKUP($AN42,StateTables!$A$6:$AB$56,25,FALSE),0),IF(VLOOKUP($AN42,StateTables!$A$6:$AB$56,24,FALSE)="dbl",MIN(ROUND(0.005*$N42,2),ROUND(0.6*52/Inputs!$C$8,2)),IF(OR(VLOOKUP($AN42,StateTables!$A$6:$AB$56,15,FALSE)="",VLOOKUP($AN42,StateTables!$A$6:$AB$56,15,FALSE)=0),0,ROUND(VLOOKUP($AN42,StateTables!$A$6:$AB$56,15,FALSE)*IF(OR(VLOOKUP($AN42,StateTables!$A$6:$AB$56,16,FALSE)="",VLOOKUP($AN42,StateTables!$A$6:$AB$56,16,FALSE)=0),$N42,MIN($N42,MAX(0,VLOOKUP($AN42,StateTables!$A$6:$AB$56,16,FALSE)-($AX42+$AB41-$AW42)))),2))))+IF(VLOOKUP($AN42,StateTables!$A$6:$AB$56,27,FALSE)="flatq",IF(OR(MONTH($B42)=1,MONTH($B42)=4,MONTH($B42)=7,MONTH($B42)=10),VLOOKUP($AN42,StateTables!$A$6:$AB$56,28,FALSE),0),IF(VLOOKUP($AN42,StateTables!$A$6:$AB$56,27,FALSE)="dbl",MIN(ROUND(0.005*$N42,2),ROUND(0.6*52/Inputs!$C$8,2)),IF(OR(VLOOKUP($AN42,StateTables!$A$6:$AB$56,18,FALSE)="",VLOOKUP($AN42,StateTables!$A$6:$AB$56,18,FALSE)=0),0,ROUND(VLOOKUP($AN42,StateTables!$A$6:$AB$56,18,FALSE)*IF(OR(VLOOKUP($AN42,StateTables!$A$6:$AB$56,19,FALSE)="",VLOOKUP($AN42,StateTables!$A$6:$AB$56,19,FALSE)=0),$N42,MIN($N42,MAX(0,VLOOKUP($AN42,StateTables!$A$6:$AB$56,19,FALSE)-($AX42+$AB41-$AW42)))),2)))))</f>
      </c>
      <c r="V42" s="7">
        <f>IF($B42="","",IF($AN42="NY",IF(Inputs!$C$78,ROUND(SUMPRODUCT((MAX(0,($O42-$D42)*Inputs!$C$8-(IF($AU42="Married",5500,5000)+1000*$AS42))&gt;INDEX('Methodology &amp; Sources'!$B$184:$J$198,0,4))*(MAX(0,($O42-$D42)*Inputs!$C$8-(IF($AU42="Married",5500,5000)+1000*$AS42))-INDEX('Methodology &amp; Sources'!$B$184:$J$198,0,4))*INDEX('Methodology &amp; Sources'!$B$184:$J$198,0,4+2))/Inputs!$C$8+0.0425*$D42,2),0)+IF(Inputs!$C$79="Resident",ROUND(0.1675*$T42,2),IF(Inputs!$C$79="Nonresident",ROUND(0.005*MAX(0,($O42-$D42)-(IF($AU42="Married",7950,7400)+1000*$AS42)/Inputs!$C$8),2),0)),IF($AN42="PA",IF(Inputs!$C$80="None",Inputs!$C$27+ROUND(Inputs!$C$81*($C42+$D42),2),ROUND(IF(Inputs!$C$80="Resident",IF($B42&lt;DATE(2027,7,1),0.03735,0.03735),IF($B42&lt;DATE(2027,7,1),0.03425,0.03425))*($C42+$D42),2)),IF($BF42=0,ROUND(Inputs!$C$81*($C42+$D42),2),Inputs!$C$27+ROUND(Inputs!$C$81*($C42+$D42),2)))))</f>
      </c>
      <c r="W42" s="7">
        <f>IF($B42="","",IF($BF42=0,0,$BP42))</f>
      </c>
      <c r="X42" s="7">
        <f>IF($B42="","",SUM($E42:$K42)+$P42+$Q42+$R42+$S42+$T42+$U42+$V42+$W42)</f>
      </c>
      <c r="Y42" s="22">
        <f>IF($B42="","",$C42+$D42-$X42)</f>
      </c>
      <c r="Z42" s="7">
        <f>IF($B42="","",$Z41+$C42+$D42)</f>
      </c>
      <c r="AA42" s="7">
        <f>IF($B42="","",$AA41+$Y42)</f>
      </c>
      <c r="AB42" s="7">
        <f>IF($B42="","",$AB41+MIN($N42,MAX(0,'Methodology &amp; Sources'!$C$3-($AX42+$AB41-$AW42))))</f>
      </c>
      <c r="AC42" s="7">
        <f>IF($B42="","",$AC41+$E42+$F42)</f>
      </c>
      <c r="AD42" s="3">
        <f>IF($B42="","",IF(AND($AB41&lt;'Methodology &amp; Sources'!$C$3,$AB42&gt;='Methodology &amp; Sources'!$C$3),"★ Social Security maxed on this check — from the next check your net rises by about $"&amp;TEXT(ROUND('Methodology &amp; Sources'!$C$4*$N42,2),"#,##0.00")&amp;". ","")&amp;IF(AND($AC41&lt;Inputs!$C$34,$AC42&gt;=Inputs!$C$34),"★ 401(k) reaches the $"&amp;TEXT(Inputs!$C$34,"#,##0")&amp;" cap on this check — deferrals stop and net pay rises. ","")&amp;IF(AND($AG41&lt;'Methodology &amp; Sources'!$C$7,$AG42&gt;='Methodology &amp; Sources'!$C$7),"★ Wages pass $200,000 — the 0.9% Additional Medicare Tax starts here. ","")&amp;IF(AND($BJ42&gt;0,$H42&gt;0,$BG41&lt;MIN($BJ42,'Methodology &amp; Sources'!$C$13),$BG41+$H42&gt;=MIN($BJ42,'Methodology &amp; Sources'!$C$13)),"★ Health FSA election is now fully deferred for the year. ",""))</f>
      </c>
      <c r="AE42" s="41" t="n"/>
      <c r="AF42" s="7">
        <f>IF(OR($B42="",$AE42=""),"",$AE42-$Y42)</f>
      </c>
      <c r="AG42" s="7">
        <f>IF($B42="","",$AG41+$N42)</f>
      </c>
      <c r="AH42" s="7">
        <f>IF($B42="","",MAX(0,($M42-$D42)*Inputs!$C$8+$AP42-$AQ42-IF(Inputs!$C$13,0,IF(Inputs!$C$12="MFJ",'Methodology &amp; Sources'!$C$8,'Methodology &amp; Sources'!$C$9))))</f>
      </c>
      <c r="AI42" s="7">
        <f>IF($B42="","",$O42*Inputs!$C$8)</f>
      </c>
      <c r="AJ42" s="7">
        <f>IF($B42="","",MAX(0,$AI42-VLOOKUP($AN42,StateTables!$A$6:$AB$56,12,FALSE)*$AT42-IF(($AS42+$AT42)&gt;=2,VLOOKUP($AN42,StateTables!$A$6:$AB$56,8,FALSE),VLOOKUP($AN42,StateTables!$A$6:$AB$56,7,FALSE))))</f>
      </c>
      <c r="AK42" s="7">
        <f>IF($B42="","",IFERROR(LOOKUP(2,1/((Events!$C$6:$C$17="Salary change")*(Events!$B$6:$B$17&lt;=$B42)*(Events!$B$6:$B$17&lt;&gt;"")),Events!$D$6:$D$17),IF(Inputs!$C$4="Annual salary",Inputs!$C$5,Inputs!$C$6)))</f>
      </c>
      <c r="AL42">
        <f>IF($B42="","",IFERROR(LOOKUP(2,1/((Events!$C$6:$C$17="401(k) change")*(Events!$B$6:$B$17&lt;=$B42)*(Events!$B$6:$B$17&lt;&gt;"")),Events!$D$6:$D$17),Inputs!$C$30))</f>
      </c>
      <c r="AM42" s="7">
        <f>IF($B42="","",IFERROR(LOOKUP(2,1/((Events!$C$6:$C$17="401(k) change")*(Events!$B$6:$B$17&lt;=$B42)*(Events!$B$6:$B$17&lt;&gt;"")),Events!$E$6:$E$17),Inputs!$D$30))</f>
      </c>
      <c r="AN42">
        <f>IF($B42="","",IFERROR(LOOKUP(2,1/((Events!$C$6:$C$17="State move")*(Events!$B$6:$B$17&lt;=$B42)*(Events!$B$6:$B$17&lt;&gt;"")),Events!$D$6:$D$17),Inputs!$C$21))</f>
      </c>
      <c r="AO42" s="7">
        <f>IF($B42="","",IFERROR(LOOKUP(2,1/((Events!$C$6:$C$17="W-4 change")*(Events!$B$6:$B$17&lt;=$B42)*(Events!$B$6:$B$17&lt;&gt;"")),Events!$D$6:$D$17),Inputs!$C$14))</f>
      </c>
      <c r="AP42" s="7">
        <f>IF($B42="","",IFERROR(LOOKUP(2,1/((Events!$C$6:$C$17="W-4 change")*(Events!$B$6:$B$17&lt;=$B42)*(Events!$B$6:$B$17&lt;&gt;"")),Events!$E$6:$E$17),Inputs!$C$15))</f>
      </c>
      <c r="AQ42" s="7">
        <f>IF($B42="","",IFERROR(LOOKUP(2,1/((Events!$C$6:$C$17="W-4 change")*(Events!$B$6:$B$17&lt;=$B42)*(Events!$B$6:$B$17&lt;&gt;"")),Events!$F$6:$F$17),Inputs!$C$16))</f>
      </c>
      <c r="AR42" s="7">
        <f>IF($B42="","",IFERROR(LOOKUP(2,1/((Events!$C$6:$C$17="W-4 change")*(Events!$B$6:$B$17&lt;=$B42)*(Events!$B$6:$B$17&lt;&gt;"")),Events!$G$6:$G$17),Inputs!$C$17))</f>
      </c>
      <c r="AS42" s="6">
        <f>IF($B42="","",IFERROR(LOOKUP(2,1/(((Events!$C$6:$C$17="State move")+(Events!$C$6:$C$17="State cert change"))*(Events!$B$6:$B$17&lt;=$B42)*(Events!$B$6:$B$17&lt;&gt;"")),Events!$F$6:$F$17),Inputs!$C$23))</f>
      </c>
      <c r="AT42" s="6">
        <f>IF($B42="","",IFERROR(LOOKUP(2,1/(((Events!$C$6:$C$17="State move")+(Events!$C$6:$C$17="State cert change"))*(Events!$B$6:$B$17&lt;=$B42)*(Events!$B$6:$B$17&lt;&gt;"")),Events!$G$6:$G$17),Inputs!$C$24))</f>
      </c>
      <c r="AU42">
        <f>IF($B42="","",IFERROR(LOOKUP(2,1/((Events!$C$6:$C$17="State move")*(Events!$B$6:$B$17&lt;=$B42)*(Events!$B$6:$B$17&lt;&gt;"")),Events!$E$6:$E$17),Inputs!$C$22))</f>
      </c>
      <c r="AV42" s="6">
        <f>IF($B42="","",1+COUNTIFS(Events!$C$6:$C$17,"Employer change",Events!$B$6:$B$17,"&lt;="&amp;$B42,Events!$B$6:$B$17,"&lt;&gt;"))</f>
      </c>
      <c r="AW42" s="7">
        <f>IF($B42="","",IF($AV42=1,Inputs!$C$94,IF(IFERROR(MATCH(IFERROR(LOOKUP(2,1/((Events!$C$6:$C$17="Employer change")*(Events!$B$6:$B$17&lt;=$B42)*(Events!$B$6:$B$17&lt;&gt;"")),Events!$B$6:$B$17),""),$B$6:$B$68,1),1)&lt;=1,Inputs!$C$94,INDEX($AB$6:$AB$68,MATCH(IFERROR(LOOKUP(2,1/((Events!$C$6:$C$17="Employer change")*(Events!$B$6:$B$17&lt;=$B42)*(Events!$B$6:$B$17&lt;&gt;"")),Events!$B$6:$B$17),""),$B$6:$B$68,1)-1))))</f>
      </c>
      <c r="AX42" s="7">
        <f>IF($B42="","",IF($AV42=1,Inputs!$C$94,IFERROR(LOOKUP(2,1/((Events!$C$6:$C$17="Employer change")*(Events!$B$6:$B$17&lt;=$B42)*(Events!$B$6:$B$17&lt;&gt;"")),Events!$D$6:$D$17),0)))</f>
      </c>
      <c r="AY42" s="7">
        <f>IF($B42="","",($O42-$D42)*Inputs!$C$8)</f>
      </c>
      <c r="AZ42" s="7">
        <f>IF($B42="","",IF($AN42="AL",MAX(0,$AY42-IF($AU42="Married",IF($AY42&lt;=25999,8500,MAX(5000,8500-175*CEILING(($AY42-25999)/500,1))),IF($AU42="Head of household",IF($AY42&lt;=25999,5200,MAX(2500,5200-135*CEILING(($AY42-25999)/500,1))),IF($AY42&lt;=25999,3000,MAX(2500,3000-25*CEILING(($AY42-25999)/500,1)))))-($P42-'Methodology &amp; Sources'!$C$10*$D42)*Inputs!$C$8-IF(OR($AU42="Married",$AU42="Head of household"),3000,1500)-$AT42*IF($AY42&lt;=50000,1000,IF($AY42&lt;=100000,500,300))),IF($AN42="AR",IF(MAX(0,$AY42-2470)&lt;97701,INT(MAX(0,$AY42-2470)/100)*100+50,MAX(0,$AY42-2470)),IF($AN42="DE",MAX(0,$AI42-3250),IF($AN42="HI",MAX(0,$AI42-1144*$AS42-4350),IF($AN42="KS",MAX(0,$AI42-(9160*IF($AU42="Married",2,1)+2320*$AT42+IF($AU42="Head of household",2320,0))),IF($AN42="MD",MAX(0,$AI42-3400-3200*$AS42),IF($AN42="MN",MAX(0,$AY42-5300*$AS42),IF($AN42="MO",MAX(0,$AI42-IF($AU42="Head of household",24150,IF($AU42="Married",IF(Inputs!$C$83,16100,32200),16100))),IF($AN42="MT",$AY42,IF($AN42="ND",($C42+$L42)*Inputs!$C$8,IF($AN42="NE",MAX(0,$AY42-2440*$AS42),IF($AN42="NJ",MAX(0,$AY42-1000*$AS42),IF($AN42="NY",MAX(0,$AY42-(IF($AU42="Married",7950,7400)+1000*$AS42)),IF($AN42="OH",MAX(0,$AY42-650*$AS42),IF($AN42="OK",MAX(0,$AY42-1000*$AS42),IF($AN42="RI",MAX(0,$AI42-1000*$AS42),IF($AN42="SC",MAX(0,$AI42-5000*$AS42-IF($AS42=0,0,MIN(0.1*$AI42,7500))),IF($AN42="VA",MAX(0,$AI42-IF($AU42="Married",17500,8750)-930*$AS42-800*$AT42),IF($AN42="VT",MAX(0,$AI42-5400*$AS42),IF($AN42="WI",MAX(0,$AI42-MAX(0,IF($AU42="Married",9461-0.2*MAX(0,$AI42-25727),6702-0.12*MAX(0,$AI42-17780)))-400*$AS42),IF($AN42="WV",MAX(0,$AI42-2000*$AS42),$AI42))))))))))))))))))))))</f>
      </c>
      <c r="BA42" s="7">
        <f>IF($B42="","",IF($BW42&lt;&gt;"",$BW42,IF($BX42&lt;&gt;"",$BX42,IF($BY42&lt;&gt;"",$BY42,0))))</f>
      </c>
      <c r="BB42" s="7">
        <f>IF($B42="","",IF($AN42="AR",-29*$AS42,IF($AN42="DE",-110*$AS42,IF($AN42="MD",$AZ42*Inputs!$C$74,IF($AN42="AZ",Inputs!$C$82*($M42-$D42)*Inputs!$C$8,IF($AN42="CO",0.044*MAX(0,$AY42-IF($AU42="Married",10000,5000)),IF($AN42="IA",MAX(0,0.038*MAX(0,$AY42-IF($AU42="Head of household",19500,IF($AU42="Married",26000,13000)))-40*$AS42),IF($AN42="ID",0.053*MAX(0,$AY42-IF($AU42="Married",32000,16094)),IF($AN42="IL",0.0495*MAX(0,$AY42-(2925*$AS42+1000*$AT42)),IF($AN42="IN",(0.0295+Inputs!$C$76)*MAX(0,$AY42-(1000*$AS42+1500*$AT42+3000*Inputs!$C$86)),IF($AN42="KY",0.035*MAX(0,$AI42-3360),IF($AN42="LA",IF(Inputs!$C$84="0",0.0309*$AI42,0.0309*MAX(0,$AI42-IF(Inputs!$C$84="2",25750,12875))),IF($AN42="MA",0.05*MIN(MAX(0,$AY42-MIN(($BD41+$Q42+$R42+$S42),2000)-IF($AS42=0,0,IF($AS42=1,4400,1000*$AS42+3400))),1107750)+0.09*MAX(0,MAX(0,$AY42-MIN(($BD41+$Q42+$R42+$S42),2000)-IF($AS42=0,0,IF($AS42=1,4400,1000*$AS42+3400)))-1107750)-IF($AU42="Head of household",120,0)-110*Inputs!$C$75,IF($AN42="MI",0.0425*MAX(0,$AY42-5900*$AS42),IF($AN42="MS",0.04*MAX(0,$AI42-IF($AU42="Head of household",3400,IF($AU42="Married",4600,2300))-Inputs!$C$85-10000),IF($AN42="OR",IF(OR($AU42="Married",AND($AU42="Single",$AS42&gt;=3)),SUMPRODUCT((MAX(0,$AY42-MIN(($P42-'Methodology &amp; Sources'!$C$10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Sources'!$B$211:$J$214,0,4))*(MAX(0,$AY42-MIN(($P42-'Methodology &amp; Sources'!$C$10*$D42)*Inputs!$C$8,IF(OR($AU42="Married",AND($AU42="Single",$AS42&gt;=3)),IF($AY42&lt;250000,8750,IF($AY42&lt;260000,7000,IF($AY42&lt;270000,5250,IF($AY42&lt;280000,3500,IF($AY42&lt;290000,1750,0))))),IF($AY42&lt;125000,8750,IF($AY42&lt;130000,7000,IF($AY42&lt;135000,5250,IF($AY42&lt;140000,3500,IF($AY42&lt;145000,1750,0)))))))-IF(OR($AU42="Married",AND($AU42="Single",$AS42&gt;=3)),5820,2910))-INDEX('Methodology &amp; Sources'!$B$211:$J$214,0,4))*INDEX('Methodology &amp; Sources'!$B$211:$J$214,0,4+2)),SUMPRODUCT((MAX(0,$AY42-MIN(($P42-'Methodology &amp; Sources'!$C$10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Sources'!$B$211:$J$214,0,1))*(MAX(0,$AY42-MIN(($P42-'Methodology &amp; Sources'!$C$10*$D42)*Inputs!$C$8,IF(OR($AU42="Married",AND($AU42="Single",$AS42&gt;=3)),IF($AY42&lt;250000,8750,IF($AY42&lt;260000,7000,IF($AY42&lt;270000,5250,IF($AY42&lt;280000,3500,IF($AY42&lt;290000,1750,0))))),IF($AY42&lt;125000,8750,IF($AY42&lt;130000,7000,IF($AY42&lt;135000,5250,IF($AY42&lt;140000,3500,IF($AY42&lt;145000,1750,0)))))))-IF(OR($AU42="Married",AND($AU42="Single",$AS42&gt;=3)),5820,2910))-INDEX('Methodology &amp; Sources'!$B$211:$J$214,0,1))*INDEX('Methodology &amp; Sources'!$B$211:$J$214,0,1+2)))+263-263*IF(IF($AU42="Married",$AY42&gt;200000,$AY42&gt;100000),0,$AS42),IF($AN42="PA",0.0307*(($O42+$E42+$G42)*Inputs!$C$8),IF($AN42="NY",IF($AU42="Married",IF($AZ42&gt;=2155350,0,IF($AZ42&gt;=1077550,0.48,IF($AZ42&gt;=373200,1.21,IF($AZ42&gt;=323200,0.21,IF($AZ42&gt;=211550,-0.19,IF($AZ42&gt;=157650,-2.8,IF($AZ42&gt;=107650,-0.8,IF($AZ42&gt;=96800,0.05,IF($AZ42&gt;=80650,-0.1,IF($AZ42&gt;=13900,0.4,IF($AZ42&gt;=11700,-0.3,IF($AZ42&gt;=8500,0.5,0)))))))))))),IF($AZ42&gt;=1077550,0,IF($AZ42&gt;=265400,4.29,IF($AZ42&gt;=215400,2.29,IF($AZ42&gt;=157650,2.29,IF($AZ42&gt;=107650,0.29,IF($AZ42&gt;=96800,0.05,IF($AZ42&gt;=80650,-0.1,IF($AZ42&gt;=13900,0.4,IF($AZ42&gt;=11700,-0.3,IF($AZ42&gt;=8500,0.5,0))))))))))),0))))))))))))))))))</f>
      </c>
      <c r="BC42" s="7">
        <f>IF($B42="","",IF($AN42="AL",0.05*$D42,IF($AN42="AR",0.039*$D42,IF($AN42="ID",0.053*$D42,IF($AN42="IN",(0.0295+Inputs!$C$76)*$D42,IF($AN42="KS",0.05*$D42,IF($AN42="MA",0.09*MIN($D42,MAX(0,MAX(0,$AY42-MIN(($BD41+$Q42+$R42+$S42),2000)-IF($AS42=0,0,IF($AS42=1,4400,1000*$AS42+3400)))+$D42-1107750))+0.05*($D42-MIN($D42,MAX(0,MAX(0,$AY42-MIN(($BD41+$Q42+$R42+$S42),2000)-IF($AS42=0,0,IF($AS42=1,4400,1000*$AS42+3400)))+$D42-1107750))),IF($AN42="MD",(0.065+Inputs!$C$74)*$D42,IF($AN42="MI",0.0425*$D42,IF($AN42="MN",0.0625*$D42,IF($AN42="MO",0.047*$D42,IF($AN42="MT",0.05*$D42,IF($AN42="ND",0.015*$D42,IF($AN42="NE",0.035*$D42,IF($AN42="NJ",IF(Inputs!$C$77="B",SUMPRODUCT(($D42*Inputs!$C$8&gt;INDEX('Methodology &amp; Sources'!$B$155:$J$162,0,4))*($D42*Inputs!$C$8-INDEX('Methodology &amp; Sources'!$B$155:$J$162,0,4))*INDEX('Methodology &amp; Sources'!$B$155:$J$162,0,4+2)),IF(Inputs!$C$77="C",SUMPRODUCT(($D42*Inputs!$C$8&gt;INDEX('Methodology &amp; Sources'!$B$155:$J$162,0,7))*($D42*Inputs!$C$8-INDEX('Methodology &amp; Sources'!$B$155:$J$162,0,7))*INDEX('Methodology &amp; Sources'!$B$155:$J$162,0,7+2)),IF(Inputs!$C$77="D",SUMPRODUCT(($D42*Inputs!$C$8&gt;INDEX('Methodology &amp; Sources'!$B$167:$J$179,0,1))*($D42*Inputs!$C$8-INDEX('Methodology &amp; Sources'!$B$167:$J$179,0,1))*INDEX('Methodology &amp; Sources'!$B$167:$J$179,0,1+2)),IF(Inputs!$C$77="E",SUMPRODUCT(($D42*Inputs!$C$8&gt;INDEX('Methodology &amp; Sources'!$B$167:$J$179,0,4))*($D42*Inputs!$C$8-INDEX('Methodology &amp; Sources'!$B$167:$J$179,0,4))*INDEX('Methodology &amp; Sources'!$B$167:$J$179,0,4+2)),SUMPRODUCT(($D42*Inputs!$C$8&gt;INDEX('Methodology &amp; Sources'!$B$155:$J$162,0,1))*($D42*Inputs!$C$8-INDEX('Methodology &amp; Sources'!$B$155:$J$162,0,1))*INDEX('Methodology &amp; Sources'!$B$155:$J$162,0,1+2))))))/Inputs!$C$8,IF($AN42="NY",0.117*$D42,IF($AN42="OH",0.0275*$D42,IF($AN42="OK",0.045*$D42,IF($AN42="OR",0.08*$D42,IF($AN42="WI",IF($AY42&lt;12760,0.0354,IF($AY42&lt;25520,0.0465,IF($AY42&lt;280950,0.053,0.0765)))*$D42,0))))))))))))))))))))</f>
      </c>
      <c r="BD42" s="7">
        <f>IF($B42="","",$BD41+$Q42+$R42+$S42)</f>
      </c>
      <c r="BE42" s="6">
        <f>IF($B42="",$BE41,$BE41+$BF42)</f>
      </c>
      <c r="BF42" s="6">
        <f>IF($B42="","",IF(AND(IF(YEAR(IF(Inputs!$C$7="Weekly",Inputs!$C$90+7*(($BE41+1)-1),IF(Inputs!$C$7="Biweekly",Inputs!$C$90+14*(($BE41+1)-1),IF(Inputs!$C$7="Semimonthly",DATE(YEAR(Inputs!$C$9),MONTH(Inputs!$C$9)+INT((($BE41+1)-1+'Rest of 2026'!$C$2)/2),MIN(DAY(Inputs!$C$9),DAY(EOMONTH(DATE(YEAR(Inputs!$C$9),MONTH(Inputs!$C$9)+INT((($BE41+1)-1+'Rest of 2026'!$C$2)/2),1),0))))+IF(MOD(($BE41+1)-1+'Rest of 2026'!$C$2,2)=1,15,0),EDATE(Inputs!$C$90,($BE41+1)-1)))))&lt;&gt;Inputs!$C$10,"",IF(Inputs!$C$7="Weekly",Inputs!$C$90+7*(($BE41+1)-1),IF(Inputs!$C$7="Biweekly",Inputs!$C$90+14*(($BE41+1)-1),IF(Inputs!$C$7="Semimonthly",DATE(YEAR(Inputs!$C$9),MONTH(Inputs!$C$9)+INT((($BE41+1)-1+'Rest of 2026'!$C$2)/2),MIN(DAY(Inputs!$C$9),DAY(EOMONTH(DATE(YEAR(Inputs!$C$9),MONTH(Inputs!$C$9)+INT((($BE41+1)-1+'Rest of 2026'!$C$2)/2),1),0))))+IF(MOD(($BE41+1)-1+'Rest of 2026'!$C$2,2)=1,15,0),EDATE(Inputs!$C$90,($BE41+1)-1)))))&lt;&gt;"",$B42=IF(YEAR(IF(Inputs!$C$7="Weekly",Inputs!$C$90+7*(($BE41+1)-1),IF(Inputs!$C$7="Biweekly",Inputs!$C$90+14*(($BE41+1)-1),IF(Inputs!$C$7="Semimonthly",DATE(YEAR(Inputs!$C$9),MONTH(Inputs!$C$9)+INT((($BE41+1)-1+'Rest of 2026'!$C$2)/2),MIN(DAY(Inputs!$C$9),DAY(EOMONTH(DATE(YEAR(Inputs!$C$9),MONTH(Inputs!$C$9)+INT((($BE41+1)-1+'Rest of 2026'!$C$2)/2),1),0))))+IF(MOD(($BE41+1)-1+'Rest of 2026'!$C$2,2)=1,15,0),EDATE(Inputs!$C$90,($BE41+1)-1)))))&lt;&gt;Inputs!$C$10,"",IF(Inputs!$C$7="Weekly",Inputs!$C$90+7*(($BE41+1)-1),IF(Inputs!$C$7="Biweekly",Inputs!$C$90+14*(($BE41+1)-1),IF(Inputs!$C$7="Semimonthly",DATE(YEAR(Inputs!$C$9),MONTH(Inputs!$C$9)+INT((($BE41+1)-1+'Rest of 2026'!$C$2)/2),MIN(DAY(Inputs!$C$9),DAY(EOMONTH(DATE(YEAR(Inputs!$C$9),MONTH(Inputs!$C$9)+INT((($BE41+1)-1+'Rest of 2026'!$C$2)/2),1),0))))+IF(MOD(($BE41+1)-1+'Rest of 2026'!$C$2,2)=1,15,0),EDATE(Inputs!$C$90,($BE41+1)-1)))))),1,0))</f>
      </c>
      <c r="BG42" s="7">
        <f>IF($B42="","",$BG41+$H42)</f>
      </c>
      <c r="BH42" s="7">
        <f>IF($B42="","",$BH41+$I42)</f>
      </c>
      <c r="BI42" s="7">
        <f>IF($B42="","",$BI41+$G42)</f>
      </c>
      <c r="BJ42" s="7">
        <f>IF($B42="","",IFERROR(LOOKUP(2,1/((((Events!$C$6:$C$17="Deduction start"))*(Events!$D$6:$D$17="Health FSA"))*(Events!$B$6:$B$17&lt;=$B42)*(Events!$B$6:$B$17&lt;&gt;"")),Events!$E$6:$E$17),Inputs!$D$38))</f>
      </c>
      <c r="BK42" s="7">
        <f>IF($B42="","",IFERROR(LOOKUP(2,1/((((Events!$C$6:$C$17="Deduction start"))*(Events!$D$6:$D$17="Dependent-care FSA"))*(Events!$B$6:$B$17&lt;=$B42)*(Events!$B$6:$B$17&lt;&gt;"")),Events!$E$6:$E$17),Inputs!$D$39))</f>
      </c>
      <c r="BL42" s="7">
        <f>IF($B42="","",IFERROR(LOOKUP(2,1/((((Events!$C$6:$C$17="Deduction start")+(Events!$C$6:$C$17="Deduction stop"))*(Events!$D$6:$D$17="HSA"))*(Events!$B$6:$B$17&lt;=$B42)*(Events!$B$6:$B$17&lt;&gt;"")),Events!$I$6:$I$17),Inputs!$D$35))</f>
      </c>
      <c r="BM42" s="7">
        <f>IF($B42="","",IFERROR(LOOKUP(2,1/((((Events!$C$6:$C$17="Deduction start")+(Events!$C$6:$C$17="Deduction stop"))*(Events!$D$6:$D$17="Premiums"))*(Events!$B$6:$B$17&lt;=$B42)*(Events!$B$6:$B$17&lt;&gt;"")),Events!$I$6:$I$17),Inputs!$D$40+Inputs!$D$41+Inputs!$D$42))</f>
      </c>
      <c r="BN42" s="7">
        <f>IF($B42="","",IFERROR(LOOKUP(2,1/((((Events!$C$6:$C$17="Deduction start")+(Events!$C$6:$C$17="Deduction stop"))*(Events!$D$6:$D$17="Commuter"))*(Events!$B$6:$B$17&lt;=$B42)*(Events!$B$6:$B$17&lt;&gt;"")),Events!$I$6:$I$17),Inputs!$D$43))</f>
      </c>
      <c r="BO42" s="7">
        <f>IF($B42="","",IFERROR(LOOKUP(2,1/((((Events!$C$6:$C$17="Deduction start")+(Events!$C$6:$C$17="Deduction stop"))*(Events!$D$6:$D$17="Other pre-tax"))*(Events!$B$6:$B$17&lt;=$B42)*(Events!$B$6:$B$17&lt;&gt;"")),Events!$I$6:$I$17),Inputs!$D$44))</f>
      </c>
      <c r="BP42" s="7">
        <f>IF($B42="","",IFERROR(LOOKUP(2,1/((((Events!$C$6:$C$17="Deduction start")+(Events!$C$6:$C$17="Deduction stop"))*(Events!$D$6:$D$17="Other post-tax"))*(Events!$B$6:$B$17&lt;=$B42)*(Events!$B$6:$B$17&lt;&gt;"")),Events!$I$6:$I$17),Inputs!$D$45))</f>
      </c>
      <c r="BQ42" s="6">
        <f>IF($B42="","",IFERROR(LOOKUP(2,1/((((Events!$C$6:$C$17="Deduction start")+(Events!$C$6:$C$17="Deduction stop"))*(Events!$D$6:$D$17="Health FSA"))*(Events!$B$6:$B$17&lt;=$B42)*(Events!$B$6:$B$17&lt;&gt;"")),Events!$J$6:$J$17),0))</f>
      </c>
      <c r="BR42" s="6">
        <f>IF($B42="","",IFERROR(LOOKUP(2,1/((((Events!$C$6:$C$17="Deduction start")+(Events!$C$6:$C$17="Deduction stop"))*(Events!$D$6:$D$17="Dependent-care FSA"))*(Events!$B$6:$B$17&lt;=$B42)*(Events!$B$6:$B$17&lt;&gt;"")),Events!$J$6:$J$17),0))</f>
      </c>
      <c r="BS42" s="6">
        <f>IF($B42="","",IF(SUMPRODUCT((Events!$C$6:$C$17="Deduction start")*(Events!$B$6:$B$17&lt;=$B42)*(Events!$B$6:$B$17&lt;&gt;"")*(Events!$D$6:$D$17="Health FSA"))&gt;0,1,0))</f>
      </c>
      <c r="BT42" s="6">
        <f>IF($B42="","",IF(SUMPRODUCT((Events!$C$6:$C$17="Deduction start")*(Events!$B$6:$B$17&lt;=$B42)*(Events!$B$6:$B$17&lt;&gt;"")*(Events!$D$6:$D$17="Dependent-care FSA"))&gt;0,1,0))</f>
      </c>
      <c r="BU42" s="24">
        <f>IF($B42="","",IF(Inputs!$C$13,SUMPRODUCT(($AH42&gt;=INDEX('Methodology &amp; Sources'!$B$29:$J$36,0,IF(Inputs!$C$12="MFJ",1,IF(Inputs!$C$12="HoH",7,4))))*INDEX('Methodology &amp; Sources'!$B$29:$J$36,0,IF(Inputs!$C$12="MFJ",1,IF(Inputs!$C$12="HoH",7,4))+2)),SUMPRODUCT(($AH42&gt;=INDEX('Methodology &amp; Sources'!$B$19:$J$26,0,IF(Inputs!$C$12="MFJ",1,IF(Inputs!$C$12="HoH",7,4))))*INDEX('Methodology &amp; Sources'!$B$19:$J$26,0,IF(Inputs!$C$12="MFJ",1,IF(Inputs!$C$12="HoH",7,4))+2))))</f>
      </c>
      <c r="BV42" s="24">
        <f>IF($B42="","",IF($BZ42&lt;&gt;"",$BZ42,IF($CA42&lt;&gt;"",$CA42,IF($CB42&lt;&gt;"",$CB42,IF($CC42&lt;&gt;"",$CC42,0)))))</f>
      </c>
      <c r="BW42" s="7">
        <f>IF($B42="","",IF($AN42="MD",IF(OR($AU42="Married",$AU42="Head of household"),SUMPRODUCT(($AZ42&gt;INDEX('Methodology &amp; Sources'!$B$114:$J$120,0,1))*($AZ42-INDEX('Methodology &amp; Sources'!$B$114:$J$120,0,1))*INDEX('Methodology &amp; Sources'!$B$114:$J$120,0,1+2)),SUMPRODUCT(($AZ42&gt;INDEX('Methodology &amp; Sources'!$B$103:$J$109,0,7))*($AZ42-INDEX('Methodology &amp; Sources'!$B$103:$J$109,0,7))*INDEX('Methodology &amp; Sources'!$B$103:$J$109,0,7+2))),IF($AN42="MO",SUMPRODUCT(($AZ42&gt;INDEX('Methodology &amp; Sources'!$B$125:$J$132,0,1))*($AZ42-INDEX('Methodology &amp; Sources'!$B$125:$J$132,0,1))*INDEX('Methodology &amp; Sources'!$B$125:$J$132,0,1+2)),IF($AN42="MT",IF($AU42="Head of household",SUMPRODUCT(($AZ42&gt;INDEX('Methodology &amp; Sources'!$B$137:$J$139,0,1))*($AZ42-INDEX('Methodology &amp; Sources'!$B$137:$J$139,0,1))*INDEX('Methodology &amp; Sources'!$B$137:$J$139,0,1+2)),IF($AU42="Married",SUMPRODUCT(($AZ42&gt;INDEX('Methodology &amp; Sources'!$B$125:$J$132,0,7))*($AZ42-INDEX('Methodology &amp; Sources'!$B$125:$J$132,0,7))*INDEX('Methodology &amp; Sources'!$B$125:$J$132,0,7+2)),SUMPRODUCT(($AZ42&gt;INDEX('Methodology &amp; Sources'!$B$125:$J$132,0,4))*($AZ42-INDEX('Methodology &amp; Sources'!$B$125:$J$132,0,4))*INDEX('Methodology &amp; Sources'!$B$125:$J$132,0,4+2)))),IF($AN42="ND",IF($AU42="Head of household",SUMPRODUCT(($AZ42&gt;INDEX('Methodology &amp; Sources'!$B$144:$J$150,0,1))*($AZ42-INDEX('Methodology &amp; Sources'!$B$144:$J$150,0,1))*INDEX('Methodology &amp; Sources'!$B$144:$J$150,0,1+2)),IF($AU42="Married",SUMPRODUCT(($AZ42&gt;INDEX('Methodology &amp; Sources'!$B$137:$J$139,0,7))*($AZ42-INDEX('Methodology &amp; Sources'!$B$137:$J$139,0,7))*INDEX('Methodology &amp; Sources'!$B$137:$J$139,0,7+2)),SUMPRODUCT(($AZ42&gt;INDEX('Methodology &amp; Sources'!$B$137:$J$139,0,4))*($AZ42-INDEX('Methodology &amp; Sources'!$B$137:$J$139,0,4))*INDEX('Methodology &amp; Sources'!$B$137:$J$139,0,4+2)))),IF($AN42="NJ",IF(Inputs!$C$77="B",SUMPRODUCT(($AZ42&gt;INDEX('Methodology &amp; Sources'!$B$155:$J$162,0,4))*($AZ42-INDEX('Methodology &amp; Sources'!$B$155:$J$162,0,4))*INDEX('Methodology &amp; Sources'!$B$155:$J$162,0,4+2)),IF(Inputs!$C$77="C",SUMPRODUCT(($AZ42&gt;INDEX('Methodology &amp; Sources'!$B$155:$J$162,0,7))*($AZ42-INDEX('Methodology &amp; Sources'!$B$155:$J$162,0,7))*INDEX('Methodology &amp; Sources'!$B$155:$J$162,0,7+2)),IF(Inputs!$C$77="D",SUMPRODUCT(($AZ42&gt;INDEX('Methodology &amp; Sources'!$B$167:$J$179,0,1))*($AZ42-INDEX('Methodology &amp; Sources'!$B$167:$J$179,0,1))*INDEX('Methodology &amp; Sources'!$B$167:$J$179,0,1+2)),IF(Inputs!$C$77="E",SUMPRODUCT(($AZ42&gt;INDEX('Methodology &amp; Sources'!$B$167:$J$179,0,4))*($AZ42-INDEX('Methodology &amp; Sources'!$B$167:$J$179,0,4))*INDEX('Methodology &amp; Sources'!$B$167:$J$179,0,4+2)),SUMPRODUCT(($AZ42&gt;INDEX('Methodology &amp; Sources'!$B$155:$J$162,0,1))*($AZ42-INDEX('Methodology &amp; Sources'!$B$155:$J$162,0,1))*INDEX('Methodology &amp; Sources'!$B$155:$J$162,0,1+2)))))),IF($AN42="NY",IF($AU42="Married",IF($AZ42&gt;=2155350,$AZ42*IF($AZ42&gt;25000000,0.117,IF($AZ42&gt;5000000,0.111,0.1045)),SUMPRODUCT(($AZ42&gt;INDEX('Methodology &amp; Sources'!$B$184:$J$198,0,1))*($AZ42-INDEX('Methodology &amp; Sources'!$B$184:$J$198,0,1))*INDEX('Methodology &amp; Sources'!$B$184:$J$198,0,1+2))),IF($AZ42&gt;=1077550,$AZ42*IF($AZ42&gt;25000000,0.117,IF($AZ42&gt;5000000,0.111,0.1045)),SUMPRODUCT(($AZ42&gt;INDEX('Methodology &amp; Sources'!$B$167:$J$179,0,7))*($AZ42-INDEX('Methodology &amp; Sources'!$B$167:$J$179,0,7))*INDEX('Methodology &amp; Sources'!$B$167:$J$179,0,7+2)))),"")))))))</f>
      </c>
      <c r="BX42" s="7">
        <f>IF($B42="","",IF($AN42="AL",IF(OR($AU42="Married",$AU42="Head of household"),SUMPRODUCT(($AZ42&gt;INDEX('Methodology &amp; Sources'!$B$82:$J$86,0,4))*($AZ42-INDEX('Methodology &amp; Sources'!$B$82:$J$86,0,4))*INDEX('Methodology &amp; Sources'!$B$82:$J$86,0,4+2)),SUMPRODUCT(($AZ42&gt;INDEX('Methodology &amp; Sources'!$B$82:$J$86,0,1))*($AZ42-INDEX('Methodology &amp; Sources'!$B$82:$J$86,0,1))*INDEX('Methodology &amp; Sources'!$B$82:$J$86,0,1+2))),IF($AN42="KS",IF($AU42="Married",SUMPRODUCT(($AZ42&gt;INDEX('Methodology &amp; Sources'!$B$103:$J$109,0,4))*($AZ42-INDEX('Methodology &amp; Sources'!$B$103:$J$109,0,4))*INDEX('Methodology &amp; Sources'!$B$103:$J$109,0,4+2)),SUMPRODUCT(($AZ42&gt;INDEX('Methodology &amp; Sources'!$B$103:$J$109,0,1))*($AZ42-INDEX('Methodology &amp; Sources'!$B$103:$J$109,0,1))*INDEX('Methodology &amp; Sources'!$B$103:$J$109,0,1+2))),IF($AN42="MN",IF($AU42="Married",SUMPRODUCT(($AZ42&gt;INDEX('Methodology &amp; Sources'!$B$114:$J$120,0,7))*($AZ42-INDEX('Methodology &amp; Sources'!$B$114:$J$120,0,7))*INDEX('Methodology &amp; Sources'!$B$114:$J$120,0,7+2)),SUMPRODUCT(($AZ42&gt;INDEX('Methodology &amp; Sources'!$B$114:$J$120,0,4))*($AZ42-INDEX('Methodology &amp; Sources'!$B$114:$J$120,0,4))*INDEX('Methodology &amp; Sources'!$B$114:$J$120,0,4+2))),IF($AN42="NE",MAX(IF($AU42="Married",SUMPRODUCT(($AZ42&gt;INDEX('Methodology &amp; Sources'!$B$144:$J$150,0,7))*($AZ42-INDEX('Methodology &amp; Sources'!$B$144:$J$150,0,7))*INDEX('Methodology &amp; Sources'!$B$144:$J$150,0,7+2)),SUMPRODUCT(($AZ42&gt;INDEX('Methodology &amp; Sources'!$B$144:$J$150,0,4))*($AZ42-INDEX('Methodology &amp; Sources'!$B$144:$J$150,0,4))*INDEX('Methodology &amp; Sources'!$B$144:$J$150,0,4+2))),0.015*$AZ42),IF($AN42="OH",IF($B42&gt;=DATE(2027,8,1),SUMPRODUCT(($AZ42&gt;INDEX('Methodology &amp; Sources'!$B$203:$J$206,0,1))*($AZ42-INDEX('Methodology &amp; Sources'!$B$203:$J$206,0,1))*INDEX('Methodology &amp; Sources'!$B$203:$J$206,0,1+2)),SUMPRODUCT(($AZ42&gt;INDEX('Methodology &amp; Sources'!$B$184:$J$198,0,7))*($AZ42-INDEX('Methodology &amp; Sources'!$B$184:$J$198,0,7))*INDEX('Methodology &amp; Sources'!$B$184:$J$198,0,7+2))),IF($AN42="OK",IF($AU42="Married",SUMPRODUCT(($AZ42&gt;INDEX('Methodology &amp; Sources'!$B$203:$J$206,0,7))*($AZ42-INDEX('Methodology &amp; Sources'!$B$203:$J$206,0,7))*INDEX('Methodology &amp; Sources'!$B$203:$J$206,0,7+2)),SUMPRODUCT(($AZ42&gt;INDEX('Methodology &amp; Sources'!$B$203:$J$206,0,4))*($AZ42-INDEX('Methodology &amp; Sources'!$B$203:$J$206,0,4))*INDEX('Methodology &amp; Sources'!$B$203:$J$206,0,4+2))),IF($AN42="RI",SUMPRODUCT(($AZ42&gt;INDEX('Methodology &amp; Sources'!$B$211:$J$214,0,7))*($AZ42-INDEX('Methodology &amp; Sources'!$B$211:$J$214,0,7))*INDEX('Methodology &amp; Sources'!$B$211:$J$214,0,7+2)),IF($AN42="VT",IF($AU42="Married",SUMPRODUCT(($AZ42&gt;INDEX('Methodology &amp; Sources'!$B$228:$J$232,0,1))*($AZ42-INDEX('Methodology &amp; Sources'!$B$228:$J$232,0,1))*INDEX('Methodology &amp; Sources'!$B$228:$J$232,0,1+2)),SUMPRODUCT(($AZ42&gt;INDEX('Methodology &amp; Sources'!$B$219:$J$223,0,7))*($AZ42-INDEX('Methodology &amp; Sources'!$B$219:$J$223,0,7))*INDEX('Methodology &amp; Sources'!$B$219:$J$223,0,7+2))),IF($AN42="WV",IF($AU42="Married",SUMPRODUCT(($AZ42&gt;INDEX('Methodology &amp; Sources'!$B$237:$J$241,0,7))*($AZ42-INDEX('Methodology &amp; Sources'!$B$237:$J$241,0,7))*INDEX('Methodology &amp; Sources'!$B$237:$J$241,0,7+2)),SUMPRODUCT(($AZ42&gt;INDEX('Methodology &amp; Sources'!$B$228:$J$232,0,7))*($AZ42-INDEX('Methodology &amp; Sources'!$B$228:$J$232,0,7))*INDEX('Methodology &amp; Sources'!$B$228:$J$232,0,7+2))),""))))))))))</f>
      </c>
      <c r="BY42" s="7">
        <f>IF($B42="","",IF($AN42="AR",SUMPRODUCT(($AZ42&gt;INDEX('Methodology &amp; Sources'!$B$82:$J$86,0,7))*($AZ42-INDEX('Methodology &amp; Sources'!$B$82:$J$86,0,7))*INDEX('Methodology &amp; Sources'!$B$82:$J$86,0,7+2)),IF($AN42="DE",SUMPRODUCT(($AZ42&gt;INDEX('Methodology &amp; Sources'!$B$91:$J$98,0,1))*($AZ42-INDEX('Methodology &amp; Sources'!$B$91:$J$98,0,1))*INDEX('Methodology &amp; Sources'!$B$91:$J$98,0,1+2)),IF($AN42="HI",IF($AU42="Married",SUMPRODUCT(($AZ42&gt;INDEX('Methodology &amp; Sources'!$B$91:$J$98,0,7))*($AZ42-INDEX('Methodology &amp; Sources'!$B$91:$J$98,0,7))*INDEX('Methodology &amp; Sources'!$B$91:$J$98,0,7+2)),SUMPRODUCT(($AZ42&gt;INDEX('Methodology &amp; Sources'!$B$91:$J$98,0,4))*($AZ42-INDEX('Methodology &amp; Sources'!$B$91:$J$98,0,4))*INDEX('Methodology &amp; Sources'!$B$91:$J$98,0,4+2))),IF($AN42="SC",SUMPRODUCT(($AZ42&gt;INDEX('Methodology &amp; Sources'!$B$219:$J$223,0,1))*($AZ42-INDEX('Methodology &amp; Sources'!$B$219:$J$223,0,1))*INDEX('Methodology &amp; Sources'!$B$219:$J$223,0,1+2)),IF($AN42="VA",SUMPRODUCT(($AZ42&gt;INDEX('Methodology &amp; Sources'!$B$219:$J$223,0,4))*($AZ42-INDEX('Methodology &amp; Sources'!$B$219:$J$223,0,4))*INDEX('Methodology &amp; Sources'!$B$219:$J$223,0,4+2)),IF($AN42="WI",SUMPRODUCT(($AZ42&gt;INDEX('Methodology &amp; Sources'!$B$228:$J$232,0,4))*($AZ42-INDEX('Methodology &amp; Sources'!$B$228:$J$232,0,4))*INDEX('Methodology &amp; Sources'!$B$228:$J$232,0,4+2)),"")))))))</f>
      </c>
      <c r="BZ42" s="24">
        <f>IF($B42="","",IF($AN42="NJ",IF(Inputs!$C$77="B",SUMPRODUCT(($AZ42&gt;=INDEX('Methodology &amp; Sources'!$B$155:$J$162,0,4))*INDEX('Methodology &amp; Sources'!$B$155:$J$162,0,4+2)),IF(Inputs!$C$77="C",SUMPRODUCT(($AZ42&gt;=INDEX('Methodology &amp; Sources'!$B$155:$J$162,0,7))*INDEX('Methodology &amp; Sources'!$B$155:$J$162,0,7+2)),IF(Inputs!$C$77="D",SUMPRODUCT(($AZ42&gt;=INDEX('Methodology &amp; Sources'!$B$167:$J$179,0,1))*INDEX('Methodology &amp; Sources'!$B$167:$J$179,0,1+2)),IF(Inputs!$C$77="E",SUMPRODUCT(($AZ42&gt;=INDEX('Methodology &amp; Sources'!$B$167:$J$179,0,4))*INDEX('Methodology &amp; Sources'!$B$167:$J$179,0,4+2)),SUMPRODUCT(($AZ42&gt;=INDEX('Methodology &amp; Sources'!$B$155:$J$162,0,1))*INDEX('Methodology &amp; Sources'!$B$155:$J$162,0,1+2)))))),IF($AN42="OR",IF(OR($AU42="Married",AND($AU42="Single",$AS42&gt;=3)),SUMPRODUCT((MAX(0,$AY42-MIN(($P42-'Methodology &amp; Sources'!$C$10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Sources'!$B$211:$J$214,0,4))*INDEX('Methodology &amp; Sources'!$B$211:$J$214,0,4+2)),SUMPRODUCT((MAX(0,$AY42-MIN(($P42-'Methodology &amp; Sources'!$C$10*$D42)*Inputs!$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Sources'!$B$211:$J$214,0,1))*INDEX('Methodology &amp; Sources'!$B$211:$J$214,0,1+2)))*IF(($P42-'Methodology &amp; Sources'!$C$10*$D42)*Inputs!$C$8&gt;=IF(OR($AU42="Married",AND($AU42="Single",$AS42&gt;=3)),IF($AY42&lt;250000,8750,IF($AY42&lt;260000,7000,IF($AY42&lt;270000,5250,IF($AY42&lt;280000,3500,IF($AY42&lt;290000,1750,0))))),IF($AY42&lt;125000,8750,IF($AY42&lt;130000,7000,IF($AY42&lt;135000,5250,IF($AY42&lt;140000,3500,IF($AY42&lt;145000,1750,0)))))),1,1-IF(Inputs!$C$13,SUMPRODUCT(($AH42&gt;=INDEX('Methodology &amp; Sources'!$B$29:$J$36,0,IF(Inputs!$C$12="MFJ",1,IF(Inputs!$C$12="HoH",7,4))))*INDEX('Methodology &amp; Sources'!$B$29:$J$36,0,IF(Inputs!$C$12="MFJ",1,IF(Inputs!$C$12="HoH",7,4))+2)),SUMPRODUCT(($AH42&gt;=INDEX('Methodology &amp; Sources'!$B$19:$J$26,0,IF(Inputs!$C$12="MFJ",1,IF(Inputs!$C$12="HoH",7,4))))*INDEX('Methodology &amp; Sources'!$B$19:$J$26,0,IF(Inputs!$C$12="MFJ",1,IF(Inputs!$C$12="HoH",7,4))+2)))),IF($AN42="MI",IF($AY42&gt;5900*$AS42,0.0425,0),""))))</f>
      </c>
      <c r="CA42" s="24">
        <f>IF($B42="","",IF($AN42="AL",IF(OR($AU42="Married",$AU42="Head of household"),SUMPRODUCT(($AZ42&gt;=INDEX('Methodology &amp; Sources'!$B$82:$J$86,0,4))*INDEX('Methodology &amp; Sources'!$B$82:$J$86,0,4+2)),SUMPRODUCT(($AZ42&gt;=INDEX('Methodology &amp; Sources'!$B$82:$J$86,0,1))*INDEX('Methodology &amp; Sources'!$B$82:$J$86,0,1+2)))*(1-IF(Inputs!$C$13,SUMPRODUCT(($AH42&gt;=INDEX('Methodology &amp; Sources'!$B$29:$J$36,0,IF(Inputs!$C$12="MFJ",1,IF(Inputs!$C$12="HoH",7,4))))*INDEX('Methodology &amp; Sources'!$B$29:$J$36,0,IF(Inputs!$C$12="MFJ",1,IF(Inputs!$C$12="HoH",7,4))+2)),SUMPRODUCT(($AH42&gt;=INDEX('Methodology &amp; Sources'!$B$19:$J$26,0,IF(Inputs!$C$12="MFJ",1,IF(Inputs!$C$12="HoH",7,4))))*INDEX('Methodology &amp; Sources'!$B$19:$J$26,0,IF(Inputs!$C$12="MFJ",1,IF(Inputs!$C$12="HoH",7,4))+2)))),IF($AN42="KS",IF($AU42="Married",SUMPRODUCT(($AZ42&gt;=INDEX('Methodology &amp; Sources'!$B$103:$J$109,0,4))*INDEX('Methodology &amp; Sources'!$B$103:$J$109,0,4+2)),SUMPRODUCT(($AZ42&gt;=INDEX('Methodology &amp; Sources'!$B$103:$J$109,0,1))*INDEX('Methodology &amp; Sources'!$B$103:$J$109,0,1+2))),IF($AN42="MD",IF(OR($AU42="Married",$AU42="Head of household"),SUMPRODUCT(($AZ42&gt;=INDEX('Methodology &amp; Sources'!$B$114:$J$120,0,1))*INDEX('Methodology &amp; Sources'!$B$114:$J$120,0,1+2)),SUMPRODUCT(($AZ42&gt;=INDEX('Methodology &amp; Sources'!$B$103:$J$109,0,7))*INDEX('Methodology &amp; Sources'!$B$103:$J$109,0,7+2)))+Inputs!$C$74,IF($AN42="MT",IF($AU42="Head of household",SUMPRODUCT(($AZ42&gt;=INDEX('Methodology &amp; Sources'!$B$137:$J$139,0,1))*INDEX('Methodology &amp; Sources'!$B$137:$J$139,0,1+2)),IF($AU42="Married",SUMPRODUCT(($AZ42&gt;=INDEX('Methodology &amp; Sources'!$B$125:$J$132,0,7))*INDEX('Methodology &amp; Sources'!$B$125:$J$132,0,7+2)),SUMPRODUCT(($AZ42&gt;=INDEX('Methodology &amp; Sources'!$B$125:$J$132,0,4))*INDEX('Methodology &amp; Sources'!$B$125:$J$132,0,4+2)))),IF($AN42="ND",IF($AU42="Head of household",SUMPRODUCT(($AZ42&gt;=INDEX('Methodology &amp; Sources'!$B$144:$J$150,0,1))*INDEX('Methodology &amp; Sources'!$B$144:$J$150,0,1+2)),IF($AU42="Married",SUMPRODUCT(($AZ42&gt;=INDEX('Methodology &amp; Sources'!$B$137:$J$139,0,7))*INDEX('Methodology &amp; Sources'!$B$137:$J$139,0,7+2)),SUMPRODUCT(($AZ42&gt;=INDEX('Methodology &amp; Sources'!$B$137:$J$139,0,4))*INDEX('Methodology &amp; Sources'!$B$137:$J$139,0,4+2)))),IF($AN42="NY",IF($AU42="Married",IF($AZ42&gt;=2155350,IF($AZ42&gt;25000000,0.117,IF($AZ42&gt;5000000,0.111,0.1045)),SUMPRODUCT(($AZ42&gt;=INDEX('Methodology &amp; Sources'!$B$184:$J$198,0,1))*INDEX('Methodology &amp; Sources'!$B$184:$J$198,0,1+2))),IF($AZ42&gt;=1077550,IF($AZ42&gt;25000000,0.117,IF($AZ42&gt;5000000,0.111,0.1045)),SUMPRODUCT(($AZ42&gt;=INDEX('Methodology &amp; Sources'!$B$167:$J$179,0,7))*INDEX('Methodology &amp; Sources'!$B$167:$J$179,0,7+2)))),"")))))))</f>
      </c>
      <c r="CB42" s="24">
        <f>IF($B42="","",IF($AN42="CA",SUMPRODUCT(($AJ42&gt;=INDEX('Methodology &amp; Sources'!$B$39:$J$48,0,IF($AU42="Married",4,IF($AU42="Head of household",7,1))))*INDEX('Methodology &amp; Sources'!$B$39:$J$48,0,IF($AU42="Married",4,IF($AU42="Head of household",7,1))+2)),IF($AN42="HI",IF($AU42="Married",SUMPRODUCT(($AZ42&gt;=INDEX('Methodology &amp; Sources'!$B$91:$J$98,0,7))*INDEX('Methodology &amp; Sources'!$B$91:$J$98,0,7+2)),SUMPRODUCT(($AZ42&gt;=INDEX('Methodology &amp; Sources'!$B$91:$J$98,0,4))*INDEX('Methodology &amp; Sources'!$B$91:$J$98,0,4+2))),IF($AN42="MN",IF($AU42="Married",SUMPRODUCT(($AZ42&gt;=INDEX('Methodology &amp; Sources'!$B$114:$J$120,0,7))*INDEX('Methodology &amp; Sources'!$B$114:$J$120,0,7+2)),SUMPRODUCT(($AZ42&gt;=INDEX('Methodology &amp; Sources'!$B$114:$J$120,0,4))*INDEX('Methodology &amp; Sources'!$B$114:$J$120,0,4+2))),IF($AN42="MO",SUMPRODUCT(($AZ42&gt;=INDEX('Methodology &amp; Sources'!$B$125:$J$132,0,1))*INDEX('Methodology &amp; Sources'!$B$125:$J$132,0,1+2)),IF($AN42="NE",MAX(IF($AU42="Married",SUMPRODUCT(($AZ42&gt;=INDEX('Methodology &amp; Sources'!$B$144:$J$150,0,7))*INDEX('Methodology &amp; Sources'!$B$144:$J$150,0,7+2)),SUMPRODUCT(($AZ42&gt;=INDEX('Methodology &amp; Sources'!$B$144:$J$150,0,4))*INDEX('Methodology &amp; Sources'!$B$144:$J$150,0,4+2))),0.015),IF($AN42="OH",IF($B42&gt;=DATE(2027,8,1),SUMPRODUCT(($AZ42&gt;=INDEX('Methodology &amp; Sources'!$B$203:$J$206,0,1))*INDEX('Methodology &amp; Sources'!$B$203:$J$206,0,1+2)),SUMPRODUCT(($AZ42&gt;=INDEX('Methodology &amp; Sources'!$B$184:$J$198,0,7))*INDEX('Methodology &amp; Sources'!$B$184:$J$198,0,7+2))),IF($AN42="OK",IF($AU42="Married",SUMPRODUCT(($AZ42&gt;=INDEX('Methodology &amp; Sources'!$B$203:$J$206,0,7))*INDEX('Methodology &amp; Sources'!$B$203:$J$206,0,7+2)),SUMPRODUCT(($AZ42&gt;=INDEX('Methodology &amp; Sources'!$B$203:$J$206,0,4))*INDEX('Methodology &amp; Sources'!$B$203:$J$206,0,4+2))),IF($AN42="RI",SUMPRODUCT(($AZ42&gt;=INDEX('Methodology &amp; Sources'!$B$211:$J$214,0,7))*INDEX('Methodology &amp; Sources'!$B$211:$J$214,0,7+2)),IF($AN42="SC",SUMPRODUCT(($AZ42&gt;=INDEX('Methodology &amp; Sources'!$B$219:$J$223,0,1))*INDEX('Methodology &amp; Sources'!$B$219:$J$223,0,1+2)),IF($AN42="VT",IF($AU42="Married",SUMPRODUCT(($AZ42&gt;=INDEX('Methodology &amp; Sources'!$B$228:$J$232,0,1))*INDEX('Methodology &amp; Sources'!$B$228:$J$232,0,1+2)),SUMPRODUCT(($AZ42&gt;=INDEX('Methodology &amp; Sources'!$B$219:$J$223,0,7))*INDEX('Methodology &amp; Sources'!$B$219:$J$223,0,7+2))),IF($AN42="WV",IF($AU42="Married",SUMPRODUCT(($AZ42&gt;=INDEX('Methodology &amp; Sources'!$B$237:$J$241,0,7))*INDEX('Methodology &amp; Sources'!$B$237:$J$241,0,7+2)),SUMPRODUCT(($AZ42&gt;=INDEX('Methodology &amp; Sources'!$B$228:$J$232,0,7))*INDEX('Methodology &amp; Sources'!$B$228:$J$232,0,7+2))),IF($AN42="IN",(0.0295+Inputs!$C$76),"")))))))))))))</f>
      </c>
      <c r="CC42" s="24">
        <f>IF($B42="","",IF($AN42="AR",SUMPRODUCT(($AZ42&gt;=INDEX('Methodology &amp; Sources'!$B$82:$J$86,0,7))*INDEX('Methodology &amp; Sources'!$B$82:$J$86,0,7+2)),IF($AN42="DE",SUMPRODUCT(($AZ42&gt;=INDEX('Methodology &amp; Sources'!$B$91:$J$98,0,1))*INDEX('Methodology &amp; Sources'!$B$91:$J$98,0,1+2)),IF($AN42="VA",SUMPRODUCT(($AZ42&gt;=INDEX('Methodology &amp; Sources'!$B$219:$J$223,0,4))*INDEX('Methodology &amp; Sources'!$B$219:$J$223,0,4+2)),IF($AN42="WI",SUMPRODUCT(($AZ42&gt;=INDEX('Methodology &amp; Sources'!$B$228:$J$232,0,4))*INDEX('Methodology &amp; Sources'!$B$228:$J$232,0,4+2)),IF($AN42="AZ",Inputs!$C$82,IF($AN42="CO",IF($AY42&gt;IF($AU42="Married",10000,5000),0.044,0),IF($AN42="IA",IF($AY42&gt;IF($AU42="Head of household",19500,IF($AU42="Married",26000,13000)),0.038,0),IF($AN42="ID",IF($AY42&gt;IF($AU42="Married",32000,16094),0.053,0),IF($AN42="IL",IF($AY42&gt;(2925*$AS42+1000*$AT42),0.0495,0),IF($AN42="KY",IF($AI42&gt;3360,0.035,0),IF($AN42="LA",0.0309,IF($AN42="MA",IF(MAX(0,$AY42-MIN(($BD41+$Q42+$R42+$S42),2000)-IF($AS42=0,0,IF($AS42=1,4400,1000*$AS42+3400)))&gt;=1107750,0.09,0.05),IF($AN42="MS",IF($AI42-IF($AU42="Head of household",3400,IF($AU42="Married",4600,2300))-Inputs!$C$85&gt;10000,0.04,0),IF($AN42="PA",0.0307,"")))))))))))))))</f>
      </c>
      <c r="CD42" s="21">
        <f>IF(YEAR(IF(Inputs!$C$7="Weekly",Inputs!$C$90+7*(($BE41+1)-1),IF(Inputs!$C$7="Biweekly",Inputs!$C$90+14*(($BE41+1)-1),IF(Inputs!$C$7="Semimonthly",DATE(YEAR(Inputs!$C$9),MONTH(Inputs!$C$9)+INT((($BE41+1)-1+'Rest of 2026'!$C$2)/2),MIN(DAY(Inputs!$C$9),DAY(EOMONTH(DATE(YEAR(Inputs!$C$9),MONTH(Inputs!$C$9)+INT((($BE41+1)-1+'Rest of 2026'!$C$2)/2),1),0))))+IF(MOD(($BE41+1)-1+'Rest of 2026'!$C$2,2)=1,15,0),EDATE(Inputs!$C$90,($BE41+1)-1)))))&lt;&gt;Inputs!$C$10,"",IF(Inputs!$C$7="Weekly",Inputs!$C$90+7*(($BE41+1)-1),IF(Inputs!$C$7="Biweekly",Inputs!$C$90+14*(($BE41+1)-1),IF(Inputs!$C$7="Semimonthly",DATE(YEAR(Inputs!$C$9),MONTH(Inputs!$C$9)+INT((($BE41+1)-1+'Rest of 2026'!$C$2)/2),MIN(DAY(Inputs!$C$9),DAY(EOMONTH(DATE(YEAR(Inputs!$C$9),MONTH(Inputs!$C$9)+INT((($BE41+1)-1+'Rest of 2026'!$C$2)/2),1),0))))+IF(MOD(($BE41+1)-1+'Rest of 2026'!$C$2,2)=1,15,0),EDATE(Inputs!$C$90,($BE41+1)-1)))))</f>
      </c>
      <c r="CE42" s="21">
        <f>IF(SUMPRODUCT(MIN(IF((Inputs!$C$58:$C$67&gt;MAX($B$6:$B41))*(Inputs!$C$58:$C$67&gt;=DATE(Inputs!$C$10,1,1))*(Inputs!$C$58:$C$67&lt;=DATE(Inputs!$C$10,12,31)),Inputs!$C$58:$C$67,999999)))=999999,"",SUMPRODUCT(MIN(IF((Inputs!$C$58:$C$67&gt;MAX($B$6:$B41))*(Inputs!$C$58:$C$67&gt;=DATE(Inputs!$C$10,1,1))*(Inputs!$C$58:$C$67&lt;=DATE(Inputs!$C$10,12,31)),Inputs!$C$58:$C$67,999999))))</f>
      </c>
    </row>
    <row r="43">
      <c r="A43" t="n">
        <v>38</v>
      </c>
      <c r="B43" s="21">
        <f>IF(AND($CD43="",$CE43=""),"",IF($CE43="",$CD43,IF($CD43="",$CE43,MIN($CD43,$CE43))))</f>
      </c>
      <c r="C43" s="7">
        <f>IF($B43="","",IF($BF43=0,0,IF(Inputs!$C$4="Annual salary",ROUND($AK43/IF(AND(Inputs!$C$88="Actual paydays",MONTH(Inputs!$C$90)=1),MAX(1,MAX($BE$6:$BE$68)),Inputs!$C$8),2),$AK43)))</f>
      </c>
      <c r="D43" s="7">
        <f>IF($B43="","",SUMIF(Inputs!$C$58:$C$67,$B43,Inputs!$D$58:$D$67))</f>
      </c>
      <c r="E43" s="7">
        <f>IF($B43="","",ROUND(MAX(0,MIN(IF($AL43="Percent",$AM43*($C43+$D43),$AM43),MAX(0,Inputs!$C$34-$AC42))),2))</f>
      </c>
      <c r="F43" s="7">
        <f>IF($B43="","",ROUND(MAX(0,MIN(IF(Inputs!$C$32="Percent",Inputs!$D$32*($C43+$D43),Inputs!$D$32),MAX(0,Inputs!$C$34-$AC42-$E43))),2))</f>
      </c>
      <c r="G43" s="7">
        <f>IF($B43="","",IF($BF43=0,0,ROUND(MAX(0,MIN($BL43,Inputs!$C$37-Inputs!$C$99-$BI42)),2)))</f>
      </c>
      <c r="H43" s="7">
        <f>IF($B43="","",IF(OR($BF43=0,$BQ43=1),0,ROUND(MAX(0,MIN(IF($BS43=1,ROUND(MAX(0,MIN($BJ43,'Methodology &amp; Sources'!$C$13)-$BG42)/MAX(1,MAX($BE$6:$BE$68)-($BE42)),2),ROUND(MIN($BJ43,'Methodology &amp; Sources'!$C$13)/Inputs!$C$8,2)),MIN($BJ43,'Methodology &amp; Sources'!$C$13)-$BG42)),2)))</f>
      </c>
      <c r="I43" s="7">
        <f>IF($B43="","",IF(OR($BF43=0,$BR43=1),0,ROUND(MAX(0,MIN(IF($BT43=1,ROUND(MAX(0,MIN($BK43,IF(Inputs!$C$12="MFJ",'Methodology &amp; Sources'!$C$14,'Methodology &amp; Sources'!$C$15))-$BH42)/MAX(1,MAX($BE$6:$BE$68)-($BE42)),2),ROUND(MIN($BK43,IF(Inputs!$C$12="MFJ",'Methodology &amp; Sources'!$C$14,'Methodology &amp; Sources'!$C$15))/Inputs!$C$8,2)),MIN($BK43,IF(Inputs!$C$12="MFJ",'Methodology &amp; Sources'!$C$14,'Methodology &amp; Sources'!$C$15))-$BH42)),2)))</f>
      </c>
      <c r="J43" s="7">
        <f>IF($B43="","",IF($BF43=0,0,$BM43))</f>
      </c>
      <c r="K43" s="7">
        <f>IF($B43="","",IF($BF43=0,0,$BN43+$BO43))</f>
      </c>
      <c r="L43" s="7">
        <f>IF($B43="","",IF($BF43=0,0,Inputs!$D$46))</f>
      </c>
      <c r="M43" s="7">
        <f>IF($B43="","",$C43+$D43+$L43-$E43-$G43-$H43-$I43-$J43-$K43)</f>
      </c>
      <c r="N43" s="7">
        <f>IF($B43="","",$C43+$D43+$L43-$G43-$H43-$I43-$J43-$K43)</f>
      </c>
      <c r="O43" s="7">
        <f>IF($B43="","",$C43+$D43+$L43-$E43-$H43-$I43-$J43-$K43-IF(OR($AN43="CA",$AN43="NJ"),0,$G43))</f>
      </c>
      <c r="P43" s="7">
        <f>IF($B43="","",IF(Inputs!$C$18,0,ROUND(MAX(0,IF(Inputs!$C$13,SUMPRODUCT(($AH43&gt;INDEX('Methodology &amp; Sources'!$B$29:$J$36,0,IF(Inputs!$C$12="MFJ",1,IF(Inputs!$C$12="HoH",7,4))))*($AH43-INDEX('Methodology &amp; Sources'!$B$29:$J$36,0,IF(Inputs!$C$12="MFJ",1,IF(Inputs!$C$12="HoH",7,4))))*INDEX('Methodology &amp; Sources'!$B$29:$J$36,0,IF(Inputs!$C$12="MFJ",1,IF(Inputs!$C$12="HoH",7,4))+2)),SUMPRODUCT(($AH43&gt;INDEX('Methodology &amp; Sources'!$B$19:$J$26,0,IF(Inputs!$C$12="MFJ",1,IF(Inputs!$C$12="HoH",7,4))))*($AH43-INDEX('Methodology &amp; Sources'!$B$19:$J$26,0,IF(Inputs!$C$12="MFJ",1,IF(Inputs!$C$12="HoH",7,4))))*INDEX('Methodology &amp; Sources'!$B$19:$J$26,0,IF(Inputs!$C$12="MFJ",1,IF(Inputs!$C$12="HoH",7,4))+2)))/Inputs!$C$8-$AO43/Inputs!$C$8)+$AR43+IF(Inputs!$C$89="Aggregate",MAX(0,IF(Inputs!$C$13,SUMPRODUCT((($AH43+$D43)&gt;INDEX('Methodology &amp; Sources'!$B$29:$J$36,0,IF(Inputs!$C$12="MFJ",1,IF(Inputs!$C$12="HoH",7,4))))*(($AH43+$D43)-INDEX('Methodology &amp; Sources'!$B$29:$J$36,0,IF(Inputs!$C$12="MFJ",1,IF(Inputs!$C$12="HoH",7,4))))*INDEX('Methodology &amp; Sources'!$B$29:$J$36,0,IF(Inputs!$C$12="MFJ",1,IF(Inputs!$C$12="HoH",7,4))+2)),SUMPRODUCT((($AH43+$D43)&gt;INDEX('Methodology &amp; Sources'!$B$19:$J$26,0,IF(Inputs!$C$12="MFJ",1,IF(Inputs!$C$12="HoH",7,4))))*(($AH43+$D43)-INDEX('Methodology &amp; Sources'!$B$19:$J$26,0,IF(Inputs!$C$12="MFJ",1,IF(Inputs!$C$12="HoH",7,4))))*INDEX('Methodology &amp; Sources'!$B$19:$J$26,0,IF(Inputs!$C$12="MFJ",1,IF(Inputs!$C$12="HoH",7,4))+2)))-IF(Inputs!$C$13,SUMPRODUCT(($AH43&gt;INDEX('Methodology &amp; Sources'!$B$29:$J$36,0,IF(Inputs!$C$12="MFJ",1,IF(Inputs!$C$12="HoH",7,4))))*($AH43-INDEX('Methodology &amp; Sources'!$B$29:$J$36,0,IF(Inputs!$C$12="MFJ",1,IF(Inputs!$C$12="HoH",7,4))))*INDEX('Methodology &amp; Sources'!$B$29:$J$36,0,IF(Inputs!$C$12="MFJ",1,IF(Inputs!$C$12="HoH",7,4))+2)),SUMPRODUCT(($AH43&gt;INDEX('Methodology &amp; Sources'!$B$19:$J$26,0,IF(Inputs!$C$12="MFJ",1,IF(Inputs!$C$12="HoH",7,4))))*($AH43-INDEX('Methodology &amp; Sources'!$B$19:$J$26,0,IF(Inputs!$C$12="MFJ",1,IF(Inputs!$C$12="HoH",7,4))))*INDEX('Methodology &amp; Sources'!$B$19:$J$26,0,IF(Inputs!$C$12="MFJ",1,IF(Inputs!$C$12="HoH",7,4))+2)))),'Methodology &amp; Sources'!$C$10*$D43),2)))</f>
      </c>
      <c r="Q43" s="7">
        <f>IF($B43="","",ROUND('Methodology &amp; Sources'!$C$4*MIN($N43,MAX(0,'Methodology &amp; Sources'!$C$3-($AX43+$AB42-$AW43))),2))</f>
      </c>
      <c r="R43" s="7">
        <f>IF($B43="","",ROUND('Methodology &amp; Sources'!$C$5*$N43,2))</f>
      </c>
      <c r="S43" s="7">
        <f>IF($B43="","",ROUND('Methodology &amp; Sources'!$C$6*MAX(0,MIN($N43,$AG42+$N43-'Methodology &amp; Sources'!$C$7)),2))</f>
      </c>
      <c r="T43" s="7">
        <f>IF($B43="","",IF(Inputs!$C$26,0,IF($AN43="CA",ROUND(IF($AI43&lt;=IF(($AS43+$AT43)&gt;=2,VLOOKUP($AN43,StateTables!$A$6:$AB$56,10,FALSE),VLOOKUP($AN43,StateTables!$A$6:$AB$56,9,FALSE)),0,MAX(0,SUMPRODUCT(($AJ43&gt;INDEX('Methodology &amp; Sources'!$B$39:$J$48,0,IF($AU43="Married",4,IF($AU43="Head of household",7,1))))*($AJ43-INDEX('Methodology &amp; Sources'!$B$39:$J$48,0,IF($AU43="Married",4,IF($AU43="Head of household",7,1))))*INDEX('Methodology &amp; Sources'!$B$39:$J$48,0,IF($AU43="Married",4,IF($AU43="Head of household",7,1))+2))-VLOOKUP($AN43,StateTables!$A$6:$AB$56,11,FALSE)*$AS43)/Inputs!$C$8)+Inputs!$C$25+VLOOKUP($AN43,StateTables!$A$6:$AB$56,13,FALSE)*$D43,2),IF(VLOOKUP($AN43,StateTables!$A$6:$AB$56,4,FALSE)="None",0,IF(ISNUMBER(SEARCH("MANUAL",VLOOKUP($AN43,StateTables!$A$6:$AB$56,5,FALSE))),Inputs!$C$28,ROUND(MAX(0,$BA43+$BB43)/Inputs!$C$8+Inputs!$C$25+$BC43,2))))))</f>
      </c>
      <c r="U43" s="7">
        <f>IF($B43="","",IF(VLOOKUP($AN43,StateTables!$A$6:$AB$56,24,FALSE)="flatq",IF(OR(MONTH($B43)=1,MONTH($B43)=4,MONTH($B43)=7,MONTH($B43)=10),VLOOKUP($AN43,StateTables!$A$6:$AB$56,25,FALSE),0),IF(VLOOKUP($AN43,StateTables!$A$6:$AB$56,24,FALSE)="dbl",MIN(ROUND(0.005*$N43,2),ROUND(0.6*52/Inputs!$C$8,2)),IF(OR(VLOOKUP($AN43,StateTables!$A$6:$AB$56,15,FALSE)="",VLOOKUP($AN43,StateTables!$A$6:$AB$56,15,FALSE)=0),0,ROUND(VLOOKUP($AN43,StateTables!$A$6:$AB$56,15,FALSE)*IF(OR(VLOOKUP($AN43,StateTables!$A$6:$AB$56,16,FALSE)="",VLOOKUP($AN43,StateTables!$A$6:$AB$56,16,FALSE)=0),$N43,MIN($N43,MAX(0,VLOOKUP($AN43,StateTables!$A$6:$AB$56,16,FALSE)-($AX43+$AB42-$AW43)))),2))))+IF(VLOOKUP($AN43,StateTables!$A$6:$AB$56,27,FALSE)="flatq",IF(OR(MONTH($B43)=1,MONTH($B43)=4,MONTH($B43)=7,MONTH($B43)=10),VLOOKUP($AN43,StateTables!$A$6:$AB$56,28,FALSE),0),IF(VLOOKUP($AN43,StateTables!$A$6:$AB$56,27,FALSE)="dbl",MIN(ROUND(0.005*$N43,2),ROUND(0.6*52/Inputs!$C$8,2)),IF(OR(VLOOKUP($AN43,StateTables!$A$6:$AB$56,18,FALSE)="",VLOOKUP($AN43,StateTables!$A$6:$AB$56,18,FALSE)=0),0,ROUND(VLOOKUP($AN43,StateTables!$A$6:$AB$56,18,FALSE)*IF(OR(VLOOKUP($AN43,StateTables!$A$6:$AB$56,19,FALSE)="",VLOOKUP($AN43,StateTables!$A$6:$AB$56,19,FALSE)=0),$N43,MIN($N43,MAX(0,VLOOKUP($AN43,StateTables!$A$6:$AB$56,19,FALSE)-($AX43+$AB42-$AW43)))),2)))))</f>
      </c>
      <c r="V43" s="7">
        <f>IF($B43="","",IF($AN43="NY",IF(Inputs!$C$78,ROUND(SUMPRODUCT((MAX(0,($O43-$D43)*Inputs!$C$8-(IF($AU43="Married",5500,5000)+1000*$AS43))&gt;INDEX('Methodology &amp; Sources'!$B$184:$J$198,0,4))*(MAX(0,($O43-$D43)*Inputs!$C$8-(IF($AU43="Married",5500,5000)+1000*$AS43))-INDEX('Methodology &amp; Sources'!$B$184:$J$198,0,4))*INDEX('Methodology &amp; Sources'!$B$184:$J$198,0,4+2))/Inputs!$C$8+0.0425*$D43,2),0)+IF(Inputs!$C$79="Resident",ROUND(0.1675*$T43,2),IF(Inputs!$C$79="Nonresident",ROUND(0.005*MAX(0,($O43-$D43)-(IF($AU43="Married",7950,7400)+1000*$AS43)/Inputs!$C$8),2),0)),IF($AN43="PA",IF(Inputs!$C$80="None",Inputs!$C$27+ROUND(Inputs!$C$81*($C43+$D43),2),ROUND(IF(Inputs!$C$80="Resident",IF($B43&lt;DATE(2027,7,1),0.03735,0.03735),IF($B43&lt;DATE(2027,7,1),0.03425,0.03425))*($C43+$D43),2)),IF($BF43=0,ROUND(Inputs!$C$81*($C43+$D43),2),Inputs!$C$27+ROUND(Inputs!$C$81*($C43+$D43),2)))))</f>
      </c>
      <c r="W43" s="7">
        <f>IF($B43="","",IF($BF43=0,0,$BP43))</f>
      </c>
      <c r="X43" s="7">
        <f>IF($B43="","",SUM($E43:$K43)+$P43+$Q43+$R43+$S43+$T43+$U43+$V43+$W43)</f>
      </c>
      <c r="Y43" s="22">
        <f>IF($B43="","",$C43+$D43-$X43)</f>
      </c>
      <c r="Z43" s="7">
        <f>IF($B43="","",$Z42+$C43+$D43)</f>
      </c>
      <c r="AA43" s="7">
        <f>IF($B43="","",$AA42+$Y43)</f>
      </c>
      <c r="AB43" s="7">
        <f>IF($B43="","",$AB42+MIN($N43,MAX(0,'Methodology &amp; Sources'!$C$3-($AX43+$AB42-$AW43))))</f>
      </c>
      <c r="AC43" s="7">
        <f>IF($B43="","",$AC42+$E43+$F43)</f>
      </c>
      <c r="AD43" s="3">
        <f>IF($B43="","",IF(AND($AB42&lt;'Methodology &amp; Sources'!$C$3,$AB43&gt;='Methodology &amp; Sources'!$C$3),"★ Social Security maxed on this check — from the next check your net rises by about $"&amp;TEXT(ROUND('Methodology &amp; Sources'!$C$4*$N43,2),"#,##0.00")&amp;". ","")&amp;IF(AND($AC42&lt;Inputs!$C$34,$AC43&gt;=Inputs!$C$34),"★ 401(k) reaches the $"&amp;TEXT(Inputs!$C$34,"#,##0")&amp;" cap on this check — deferrals stop and net pay rises. ","")&amp;IF(AND($AG42&lt;'Methodology &amp; Sources'!$C$7,$AG43&gt;='Methodology &amp; Sources'!$C$7),"★ Wages pass $200,000 — the 0.9% Additional Medicare Tax starts here. ","")&amp;IF(AND($BJ43&gt;0,$H43&gt;0,$BG42&lt;MIN($BJ43,'Methodology &amp; Sources'!$C$13),$BG42+$H43&gt;=MIN($BJ43,'Methodology &amp; Sources'!$C$13)),"★ Health FSA election is now fully deferred for the year. ",""))</f>
      </c>
      <c r="AE43" s="41" t="n"/>
      <c r="AF43" s="7">
        <f>IF(OR($B43="",$AE43=""),"",$AE43-$Y43)</f>
      </c>
      <c r="AG43" s="7">
        <f>IF($B43="","",$AG42+$N43)</f>
      </c>
      <c r="AH43" s="7">
        <f>IF($B43="","",MAX(0,($M43-$D43)*Inputs!$C$8+$AP43-$AQ43-IF(Inputs!$C$13,0,IF(Inputs!$C$12="MFJ",'Methodology &amp; Sources'!$C$8,'Methodology &amp; Sources'!$C$9))))</f>
      </c>
      <c r="AI43" s="7">
        <f>IF($B43="","",$O43*Inputs!$C$8)</f>
      </c>
      <c r="AJ43" s="7">
        <f>IF($B43="","",MAX(0,$AI43-VLOOKUP($AN43,StateTables!$A$6:$AB$56,12,FALSE)*$AT43-IF(($AS43+$AT43)&gt;=2,VLOOKUP($AN43,StateTables!$A$6:$AB$56,8,FALSE),VLOOKUP($AN43,StateTables!$A$6:$AB$56,7,FALSE))))</f>
      </c>
      <c r="AK43" s="7">
        <f>IF($B43="","",IFERROR(LOOKUP(2,1/((Events!$C$6:$C$17="Salary change")*(Events!$B$6:$B$17&lt;=$B43)*(Events!$B$6:$B$17&lt;&gt;"")),Events!$D$6:$D$17),IF(Inputs!$C$4="Annual salary",Inputs!$C$5,Inputs!$C$6)))</f>
      </c>
      <c r="AL43">
        <f>IF($B43="","",IFERROR(LOOKUP(2,1/((Events!$C$6:$C$17="401(k) change")*(Events!$B$6:$B$17&lt;=$B43)*(Events!$B$6:$B$17&lt;&gt;"")),Events!$D$6:$D$17),Inputs!$C$30))</f>
      </c>
      <c r="AM43" s="7">
        <f>IF($B43="","",IFERROR(LOOKUP(2,1/((Events!$C$6:$C$17="401(k) change")*(Events!$B$6:$B$17&lt;=$B43)*(Events!$B$6:$B$17&lt;&gt;"")),Events!$E$6:$E$17),Inputs!$D$30))</f>
      </c>
      <c r="AN43">
        <f>IF($B43="","",IFERROR(LOOKUP(2,1/((Events!$C$6:$C$17="State move")*(Events!$B$6:$B$17&lt;=$B43)*(Events!$B$6:$B$17&lt;&gt;"")),Events!$D$6:$D$17),Inputs!$C$21))</f>
      </c>
      <c r="AO43" s="7">
        <f>IF($B43="","",IFERROR(LOOKUP(2,1/((Events!$C$6:$C$17="W-4 change")*(Events!$B$6:$B$17&lt;=$B43)*(Events!$B$6:$B$17&lt;&gt;"")),Events!$D$6:$D$17),Inputs!$C$14))</f>
      </c>
      <c r="AP43" s="7">
        <f>IF($B43="","",IFERROR(LOOKUP(2,1/((Events!$C$6:$C$17="W-4 change")*(Events!$B$6:$B$17&lt;=$B43)*(Events!$B$6:$B$17&lt;&gt;"")),Events!$E$6:$E$17),Inputs!$C$15))</f>
      </c>
      <c r="AQ43" s="7">
        <f>IF($B43="","",IFERROR(LOOKUP(2,1/((Events!$C$6:$C$17="W-4 change")*(Events!$B$6:$B$17&lt;=$B43)*(Events!$B$6:$B$17&lt;&gt;"")),Events!$F$6:$F$17),Inputs!$C$16))</f>
      </c>
      <c r="AR43" s="7">
        <f>IF($B43="","",IFERROR(LOOKUP(2,1/((Events!$C$6:$C$17="W-4 change")*(Events!$B$6:$B$17&lt;=$B43)*(Events!$B$6:$B$17&lt;&gt;"")),Events!$G$6:$G$17),Inputs!$C$17))</f>
      </c>
      <c r="AS43" s="6">
        <f>IF($B43="","",IFERROR(LOOKUP(2,1/(((Events!$C$6:$C$17="State move")+(Events!$C$6:$C$17="State cert change"))*(Events!$B$6:$B$17&lt;=$B43)*(Events!$B$6:$B$17&lt;&gt;"")),Events!$F$6:$F$17),Inputs!$C$23))</f>
      </c>
      <c r="AT43" s="6">
        <f>IF($B43="","",IFERROR(LOOKUP(2,1/(((Events!$C$6:$C$17="State move")+(Events!$C$6:$C$17="State cert change"))*(Events!$B$6:$B$17&lt;=$B43)*(Events!$B$6:$B$17&lt;&gt;"")),Events!$G$6:$G$17),Inputs!$C$24))</f>
      </c>
      <c r="AU43">
        <f>IF($B43="","",IFERROR(LOOKUP(2,1/((Events!$C$6:$C$17="State move")*(Events!$B$6:$B$17&lt;=$B43)*(Events!$B$6:$B$17&lt;&gt;"")),Events!$E$6:$E$17),Inputs!$C$22))</f>
      </c>
      <c r="AV43" s="6">
        <f>IF($B43="","",1+COUNTIFS(Events!$C$6:$C$17,"Employer change",Events!$B$6:$B$17,"&lt;="&amp;$B43,Events!$B$6:$B$17,"&lt;&gt;"))</f>
      </c>
      <c r="AW43" s="7">
        <f>IF($B43="","",IF($AV43=1,Inputs!$C$94,IF(IFERROR(MATCH(IFERROR(LOOKUP(2,1/((Events!$C$6:$C$17="Employer change")*(Events!$B$6:$B$17&lt;=$B43)*(Events!$B$6:$B$17&lt;&gt;"")),Events!$B$6:$B$17),""),$B$6:$B$68,1),1)&lt;=1,Inputs!$C$94,INDEX($AB$6:$AB$68,MATCH(IFERROR(LOOKUP(2,1/((Events!$C$6:$C$17="Employer change")*(Events!$B$6:$B$17&lt;=$B43)*(Events!$B$6:$B$17&lt;&gt;"")),Events!$B$6:$B$17),""),$B$6:$B$68,1)-1))))</f>
      </c>
      <c r="AX43" s="7">
        <f>IF($B43="","",IF($AV43=1,Inputs!$C$94,IFERROR(LOOKUP(2,1/((Events!$C$6:$C$17="Employer change")*(Events!$B$6:$B$17&lt;=$B43)*(Events!$B$6:$B$17&lt;&gt;"")),Events!$D$6:$D$17),0)))</f>
      </c>
      <c r="AY43" s="7">
        <f>IF($B43="","",($O43-$D43)*Inputs!$C$8)</f>
      </c>
      <c r="AZ43" s="7">
        <f>IF($B43="","",IF($AN43="AL",MAX(0,$AY43-IF($AU43="Married",IF($AY43&lt;=25999,8500,MAX(5000,8500-175*CEILING(($AY43-25999)/500,1))),IF($AU43="Head of household",IF($AY43&lt;=25999,5200,MAX(2500,5200-135*CEILING(($AY43-25999)/500,1))),IF($AY43&lt;=25999,3000,MAX(2500,3000-25*CEILING(($AY43-25999)/500,1)))))-($P43-'Methodology &amp; Sources'!$C$10*$D43)*Inputs!$C$8-IF(OR($AU43="Married",$AU43="Head of household"),3000,1500)-$AT43*IF($AY43&lt;=50000,1000,IF($AY43&lt;=100000,500,300))),IF($AN43="AR",IF(MAX(0,$AY43-2470)&lt;97701,INT(MAX(0,$AY43-2470)/100)*100+50,MAX(0,$AY43-2470)),IF($AN43="DE",MAX(0,$AI43-3250),IF($AN43="HI",MAX(0,$AI43-1144*$AS43-4350),IF($AN43="KS",MAX(0,$AI43-(9160*IF($AU43="Married",2,1)+2320*$AT43+IF($AU43="Head of household",2320,0))),IF($AN43="MD",MAX(0,$AI43-3400-3200*$AS43),IF($AN43="MN",MAX(0,$AY43-5300*$AS43),IF($AN43="MO",MAX(0,$AI43-IF($AU43="Head of household",24150,IF($AU43="Married",IF(Inputs!$C$83,16100,32200),16100))),IF($AN43="MT",$AY43,IF($AN43="ND",($C43+$L43)*Inputs!$C$8,IF($AN43="NE",MAX(0,$AY43-2440*$AS43),IF($AN43="NJ",MAX(0,$AY43-1000*$AS43),IF($AN43="NY",MAX(0,$AY43-(IF($AU43="Married",7950,7400)+1000*$AS43)),IF($AN43="OH",MAX(0,$AY43-650*$AS43),IF($AN43="OK",MAX(0,$AY43-1000*$AS43),IF($AN43="RI",MAX(0,$AI43-1000*$AS43),IF($AN43="SC",MAX(0,$AI43-5000*$AS43-IF($AS43=0,0,MIN(0.1*$AI43,7500))),IF($AN43="VA",MAX(0,$AI43-IF($AU43="Married",17500,8750)-930*$AS43-800*$AT43),IF($AN43="VT",MAX(0,$AI43-5400*$AS43),IF($AN43="WI",MAX(0,$AI43-MAX(0,IF($AU43="Married",9461-0.2*MAX(0,$AI43-25727),6702-0.12*MAX(0,$AI43-17780)))-400*$AS43),IF($AN43="WV",MAX(0,$AI43-2000*$AS43),$AI43))))))))))))))))))))))</f>
      </c>
      <c r="BA43" s="7">
        <f>IF($B43="","",IF($BW43&lt;&gt;"",$BW43,IF($BX43&lt;&gt;"",$BX43,IF($BY43&lt;&gt;"",$BY43,0))))</f>
      </c>
      <c r="BB43" s="7">
        <f>IF($B43="","",IF($AN43="AR",-29*$AS43,IF($AN43="DE",-110*$AS43,IF($AN43="MD",$AZ43*Inputs!$C$74,IF($AN43="AZ",Inputs!$C$82*($M43-$D43)*Inputs!$C$8,IF($AN43="CO",0.044*MAX(0,$AY43-IF($AU43="Married",10000,5000)),IF($AN43="IA",MAX(0,0.038*MAX(0,$AY43-IF($AU43="Head of household",19500,IF($AU43="Married",26000,13000)))-40*$AS43),IF($AN43="ID",0.053*MAX(0,$AY43-IF($AU43="Married",32000,16094)),IF($AN43="IL",0.0495*MAX(0,$AY43-(2925*$AS43+1000*$AT43)),IF($AN43="IN",(0.0295+Inputs!$C$76)*MAX(0,$AY43-(1000*$AS43+1500*$AT43+3000*Inputs!$C$86)),IF($AN43="KY",0.035*MAX(0,$AI43-3360),IF($AN43="LA",IF(Inputs!$C$84="0",0.0309*$AI43,0.0309*MAX(0,$AI43-IF(Inputs!$C$84="2",25750,12875))),IF($AN43="MA",0.05*MIN(MAX(0,$AY43-MIN(($BD42+$Q43+$R43+$S43),2000)-IF($AS43=0,0,IF($AS43=1,4400,1000*$AS43+3400))),1107750)+0.09*MAX(0,MAX(0,$AY43-MIN(($BD42+$Q43+$R43+$S43),2000)-IF($AS43=0,0,IF($AS43=1,4400,1000*$AS43+3400)))-1107750)-IF($AU43="Head of household",120,0)-110*Inputs!$C$75,IF($AN43="MI",0.0425*MAX(0,$AY43-5900*$AS43),IF($AN43="MS",0.04*MAX(0,$AI43-IF($AU43="Head of household",3400,IF($AU43="Married",4600,2300))-Inputs!$C$85-10000),IF($AN43="OR",IF(OR($AU43="Married",AND($AU43="Single",$AS43&gt;=3)),SUMPRODUCT((MAX(0,$AY43-MIN(($P43-'Methodology &amp; Sources'!$C$10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Sources'!$B$211:$J$214,0,4))*(MAX(0,$AY43-MIN(($P43-'Methodology &amp; Sources'!$C$10*$D43)*Inputs!$C$8,IF(OR($AU43="Married",AND($AU43="Single",$AS43&gt;=3)),IF($AY43&lt;250000,8750,IF($AY43&lt;260000,7000,IF($AY43&lt;270000,5250,IF($AY43&lt;280000,3500,IF($AY43&lt;290000,1750,0))))),IF($AY43&lt;125000,8750,IF($AY43&lt;130000,7000,IF($AY43&lt;135000,5250,IF($AY43&lt;140000,3500,IF($AY43&lt;145000,1750,0)))))))-IF(OR($AU43="Married",AND($AU43="Single",$AS43&gt;=3)),5820,2910))-INDEX('Methodology &amp; Sources'!$B$211:$J$214,0,4))*INDEX('Methodology &amp; Sources'!$B$211:$J$214,0,4+2)),SUMPRODUCT((MAX(0,$AY43-MIN(($P43-'Methodology &amp; Sources'!$C$10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Sources'!$B$211:$J$214,0,1))*(MAX(0,$AY43-MIN(($P43-'Methodology &amp; Sources'!$C$10*$D43)*Inputs!$C$8,IF(OR($AU43="Married",AND($AU43="Single",$AS43&gt;=3)),IF($AY43&lt;250000,8750,IF($AY43&lt;260000,7000,IF($AY43&lt;270000,5250,IF($AY43&lt;280000,3500,IF($AY43&lt;290000,1750,0))))),IF($AY43&lt;125000,8750,IF($AY43&lt;130000,7000,IF($AY43&lt;135000,5250,IF($AY43&lt;140000,3500,IF($AY43&lt;145000,1750,0)))))))-IF(OR($AU43="Married",AND($AU43="Single",$AS43&gt;=3)),5820,2910))-INDEX('Methodology &amp; Sources'!$B$211:$J$214,0,1))*INDEX('Methodology &amp; Sources'!$B$211:$J$214,0,1+2)))+263-263*IF(IF($AU43="Married",$AY43&gt;200000,$AY43&gt;100000),0,$AS43),IF($AN43="PA",0.0307*(($O43+$E43+$G43)*Inputs!$C$8),IF($AN43="NY",IF($AU43="Married",IF($AZ43&gt;=2155350,0,IF($AZ43&gt;=1077550,0.48,IF($AZ43&gt;=373200,1.21,IF($AZ43&gt;=323200,0.21,IF($AZ43&gt;=211550,-0.19,IF($AZ43&gt;=157650,-2.8,IF($AZ43&gt;=107650,-0.8,IF($AZ43&gt;=96800,0.05,IF($AZ43&gt;=80650,-0.1,IF($AZ43&gt;=13900,0.4,IF($AZ43&gt;=11700,-0.3,IF($AZ43&gt;=8500,0.5,0)))))))))))),IF($AZ43&gt;=1077550,0,IF($AZ43&gt;=265400,4.29,IF($AZ43&gt;=215400,2.29,IF($AZ43&gt;=157650,2.29,IF($AZ43&gt;=107650,0.29,IF($AZ43&gt;=96800,0.05,IF($AZ43&gt;=80650,-0.1,IF($AZ43&gt;=13900,0.4,IF($AZ43&gt;=11700,-0.3,IF($AZ43&gt;=8500,0.5,0))))))))))),0))))))))))))))))))</f>
      </c>
      <c r="BC43" s="7">
        <f>IF($B43="","",IF($AN43="AL",0.05*$D43,IF($AN43="AR",0.039*$D43,IF($AN43="ID",0.053*$D43,IF($AN43="IN",(0.0295+Inputs!$C$76)*$D43,IF($AN43="KS",0.05*$D43,IF($AN43="MA",0.09*MIN($D43,MAX(0,MAX(0,$AY43-MIN(($BD42+$Q43+$R43+$S43),2000)-IF($AS43=0,0,IF($AS43=1,4400,1000*$AS43+3400)))+$D43-1107750))+0.05*($D43-MIN($D43,MAX(0,MAX(0,$AY43-MIN(($BD42+$Q43+$R43+$S43),2000)-IF($AS43=0,0,IF($AS43=1,4400,1000*$AS43+3400)))+$D43-1107750))),IF($AN43="MD",(0.065+Inputs!$C$74)*$D43,IF($AN43="MI",0.0425*$D43,IF($AN43="MN",0.0625*$D43,IF($AN43="MO",0.047*$D43,IF($AN43="MT",0.05*$D43,IF($AN43="ND",0.015*$D43,IF($AN43="NE",0.035*$D43,IF($AN43="NJ",IF(Inputs!$C$77="B",SUMPRODUCT(($D43*Inputs!$C$8&gt;INDEX('Methodology &amp; Sources'!$B$155:$J$162,0,4))*($D43*Inputs!$C$8-INDEX('Methodology &amp; Sources'!$B$155:$J$162,0,4))*INDEX('Methodology &amp; Sources'!$B$155:$J$162,0,4+2)),IF(Inputs!$C$77="C",SUMPRODUCT(($D43*Inputs!$C$8&gt;INDEX('Methodology &amp; Sources'!$B$155:$J$162,0,7))*($D43*Inputs!$C$8-INDEX('Methodology &amp; Sources'!$B$155:$J$162,0,7))*INDEX('Methodology &amp; Sources'!$B$155:$J$162,0,7+2)),IF(Inputs!$C$77="D",SUMPRODUCT(($D43*Inputs!$C$8&gt;INDEX('Methodology &amp; Sources'!$B$167:$J$179,0,1))*($D43*Inputs!$C$8-INDEX('Methodology &amp; Sources'!$B$167:$J$179,0,1))*INDEX('Methodology &amp; Sources'!$B$167:$J$179,0,1+2)),IF(Inputs!$C$77="E",SUMPRODUCT(($D43*Inputs!$C$8&gt;INDEX('Methodology &amp; Sources'!$B$167:$J$179,0,4))*($D43*Inputs!$C$8-INDEX('Methodology &amp; Sources'!$B$167:$J$179,0,4))*INDEX('Methodology &amp; Sources'!$B$167:$J$179,0,4+2)),SUMPRODUCT(($D43*Inputs!$C$8&gt;INDEX('Methodology &amp; Sources'!$B$155:$J$162,0,1))*($D43*Inputs!$C$8-INDEX('Methodology &amp; Sources'!$B$155:$J$162,0,1))*INDEX('Methodology &amp; Sources'!$B$155:$J$162,0,1+2))))))/Inputs!$C$8,IF($AN43="NY",0.117*$D43,IF($AN43="OH",0.0275*$D43,IF($AN43="OK",0.045*$D43,IF($AN43="OR",0.08*$D43,IF($AN43="WI",IF($AY43&lt;12760,0.0354,IF($AY43&lt;25520,0.0465,IF($AY43&lt;280950,0.053,0.0765)))*$D43,0))))))))))))))))))))</f>
      </c>
      <c r="BD43" s="7">
        <f>IF($B43="","",$BD42+$Q43+$R43+$S43)</f>
      </c>
      <c r="BE43" s="6">
        <f>IF($B43="",$BE42,$BE42+$BF43)</f>
      </c>
      <c r="BF43" s="6">
        <f>IF($B43="","",IF(AND(IF(YEAR(IF(Inputs!$C$7="Weekly",Inputs!$C$90+7*(($BE42+1)-1),IF(Inputs!$C$7="Biweekly",Inputs!$C$90+14*(($BE42+1)-1),IF(Inputs!$C$7="Semimonthly",DATE(YEAR(Inputs!$C$9),MONTH(Inputs!$C$9)+INT((($BE42+1)-1+'Rest of 2026'!$C$2)/2),MIN(DAY(Inputs!$C$9),DAY(EOMONTH(DATE(YEAR(Inputs!$C$9),MONTH(Inputs!$C$9)+INT((($BE42+1)-1+'Rest of 2026'!$C$2)/2),1),0))))+IF(MOD(($BE42+1)-1+'Rest of 2026'!$C$2,2)=1,15,0),EDATE(Inputs!$C$90,($BE42+1)-1)))))&lt;&gt;Inputs!$C$10,"",IF(Inputs!$C$7="Weekly",Inputs!$C$90+7*(($BE42+1)-1),IF(Inputs!$C$7="Biweekly",Inputs!$C$90+14*(($BE42+1)-1),IF(Inputs!$C$7="Semimonthly",DATE(YEAR(Inputs!$C$9),MONTH(Inputs!$C$9)+INT((($BE42+1)-1+'Rest of 2026'!$C$2)/2),MIN(DAY(Inputs!$C$9),DAY(EOMONTH(DATE(YEAR(Inputs!$C$9),MONTH(Inputs!$C$9)+INT((($BE42+1)-1+'Rest of 2026'!$C$2)/2),1),0))))+IF(MOD(($BE42+1)-1+'Rest of 2026'!$C$2,2)=1,15,0),EDATE(Inputs!$C$90,($BE42+1)-1)))))&lt;&gt;"",$B43=IF(YEAR(IF(Inputs!$C$7="Weekly",Inputs!$C$90+7*(($BE42+1)-1),IF(Inputs!$C$7="Biweekly",Inputs!$C$90+14*(($BE42+1)-1),IF(Inputs!$C$7="Semimonthly",DATE(YEAR(Inputs!$C$9),MONTH(Inputs!$C$9)+INT((($BE42+1)-1+'Rest of 2026'!$C$2)/2),MIN(DAY(Inputs!$C$9),DAY(EOMONTH(DATE(YEAR(Inputs!$C$9),MONTH(Inputs!$C$9)+INT((($BE42+1)-1+'Rest of 2026'!$C$2)/2),1),0))))+IF(MOD(($BE42+1)-1+'Rest of 2026'!$C$2,2)=1,15,0),EDATE(Inputs!$C$90,($BE42+1)-1)))))&lt;&gt;Inputs!$C$10,"",IF(Inputs!$C$7="Weekly",Inputs!$C$90+7*(($BE42+1)-1),IF(Inputs!$C$7="Biweekly",Inputs!$C$90+14*(($BE42+1)-1),IF(Inputs!$C$7="Semimonthly",DATE(YEAR(Inputs!$C$9),MONTH(Inputs!$C$9)+INT((($BE42+1)-1+'Rest of 2026'!$C$2)/2),MIN(DAY(Inputs!$C$9),DAY(EOMONTH(DATE(YEAR(Inputs!$C$9),MONTH(Inputs!$C$9)+INT((($BE42+1)-1+'Rest of 2026'!$C$2)/2),1),0))))+IF(MOD(($BE42+1)-1+'Rest of 2026'!$C$2,2)=1,15,0),EDATE(Inputs!$C$90,($BE42+1)-1)))))),1,0))</f>
      </c>
      <c r="BG43" s="7">
        <f>IF($B43="","",$BG42+$H43)</f>
      </c>
      <c r="BH43" s="7">
        <f>IF($B43="","",$BH42+$I43)</f>
      </c>
      <c r="BI43" s="7">
        <f>IF($B43="","",$BI42+$G43)</f>
      </c>
      <c r="BJ43" s="7">
        <f>IF($B43="","",IFERROR(LOOKUP(2,1/((((Events!$C$6:$C$17="Deduction start"))*(Events!$D$6:$D$17="Health FSA"))*(Events!$B$6:$B$17&lt;=$B43)*(Events!$B$6:$B$17&lt;&gt;"")),Events!$E$6:$E$17),Inputs!$D$38))</f>
      </c>
      <c r="BK43" s="7">
        <f>IF($B43="","",IFERROR(LOOKUP(2,1/((((Events!$C$6:$C$17="Deduction start"))*(Events!$D$6:$D$17="Dependent-care FSA"))*(Events!$B$6:$B$17&lt;=$B43)*(Events!$B$6:$B$17&lt;&gt;"")),Events!$E$6:$E$17),Inputs!$D$39))</f>
      </c>
      <c r="BL43" s="7">
        <f>IF($B43="","",IFERROR(LOOKUP(2,1/((((Events!$C$6:$C$17="Deduction start")+(Events!$C$6:$C$17="Deduction stop"))*(Events!$D$6:$D$17="HSA"))*(Events!$B$6:$B$17&lt;=$B43)*(Events!$B$6:$B$17&lt;&gt;"")),Events!$I$6:$I$17),Inputs!$D$35))</f>
      </c>
      <c r="BM43" s="7">
        <f>IF($B43="","",IFERROR(LOOKUP(2,1/((((Events!$C$6:$C$17="Deduction start")+(Events!$C$6:$C$17="Deduction stop"))*(Events!$D$6:$D$17="Premiums"))*(Events!$B$6:$B$17&lt;=$B43)*(Events!$B$6:$B$17&lt;&gt;"")),Events!$I$6:$I$17),Inputs!$D$40+Inputs!$D$41+Inputs!$D$42))</f>
      </c>
      <c r="BN43" s="7">
        <f>IF($B43="","",IFERROR(LOOKUP(2,1/((((Events!$C$6:$C$17="Deduction start")+(Events!$C$6:$C$17="Deduction stop"))*(Events!$D$6:$D$17="Commuter"))*(Events!$B$6:$B$17&lt;=$B43)*(Events!$B$6:$B$17&lt;&gt;"")),Events!$I$6:$I$17),Inputs!$D$43))</f>
      </c>
      <c r="BO43" s="7">
        <f>IF($B43="","",IFERROR(LOOKUP(2,1/((((Events!$C$6:$C$17="Deduction start")+(Events!$C$6:$C$17="Deduction stop"))*(Events!$D$6:$D$17="Other pre-tax"))*(Events!$B$6:$B$17&lt;=$B43)*(Events!$B$6:$B$17&lt;&gt;"")),Events!$I$6:$I$17),Inputs!$D$44))</f>
      </c>
      <c r="BP43" s="7">
        <f>IF($B43="","",IFERROR(LOOKUP(2,1/((((Events!$C$6:$C$17="Deduction start")+(Events!$C$6:$C$17="Deduction stop"))*(Events!$D$6:$D$17="Other post-tax"))*(Events!$B$6:$B$17&lt;=$B43)*(Events!$B$6:$B$17&lt;&gt;"")),Events!$I$6:$I$17),Inputs!$D$45))</f>
      </c>
      <c r="BQ43" s="6">
        <f>IF($B43="","",IFERROR(LOOKUP(2,1/((((Events!$C$6:$C$17="Deduction start")+(Events!$C$6:$C$17="Deduction stop"))*(Events!$D$6:$D$17="Health FSA"))*(Events!$B$6:$B$17&lt;=$B43)*(Events!$B$6:$B$17&lt;&gt;"")),Events!$J$6:$J$17),0))</f>
      </c>
      <c r="BR43" s="6">
        <f>IF($B43="","",IFERROR(LOOKUP(2,1/((((Events!$C$6:$C$17="Deduction start")+(Events!$C$6:$C$17="Deduction stop"))*(Events!$D$6:$D$17="Dependent-care FSA"))*(Events!$B$6:$B$17&lt;=$B43)*(Events!$B$6:$B$17&lt;&gt;"")),Events!$J$6:$J$17),0))</f>
      </c>
      <c r="BS43" s="6">
        <f>IF($B43="","",IF(SUMPRODUCT((Events!$C$6:$C$17="Deduction start")*(Events!$B$6:$B$17&lt;=$B43)*(Events!$B$6:$B$17&lt;&gt;"")*(Events!$D$6:$D$17="Health FSA"))&gt;0,1,0))</f>
      </c>
      <c r="BT43" s="6">
        <f>IF($B43="","",IF(SUMPRODUCT((Events!$C$6:$C$17="Deduction start")*(Events!$B$6:$B$17&lt;=$B43)*(Events!$B$6:$B$17&lt;&gt;"")*(Events!$D$6:$D$17="Dependent-care FSA"))&gt;0,1,0))</f>
      </c>
      <c r="BU43" s="24">
        <f>IF($B43="","",IF(Inputs!$C$13,SUMPRODUCT(($AH43&gt;=INDEX('Methodology &amp; Sources'!$B$29:$J$36,0,IF(Inputs!$C$12="MFJ",1,IF(Inputs!$C$12="HoH",7,4))))*INDEX('Methodology &amp; Sources'!$B$29:$J$36,0,IF(Inputs!$C$12="MFJ",1,IF(Inputs!$C$12="HoH",7,4))+2)),SUMPRODUCT(($AH43&gt;=INDEX('Methodology &amp; Sources'!$B$19:$J$26,0,IF(Inputs!$C$12="MFJ",1,IF(Inputs!$C$12="HoH",7,4))))*INDEX('Methodology &amp; Sources'!$B$19:$J$26,0,IF(Inputs!$C$12="MFJ",1,IF(Inputs!$C$12="HoH",7,4))+2))))</f>
      </c>
      <c r="BV43" s="24">
        <f>IF($B43="","",IF($BZ43&lt;&gt;"",$BZ43,IF($CA43&lt;&gt;"",$CA43,IF($CB43&lt;&gt;"",$CB43,IF($CC43&lt;&gt;"",$CC43,0)))))</f>
      </c>
      <c r="BW43" s="7">
        <f>IF($B43="","",IF($AN43="MD",IF(OR($AU43="Married",$AU43="Head of household"),SUMPRODUCT(($AZ43&gt;INDEX('Methodology &amp; Sources'!$B$114:$J$120,0,1))*($AZ43-INDEX('Methodology &amp; Sources'!$B$114:$J$120,0,1))*INDEX('Methodology &amp; Sources'!$B$114:$J$120,0,1+2)),SUMPRODUCT(($AZ43&gt;INDEX('Methodology &amp; Sources'!$B$103:$J$109,0,7))*($AZ43-INDEX('Methodology &amp; Sources'!$B$103:$J$109,0,7))*INDEX('Methodology &amp; Sources'!$B$103:$J$109,0,7+2))),IF($AN43="MO",SUMPRODUCT(($AZ43&gt;INDEX('Methodology &amp; Sources'!$B$125:$J$132,0,1))*($AZ43-INDEX('Methodology &amp; Sources'!$B$125:$J$132,0,1))*INDEX('Methodology &amp; Sources'!$B$125:$J$132,0,1+2)),IF($AN43="MT",IF($AU43="Head of household",SUMPRODUCT(($AZ43&gt;INDEX('Methodology &amp; Sources'!$B$137:$J$139,0,1))*($AZ43-INDEX('Methodology &amp; Sources'!$B$137:$J$139,0,1))*INDEX('Methodology &amp; Sources'!$B$137:$J$139,0,1+2)),IF($AU43="Married",SUMPRODUCT(($AZ43&gt;INDEX('Methodology &amp; Sources'!$B$125:$J$132,0,7))*($AZ43-INDEX('Methodology &amp; Sources'!$B$125:$J$132,0,7))*INDEX('Methodology &amp; Sources'!$B$125:$J$132,0,7+2)),SUMPRODUCT(($AZ43&gt;INDEX('Methodology &amp; Sources'!$B$125:$J$132,0,4))*($AZ43-INDEX('Methodology &amp; Sources'!$B$125:$J$132,0,4))*INDEX('Methodology &amp; Sources'!$B$125:$J$132,0,4+2)))),IF($AN43="ND",IF($AU43="Head of household",SUMPRODUCT(($AZ43&gt;INDEX('Methodology &amp; Sources'!$B$144:$J$150,0,1))*($AZ43-INDEX('Methodology &amp; Sources'!$B$144:$J$150,0,1))*INDEX('Methodology &amp; Sources'!$B$144:$J$150,0,1+2)),IF($AU43="Married",SUMPRODUCT(($AZ43&gt;INDEX('Methodology &amp; Sources'!$B$137:$J$139,0,7))*($AZ43-INDEX('Methodology &amp; Sources'!$B$137:$J$139,0,7))*INDEX('Methodology &amp; Sources'!$B$137:$J$139,0,7+2)),SUMPRODUCT(($AZ43&gt;INDEX('Methodology &amp; Sources'!$B$137:$J$139,0,4))*($AZ43-INDEX('Methodology &amp; Sources'!$B$137:$J$139,0,4))*INDEX('Methodology &amp; Sources'!$B$137:$J$139,0,4+2)))),IF($AN43="NJ",IF(Inputs!$C$77="B",SUMPRODUCT(($AZ43&gt;INDEX('Methodology &amp; Sources'!$B$155:$J$162,0,4))*($AZ43-INDEX('Methodology &amp; Sources'!$B$155:$J$162,0,4))*INDEX('Methodology &amp; Sources'!$B$155:$J$162,0,4+2)),IF(Inputs!$C$77="C",SUMPRODUCT(($AZ43&gt;INDEX('Methodology &amp; Sources'!$B$155:$J$162,0,7))*($AZ43-INDEX('Methodology &amp; Sources'!$B$155:$J$162,0,7))*INDEX('Methodology &amp; Sources'!$B$155:$J$162,0,7+2)),IF(Inputs!$C$77="D",SUMPRODUCT(($AZ43&gt;INDEX('Methodology &amp; Sources'!$B$167:$J$179,0,1))*($AZ43-INDEX('Methodology &amp; Sources'!$B$167:$J$179,0,1))*INDEX('Methodology &amp; Sources'!$B$167:$J$179,0,1+2)),IF(Inputs!$C$77="E",SUMPRODUCT(($AZ43&gt;INDEX('Methodology &amp; Sources'!$B$167:$J$179,0,4))*($AZ43-INDEX('Methodology &amp; Sources'!$B$167:$J$179,0,4))*INDEX('Methodology &amp; Sources'!$B$167:$J$179,0,4+2)),SUMPRODUCT(($AZ43&gt;INDEX('Methodology &amp; Sources'!$B$155:$J$162,0,1))*($AZ43-INDEX('Methodology &amp; Sources'!$B$155:$J$162,0,1))*INDEX('Methodology &amp; Sources'!$B$155:$J$162,0,1+2)))))),IF($AN43="NY",IF($AU43="Married",IF($AZ43&gt;=2155350,$AZ43*IF($AZ43&gt;25000000,0.117,IF($AZ43&gt;5000000,0.111,0.1045)),SUMPRODUCT(($AZ43&gt;INDEX('Methodology &amp; Sources'!$B$184:$J$198,0,1))*($AZ43-INDEX('Methodology &amp; Sources'!$B$184:$J$198,0,1))*INDEX('Methodology &amp; Sources'!$B$184:$J$198,0,1+2))),IF($AZ43&gt;=1077550,$AZ43*IF($AZ43&gt;25000000,0.117,IF($AZ43&gt;5000000,0.111,0.1045)),SUMPRODUCT(($AZ43&gt;INDEX('Methodology &amp; Sources'!$B$167:$J$179,0,7))*($AZ43-INDEX('Methodology &amp; Sources'!$B$167:$J$179,0,7))*INDEX('Methodology &amp; Sources'!$B$167:$J$179,0,7+2)))),"")))))))</f>
      </c>
      <c r="BX43" s="7">
        <f>IF($B43="","",IF($AN43="AL",IF(OR($AU43="Married",$AU43="Head of household"),SUMPRODUCT(($AZ43&gt;INDEX('Methodology &amp; Sources'!$B$82:$J$86,0,4))*($AZ43-INDEX('Methodology &amp; Sources'!$B$82:$J$86,0,4))*INDEX('Methodology &amp; Sources'!$B$82:$J$86,0,4+2)),SUMPRODUCT(($AZ43&gt;INDEX('Methodology &amp; Sources'!$B$82:$J$86,0,1))*($AZ43-INDEX('Methodology &amp; Sources'!$B$82:$J$86,0,1))*INDEX('Methodology &amp; Sources'!$B$82:$J$86,0,1+2))),IF($AN43="KS",IF($AU43="Married",SUMPRODUCT(($AZ43&gt;INDEX('Methodology &amp; Sources'!$B$103:$J$109,0,4))*($AZ43-INDEX('Methodology &amp; Sources'!$B$103:$J$109,0,4))*INDEX('Methodology &amp; Sources'!$B$103:$J$109,0,4+2)),SUMPRODUCT(($AZ43&gt;INDEX('Methodology &amp; Sources'!$B$103:$J$109,0,1))*($AZ43-INDEX('Methodology &amp; Sources'!$B$103:$J$109,0,1))*INDEX('Methodology &amp; Sources'!$B$103:$J$109,0,1+2))),IF($AN43="MN",IF($AU43="Married",SUMPRODUCT(($AZ43&gt;INDEX('Methodology &amp; Sources'!$B$114:$J$120,0,7))*($AZ43-INDEX('Methodology &amp; Sources'!$B$114:$J$120,0,7))*INDEX('Methodology &amp; Sources'!$B$114:$J$120,0,7+2)),SUMPRODUCT(($AZ43&gt;INDEX('Methodology &amp; Sources'!$B$114:$J$120,0,4))*($AZ43-INDEX('Methodology &amp; Sources'!$B$114:$J$120,0,4))*INDEX('Methodology &amp; Sources'!$B$114:$J$120,0,4+2))),IF($AN43="NE",MAX(IF($AU43="Married",SUMPRODUCT(($AZ43&gt;INDEX('Methodology &amp; Sources'!$B$144:$J$150,0,7))*($AZ43-INDEX('Methodology &amp; Sources'!$B$144:$J$150,0,7))*INDEX('Methodology &amp; Sources'!$B$144:$J$150,0,7+2)),SUMPRODUCT(($AZ43&gt;INDEX('Methodology &amp; Sources'!$B$144:$J$150,0,4))*($AZ43-INDEX('Methodology &amp; Sources'!$B$144:$J$150,0,4))*INDEX('Methodology &amp; Sources'!$B$144:$J$150,0,4+2))),0.015*$AZ43),IF($AN43="OH",IF($B43&gt;=DATE(2027,8,1),SUMPRODUCT(($AZ43&gt;INDEX('Methodology &amp; Sources'!$B$203:$J$206,0,1))*($AZ43-INDEX('Methodology &amp; Sources'!$B$203:$J$206,0,1))*INDEX('Methodology &amp; Sources'!$B$203:$J$206,0,1+2)),SUMPRODUCT(($AZ43&gt;INDEX('Methodology &amp; Sources'!$B$184:$J$198,0,7))*($AZ43-INDEX('Methodology &amp; Sources'!$B$184:$J$198,0,7))*INDEX('Methodology &amp; Sources'!$B$184:$J$198,0,7+2))),IF($AN43="OK",IF($AU43="Married",SUMPRODUCT(($AZ43&gt;INDEX('Methodology &amp; Sources'!$B$203:$J$206,0,7))*($AZ43-INDEX('Methodology &amp; Sources'!$B$203:$J$206,0,7))*INDEX('Methodology &amp; Sources'!$B$203:$J$206,0,7+2)),SUMPRODUCT(($AZ43&gt;INDEX('Methodology &amp; Sources'!$B$203:$J$206,0,4))*($AZ43-INDEX('Methodology &amp; Sources'!$B$203:$J$206,0,4))*INDEX('Methodology &amp; Sources'!$B$203:$J$206,0,4+2))),IF($AN43="RI",SUMPRODUCT(($AZ43&gt;INDEX('Methodology &amp; Sources'!$B$211:$J$214,0,7))*($AZ43-INDEX('Methodology &amp; Sources'!$B$211:$J$214,0,7))*INDEX('Methodology &amp; Sources'!$B$211:$J$214,0,7+2)),IF($AN43="VT",IF($AU43="Married",SUMPRODUCT(($AZ43&gt;INDEX('Methodology &amp; Sources'!$B$228:$J$232,0,1))*($AZ43-INDEX('Methodology &amp; Sources'!$B$228:$J$232,0,1))*INDEX('Methodology &amp; Sources'!$B$228:$J$232,0,1+2)),SUMPRODUCT(($AZ43&gt;INDEX('Methodology &amp; Sources'!$B$219:$J$223,0,7))*($AZ43-INDEX('Methodology &amp; Sources'!$B$219:$J$223,0,7))*INDEX('Methodology &amp; Sources'!$B$219:$J$223,0,7+2))),IF($AN43="WV",IF($AU43="Married",SUMPRODUCT(($AZ43&gt;INDEX('Methodology &amp; Sources'!$B$237:$J$241,0,7))*($AZ43-INDEX('Methodology &amp; Sources'!$B$237:$J$241,0,7))*INDEX('Methodology &amp; Sources'!$B$237:$J$241,0,7+2)),SUMPRODUCT(($AZ43&gt;INDEX('Methodology &amp; Sources'!$B$228:$J$232,0,7))*($AZ43-INDEX('Methodology &amp; Sources'!$B$228:$J$232,0,7))*INDEX('Methodology &amp; Sources'!$B$228:$J$232,0,7+2))),""))))))))))</f>
      </c>
      <c r="BY43" s="7">
        <f>IF($B43="","",IF($AN43="AR",SUMPRODUCT(($AZ43&gt;INDEX('Methodology &amp; Sources'!$B$82:$J$86,0,7))*($AZ43-INDEX('Methodology &amp; Sources'!$B$82:$J$86,0,7))*INDEX('Methodology &amp; Sources'!$B$82:$J$86,0,7+2)),IF($AN43="DE",SUMPRODUCT(($AZ43&gt;INDEX('Methodology &amp; Sources'!$B$91:$J$98,0,1))*($AZ43-INDEX('Methodology &amp; Sources'!$B$91:$J$98,0,1))*INDEX('Methodology &amp; Sources'!$B$91:$J$98,0,1+2)),IF($AN43="HI",IF($AU43="Married",SUMPRODUCT(($AZ43&gt;INDEX('Methodology &amp; Sources'!$B$91:$J$98,0,7))*($AZ43-INDEX('Methodology &amp; Sources'!$B$91:$J$98,0,7))*INDEX('Methodology &amp; Sources'!$B$91:$J$98,0,7+2)),SUMPRODUCT(($AZ43&gt;INDEX('Methodology &amp; Sources'!$B$91:$J$98,0,4))*($AZ43-INDEX('Methodology &amp; Sources'!$B$91:$J$98,0,4))*INDEX('Methodology &amp; Sources'!$B$91:$J$98,0,4+2))),IF($AN43="SC",SUMPRODUCT(($AZ43&gt;INDEX('Methodology &amp; Sources'!$B$219:$J$223,0,1))*($AZ43-INDEX('Methodology &amp; Sources'!$B$219:$J$223,0,1))*INDEX('Methodology &amp; Sources'!$B$219:$J$223,0,1+2)),IF($AN43="VA",SUMPRODUCT(($AZ43&gt;INDEX('Methodology &amp; Sources'!$B$219:$J$223,0,4))*($AZ43-INDEX('Methodology &amp; Sources'!$B$219:$J$223,0,4))*INDEX('Methodology &amp; Sources'!$B$219:$J$223,0,4+2)),IF($AN43="WI",SUMPRODUCT(($AZ43&gt;INDEX('Methodology &amp; Sources'!$B$228:$J$232,0,4))*($AZ43-INDEX('Methodology &amp; Sources'!$B$228:$J$232,0,4))*INDEX('Methodology &amp; Sources'!$B$228:$J$232,0,4+2)),"")))))))</f>
      </c>
      <c r="BZ43" s="24">
        <f>IF($B43="","",IF($AN43="NJ",IF(Inputs!$C$77="B",SUMPRODUCT(($AZ43&gt;=INDEX('Methodology &amp; Sources'!$B$155:$J$162,0,4))*INDEX('Methodology &amp; Sources'!$B$155:$J$162,0,4+2)),IF(Inputs!$C$77="C",SUMPRODUCT(($AZ43&gt;=INDEX('Methodology &amp; Sources'!$B$155:$J$162,0,7))*INDEX('Methodology &amp; Sources'!$B$155:$J$162,0,7+2)),IF(Inputs!$C$77="D",SUMPRODUCT(($AZ43&gt;=INDEX('Methodology &amp; Sources'!$B$167:$J$179,0,1))*INDEX('Methodology &amp; Sources'!$B$167:$J$179,0,1+2)),IF(Inputs!$C$77="E",SUMPRODUCT(($AZ43&gt;=INDEX('Methodology &amp; Sources'!$B$167:$J$179,0,4))*INDEX('Methodology &amp; Sources'!$B$167:$J$179,0,4+2)),SUMPRODUCT(($AZ43&gt;=INDEX('Methodology &amp; Sources'!$B$155:$J$162,0,1))*INDEX('Methodology &amp; Sources'!$B$155:$J$162,0,1+2)))))),IF($AN43="OR",IF(OR($AU43="Married",AND($AU43="Single",$AS43&gt;=3)),SUMPRODUCT((MAX(0,$AY43-MIN(($P43-'Methodology &amp; Sources'!$C$10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Sources'!$B$211:$J$214,0,4))*INDEX('Methodology &amp; Sources'!$B$211:$J$214,0,4+2)),SUMPRODUCT((MAX(0,$AY43-MIN(($P43-'Methodology &amp; Sources'!$C$10*$D43)*Inputs!$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Sources'!$B$211:$J$214,0,1))*INDEX('Methodology &amp; Sources'!$B$211:$J$214,0,1+2)))*IF(($P43-'Methodology &amp; Sources'!$C$10*$D43)*Inputs!$C$8&gt;=IF(OR($AU43="Married",AND($AU43="Single",$AS43&gt;=3)),IF($AY43&lt;250000,8750,IF($AY43&lt;260000,7000,IF($AY43&lt;270000,5250,IF($AY43&lt;280000,3500,IF($AY43&lt;290000,1750,0))))),IF($AY43&lt;125000,8750,IF($AY43&lt;130000,7000,IF($AY43&lt;135000,5250,IF($AY43&lt;140000,3500,IF($AY43&lt;145000,1750,0)))))),1,1-IF(Inputs!$C$13,SUMPRODUCT(($AH43&gt;=INDEX('Methodology &amp; Sources'!$B$29:$J$36,0,IF(Inputs!$C$12="MFJ",1,IF(Inputs!$C$12="HoH",7,4))))*INDEX('Methodology &amp; Sources'!$B$29:$J$36,0,IF(Inputs!$C$12="MFJ",1,IF(Inputs!$C$12="HoH",7,4))+2)),SUMPRODUCT(($AH43&gt;=INDEX('Methodology &amp; Sources'!$B$19:$J$26,0,IF(Inputs!$C$12="MFJ",1,IF(Inputs!$C$12="HoH",7,4))))*INDEX('Methodology &amp; Sources'!$B$19:$J$26,0,IF(Inputs!$C$12="MFJ",1,IF(Inputs!$C$12="HoH",7,4))+2)))),IF($AN43="MI",IF($AY43&gt;5900*$AS43,0.0425,0),""))))</f>
      </c>
      <c r="CA43" s="24">
        <f>IF($B43="","",IF($AN43="AL",IF(OR($AU43="Married",$AU43="Head of household"),SUMPRODUCT(($AZ43&gt;=INDEX('Methodology &amp; Sources'!$B$82:$J$86,0,4))*INDEX('Methodology &amp; Sources'!$B$82:$J$86,0,4+2)),SUMPRODUCT(($AZ43&gt;=INDEX('Methodology &amp; Sources'!$B$82:$J$86,0,1))*INDEX('Methodology &amp; Sources'!$B$82:$J$86,0,1+2)))*(1-IF(Inputs!$C$13,SUMPRODUCT(($AH43&gt;=INDEX('Methodology &amp; Sources'!$B$29:$J$36,0,IF(Inputs!$C$12="MFJ",1,IF(Inputs!$C$12="HoH",7,4))))*INDEX('Methodology &amp; Sources'!$B$29:$J$36,0,IF(Inputs!$C$12="MFJ",1,IF(Inputs!$C$12="HoH",7,4))+2)),SUMPRODUCT(($AH43&gt;=INDEX('Methodology &amp; Sources'!$B$19:$J$26,0,IF(Inputs!$C$12="MFJ",1,IF(Inputs!$C$12="HoH",7,4))))*INDEX('Methodology &amp; Sources'!$B$19:$J$26,0,IF(Inputs!$C$12="MFJ",1,IF(Inputs!$C$12="HoH",7,4))+2)))),IF($AN43="KS",IF($AU43="Married",SUMPRODUCT(($AZ43&gt;=INDEX('Methodology &amp; Sources'!$B$103:$J$109,0,4))*INDEX('Methodology &amp; Sources'!$B$103:$J$109,0,4+2)),SUMPRODUCT(($AZ43&gt;=INDEX('Methodology &amp; Sources'!$B$103:$J$109,0,1))*INDEX('Methodology &amp; Sources'!$B$103:$J$109,0,1+2))),IF($AN43="MD",IF(OR($AU43="Married",$AU43="Head of household"),SUMPRODUCT(($AZ43&gt;=INDEX('Methodology &amp; Sources'!$B$114:$J$120,0,1))*INDEX('Methodology &amp; Sources'!$B$114:$J$120,0,1+2)),SUMPRODUCT(($AZ43&gt;=INDEX('Methodology &amp; Sources'!$B$103:$J$109,0,7))*INDEX('Methodology &amp; Sources'!$B$103:$J$109,0,7+2)))+Inputs!$C$74,IF($AN43="MT",IF($AU43="Head of household",SUMPRODUCT(($AZ43&gt;=INDEX('Methodology &amp; Sources'!$B$137:$J$139,0,1))*INDEX('Methodology &amp; Sources'!$B$137:$J$139,0,1+2)),IF($AU43="Married",SUMPRODUCT(($AZ43&gt;=INDEX('Methodology &amp; Sources'!$B$125:$J$132,0,7))*INDEX('Methodology &amp; Sources'!$B$125:$J$132,0,7+2)),SUMPRODUCT(($AZ43&gt;=INDEX('Methodology &amp; Sources'!$B$125:$J$132,0,4))*INDEX('Methodology &amp; Sources'!$B$125:$J$132,0,4+2)))),IF($AN43="ND",IF($AU43="Head of household",SUMPRODUCT(($AZ43&gt;=INDEX('Methodology &amp; Sources'!$B$144:$J$150,0,1))*INDEX('Methodology &amp; Sources'!$B$144:$J$150,0,1+2)),IF($AU43="Married",SUMPRODUCT(($AZ43&gt;=INDEX('Methodology &amp; Sources'!$B$137:$J$139,0,7))*INDEX('Methodology &amp; Sources'!$B$137:$J$139,0,7+2)),SUMPRODUCT(($AZ43&gt;=INDEX('Methodology &amp; Sources'!$B$137:$J$139,0,4))*INDEX('Methodology &amp; Sources'!$B$137:$J$139,0,4+2)))),IF($AN43="NY",IF($AU43="Married",IF($AZ43&gt;=2155350,IF($AZ43&gt;25000000,0.117,IF($AZ43&gt;5000000,0.111,0.1045)),SUMPRODUCT(($AZ43&gt;=INDEX('Methodology &amp; Sources'!$B$184:$J$198,0,1))*INDEX('Methodology &amp; Sources'!$B$184:$J$198,0,1+2))),IF($AZ43&gt;=1077550,IF($AZ43&gt;25000000,0.117,IF($AZ43&gt;5000000,0.111,0.1045)),SUMPRODUCT(($AZ43&gt;=INDEX('Methodology &amp; Sources'!$B$167:$J$179,0,7))*INDEX('Methodology &amp; Sources'!$B$167:$J$179,0,7+2)))),"")))))))</f>
      </c>
      <c r="CB43" s="24">
        <f>IF($B43="","",IF($AN43="CA",SUMPRODUCT(($AJ43&gt;=INDEX('Methodology &amp; Sources'!$B$39:$J$48,0,IF($AU43="Married",4,IF($AU43="Head of household",7,1))))*INDEX('Methodology &amp; Sources'!$B$39:$J$48,0,IF($AU43="Married",4,IF($AU43="Head of household",7,1))+2)),IF($AN43="HI",IF($AU43="Married",SUMPRODUCT(($AZ43&gt;=INDEX('Methodology &amp; Sources'!$B$91:$J$98,0,7))*INDEX('Methodology &amp; Sources'!$B$91:$J$98,0,7+2)),SUMPRODUCT(($AZ43&gt;=INDEX('Methodology &amp; Sources'!$B$91:$J$98,0,4))*INDEX('Methodology &amp; Sources'!$B$91:$J$98,0,4+2))),IF($AN43="MN",IF($AU43="Married",SUMPRODUCT(($AZ43&gt;=INDEX('Methodology &amp; Sources'!$B$114:$J$120,0,7))*INDEX('Methodology &amp; Sources'!$B$114:$J$120,0,7+2)),SUMPRODUCT(($AZ43&gt;=INDEX('Methodology &amp; Sources'!$B$114:$J$120,0,4))*INDEX('Methodology &amp; Sources'!$B$114:$J$120,0,4+2))),IF($AN43="MO",SUMPRODUCT(($AZ43&gt;=INDEX('Methodology &amp; Sources'!$B$125:$J$132,0,1))*INDEX('Methodology &amp; Sources'!$B$125:$J$132,0,1+2)),IF($AN43="NE",MAX(IF($AU43="Married",SUMPRODUCT(($AZ43&gt;=INDEX('Methodology &amp; Sources'!$B$144:$J$150,0,7))*INDEX('Methodology &amp; Sources'!$B$144:$J$150,0,7+2)),SUMPRODUCT(($AZ43&gt;=INDEX('Methodology &amp; Sources'!$B$144:$J$150,0,4))*INDEX('Methodology &amp; Sources'!$B$144:$J$150,0,4+2))),0.015),IF($AN43="OH",IF($B43&gt;=DATE(2027,8,1),SUMPRODUCT(($AZ43&gt;=INDEX('Methodology &amp; Sources'!$B$203:$J$206,0,1))*INDEX('Methodology &amp; Sources'!$B$203:$J$206,0,1+2)),SUMPRODUCT(($AZ43&gt;=INDEX('Methodology &amp; Sources'!$B$184:$J$198,0,7))*INDEX('Methodology &amp; Sources'!$B$184:$J$198,0,7+2))),IF($AN43="OK",IF($AU43="Married",SUMPRODUCT(($AZ43&gt;=INDEX('Methodology &amp; Sources'!$B$203:$J$206,0,7))*INDEX('Methodology &amp; Sources'!$B$203:$J$206,0,7+2)),SUMPRODUCT(($AZ43&gt;=INDEX('Methodology &amp; Sources'!$B$203:$J$206,0,4))*INDEX('Methodology &amp; Sources'!$B$203:$J$206,0,4+2))),IF($AN43="RI",SUMPRODUCT(($AZ43&gt;=INDEX('Methodology &amp; Sources'!$B$211:$J$214,0,7))*INDEX('Methodology &amp; Sources'!$B$211:$J$214,0,7+2)),IF($AN43="SC",SUMPRODUCT(($AZ43&gt;=INDEX('Methodology &amp; Sources'!$B$219:$J$223,0,1))*INDEX('Methodology &amp; Sources'!$B$219:$J$223,0,1+2)),IF($AN43="VT",IF($AU43="Married",SUMPRODUCT(($AZ43&gt;=INDEX('Methodology &amp; Sources'!$B$228:$J$232,0,1))*INDEX('Methodology &amp; Sources'!$B$228:$J$232,0,1+2)),SUMPRODUCT(($AZ43&gt;=INDEX('Methodology &amp; Sources'!$B$219:$J$223,0,7))*INDEX('Methodology &amp; Sources'!$B$219:$J$223,0,7+2))),IF($AN43="WV",IF($AU43="Married",SUMPRODUCT(($AZ43&gt;=INDEX('Methodology &amp; Sources'!$B$237:$J$241,0,7))*INDEX('Methodology &amp; Sources'!$B$237:$J$241,0,7+2)),SUMPRODUCT(($AZ43&gt;=INDEX('Methodology &amp; Sources'!$B$228:$J$232,0,7))*INDEX('Methodology &amp; Sources'!$B$228:$J$232,0,7+2))),IF($AN43="IN",(0.0295+Inputs!$C$76),"")))))))))))))</f>
      </c>
      <c r="CC43" s="24">
        <f>IF($B43="","",IF($AN43="AR",SUMPRODUCT(($AZ43&gt;=INDEX('Methodology &amp; Sources'!$B$82:$J$86,0,7))*INDEX('Methodology &amp; Sources'!$B$82:$J$86,0,7+2)),IF($AN43="DE",SUMPRODUCT(($AZ43&gt;=INDEX('Methodology &amp; Sources'!$B$91:$J$98,0,1))*INDEX('Methodology &amp; Sources'!$B$91:$J$98,0,1+2)),IF($AN43="VA",SUMPRODUCT(($AZ43&gt;=INDEX('Methodology &amp; Sources'!$B$219:$J$223,0,4))*INDEX('Methodology &amp; Sources'!$B$219:$J$223,0,4+2)),IF($AN43="WI",SUMPRODUCT(($AZ43&gt;=INDEX('Methodology &amp; Sources'!$B$228:$J$232,0,4))*INDEX('Methodology &amp; Sources'!$B$228:$J$232,0,4+2)),IF($AN43="AZ",Inputs!$C$82,IF($AN43="CO",IF($AY43&gt;IF($AU43="Married",10000,5000),0.044,0),IF($AN43="IA",IF($AY43&gt;IF($AU43="Head of household",19500,IF($AU43="Married",26000,13000)),0.038,0),IF($AN43="ID",IF($AY43&gt;IF($AU43="Married",32000,16094),0.053,0),IF($AN43="IL",IF($AY43&gt;(2925*$AS43+1000*$AT43),0.0495,0),IF($AN43="KY",IF($AI43&gt;3360,0.035,0),IF($AN43="LA",0.0309,IF($AN43="MA",IF(MAX(0,$AY43-MIN(($BD42+$Q43+$R43+$S43),2000)-IF($AS43=0,0,IF($AS43=1,4400,1000*$AS43+3400)))&gt;=1107750,0.09,0.05),IF($AN43="MS",IF($AI43-IF($AU43="Head of household",3400,IF($AU43="Married",4600,2300))-Inputs!$C$85&gt;10000,0.04,0),IF($AN43="PA",0.0307,"")))))))))))))))</f>
      </c>
      <c r="CD43" s="21">
        <f>IF(YEAR(IF(Inputs!$C$7="Weekly",Inputs!$C$90+7*(($BE42+1)-1),IF(Inputs!$C$7="Biweekly",Inputs!$C$90+14*(($BE42+1)-1),IF(Inputs!$C$7="Semimonthly",DATE(YEAR(Inputs!$C$9),MONTH(Inputs!$C$9)+INT((($BE42+1)-1+'Rest of 2026'!$C$2)/2),MIN(DAY(Inputs!$C$9),DAY(EOMONTH(DATE(YEAR(Inputs!$C$9),MONTH(Inputs!$C$9)+INT((($BE42+1)-1+'Rest of 2026'!$C$2)/2),1),0))))+IF(MOD(($BE42+1)-1+'Rest of 2026'!$C$2,2)=1,15,0),EDATE(Inputs!$C$90,($BE42+1)-1)))))&lt;&gt;Inputs!$C$10,"",IF(Inputs!$C$7="Weekly",Inputs!$C$90+7*(($BE42+1)-1),IF(Inputs!$C$7="Biweekly",Inputs!$C$90+14*(($BE42+1)-1),IF(Inputs!$C$7="Semimonthly",DATE(YEAR(Inputs!$C$9),MONTH(Inputs!$C$9)+INT((($BE42+1)-1+'Rest of 2026'!$C$2)/2),MIN(DAY(Inputs!$C$9),DAY(EOMONTH(DATE(YEAR(Inputs!$C$9),MONTH(Inputs!$C$9)+INT((($BE42+1)-1+'Rest of 2026'!$C$2)/2),1),0))))+IF(MOD(($BE42+1)-1+'Rest of 2026'!$C$2,2)=1,15,0),EDATE(Inputs!$C$90,($BE42+1)-1)))))</f>
      </c>
      <c r="CE43" s="21">
        <f>IF(SUMPRODUCT(MIN(IF((Inputs!$C$58:$C$67&gt;MAX($B$6:$B42))*(Inputs!$C$58:$C$67&gt;=DATE(Inputs!$C$10,1,1))*(Inputs!$C$58:$C$67&lt;=DATE(Inputs!$C$10,12,31)),Inputs!$C$58:$C$67,999999)))=999999,"",SUMPRODUCT(MIN(IF((Inputs!$C$58:$C$67&gt;MAX($B$6:$B42))*(Inputs!$C$58:$C$67&gt;=DATE(Inputs!$C$10,1,1))*(Inputs!$C$58:$C$67&lt;=DATE(Inputs!$C$10,12,31)),Inputs!$C$58:$C$67,999999))))</f>
      </c>
    </row>
    <row r="44">
      <c r="A44" t="n">
        <v>39</v>
      </c>
      <c r="B44" s="21">
        <f>IF(AND($CD44="",$CE44=""),"",IF($CE44="",$CD44,IF($CD44="",$CE44,MIN($CD44,$CE44))))</f>
      </c>
      <c r="C44" s="7">
        <f>IF($B44="","",IF($BF44=0,0,IF(Inputs!$C$4="Annual salary",ROUND($AK44/IF(AND(Inputs!$C$88="Actual paydays",MONTH(Inputs!$C$90)=1),MAX(1,MAX($BE$6:$BE$68)),Inputs!$C$8),2),$AK44)))</f>
      </c>
      <c r="D44" s="7">
        <f>IF($B44="","",SUMIF(Inputs!$C$58:$C$67,$B44,Inputs!$D$58:$D$67))</f>
      </c>
      <c r="E44" s="7">
        <f>IF($B44="","",ROUND(MAX(0,MIN(IF($AL44="Percent",$AM44*($C44+$D44),$AM44),MAX(0,Inputs!$C$34-$AC43))),2))</f>
      </c>
      <c r="F44" s="7">
        <f>IF($B44="","",ROUND(MAX(0,MIN(IF(Inputs!$C$32="Percent",Inputs!$D$32*($C44+$D44),Inputs!$D$32),MAX(0,Inputs!$C$34-$AC43-$E44))),2))</f>
      </c>
      <c r="G44" s="7">
        <f>IF($B44="","",IF($BF44=0,0,ROUND(MAX(0,MIN($BL44,Inputs!$C$37-Inputs!$C$99-$BI43)),2)))</f>
      </c>
      <c r="H44" s="7">
        <f>IF($B44="","",IF(OR($BF44=0,$BQ44=1),0,ROUND(MAX(0,MIN(IF($BS44=1,ROUND(MAX(0,MIN($BJ44,'Methodology &amp; Sources'!$C$13)-$BG43)/MAX(1,MAX($BE$6:$BE$68)-($BE43)),2),ROUND(MIN($BJ44,'Methodology &amp; Sources'!$C$13)/Inputs!$C$8,2)),MIN($BJ44,'Methodology &amp; Sources'!$C$13)-$BG43)),2)))</f>
      </c>
      <c r="I44" s="7">
        <f>IF($B44="","",IF(OR($BF44=0,$BR44=1),0,ROUND(MAX(0,MIN(IF($BT44=1,ROUND(MAX(0,MIN($BK44,IF(Inputs!$C$12="MFJ",'Methodology &amp; Sources'!$C$14,'Methodology &amp; Sources'!$C$15))-$BH43)/MAX(1,MAX($BE$6:$BE$68)-($BE43)),2),ROUND(MIN($BK44,IF(Inputs!$C$12="MFJ",'Methodology &amp; Sources'!$C$14,'Methodology &amp; Sources'!$C$15))/Inputs!$C$8,2)),MIN($BK44,IF(Inputs!$C$12="MFJ",'Methodology &amp; Sources'!$C$14,'Methodology &amp; Sources'!$C$15))-$BH43)),2)))</f>
      </c>
      <c r="J44" s="7">
        <f>IF($B44="","",IF($BF44=0,0,$BM44))</f>
      </c>
      <c r="K44" s="7">
        <f>IF($B44="","",IF($BF44=0,0,$BN44+$BO44))</f>
      </c>
      <c r="L44" s="7">
        <f>IF($B44="","",IF($BF44=0,0,Inputs!$D$46))</f>
      </c>
      <c r="M44" s="7">
        <f>IF($B44="","",$C44+$D44+$L44-$E44-$G44-$H44-$I44-$J44-$K44)</f>
      </c>
      <c r="N44" s="7">
        <f>IF($B44="","",$C44+$D44+$L44-$G44-$H44-$I44-$J44-$K44)</f>
      </c>
      <c r="O44" s="7">
        <f>IF($B44="","",$C44+$D44+$L44-$E44-$H44-$I44-$J44-$K44-IF(OR($AN44="CA",$AN44="NJ"),0,$G44))</f>
      </c>
      <c r="P44" s="7">
        <f>IF($B44="","",IF(Inputs!$C$18,0,ROUND(MAX(0,IF(Inputs!$C$13,SUMPRODUCT(($AH44&gt;INDEX('Methodology &amp; Sources'!$B$29:$J$36,0,IF(Inputs!$C$12="MFJ",1,IF(Inputs!$C$12="HoH",7,4))))*($AH44-INDEX('Methodology &amp; Sources'!$B$29:$J$36,0,IF(Inputs!$C$12="MFJ",1,IF(Inputs!$C$12="HoH",7,4))))*INDEX('Methodology &amp; Sources'!$B$29:$J$36,0,IF(Inputs!$C$12="MFJ",1,IF(Inputs!$C$12="HoH",7,4))+2)),SUMPRODUCT(($AH44&gt;INDEX('Methodology &amp; Sources'!$B$19:$J$26,0,IF(Inputs!$C$12="MFJ",1,IF(Inputs!$C$12="HoH",7,4))))*($AH44-INDEX('Methodology &amp; Sources'!$B$19:$J$26,0,IF(Inputs!$C$12="MFJ",1,IF(Inputs!$C$12="HoH",7,4))))*INDEX('Methodology &amp; Sources'!$B$19:$J$26,0,IF(Inputs!$C$12="MFJ",1,IF(Inputs!$C$12="HoH",7,4))+2)))/Inputs!$C$8-$AO44/Inputs!$C$8)+$AR44+IF(Inputs!$C$89="Aggregate",MAX(0,IF(Inputs!$C$13,SUMPRODUCT((($AH44+$D44)&gt;INDEX('Methodology &amp; Sources'!$B$29:$J$36,0,IF(Inputs!$C$12="MFJ",1,IF(Inputs!$C$12="HoH",7,4))))*(($AH44+$D44)-INDEX('Methodology &amp; Sources'!$B$29:$J$36,0,IF(Inputs!$C$12="MFJ",1,IF(Inputs!$C$12="HoH",7,4))))*INDEX('Methodology &amp; Sources'!$B$29:$J$36,0,IF(Inputs!$C$12="MFJ",1,IF(Inputs!$C$12="HoH",7,4))+2)),SUMPRODUCT((($AH44+$D44)&gt;INDEX('Methodology &amp; Sources'!$B$19:$J$26,0,IF(Inputs!$C$12="MFJ",1,IF(Inputs!$C$12="HoH",7,4))))*(($AH44+$D44)-INDEX('Methodology &amp; Sources'!$B$19:$J$26,0,IF(Inputs!$C$12="MFJ",1,IF(Inputs!$C$12="HoH",7,4))))*INDEX('Methodology &amp; Sources'!$B$19:$J$26,0,IF(Inputs!$C$12="MFJ",1,IF(Inputs!$C$12="HoH",7,4))+2)))-IF(Inputs!$C$13,SUMPRODUCT(($AH44&gt;INDEX('Methodology &amp; Sources'!$B$29:$J$36,0,IF(Inputs!$C$12="MFJ",1,IF(Inputs!$C$12="HoH",7,4))))*($AH44-INDEX('Methodology &amp; Sources'!$B$29:$J$36,0,IF(Inputs!$C$12="MFJ",1,IF(Inputs!$C$12="HoH",7,4))))*INDEX('Methodology &amp; Sources'!$B$29:$J$36,0,IF(Inputs!$C$12="MFJ",1,IF(Inputs!$C$12="HoH",7,4))+2)),SUMPRODUCT(($AH44&gt;INDEX('Methodology &amp; Sources'!$B$19:$J$26,0,IF(Inputs!$C$12="MFJ",1,IF(Inputs!$C$12="HoH",7,4))))*($AH44-INDEX('Methodology &amp; Sources'!$B$19:$J$26,0,IF(Inputs!$C$12="MFJ",1,IF(Inputs!$C$12="HoH",7,4))))*INDEX('Methodology &amp; Sources'!$B$19:$J$26,0,IF(Inputs!$C$12="MFJ",1,IF(Inputs!$C$12="HoH",7,4))+2)))),'Methodology &amp; Sources'!$C$10*$D44),2)))</f>
      </c>
      <c r="Q44" s="7">
        <f>IF($B44="","",ROUND('Methodology &amp; Sources'!$C$4*MIN($N44,MAX(0,'Methodology &amp; Sources'!$C$3-($AX44+$AB43-$AW44))),2))</f>
      </c>
      <c r="R44" s="7">
        <f>IF($B44="","",ROUND('Methodology &amp; Sources'!$C$5*$N44,2))</f>
      </c>
      <c r="S44" s="7">
        <f>IF($B44="","",ROUND('Methodology &amp; Sources'!$C$6*MAX(0,MIN($N44,$AG43+$N44-'Methodology &amp; Sources'!$C$7)),2))</f>
      </c>
      <c r="T44" s="7">
        <f>IF($B44="","",IF(Inputs!$C$26,0,IF($AN44="CA",ROUND(IF($AI44&lt;=IF(($AS44+$AT44)&gt;=2,VLOOKUP($AN44,StateTables!$A$6:$AB$56,10,FALSE),VLOOKUP($AN44,StateTables!$A$6:$AB$56,9,FALSE)),0,MAX(0,SUMPRODUCT(($AJ44&gt;INDEX('Methodology &amp; Sources'!$B$39:$J$48,0,IF($AU44="Married",4,IF($AU44="Head of household",7,1))))*($AJ44-INDEX('Methodology &amp; Sources'!$B$39:$J$48,0,IF($AU44="Married",4,IF($AU44="Head of household",7,1))))*INDEX('Methodology &amp; Sources'!$B$39:$J$48,0,IF($AU44="Married",4,IF($AU44="Head of household",7,1))+2))-VLOOKUP($AN44,StateTables!$A$6:$AB$56,11,FALSE)*$AS44)/Inputs!$C$8)+Inputs!$C$25+VLOOKUP($AN44,StateTables!$A$6:$AB$56,13,FALSE)*$D44,2),IF(VLOOKUP($AN44,StateTables!$A$6:$AB$56,4,FALSE)="None",0,IF(ISNUMBER(SEARCH("MANUAL",VLOOKUP($AN44,StateTables!$A$6:$AB$56,5,FALSE))),Inputs!$C$28,ROUND(MAX(0,$BA44+$BB44)/Inputs!$C$8+Inputs!$C$25+$BC44,2))))))</f>
      </c>
      <c r="U44" s="7">
        <f>IF($B44="","",IF(VLOOKUP($AN44,StateTables!$A$6:$AB$56,24,FALSE)="flatq",IF(OR(MONTH($B44)=1,MONTH($B44)=4,MONTH($B44)=7,MONTH($B44)=10),VLOOKUP($AN44,StateTables!$A$6:$AB$56,25,FALSE),0),IF(VLOOKUP($AN44,StateTables!$A$6:$AB$56,24,FALSE)="dbl",MIN(ROUND(0.005*$N44,2),ROUND(0.6*52/Inputs!$C$8,2)),IF(OR(VLOOKUP($AN44,StateTables!$A$6:$AB$56,15,FALSE)="",VLOOKUP($AN44,StateTables!$A$6:$AB$56,15,FALSE)=0),0,ROUND(VLOOKUP($AN44,StateTables!$A$6:$AB$56,15,FALSE)*IF(OR(VLOOKUP($AN44,StateTables!$A$6:$AB$56,16,FALSE)="",VLOOKUP($AN44,StateTables!$A$6:$AB$56,16,FALSE)=0),$N44,MIN($N44,MAX(0,VLOOKUP($AN44,StateTables!$A$6:$AB$56,16,FALSE)-($AX44+$AB43-$AW44)))),2))))+IF(VLOOKUP($AN44,StateTables!$A$6:$AB$56,27,FALSE)="flatq",IF(OR(MONTH($B44)=1,MONTH($B44)=4,MONTH($B44)=7,MONTH($B44)=10),VLOOKUP($AN44,StateTables!$A$6:$AB$56,28,FALSE),0),IF(VLOOKUP($AN44,StateTables!$A$6:$AB$56,27,FALSE)="dbl",MIN(ROUND(0.005*$N44,2),ROUND(0.6*52/Inputs!$C$8,2)),IF(OR(VLOOKUP($AN44,StateTables!$A$6:$AB$56,18,FALSE)="",VLOOKUP($AN44,StateTables!$A$6:$AB$56,18,FALSE)=0),0,ROUND(VLOOKUP($AN44,StateTables!$A$6:$AB$56,18,FALSE)*IF(OR(VLOOKUP($AN44,StateTables!$A$6:$AB$56,19,FALSE)="",VLOOKUP($AN44,StateTables!$A$6:$AB$56,19,FALSE)=0),$N44,MIN($N44,MAX(0,VLOOKUP($AN44,StateTables!$A$6:$AB$56,19,FALSE)-($AX44+$AB43-$AW44)))),2)))))</f>
      </c>
      <c r="V44" s="7">
        <f>IF($B44="","",IF($AN44="NY",IF(Inputs!$C$78,ROUND(SUMPRODUCT((MAX(0,($O44-$D44)*Inputs!$C$8-(IF($AU44="Married",5500,5000)+1000*$AS44))&gt;INDEX('Methodology &amp; Sources'!$B$184:$J$198,0,4))*(MAX(0,($O44-$D44)*Inputs!$C$8-(IF($AU44="Married",5500,5000)+1000*$AS44))-INDEX('Methodology &amp; Sources'!$B$184:$J$198,0,4))*INDEX('Methodology &amp; Sources'!$B$184:$J$198,0,4+2))/Inputs!$C$8+0.0425*$D44,2),0)+IF(Inputs!$C$79="Resident",ROUND(0.1675*$T44,2),IF(Inputs!$C$79="Nonresident",ROUND(0.005*MAX(0,($O44-$D44)-(IF($AU44="Married",7950,7400)+1000*$AS44)/Inputs!$C$8),2),0)),IF($AN44="PA",IF(Inputs!$C$80="None",Inputs!$C$27+ROUND(Inputs!$C$81*($C44+$D44),2),ROUND(IF(Inputs!$C$80="Resident",IF($B44&lt;DATE(2027,7,1),0.03735,0.03735),IF($B44&lt;DATE(2027,7,1),0.03425,0.03425))*($C44+$D44),2)),IF($BF44=0,ROUND(Inputs!$C$81*($C44+$D44),2),Inputs!$C$27+ROUND(Inputs!$C$81*($C44+$D44),2)))))</f>
      </c>
      <c r="W44" s="7">
        <f>IF($B44="","",IF($BF44=0,0,$BP44))</f>
      </c>
      <c r="X44" s="7">
        <f>IF($B44="","",SUM($E44:$K44)+$P44+$Q44+$R44+$S44+$T44+$U44+$V44+$W44)</f>
      </c>
      <c r="Y44" s="22">
        <f>IF($B44="","",$C44+$D44-$X44)</f>
      </c>
      <c r="Z44" s="7">
        <f>IF($B44="","",$Z43+$C44+$D44)</f>
      </c>
      <c r="AA44" s="7">
        <f>IF($B44="","",$AA43+$Y44)</f>
      </c>
      <c r="AB44" s="7">
        <f>IF($B44="","",$AB43+MIN($N44,MAX(0,'Methodology &amp; Sources'!$C$3-($AX44+$AB43-$AW44))))</f>
      </c>
      <c r="AC44" s="7">
        <f>IF($B44="","",$AC43+$E44+$F44)</f>
      </c>
      <c r="AD44" s="3">
        <f>IF($B44="","",IF(AND($AB43&lt;'Methodology &amp; Sources'!$C$3,$AB44&gt;='Methodology &amp; Sources'!$C$3),"★ Social Security maxed on this check — from the next check your net rises by about $"&amp;TEXT(ROUND('Methodology &amp; Sources'!$C$4*$N44,2),"#,##0.00")&amp;". ","")&amp;IF(AND($AC43&lt;Inputs!$C$34,$AC44&gt;=Inputs!$C$34),"★ 401(k) reaches the $"&amp;TEXT(Inputs!$C$34,"#,##0")&amp;" cap on this check — deferrals stop and net pay rises. ","")&amp;IF(AND($AG43&lt;'Methodology &amp; Sources'!$C$7,$AG44&gt;='Methodology &amp; Sources'!$C$7),"★ Wages pass $200,000 — the 0.9% Additional Medicare Tax starts here. ","")&amp;IF(AND($BJ44&gt;0,$H44&gt;0,$BG43&lt;MIN($BJ44,'Methodology &amp; Sources'!$C$13),$BG43+$H44&gt;=MIN($BJ44,'Methodology &amp; Sources'!$C$13)),"★ Health FSA election is now fully deferred for the year. ",""))</f>
      </c>
      <c r="AE44" s="41" t="n"/>
      <c r="AF44" s="7">
        <f>IF(OR($B44="",$AE44=""),"",$AE44-$Y44)</f>
      </c>
      <c r="AG44" s="7">
        <f>IF($B44="","",$AG43+$N44)</f>
      </c>
      <c r="AH44" s="7">
        <f>IF($B44="","",MAX(0,($M44-$D44)*Inputs!$C$8+$AP44-$AQ44-IF(Inputs!$C$13,0,IF(Inputs!$C$12="MFJ",'Methodology &amp; Sources'!$C$8,'Methodology &amp; Sources'!$C$9))))</f>
      </c>
      <c r="AI44" s="7">
        <f>IF($B44="","",$O44*Inputs!$C$8)</f>
      </c>
      <c r="AJ44" s="7">
        <f>IF($B44="","",MAX(0,$AI44-VLOOKUP($AN44,StateTables!$A$6:$AB$56,12,FALSE)*$AT44-IF(($AS44+$AT44)&gt;=2,VLOOKUP($AN44,StateTables!$A$6:$AB$56,8,FALSE),VLOOKUP($AN44,StateTables!$A$6:$AB$56,7,FALSE))))</f>
      </c>
      <c r="AK44" s="7">
        <f>IF($B44="","",IFERROR(LOOKUP(2,1/((Events!$C$6:$C$17="Salary change")*(Events!$B$6:$B$17&lt;=$B44)*(Events!$B$6:$B$17&lt;&gt;"")),Events!$D$6:$D$17),IF(Inputs!$C$4="Annual salary",Inputs!$C$5,Inputs!$C$6)))</f>
      </c>
      <c r="AL44">
        <f>IF($B44="","",IFERROR(LOOKUP(2,1/((Events!$C$6:$C$17="401(k) change")*(Events!$B$6:$B$17&lt;=$B44)*(Events!$B$6:$B$17&lt;&gt;"")),Events!$D$6:$D$17),Inputs!$C$30))</f>
      </c>
      <c r="AM44" s="7">
        <f>IF($B44="","",IFERROR(LOOKUP(2,1/((Events!$C$6:$C$17="401(k) change")*(Events!$B$6:$B$17&lt;=$B44)*(Events!$B$6:$B$17&lt;&gt;"")),Events!$E$6:$E$17),Inputs!$D$30))</f>
      </c>
      <c r="AN44">
        <f>IF($B44="","",IFERROR(LOOKUP(2,1/((Events!$C$6:$C$17="State move")*(Events!$B$6:$B$17&lt;=$B44)*(Events!$B$6:$B$17&lt;&gt;"")),Events!$D$6:$D$17),Inputs!$C$21))</f>
      </c>
      <c r="AO44" s="7">
        <f>IF($B44="","",IFERROR(LOOKUP(2,1/((Events!$C$6:$C$17="W-4 change")*(Events!$B$6:$B$17&lt;=$B44)*(Events!$B$6:$B$17&lt;&gt;"")),Events!$D$6:$D$17),Inputs!$C$14))</f>
      </c>
      <c r="AP44" s="7">
        <f>IF($B44="","",IFERROR(LOOKUP(2,1/((Events!$C$6:$C$17="W-4 change")*(Events!$B$6:$B$17&lt;=$B44)*(Events!$B$6:$B$17&lt;&gt;"")),Events!$E$6:$E$17),Inputs!$C$15))</f>
      </c>
      <c r="AQ44" s="7">
        <f>IF($B44="","",IFERROR(LOOKUP(2,1/((Events!$C$6:$C$17="W-4 change")*(Events!$B$6:$B$17&lt;=$B44)*(Events!$B$6:$B$17&lt;&gt;"")),Events!$F$6:$F$17),Inputs!$C$16))</f>
      </c>
      <c r="AR44" s="7">
        <f>IF($B44="","",IFERROR(LOOKUP(2,1/((Events!$C$6:$C$17="W-4 change")*(Events!$B$6:$B$17&lt;=$B44)*(Events!$B$6:$B$17&lt;&gt;"")),Events!$G$6:$G$17),Inputs!$C$17))</f>
      </c>
      <c r="AS44" s="6">
        <f>IF($B44="","",IFERROR(LOOKUP(2,1/(((Events!$C$6:$C$17="State move")+(Events!$C$6:$C$17="State cert change"))*(Events!$B$6:$B$17&lt;=$B44)*(Events!$B$6:$B$17&lt;&gt;"")),Events!$F$6:$F$17),Inputs!$C$23))</f>
      </c>
      <c r="AT44" s="6">
        <f>IF($B44="","",IFERROR(LOOKUP(2,1/(((Events!$C$6:$C$17="State move")+(Events!$C$6:$C$17="State cert change"))*(Events!$B$6:$B$17&lt;=$B44)*(Events!$B$6:$B$17&lt;&gt;"")),Events!$G$6:$G$17),Inputs!$C$24))</f>
      </c>
      <c r="AU44">
        <f>IF($B44="","",IFERROR(LOOKUP(2,1/((Events!$C$6:$C$17="State move")*(Events!$B$6:$B$17&lt;=$B44)*(Events!$B$6:$B$17&lt;&gt;"")),Events!$E$6:$E$17),Inputs!$C$22))</f>
      </c>
      <c r="AV44" s="6">
        <f>IF($B44="","",1+COUNTIFS(Events!$C$6:$C$17,"Employer change",Events!$B$6:$B$17,"&lt;="&amp;$B44,Events!$B$6:$B$17,"&lt;&gt;"))</f>
      </c>
      <c r="AW44" s="7">
        <f>IF($B44="","",IF($AV44=1,Inputs!$C$94,IF(IFERROR(MATCH(IFERROR(LOOKUP(2,1/((Events!$C$6:$C$17="Employer change")*(Events!$B$6:$B$17&lt;=$B44)*(Events!$B$6:$B$17&lt;&gt;"")),Events!$B$6:$B$17),""),$B$6:$B$68,1),1)&lt;=1,Inputs!$C$94,INDEX($AB$6:$AB$68,MATCH(IFERROR(LOOKUP(2,1/((Events!$C$6:$C$17="Employer change")*(Events!$B$6:$B$17&lt;=$B44)*(Events!$B$6:$B$17&lt;&gt;"")),Events!$B$6:$B$17),""),$B$6:$B$68,1)-1))))</f>
      </c>
      <c r="AX44" s="7">
        <f>IF($B44="","",IF($AV44=1,Inputs!$C$94,IFERROR(LOOKUP(2,1/((Events!$C$6:$C$17="Employer change")*(Events!$B$6:$B$17&lt;=$B44)*(Events!$B$6:$B$17&lt;&gt;"")),Events!$D$6:$D$17),0)))</f>
      </c>
      <c r="AY44" s="7">
        <f>IF($B44="","",($O44-$D44)*Inputs!$C$8)</f>
      </c>
      <c r="AZ44" s="7">
        <f>IF($B44="","",IF($AN44="AL",MAX(0,$AY44-IF($AU44="Married",IF($AY44&lt;=25999,8500,MAX(5000,8500-175*CEILING(($AY44-25999)/500,1))),IF($AU44="Head of household",IF($AY44&lt;=25999,5200,MAX(2500,5200-135*CEILING(($AY44-25999)/500,1))),IF($AY44&lt;=25999,3000,MAX(2500,3000-25*CEILING(($AY44-25999)/500,1)))))-($P44-'Methodology &amp; Sources'!$C$10*$D44)*Inputs!$C$8-IF(OR($AU44="Married",$AU44="Head of household"),3000,1500)-$AT44*IF($AY44&lt;=50000,1000,IF($AY44&lt;=100000,500,300))),IF($AN44="AR",IF(MAX(0,$AY44-2470)&lt;97701,INT(MAX(0,$AY44-2470)/100)*100+50,MAX(0,$AY44-2470)),IF($AN44="DE",MAX(0,$AI44-3250),IF($AN44="HI",MAX(0,$AI44-1144*$AS44-4350),IF($AN44="KS",MAX(0,$AI44-(9160*IF($AU44="Married",2,1)+2320*$AT44+IF($AU44="Head of household",2320,0))),IF($AN44="MD",MAX(0,$AI44-3400-3200*$AS44),IF($AN44="MN",MAX(0,$AY44-5300*$AS44),IF($AN44="MO",MAX(0,$AI44-IF($AU44="Head of household",24150,IF($AU44="Married",IF(Inputs!$C$83,16100,32200),16100))),IF($AN44="MT",$AY44,IF($AN44="ND",($C44+$L44)*Inputs!$C$8,IF($AN44="NE",MAX(0,$AY44-2440*$AS44),IF($AN44="NJ",MAX(0,$AY44-1000*$AS44),IF($AN44="NY",MAX(0,$AY44-(IF($AU44="Married",7950,7400)+1000*$AS44)),IF($AN44="OH",MAX(0,$AY44-650*$AS44),IF($AN44="OK",MAX(0,$AY44-1000*$AS44),IF($AN44="RI",MAX(0,$AI44-1000*$AS44),IF($AN44="SC",MAX(0,$AI44-5000*$AS44-IF($AS44=0,0,MIN(0.1*$AI44,7500))),IF($AN44="VA",MAX(0,$AI44-IF($AU44="Married",17500,8750)-930*$AS44-800*$AT44),IF($AN44="VT",MAX(0,$AI44-5400*$AS44),IF($AN44="WI",MAX(0,$AI44-MAX(0,IF($AU44="Married",9461-0.2*MAX(0,$AI44-25727),6702-0.12*MAX(0,$AI44-17780)))-400*$AS44),IF($AN44="WV",MAX(0,$AI44-2000*$AS44),$AI44))))))))))))))))))))))</f>
      </c>
      <c r="BA44" s="7">
        <f>IF($B44="","",IF($BW44&lt;&gt;"",$BW44,IF($BX44&lt;&gt;"",$BX44,IF($BY44&lt;&gt;"",$BY44,0))))</f>
      </c>
      <c r="BB44" s="7">
        <f>IF($B44="","",IF($AN44="AR",-29*$AS44,IF($AN44="DE",-110*$AS44,IF($AN44="MD",$AZ44*Inputs!$C$74,IF($AN44="AZ",Inputs!$C$82*($M44-$D44)*Inputs!$C$8,IF($AN44="CO",0.044*MAX(0,$AY44-IF($AU44="Married",10000,5000)),IF($AN44="IA",MAX(0,0.038*MAX(0,$AY44-IF($AU44="Head of household",19500,IF($AU44="Married",26000,13000)))-40*$AS44),IF($AN44="ID",0.053*MAX(0,$AY44-IF($AU44="Married",32000,16094)),IF($AN44="IL",0.0495*MAX(0,$AY44-(2925*$AS44+1000*$AT44)),IF($AN44="IN",(0.0295+Inputs!$C$76)*MAX(0,$AY44-(1000*$AS44+1500*$AT44+3000*Inputs!$C$86)),IF($AN44="KY",0.035*MAX(0,$AI44-3360),IF($AN44="LA",IF(Inputs!$C$84="0",0.0309*$AI44,0.0309*MAX(0,$AI44-IF(Inputs!$C$84="2",25750,12875))),IF($AN44="MA",0.05*MIN(MAX(0,$AY44-MIN(($BD43+$Q44+$R44+$S44),2000)-IF($AS44=0,0,IF($AS44=1,4400,1000*$AS44+3400))),1107750)+0.09*MAX(0,MAX(0,$AY44-MIN(($BD43+$Q44+$R44+$S44),2000)-IF($AS44=0,0,IF($AS44=1,4400,1000*$AS44+3400)))-1107750)-IF($AU44="Head of household",120,0)-110*Inputs!$C$75,IF($AN44="MI",0.0425*MAX(0,$AY44-5900*$AS44),IF($AN44="MS",0.04*MAX(0,$AI44-IF($AU44="Head of household",3400,IF($AU44="Married",4600,2300))-Inputs!$C$85-10000),IF($AN44="OR",IF(OR($AU44="Married",AND($AU44="Single",$AS44&gt;=3)),SUMPRODUCT((MAX(0,$AY44-MIN(($P44-'Methodology &amp; Sources'!$C$10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Sources'!$B$211:$J$214,0,4))*(MAX(0,$AY44-MIN(($P44-'Methodology &amp; Sources'!$C$10*$D44)*Inputs!$C$8,IF(OR($AU44="Married",AND($AU44="Single",$AS44&gt;=3)),IF($AY44&lt;250000,8750,IF($AY44&lt;260000,7000,IF($AY44&lt;270000,5250,IF($AY44&lt;280000,3500,IF($AY44&lt;290000,1750,0))))),IF($AY44&lt;125000,8750,IF($AY44&lt;130000,7000,IF($AY44&lt;135000,5250,IF($AY44&lt;140000,3500,IF($AY44&lt;145000,1750,0)))))))-IF(OR($AU44="Married",AND($AU44="Single",$AS44&gt;=3)),5820,2910))-INDEX('Methodology &amp; Sources'!$B$211:$J$214,0,4))*INDEX('Methodology &amp; Sources'!$B$211:$J$214,0,4+2)),SUMPRODUCT((MAX(0,$AY44-MIN(($P44-'Methodology &amp; Sources'!$C$10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Sources'!$B$211:$J$214,0,1))*(MAX(0,$AY44-MIN(($P44-'Methodology &amp; Sources'!$C$10*$D44)*Inputs!$C$8,IF(OR($AU44="Married",AND($AU44="Single",$AS44&gt;=3)),IF($AY44&lt;250000,8750,IF($AY44&lt;260000,7000,IF($AY44&lt;270000,5250,IF($AY44&lt;280000,3500,IF($AY44&lt;290000,1750,0))))),IF($AY44&lt;125000,8750,IF($AY44&lt;130000,7000,IF($AY44&lt;135000,5250,IF($AY44&lt;140000,3500,IF($AY44&lt;145000,1750,0)))))))-IF(OR($AU44="Married",AND($AU44="Single",$AS44&gt;=3)),5820,2910))-INDEX('Methodology &amp; Sources'!$B$211:$J$214,0,1))*INDEX('Methodology &amp; Sources'!$B$211:$J$214,0,1+2)))+263-263*IF(IF($AU44="Married",$AY44&gt;200000,$AY44&gt;100000),0,$AS44),IF($AN44="PA",0.0307*(($O44+$E44+$G44)*Inputs!$C$8),IF($AN44="NY",IF($AU44="Married",IF($AZ44&gt;=2155350,0,IF($AZ44&gt;=1077550,0.48,IF($AZ44&gt;=373200,1.21,IF($AZ44&gt;=323200,0.21,IF($AZ44&gt;=211550,-0.19,IF($AZ44&gt;=157650,-2.8,IF($AZ44&gt;=107650,-0.8,IF($AZ44&gt;=96800,0.05,IF($AZ44&gt;=80650,-0.1,IF($AZ44&gt;=13900,0.4,IF($AZ44&gt;=11700,-0.3,IF($AZ44&gt;=8500,0.5,0)))))))))))),IF($AZ44&gt;=1077550,0,IF($AZ44&gt;=265400,4.29,IF($AZ44&gt;=215400,2.29,IF($AZ44&gt;=157650,2.29,IF($AZ44&gt;=107650,0.29,IF($AZ44&gt;=96800,0.05,IF($AZ44&gt;=80650,-0.1,IF($AZ44&gt;=13900,0.4,IF($AZ44&gt;=11700,-0.3,IF($AZ44&gt;=8500,0.5,0))))))))))),0))))))))))))))))))</f>
      </c>
      <c r="BC44" s="7">
        <f>IF($B44="","",IF($AN44="AL",0.05*$D44,IF($AN44="AR",0.039*$D44,IF($AN44="ID",0.053*$D44,IF($AN44="IN",(0.0295+Inputs!$C$76)*$D44,IF($AN44="KS",0.05*$D44,IF($AN44="MA",0.09*MIN($D44,MAX(0,MAX(0,$AY44-MIN(($BD43+$Q44+$R44+$S44),2000)-IF($AS44=0,0,IF($AS44=1,4400,1000*$AS44+3400)))+$D44-1107750))+0.05*($D44-MIN($D44,MAX(0,MAX(0,$AY44-MIN(($BD43+$Q44+$R44+$S44),2000)-IF($AS44=0,0,IF($AS44=1,4400,1000*$AS44+3400)))+$D44-1107750))),IF($AN44="MD",(0.065+Inputs!$C$74)*$D44,IF($AN44="MI",0.0425*$D44,IF($AN44="MN",0.0625*$D44,IF($AN44="MO",0.047*$D44,IF($AN44="MT",0.05*$D44,IF($AN44="ND",0.015*$D44,IF($AN44="NE",0.035*$D44,IF($AN44="NJ",IF(Inputs!$C$77="B",SUMPRODUCT(($D44*Inputs!$C$8&gt;INDEX('Methodology &amp; Sources'!$B$155:$J$162,0,4))*($D44*Inputs!$C$8-INDEX('Methodology &amp; Sources'!$B$155:$J$162,0,4))*INDEX('Methodology &amp; Sources'!$B$155:$J$162,0,4+2)),IF(Inputs!$C$77="C",SUMPRODUCT(($D44*Inputs!$C$8&gt;INDEX('Methodology &amp; Sources'!$B$155:$J$162,0,7))*($D44*Inputs!$C$8-INDEX('Methodology &amp; Sources'!$B$155:$J$162,0,7))*INDEX('Methodology &amp; Sources'!$B$155:$J$162,0,7+2)),IF(Inputs!$C$77="D",SUMPRODUCT(($D44*Inputs!$C$8&gt;INDEX('Methodology &amp; Sources'!$B$167:$J$179,0,1))*($D44*Inputs!$C$8-INDEX('Methodology &amp; Sources'!$B$167:$J$179,0,1))*INDEX('Methodology &amp; Sources'!$B$167:$J$179,0,1+2)),IF(Inputs!$C$77="E",SUMPRODUCT(($D44*Inputs!$C$8&gt;INDEX('Methodology &amp; Sources'!$B$167:$J$179,0,4))*($D44*Inputs!$C$8-INDEX('Methodology &amp; Sources'!$B$167:$J$179,0,4))*INDEX('Methodology &amp; Sources'!$B$167:$J$179,0,4+2)),SUMPRODUCT(($D44*Inputs!$C$8&gt;INDEX('Methodology &amp; Sources'!$B$155:$J$162,0,1))*($D44*Inputs!$C$8-INDEX('Methodology &amp; Sources'!$B$155:$J$162,0,1))*INDEX('Methodology &amp; Sources'!$B$155:$J$162,0,1+2))))))/Inputs!$C$8,IF($AN44="NY",0.117*$D44,IF($AN44="OH",0.0275*$D44,IF($AN44="OK",0.045*$D44,IF($AN44="OR",0.08*$D44,IF($AN44="WI",IF($AY44&lt;12760,0.0354,IF($AY44&lt;25520,0.0465,IF($AY44&lt;280950,0.053,0.0765)))*$D44,0))))))))))))))))))))</f>
      </c>
      <c r="BD44" s="7">
        <f>IF($B44="","",$BD43+$Q44+$R44+$S44)</f>
      </c>
      <c r="BE44" s="6">
        <f>IF($B44="",$BE43,$BE43+$BF44)</f>
      </c>
      <c r="BF44" s="6">
        <f>IF($B44="","",IF(AND(IF(YEAR(IF(Inputs!$C$7="Weekly",Inputs!$C$90+7*(($BE43+1)-1),IF(Inputs!$C$7="Biweekly",Inputs!$C$90+14*(($BE43+1)-1),IF(Inputs!$C$7="Semimonthly",DATE(YEAR(Inputs!$C$9),MONTH(Inputs!$C$9)+INT((($BE43+1)-1+'Rest of 2026'!$C$2)/2),MIN(DAY(Inputs!$C$9),DAY(EOMONTH(DATE(YEAR(Inputs!$C$9),MONTH(Inputs!$C$9)+INT((($BE43+1)-1+'Rest of 2026'!$C$2)/2),1),0))))+IF(MOD(($BE43+1)-1+'Rest of 2026'!$C$2,2)=1,15,0),EDATE(Inputs!$C$90,($BE43+1)-1)))))&lt;&gt;Inputs!$C$10,"",IF(Inputs!$C$7="Weekly",Inputs!$C$90+7*(($BE43+1)-1),IF(Inputs!$C$7="Biweekly",Inputs!$C$90+14*(($BE43+1)-1),IF(Inputs!$C$7="Semimonthly",DATE(YEAR(Inputs!$C$9),MONTH(Inputs!$C$9)+INT((($BE43+1)-1+'Rest of 2026'!$C$2)/2),MIN(DAY(Inputs!$C$9),DAY(EOMONTH(DATE(YEAR(Inputs!$C$9),MONTH(Inputs!$C$9)+INT((($BE43+1)-1+'Rest of 2026'!$C$2)/2),1),0))))+IF(MOD(($BE43+1)-1+'Rest of 2026'!$C$2,2)=1,15,0),EDATE(Inputs!$C$90,($BE43+1)-1)))))&lt;&gt;"",$B44=IF(YEAR(IF(Inputs!$C$7="Weekly",Inputs!$C$90+7*(($BE43+1)-1),IF(Inputs!$C$7="Biweekly",Inputs!$C$90+14*(($BE43+1)-1),IF(Inputs!$C$7="Semimonthly",DATE(YEAR(Inputs!$C$9),MONTH(Inputs!$C$9)+INT((($BE43+1)-1+'Rest of 2026'!$C$2)/2),MIN(DAY(Inputs!$C$9),DAY(EOMONTH(DATE(YEAR(Inputs!$C$9),MONTH(Inputs!$C$9)+INT((($BE43+1)-1+'Rest of 2026'!$C$2)/2),1),0))))+IF(MOD(($BE43+1)-1+'Rest of 2026'!$C$2,2)=1,15,0),EDATE(Inputs!$C$90,($BE43+1)-1)))))&lt;&gt;Inputs!$C$10,"",IF(Inputs!$C$7="Weekly",Inputs!$C$90+7*(($BE43+1)-1),IF(Inputs!$C$7="Biweekly",Inputs!$C$90+14*(($BE43+1)-1),IF(Inputs!$C$7="Semimonthly",DATE(YEAR(Inputs!$C$9),MONTH(Inputs!$C$9)+INT((($BE43+1)-1+'Rest of 2026'!$C$2)/2),MIN(DAY(Inputs!$C$9),DAY(EOMONTH(DATE(YEAR(Inputs!$C$9),MONTH(Inputs!$C$9)+INT((($BE43+1)-1+'Rest of 2026'!$C$2)/2),1),0))))+IF(MOD(($BE43+1)-1+'Rest of 2026'!$C$2,2)=1,15,0),EDATE(Inputs!$C$90,($BE43+1)-1)))))),1,0))</f>
      </c>
      <c r="BG44" s="7">
        <f>IF($B44="","",$BG43+$H44)</f>
      </c>
      <c r="BH44" s="7">
        <f>IF($B44="","",$BH43+$I44)</f>
      </c>
      <c r="BI44" s="7">
        <f>IF($B44="","",$BI43+$G44)</f>
      </c>
      <c r="BJ44" s="7">
        <f>IF($B44="","",IFERROR(LOOKUP(2,1/((((Events!$C$6:$C$17="Deduction start"))*(Events!$D$6:$D$17="Health FSA"))*(Events!$B$6:$B$17&lt;=$B44)*(Events!$B$6:$B$17&lt;&gt;"")),Events!$E$6:$E$17),Inputs!$D$38))</f>
      </c>
      <c r="BK44" s="7">
        <f>IF($B44="","",IFERROR(LOOKUP(2,1/((((Events!$C$6:$C$17="Deduction start"))*(Events!$D$6:$D$17="Dependent-care FSA"))*(Events!$B$6:$B$17&lt;=$B44)*(Events!$B$6:$B$17&lt;&gt;"")),Events!$E$6:$E$17),Inputs!$D$39))</f>
      </c>
      <c r="BL44" s="7">
        <f>IF($B44="","",IFERROR(LOOKUP(2,1/((((Events!$C$6:$C$17="Deduction start")+(Events!$C$6:$C$17="Deduction stop"))*(Events!$D$6:$D$17="HSA"))*(Events!$B$6:$B$17&lt;=$B44)*(Events!$B$6:$B$17&lt;&gt;"")),Events!$I$6:$I$17),Inputs!$D$35))</f>
      </c>
      <c r="BM44" s="7">
        <f>IF($B44="","",IFERROR(LOOKUP(2,1/((((Events!$C$6:$C$17="Deduction start")+(Events!$C$6:$C$17="Deduction stop"))*(Events!$D$6:$D$17="Premiums"))*(Events!$B$6:$B$17&lt;=$B44)*(Events!$B$6:$B$17&lt;&gt;"")),Events!$I$6:$I$17),Inputs!$D$40+Inputs!$D$41+Inputs!$D$42))</f>
      </c>
      <c r="BN44" s="7">
        <f>IF($B44="","",IFERROR(LOOKUP(2,1/((((Events!$C$6:$C$17="Deduction start")+(Events!$C$6:$C$17="Deduction stop"))*(Events!$D$6:$D$17="Commuter"))*(Events!$B$6:$B$17&lt;=$B44)*(Events!$B$6:$B$17&lt;&gt;"")),Events!$I$6:$I$17),Inputs!$D$43))</f>
      </c>
      <c r="BO44" s="7">
        <f>IF($B44="","",IFERROR(LOOKUP(2,1/((((Events!$C$6:$C$17="Deduction start")+(Events!$C$6:$C$17="Deduction stop"))*(Events!$D$6:$D$17="Other pre-tax"))*(Events!$B$6:$B$17&lt;=$B44)*(Events!$B$6:$B$17&lt;&gt;"")),Events!$I$6:$I$17),Inputs!$D$44))</f>
      </c>
      <c r="BP44" s="7">
        <f>IF($B44="","",IFERROR(LOOKUP(2,1/((((Events!$C$6:$C$17="Deduction start")+(Events!$C$6:$C$17="Deduction stop"))*(Events!$D$6:$D$17="Other post-tax"))*(Events!$B$6:$B$17&lt;=$B44)*(Events!$B$6:$B$17&lt;&gt;"")),Events!$I$6:$I$17),Inputs!$D$45))</f>
      </c>
      <c r="BQ44" s="6">
        <f>IF($B44="","",IFERROR(LOOKUP(2,1/((((Events!$C$6:$C$17="Deduction start")+(Events!$C$6:$C$17="Deduction stop"))*(Events!$D$6:$D$17="Health FSA"))*(Events!$B$6:$B$17&lt;=$B44)*(Events!$B$6:$B$17&lt;&gt;"")),Events!$J$6:$J$17),0))</f>
      </c>
      <c r="BR44" s="6">
        <f>IF($B44="","",IFERROR(LOOKUP(2,1/((((Events!$C$6:$C$17="Deduction start")+(Events!$C$6:$C$17="Deduction stop"))*(Events!$D$6:$D$17="Dependent-care FSA"))*(Events!$B$6:$B$17&lt;=$B44)*(Events!$B$6:$B$17&lt;&gt;"")),Events!$J$6:$J$17),0))</f>
      </c>
      <c r="BS44" s="6">
        <f>IF($B44="","",IF(SUMPRODUCT((Events!$C$6:$C$17="Deduction start")*(Events!$B$6:$B$17&lt;=$B44)*(Events!$B$6:$B$17&lt;&gt;"")*(Events!$D$6:$D$17="Health FSA"))&gt;0,1,0))</f>
      </c>
      <c r="BT44" s="6">
        <f>IF($B44="","",IF(SUMPRODUCT((Events!$C$6:$C$17="Deduction start")*(Events!$B$6:$B$17&lt;=$B44)*(Events!$B$6:$B$17&lt;&gt;"")*(Events!$D$6:$D$17="Dependent-care FSA"))&gt;0,1,0))</f>
      </c>
      <c r="BU44" s="24">
        <f>IF($B44="","",IF(Inputs!$C$13,SUMPRODUCT(($AH44&gt;=INDEX('Methodology &amp; Sources'!$B$29:$J$36,0,IF(Inputs!$C$12="MFJ",1,IF(Inputs!$C$12="HoH",7,4))))*INDEX('Methodology &amp; Sources'!$B$29:$J$36,0,IF(Inputs!$C$12="MFJ",1,IF(Inputs!$C$12="HoH",7,4))+2)),SUMPRODUCT(($AH44&gt;=INDEX('Methodology &amp; Sources'!$B$19:$J$26,0,IF(Inputs!$C$12="MFJ",1,IF(Inputs!$C$12="HoH",7,4))))*INDEX('Methodology &amp; Sources'!$B$19:$J$26,0,IF(Inputs!$C$12="MFJ",1,IF(Inputs!$C$12="HoH",7,4))+2))))</f>
      </c>
      <c r="BV44" s="24">
        <f>IF($B44="","",IF($BZ44&lt;&gt;"",$BZ44,IF($CA44&lt;&gt;"",$CA44,IF($CB44&lt;&gt;"",$CB44,IF($CC44&lt;&gt;"",$CC44,0)))))</f>
      </c>
      <c r="BW44" s="7">
        <f>IF($B44="","",IF($AN44="MD",IF(OR($AU44="Married",$AU44="Head of household"),SUMPRODUCT(($AZ44&gt;INDEX('Methodology &amp; Sources'!$B$114:$J$120,0,1))*($AZ44-INDEX('Methodology &amp; Sources'!$B$114:$J$120,0,1))*INDEX('Methodology &amp; Sources'!$B$114:$J$120,0,1+2)),SUMPRODUCT(($AZ44&gt;INDEX('Methodology &amp; Sources'!$B$103:$J$109,0,7))*($AZ44-INDEX('Methodology &amp; Sources'!$B$103:$J$109,0,7))*INDEX('Methodology &amp; Sources'!$B$103:$J$109,0,7+2))),IF($AN44="MO",SUMPRODUCT(($AZ44&gt;INDEX('Methodology &amp; Sources'!$B$125:$J$132,0,1))*($AZ44-INDEX('Methodology &amp; Sources'!$B$125:$J$132,0,1))*INDEX('Methodology &amp; Sources'!$B$125:$J$132,0,1+2)),IF($AN44="MT",IF($AU44="Head of household",SUMPRODUCT(($AZ44&gt;INDEX('Methodology &amp; Sources'!$B$137:$J$139,0,1))*($AZ44-INDEX('Methodology &amp; Sources'!$B$137:$J$139,0,1))*INDEX('Methodology &amp; Sources'!$B$137:$J$139,0,1+2)),IF($AU44="Married",SUMPRODUCT(($AZ44&gt;INDEX('Methodology &amp; Sources'!$B$125:$J$132,0,7))*($AZ44-INDEX('Methodology &amp; Sources'!$B$125:$J$132,0,7))*INDEX('Methodology &amp; Sources'!$B$125:$J$132,0,7+2)),SUMPRODUCT(($AZ44&gt;INDEX('Methodology &amp; Sources'!$B$125:$J$132,0,4))*($AZ44-INDEX('Methodology &amp; Sources'!$B$125:$J$132,0,4))*INDEX('Methodology &amp; Sources'!$B$125:$J$132,0,4+2)))),IF($AN44="ND",IF($AU44="Head of household",SUMPRODUCT(($AZ44&gt;INDEX('Methodology &amp; Sources'!$B$144:$J$150,0,1))*($AZ44-INDEX('Methodology &amp; Sources'!$B$144:$J$150,0,1))*INDEX('Methodology &amp; Sources'!$B$144:$J$150,0,1+2)),IF($AU44="Married",SUMPRODUCT(($AZ44&gt;INDEX('Methodology &amp; Sources'!$B$137:$J$139,0,7))*($AZ44-INDEX('Methodology &amp; Sources'!$B$137:$J$139,0,7))*INDEX('Methodology &amp; Sources'!$B$137:$J$139,0,7+2)),SUMPRODUCT(($AZ44&gt;INDEX('Methodology &amp; Sources'!$B$137:$J$139,0,4))*($AZ44-INDEX('Methodology &amp; Sources'!$B$137:$J$139,0,4))*INDEX('Methodology &amp; Sources'!$B$137:$J$139,0,4+2)))),IF($AN44="NJ",IF(Inputs!$C$77="B",SUMPRODUCT(($AZ44&gt;INDEX('Methodology &amp; Sources'!$B$155:$J$162,0,4))*($AZ44-INDEX('Methodology &amp; Sources'!$B$155:$J$162,0,4))*INDEX('Methodology &amp; Sources'!$B$155:$J$162,0,4+2)),IF(Inputs!$C$77="C",SUMPRODUCT(($AZ44&gt;INDEX('Methodology &amp; Sources'!$B$155:$J$162,0,7))*($AZ44-INDEX('Methodology &amp; Sources'!$B$155:$J$162,0,7))*INDEX('Methodology &amp; Sources'!$B$155:$J$162,0,7+2)),IF(Inputs!$C$77="D",SUMPRODUCT(($AZ44&gt;INDEX('Methodology &amp; Sources'!$B$167:$J$179,0,1))*($AZ44-INDEX('Methodology &amp; Sources'!$B$167:$J$179,0,1))*INDEX('Methodology &amp; Sources'!$B$167:$J$179,0,1+2)),IF(Inputs!$C$77="E",SUMPRODUCT(($AZ44&gt;INDEX('Methodology &amp; Sources'!$B$167:$J$179,0,4))*($AZ44-INDEX('Methodology &amp; Sources'!$B$167:$J$179,0,4))*INDEX('Methodology &amp; Sources'!$B$167:$J$179,0,4+2)),SUMPRODUCT(($AZ44&gt;INDEX('Methodology &amp; Sources'!$B$155:$J$162,0,1))*($AZ44-INDEX('Methodology &amp; Sources'!$B$155:$J$162,0,1))*INDEX('Methodology &amp; Sources'!$B$155:$J$162,0,1+2)))))),IF($AN44="NY",IF($AU44="Married",IF($AZ44&gt;=2155350,$AZ44*IF($AZ44&gt;25000000,0.117,IF($AZ44&gt;5000000,0.111,0.1045)),SUMPRODUCT(($AZ44&gt;INDEX('Methodology &amp; Sources'!$B$184:$J$198,0,1))*($AZ44-INDEX('Methodology &amp; Sources'!$B$184:$J$198,0,1))*INDEX('Methodology &amp; Sources'!$B$184:$J$198,0,1+2))),IF($AZ44&gt;=1077550,$AZ44*IF($AZ44&gt;25000000,0.117,IF($AZ44&gt;5000000,0.111,0.1045)),SUMPRODUCT(($AZ44&gt;INDEX('Methodology &amp; Sources'!$B$167:$J$179,0,7))*($AZ44-INDEX('Methodology &amp; Sources'!$B$167:$J$179,0,7))*INDEX('Methodology &amp; Sources'!$B$167:$J$179,0,7+2)))),"")))))))</f>
      </c>
      <c r="BX44" s="7">
        <f>IF($B44="","",IF($AN44="AL",IF(OR($AU44="Married",$AU44="Head of household"),SUMPRODUCT(($AZ44&gt;INDEX('Methodology &amp; Sources'!$B$82:$J$86,0,4))*($AZ44-INDEX('Methodology &amp; Sources'!$B$82:$J$86,0,4))*INDEX('Methodology &amp; Sources'!$B$82:$J$86,0,4+2)),SUMPRODUCT(($AZ44&gt;INDEX('Methodology &amp; Sources'!$B$82:$J$86,0,1))*($AZ44-INDEX('Methodology &amp; Sources'!$B$82:$J$86,0,1))*INDEX('Methodology &amp; Sources'!$B$82:$J$86,0,1+2))),IF($AN44="KS",IF($AU44="Married",SUMPRODUCT(($AZ44&gt;INDEX('Methodology &amp; Sources'!$B$103:$J$109,0,4))*($AZ44-INDEX('Methodology &amp; Sources'!$B$103:$J$109,0,4))*INDEX('Methodology &amp; Sources'!$B$103:$J$109,0,4+2)),SUMPRODUCT(($AZ44&gt;INDEX('Methodology &amp; Sources'!$B$103:$J$109,0,1))*($AZ44-INDEX('Methodology &amp; Sources'!$B$103:$J$109,0,1))*INDEX('Methodology &amp; Sources'!$B$103:$J$109,0,1+2))),IF($AN44="MN",IF($AU44="Married",SUMPRODUCT(($AZ44&gt;INDEX('Methodology &amp; Sources'!$B$114:$J$120,0,7))*($AZ44-INDEX('Methodology &amp; Sources'!$B$114:$J$120,0,7))*INDEX('Methodology &amp; Sources'!$B$114:$J$120,0,7+2)),SUMPRODUCT(($AZ44&gt;INDEX('Methodology &amp; Sources'!$B$114:$J$120,0,4))*($AZ44-INDEX('Methodology &amp; Sources'!$B$114:$J$120,0,4))*INDEX('Methodology &amp; Sources'!$B$114:$J$120,0,4+2))),IF($AN44="NE",MAX(IF($AU44="Married",SUMPRODUCT(($AZ44&gt;INDEX('Methodology &amp; Sources'!$B$144:$J$150,0,7))*($AZ44-INDEX('Methodology &amp; Sources'!$B$144:$J$150,0,7))*INDEX('Methodology &amp; Sources'!$B$144:$J$150,0,7+2)),SUMPRODUCT(($AZ44&gt;INDEX('Methodology &amp; Sources'!$B$144:$J$150,0,4))*($AZ44-INDEX('Methodology &amp; Sources'!$B$144:$J$150,0,4))*INDEX('Methodology &amp; Sources'!$B$144:$J$150,0,4+2))),0.015*$AZ44),IF($AN44="OH",IF($B44&gt;=DATE(2027,8,1),SUMPRODUCT(($AZ44&gt;INDEX('Methodology &amp; Sources'!$B$203:$J$206,0,1))*($AZ44-INDEX('Methodology &amp; Sources'!$B$203:$J$206,0,1))*INDEX('Methodology &amp; Sources'!$B$203:$J$206,0,1+2)),SUMPRODUCT(($AZ44&gt;INDEX('Methodology &amp; Sources'!$B$184:$J$198,0,7))*($AZ44-INDEX('Methodology &amp; Sources'!$B$184:$J$198,0,7))*INDEX('Methodology &amp; Sources'!$B$184:$J$198,0,7+2))),IF($AN44="OK",IF($AU44="Married",SUMPRODUCT(($AZ44&gt;INDEX('Methodology &amp; Sources'!$B$203:$J$206,0,7))*($AZ44-INDEX('Methodology &amp; Sources'!$B$203:$J$206,0,7))*INDEX('Methodology &amp; Sources'!$B$203:$J$206,0,7+2)),SUMPRODUCT(($AZ44&gt;INDEX('Methodology &amp; Sources'!$B$203:$J$206,0,4))*($AZ44-INDEX('Methodology &amp; Sources'!$B$203:$J$206,0,4))*INDEX('Methodology &amp; Sources'!$B$203:$J$206,0,4+2))),IF($AN44="RI",SUMPRODUCT(($AZ44&gt;INDEX('Methodology &amp; Sources'!$B$211:$J$214,0,7))*($AZ44-INDEX('Methodology &amp; Sources'!$B$211:$J$214,0,7))*INDEX('Methodology &amp; Sources'!$B$211:$J$214,0,7+2)),IF($AN44="VT",IF($AU44="Married",SUMPRODUCT(($AZ44&gt;INDEX('Methodology &amp; Sources'!$B$228:$J$232,0,1))*($AZ44-INDEX('Methodology &amp; Sources'!$B$228:$J$232,0,1))*INDEX('Methodology &amp; Sources'!$B$228:$J$232,0,1+2)),SUMPRODUCT(($AZ44&gt;INDEX('Methodology &amp; Sources'!$B$219:$J$223,0,7))*($AZ44-INDEX('Methodology &amp; Sources'!$B$219:$J$223,0,7))*INDEX('Methodology &amp; Sources'!$B$219:$J$223,0,7+2))),IF($AN44="WV",IF($AU44="Married",SUMPRODUCT(($AZ44&gt;INDEX('Methodology &amp; Sources'!$B$237:$J$241,0,7))*($AZ44-INDEX('Methodology &amp; Sources'!$B$237:$J$241,0,7))*INDEX('Methodology &amp; Sources'!$B$237:$J$241,0,7+2)),SUMPRODUCT(($AZ44&gt;INDEX('Methodology &amp; Sources'!$B$228:$J$232,0,7))*($AZ44-INDEX('Methodology &amp; Sources'!$B$228:$J$232,0,7))*INDEX('Methodology &amp; Sources'!$B$228:$J$232,0,7+2))),""))))))))))</f>
      </c>
      <c r="BY44" s="7">
        <f>IF($B44="","",IF($AN44="AR",SUMPRODUCT(($AZ44&gt;INDEX('Methodology &amp; Sources'!$B$82:$J$86,0,7))*($AZ44-INDEX('Methodology &amp; Sources'!$B$82:$J$86,0,7))*INDEX('Methodology &amp; Sources'!$B$82:$J$86,0,7+2)),IF($AN44="DE",SUMPRODUCT(($AZ44&gt;INDEX('Methodology &amp; Sources'!$B$91:$J$98,0,1))*($AZ44-INDEX('Methodology &amp; Sources'!$B$91:$J$98,0,1))*INDEX('Methodology &amp; Sources'!$B$91:$J$98,0,1+2)),IF($AN44="HI",IF($AU44="Married",SUMPRODUCT(($AZ44&gt;INDEX('Methodology &amp; Sources'!$B$91:$J$98,0,7))*($AZ44-INDEX('Methodology &amp; Sources'!$B$91:$J$98,0,7))*INDEX('Methodology &amp; Sources'!$B$91:$J$98,0,7+2)),SUMPRODUCT(($AZ44&gt;INDEX('Methodology &amp; Sources'!$B$91:$J$98,0,4))*($AZ44-INDEX('Methodology &amp; Sources'!$B$91:$J$98,0,4))*INDEX('Methodology &amp; Sources'!$B$91:$J$98,0,4+2))),IF($AN44="SC",SUMPRODUCT(($AZ44&gt;INDEX('Methodology &amp; Sources'!$B$219:$J$223,0,1))*($AZ44-INDEX('Methodology &amp; Sources'!$B$219:$J$223,0,1))*INDEX('Methodology &amp; Sources'!$B$219:$J$223,0,1+2)),IF($AN44="VA",SUMPRODUCT(($AZ44&gt;INDEX('Methodology &amp; Sources'!$B$219:$J$223,0,4))*($AZ44-INDEX('Methodology &amp; Sources'!$B$219:$J$223,0,4))*INDEX('Methodology &amp; Sources'!$B$219:$J$223,0,4+2)),IF($AN44="WI",SUMPRODUCT(($AZ44&gt;INDEX('Methodology &amp; Sources'!$B$228:$J$232,0,4))*($AZ44-INDEX('Methodology &amp; Sources'!$B$228:$J$232,0,4))*INDEX('Methodology &amp; Sources'!$B$228:$J$232,0,4+2)),"")))))))</f>
      </c>
      <c r="BZ44" s="24">
        <f>IF($B44="","",IF($AN44="NJ",IF(Inputs!$C$77="B",SUMPRODUCT(($AZ44&gt;=INDEX('Methodology &amp; Sources'!$B$155:$J$162,0,4))*INDEX('Methodology &amp; Sources'!$B$155:$J$162,0,4+2)),IF(Inputs!$C$77="C",SUMPRODUCT(($AZ44&gt;=INDEX('Methodology &amp; Sources'!$B$155:$J$162,0,7))*INDEX('Methodology &amp; Sources'!$B$155:$J$162,0,7+2)),IF(Inputs!$C$77="D",SUMPRODUCT(($AZ44&gt;=INDEX('Methodology &amp; Sources'!$B$167:$J$179,0,1))*INDEX('Methodology &amp; Sources'!$B$167:$J$179,0,1+2)),IF(Inputs!$C$77="E",SUMPRODUCT(($AZ44&gt;=INDEX('Methodology &amp; Sources'!$B$167:$J$179,0,4))*INDEX('Methodology &amp; Sources'!$B$167:$J$179,0,4+2)),SUMPRODUCT(($AZ44&gt;=INDEX('Methodology &amp; Sources'!$B$155:$J$162,0,1))*INDEX('Methodology &amp; Sources'!$B$155:$J$162,0,1+2)))))),IF($AN44="OR",IF(OR($AU44="Married",AND($AU44="Single",$AS44&gt;=3)),SUMPRODUCT((MAX(0,$AY44-MIN(($P44-'Methodology &amp; Sources'!$C$10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Sources'!$B$211:$J$214,0,4))*INDEX('Methodology &amp; Sources'!$B$211:$J$214,0,4+2)),SUMPRODUCT((MAX(0,$AY44-MIN(($P44-'Methodology &amp; Sources'!$C$10*$D44)*Inputs!$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Sources'!$B$211:$J$214,0,1))*INDEX('Methodology &amp; Sources'!$B$211:$J$214,0,1+2)))*IF(($P44-'Methodology &amp; Sources'!$C$10*$D44)*Inputs!$C$8&gt;=IF(OR($AU44="Married",AND($AU44="Single",$AS44&gt;=3)),IF($AY44&lt;250000,8750,IF($AY44&lt;260000,7000,IF($AY44&lt;270000,5250,IF($AY44&lt;280000,3500,IF($AY44&lt;290000,1750,0))))),IF($AY44&lt;125000,8750,IF($AY44&lt;130000,7000,IF($AY44&lt;135000,5250,IF($AY44&lt;140000,3500,IF($AY44&lt;145000,1750,0)))))),1,1-IF(Inputs!$C$13,SUMPRODUCT(($AH44&gt;=INDEX('Methodology &amp; Sources'!$B$29:$J$36,0,IF(Inputs!$C$12="MFJ",1,IF(Inputs!$C$12="HoH",7,4))))*INDEX('Methodology &amp; Sources'!$B$29:$J$36,0,IF(Inputs!$C$12="MFJ",1,IF(Inputs!$C$12="HoH",7,4))+2)),SUMPRODUCT(($AH44&gt;=INDEX('Methodology &amp; Sources'!$B$19:$J$26,0,IF(Inputs!$C$12="MFJ",1,IF(Inputs!$C$12="HoH",7,4))))*INDEX('Methodology &amp; Sources'!$B$19:$J$26,0,IF(Inputs!$C$12="MFJ",1,IF(Inputs!$C$12="HoH",7,4))+2)))),IF($AN44="MI",IF($AY44&gt;5900*$AS44,0.0425,0),""))))</f>
      </c>
      <c r="CA44" s="24">
        <f>IF($B44="","",IF($AN44="AL",IF(OR($AU44="Married",$AU44="Head of household"),SUMPRODUCT(($AZ44&gt;=INDEX('Methodology &amp; Sources'!$B$82:$J$86,0,4))*INDEX('Methodology &amp; Sources'!$B$82:$J$86,0,4+2)),SUMPRODUCT(($AZ44&gt;=INDEX('Methodology &amp; Sources'!$B$82:$J$86,0,1))*INDEX('Methodology &amp; Sources'!$B$82:$J$86,0,1+2)))*(1-IF(Inputs!$C$13,SUMPRODUCT(($AH44&gt;=INDEX('Methodology &amp; Sources'!$B$29:$J$36,0,IF(Inputs!$C$12="MFJ",1,IF(Inputs!$C$12="HoH",7,4))))*INDEX('Methodology &amp; Sources'!$B$29:$J$36,0,IF(Inputs!$C$12="MFJ",1,IF(Inputs!$C$12="HoH",7,4))+2)),SUMPRODUCT(($AH44&gt;=INDEX('Methodology &amp; Sources'!$B$19:$J$26,0,IF(Inputs!$C$12="MFJ",1,IF(Inputs!$C$12="HoH",7,4))))*INDEX('Methodology &amp; Sources'!$B$19:$J$26,0,IF(Inputs!$C$12="MFJ",1,IF(Inputs!$C$12="HoH",7,4))+2)))),IF($AN44="KS",IF($AU44="Married",SUMPRODUCT(($AZ44&gt;=INDEX('Methodology &amp; Sources'!$B$103:$J$109,0,4))*INDEX('Methodology &amp; Sources'!$B$103:$J$109,0,4+2)),SUMPRODUCT(($AZ44&gt;=INDEX('Methodology &amp; Sources'!$B$103:$J$109,0,1))*INDEX('Methodology &amp; Sources'!$B$103:$J$109,0,1+2))),IF($AN44="MD",IF(OR($AU44="Married",$AU44="Head of household"),SUMPRODUCT(($AZ44&gt;=INDEX('Methodology &amp; Sources'!$B$114:$J$120,0,1))*INDEX('Methodology &amp; Sources'!$B$114:$J$120,0,1+2)),SUMPRODUCT(($AZ44&gt;=INDEX('Methodology &amp; Sources'!$B$103:$J$109,0,7))*INDEX('Methodology &amp; Sources'!$B$103:$J$109,0,7+2)))+Inputs!$C$74,IF($AN44="MT",IF($AU44="Head of household",SUMPRODUCT(($AZ44&gt;=INDEX('Methodology &amp; Sources'!$B$137:$J$139,0,1))*INDEX('Methodology &amp; Sources'!$B$137:$J$139,0,1+2)),IF($AU44="Married",SUMPRODUCT(($AZ44&gt;=INDEX('Methodology &amp; Sources'!$B$125:$J$132,0,7))*INDEX('Methodology &amp; Sources'!$B$125:$J$132,0,7+2)),SUMPRODUCT(($AZ44&gt;=INDEX('Methodology &amp; Sources'!$B$125:$J$132,0,4))*INDEX('Methodology &amp; Sources'!$B$125:$J$132,0,4+2)))),IF($AN44="ND",IF($AU44="Head of household",SUMPRODUCT(($AZ44&gt;=INDEX('Methodology &amp; Sources'!$B$144:$J$150,0,1))*INDEX('Methodology &amp; Sources'!$B$144:$J$150,0,1+2)),IF($AU44="Married",SUMPRODUCT(($AZ44&gt;=INDEX('Methodology &amp; Sources'!$B$137:$J$139,0,7))*INDEX('Methodology &amp; Sources'!$B$137:$J$139,0,7+2)),SUMPRODUCT(($AZ44&gt;=INDEX('Methodology &amp; Sources'!$B$137:$J$139,0,4))*INDEX('Methodology &amp; Sources'!$B$137:$J$139,0,4+2)))),IF($AN44="NY",IF($AU44="Married",IF($AZ44&gt;=2155350,IF($AZ44&gt;25000000,0.117,IF($AZ44&gt;5000000,0.111,0.1045)),SUMPRODUCT(($AZ44&gt;=INDEX('Methodology &amp; Sources'!$B$184:$J$198,0,1))*INDEX('Methodology &amp; Sources'!$B$184:$J$198,0,1+2))),IF($AZ44&gt;=1077550,IF($AZ44&gt;25000000,0.117,IF($AZ44&gt;5000000,0.111,0.1045)),SUMPRODUCT(($AZ44&gt;=INDEX('Methodology &amp; Sources'!$B$167:$J$179,0,7))*INDEX('Methodology &amp; Sources'!$B$167:$J$179,0,7+2)))),"")))))))</f>
      </c>
      <c r="CB44" s="24">
        <f>IF($B44="","",IF($AN44="CA",SUMPRODUCT(($AJ44&gt;=INDEX('Methodology &amp; Sources'!$B$39:$J$48,0,IF($AU44="Married",4,IF($AU44="Head of household",7,1))))*INDEX('Methodology &amp; Sources'!$B$39:$J$48,0,IF($AU44="Married",4,IF($AU44="Head of household",7,1))+2)),IF($AN44="HI",IF($AU44="Married",SUMPRODUCT(($AZ44&gt;=INDEX('Methodology &amp; Sources'!$B$91:$J$98,0,7))*INDEX('Methodology &amp; Sources'!$B$91:$J$98,0,7+2)),SUMPRODUCT(($AZ44&gt;=INDEX('Methodology &amp; Sources'!$B$91:$J$98,0,4))*INDEX('Methodology &amp; Sources'!$B$91:$J$98,0,4+2))),IF($AN44="MN",IF($AU44="Married",SUMPRODUCT(($AZ44&gt;=INDEX('Methodology &amp; Sources'!$B$114:$J$120,0,7))*INDEX('Methodology &amp; Sources'!$B$114:$J$120,0,7+2)),SUMPRODUCT(($AZ44&gt;=INDEX('Methodology &amp; Sources'!$B$114:$J$120,0,4))*INDEX('Methodology &amp; Sources'!$B$114:$J$120,0,4+2))),IF($AN44="MO",SUMPRODUCT(($AZ44&gt;=INDEX('Methodology &amp; Sources'!$B$125:$J$132,0,1))*INDEX('Methodology &amp; Sources'!$B$125:$J$132,0,1+2)),IF($AN44="NE",MAX(IF($AU44="Married",SUMPRODUCT(($AZ44&gt;=INDEX('Methodology &amp; Sources'!$B$144:$J$150,0,7))*INDEX('Methodology &amp; Sources'!$B$144:$J$150,0,7+2)),SUMPRODUCT(($AZ44&gt;=INDEX('Methodology &amp; Sources'!$B$144:$J$150,0,4))*INDEX('Methodology &amp; Sources'!$B$144:$J$150,0,4+2))),0.015),IF($AN44="OH",IF($B44&gt;=DATE(2027,8,1),SUMPRODUCT(($AZ44&gt;=INDEX('Methodology &amp; Sources'!$B$203:$J$206,0,1))*INDEX('Methodology &amp; Sources'!$B$203:$J$206,0,1+2)),SUMPRODUCT(($AZ44&gt;=INDEX('Methodology &amp; Sources'!$B$184:$J$198,0,7))*INDEX('Methodology &amp; Sources'!$B$184:$J$198,0,7+2))),IF($AN44="OK",IF($AU44="Married",SUMPRODUCT(($AZ44&gt;=INDEX('Methodology &amp; Sources'!$B$203:$J$206,0,7))*INDEX('Methodology &amp; Sources'!$B$203:$J$206,0,7+2)),SUMPRODUCT(($AZ44&gt;=INDEX('Methodology &amp; Sources'!$B$203:$J$206,0,4))*INDEX('Methodology &amp; Sources'!$B$203:$J$206,0,4+2))),IF($AN44="RI",SUMPRODUCT(($AZ44&gt;=INDEX('Methodology &amp; Sources'!$B$211:$J$214,0,7))*INDEX('Methodology &amp; Sources'!$B$211:$J$214,0,7+2)),IF($AN44="SC",SUMPRODUCT(($AZ44&gt;=INDEX('Methodology &amp; Sources'!$B$219:$J$223,0,1))*INDEX('Methodology &amp; Sources'!$B$219:$J$223,0,1+2)),IF($AN44="VT",IF($AU44="Married",SUMPRODUCT(($AZ44&gt;=INDEX('Methodology &amp; Sources'!$B$228:$J$232,0,1))*INDEX('Methodology &amp; Sources'!$B$228:$J$232,0,1+2)),SUMPRODUCT(($AZ44&gt;=INDEX('Methodology &amp; Sources'!$B$219:$J$223,0,7))*INDEX('Methodology &amp; Sources'!$B$219:$J$223,0,7+2))),IF($AN44="WV",IF($AU44="Married",SUMPRODUCT(($AZ44&gt;=INDEX('Methodology &amp; Sources'!$B$237:$J$241,0,7))*INDEX('Methodology &amp; Sources'!$B$237:$J$241,0,7+2)),SUMPRODUCT(($AZ44&gt;=INDEX('Methodology &amp; Sources'!$B$228:$J$232,0,7))*INDEX('Methodology &amp; Sources'!$B$228:$J$232,0,7+2))),IF($AN44="IN",(0.0295+Inputs!$C$76),"")))))))))))))</f>
      </c>
      <c r="CC44" s="24">
        <f>IF($B44="","",IF($AN44="AR",SUMPRODUCT(($AZ44&gt;=INDEX('Methodology &amp; Sources'!$B$82:$J$86,0,7))*INDEX('Methodology &amp; Sources'!$B$82:$J$86,0,7+2)),IF($AN44="DE",SUMPRODUCT(($AZ44&gt;=INDEX('Methodology &amp; Sources'!$B$91:$J$98,0,1))*INDEX('Methodology &amp; Sources'!$B$91:$J$98,0,1+2)),IF($AN44="VA",SUMPRODUCT(($AZ44&gt;=INDEX('Methodology &amp; Sources'!$B$219:$J$223,0,4))*INDEX('Methodology &amp; Sources'!$B$219:$J$223,0,4+2)),IF($AN44="WI",SUMPRODUCT(($AZ44&gt;=INDEX('Methodology &amp; Sources'!$B$228:$J$232,0,4))*INDEX('Methodology &amp; Sources'!$B$228:$J$232,0,4+2)),IF($AN44="AZ",Inputs!$C$82,IF($AN44="CO",IF($AY44&gt;IF($AU44="Married",10000,5000),0.044,0),IF($AN44="IA",IF($AY44&gt;IF($AU44="Head of household",19500,IF($AU44="Married",26000,13000)),0.038,0),IF($AN44="ID",IF($AY44&gt;IF($AU44="Married",32000,16094),0.053,0),IF($AN44="IL",IF($AY44&gt;(2925*$AS44+1000*$AT44),0.0495,0),IF($AN44="KY",IF($AI44&gt;3360,0.035,0),IF($AN44="LA",0.0309,IF($AN44="MA",IF(MAX(0,$AY44-MIN(($BD43+$Q44+$R44+$S44),2000)-IF($AS44=0,0,IF($AS44=1,4400,1000*$AS44+3400)))&gt;=1107750,0.09,0.05),IF($AN44="MS",IF($AI44-IF($AU44="Head of household",3400,IF($AU44="Married",4600,2300))-Inputs!$C$85&gt;10000,0.04,0),IF($AN44="PA",0.0307,"")))))))))))))))</f>
      </c>
      <c r="CD44" s="21">
        <f>IF(YEAR(IF(Inputs!$C$7="Weekly",Inputs!$C$90+7*(($BE43+1)-1),IF(Inputs!$C$7="Biweekly",Inputs!$C$90+14*(($BE43+1)-1),IF(Inputs!$C$7="Semimonthly",DATE(YEAR(Inputs!$C$9),MONTH(Inputs!$C$9)+INT((($BE43+1)-1+'Rest of 2026'!$C$2)/2),MIN(DAY(Inputs!$C$9),DAY(EOMONTH(DATE(YEAR(Inputs!$C$9),MONTH(Inputs!$C$9)+INT((($BE43+1)-1+'Rest of 2026'!$C$2)/2),1),0))))+IF(MOD(($BE43+1)-1+'Rest of 2026'!$C$2,2)=1,15,0),EDATE(Inputs!$C$90,($BE43+1)-1)))))&lt;&gt;Inputs!$C$10,"",IF(Inputs!$C$7="Weekly",Inputs!$C$90+7*(($BE43+1)-1),IF(Inputs!$C$7="Biweekly",Inputs!$C$90+14*(($BE43+1)-1),IF(Inputs!$C$7="Semimonthly",DATE(YEAR(Inputs!$C$9),MONTH(Inputs!$C$9)+INT((($BE43+1)-1+'Rest of 2026'!$C$2)/2),MIN(DAY(Inputs!$C$9),DAY(EOMONTH(DATE(YEAR(Inputs!$C$9),MONTH(Inputs!$C$9)+INT((($BE43+1)-1+'Rest of 2026'!$C$2)/2),1),0))))+IF(MOD(($BE43+1)-1+'Rest of 2026'!$C$2,2)=1,15,0),EDATE(Inputs!$C$90,($BE43+1)-1)))))</f>
      </c>
      <c r="CE44" s="21">
        <f>IF(SUMPRODUCT(MIN(IF((Inputs!$C$58:$C$67&gt;MAX($B$6:$B43))*(Inputs!$C$58:$C$67&gt;=DATE(Inputs!$C$10,1,1))*(Inputs!$C$58:$C$67&lt;=DATE(Inputs!$C$10,12,31)),Inputs!$C$58:$C$67,999999)))=999999,"",SUMPRODUCT(MIN(IF((Inputs!$C$58:$C$67&gt;MAX($B$6:$B43))*(Inputs!$C$58:$C$67&gt;=DATE(Inputs!$C$10,1,1))*(Inputs!$C$58:$C$67&lt;=DATE(Inputs!$C$10,12,31)),Inputs!$C$58:$C$67,999999))))</f>
      </c>
    </row>
    <row r="45">
      <c r="A45" t="n">
        <v>40</v>
      </c>
      <c r="B45" s="21">
        <f>IF(AND($CD45="",$CE45=""),"",IF($CE45="",$CD45,IF($CD45="",$CE45,MIN($CD45,$CE45))))</f>
      </c>
      <c r="C45" s="7">
        <f>IF($B45="","",IF($BF45=0,0,IF(Inputs!$C$4="Annual salary",ROUND($AK45/IF(AND(Inputs!$C$88="Actual paydays",MONTH(Inputs!$C$90)=1),MAX(1,MAX($BE$6:$BE$68)),Inputs!$C$8),2),$AK45)))</f>
      </c>
      <c r="D45" s="7">
        <f>IF($B45="","",SUMIF(Inputs!$C$58:$C$67,$B45,Inputs!$D$58:$D$67))</f>
      </c>
      <c r="E45" s="7">
        <f>IF($B45="","",ROUND(MAX(0,MIN(IF($AL45="Percent",$AM45*($C45+$D45),$AM45),MAX(0,Inputs!$C$34-$AC44))),2))</f>
      </c>
      <c r="F45" s="7">
        <f>IF($B45="","",ROUND(MAX(0,MIN(IF(Inputs!$C$32="Percent",Inputs!$D$32*($C45+$D45),Inputs!$D$32),MAX(0,Inputs!$C$34-$AC44-$E45))),2))</f>
      </c>
      <c r="G45" s="7">
        <f>IF($B45="","",IF($BF45=0,0,ROUND(MAX(0,MIN($BL45,Inputs!$C$37-Inputs!$C$99-$BI44)),2)))</f>
      </c>
      <c r="H45" s="7">
        <f>IF($B45="","",IF(OR($BF45=0,$BQ45=1),0,ROUND(MAX(0,MIN(IF($BS45=1,ROUND(MAX(0,MIN($BJ45,'Methodology &amp; Sources'!$C$13)-$BG44)/MAX(1,MAX($BE$6:$BE$68)-($BE44)),2),ROUND(MIN($BJ45,'Methodology &amp; Sources'!$C$13)/Inputs!$C$8,2)),MIN($BJ45,'Methodology &amp; Sources'!$C$13)-$BG44)),2)))</f>
      </c>
      <c r="I45" s="7">
        <f>IF($B45="","",IF(OR($BF45=0,$BR45=1),0,ROUND(MAX(0,MIN(IF($BT45=1,ROUND(MAX(0,MIN($BK45,IF(Inputs!$C$12="MFJ",'Methodology &amp; Sources'!$C$14,'Methodology &amp; Sources'!$C$15))-$BH44)/MAX(1,MAX($BE$6:$BE$68)-($BE44)),2),ROUND(MIN($BK45,IF(Inputs!$C$12="MFJ",'Methodology &amp; Sources'!$C$14,'Methodology &amp; Sources'!$C$15))/Inputs!$C$8,2)),MIN($BK45,IF(Inputs!$C$12="MFJ",'Methodology &amp; Sources'!$C$14,'Methodology &amp; Sources'!$C$15))-$BH44)),2)))</f>
      </c>
      <c r="J45" s="7">
        <f>IF($B45="","",IF($BF45=0,0,$BM45))</f>
      </c>
      <c r="K45" s="7">
        <f>IF($B45="","",IF($BF45=0,0,$BN45+$BO45))</f>
      </c>
      <c r="L45" s="7">
        <f>IF($B45="","",IF($BF45=0,0,Inputs!$D$46))</f>
      </c>
      <c r="M45" s="7">
        <f>IF($B45="","",$C45+$D45+$L45-$E45-$G45-$H45-$I45-$J45-$K45)</f>
      </c>
      <c r="N45" s="7">
        <f>IF($B45="","",$C45+$D45+$L45-$G45-$H45-$I45-$J45-$K45)</f>
      </c>
      <c r="O45" s="7">
        <f>IF($B45="","",$C45+$D45+$L45-$E45-$H45-$I45-$J45-$K45-IF(OR($AN45="CA",$AN45="NJ"),0,$G45))</f>
      </c>
      <c r="P45" s="7">
        <f>IF($B45="","",IF(Inputs!$C$18,0,ROUND(MAX(0,IF(Inputs!$C$13,SUMPRODUCT(($AH45&gt;INDEX('Methodology &amp; Sources'!$B$29:$J$36,0,IF(Inputs!$C$12="MFJ",1,IF(Inputs!$C$12="HoH",7,4))))*($AH45-INDEX('Methodology &amp; Sources'!$B$29:$J$36,0,IF(Inputs!$C$12="MFJ",1,IF(Inputs!$C$12="HoH",7,4))))*INDEX('Methodology &amp; Sources'!$B$29:$J$36,0,IF(Inputs!$C$12="MFJ",1,IF(Inputs!$C$12="HoH",7,4))+2)),SUMPRODUCT(($AH45&gt;INDEX('Methodology &amp; Sources'!$B$19:$J$26,0,IF(Inputs!$C$12="MFJ",1,IF(Inputs!$C$12="HoH",7,4))))*($AH45-INDEX('Methodology &amp; Sources'!$B$19:$J$26,0,IF(Inputs!$C$12="MFJ",1,IF(Inputs!$C$12="HoH",7,4))))*INDEX('Methodology &amp; Sources'!$B$19:$J$26,0,IF(Inputs!$C$12="MFJ",1,IF(Inputs!$C$12="HoH",7,4))+2)))/Inputs!$C$8-$AO45/Inputs!$C$8)+$AR45+IF(Inputs!$C$89="Aggregate",MAX(0,IF(Inputs!$C$13,SUMPRODUCT((($AH45+$D45)&gt;INDEX('Methodology &amp; Sources'!$B$29:$J$36,0,IF(Inputs!$C$12="MFJ",1,IF(Inputs!$C$12="HoH",7,4))))*(($AH45+$D45)-INDEX('Methodology &amp; Sources'!$B$29:$J$36,0,IF(Inputs!$C$12="MFJ",1,IF(Inputs!$C$12="HoH",7,4))))*INDEX('Methodology &amp; Sources'!$B$29:$J$36,0,IF(Inputs!$C$12="MFJ",1,IF(Inputs!$C$12="HoH",7,4))+2)),SUMPRODUCT((($AH45+$D45)&gt;INDEX('Methodology &amp; Sources'!$B$19:$J$26,0,IF(Inputs!$C$12="MFJ",1,IF(Inputs!$C$12="HoH",7,4))))*(($AH45+$D45)-INDEX('Methodology &amp; Sources'!$B$19:$J$26,0,IF(Inputs!$C$12="MFJ",1,IF(Inputs!$C$12="HoH",7,4))))*INDEX('Methodology &amp; Sources'!$B$19:$J$26,0,IF(Inputs!$C$12="MFJ",1,IF(Inputs!$C$12="HoH",7,4))+2)))-IF(Inputs!$C$13,SUMPRODUCT(($AH45&gt;INDEX('Methodology &amp; Sources'!$B$29:$J$36,0,IF(Inputs!$C$12="MFJ",1,IF(Inputs!$C$12="HoH",7,4))))*($AH45-INDEX('Methodology &amp; Sources'!$B$29:$J$36,0,IF(Inputs!$C$12="MFJ",1,IF(Inputs!$C$12="HoH",7,4))))*INDEX('Methodology &amp; Sources'!$B$29:$J$36,0,IF(Inputs!$C$12="MFJ",1,IF(Inputs!$C$12="HoH",7,4))+2)),SUMPRODUCT(($AH45&gt;INDEX('Methodology &amp; Sources'!$B$19:$J$26,0,IF(Inputs!$C$12="MFJ",1,IF(Inputs!$C$12="HoH",7,4))))*($AH45-INDEX('Methodology &amp; Sources'!$B$19:$J$26,0,IF(Inputs!$C$12="MFJ",1,IF(Inputs!$C$12="HoH",7,4))))*INDEX('Methodology &amp; Sources'!$B$19:$J$26,0,IF(Inputs!$C$12="MFJ",1,IF(Inputs!$C$12="HoH",7,4))+2)))),'Methodology &amp; Sources'!$C$10*$D45),2)))</f>
      </c>
      <c r="Q45" s="7">
        <f>IF($B45="","",ROUND('Methodology &amp; Sources'!$C$4*MIN($N45,MAX(0,'Methodology &amp; Sources'!$C$3-($AX45+$AB44-$AW45))),2))</f>
      </c>
      <c r="R45" s="7">
        <f>IF($B45="","",ROUND('Methodology &amp; Sources'!$C$5*$N45,2))</f>
      </c>
      <c r="S45" s="7">
        <f>IF($B45="","",ROUND('Methodology &amp; Sources'!$C$6*MAX(0,MIN($N45,$AG44+$N45-'Methodology &amp; Sources'!$C$7)),2))</f>
      </c>
      <c r="T45" s="7">
        <f>IF($B45="","",IF(Inputs!$C$26,0,IF($AN45="CA",ROUND(IF($AI45&lt;=IF(($AS45+$AT45)&gt;=2,VLOOKUP($AN45,StateTables!$A$6:$AB$56,10,FALSE),VLOOKUP($AN45,StateTables!$A$6:$AB$56,9,FALSE)),0,MAX(0,SUMPRODUCT(($AJ45&gt;INDEX('Methodology &amp; Sources'!$B$39:$J$48,0,IF($AU45="Married",4,IF($AU45="Head of household",7,1))))*($AJ45-INDEX('Methodology &amp; Sources'!$B$39:$J$48,0,IF($AU45="Married",4,IF($AU45="Head of household",7,1))))*INDEX('Methodology &amp; Sources'!$B$39:$J$48,0,IF($AU45="Married",4,IF($AU45="Head of household",7,1))+2))-VLOOKUP($AN45,StateTables!$A$6:$AB$56,11,FALSE)*$AS45)/Inputs!$C$8)+Inputs!$C$25+VLOOKUP($AN45,StateTables!$A$6:$AB$56,13,FALSE)*$D45,2),IF(VLOOKUP($AN45,StateTables!$A$6:$AB$56,4,FALSE)="None",0,IF(ISNUMBER(SEARCH("MANUAL",VLOOKUP($AN45,StateTables!$A$6:$AB$56,5,FALSE))),Inputs!$C$28,ROUND(MAX(0,$BA45+$BB45)/Inputs!$C$8+Inputs!$C$25+$BC45,2))))))</f>
      </c>
      <c r="U45" s="7">
        <f>IF($B45="","",IF(VLOOKUP($AN45,StateTables!$A$6:$AB$56,24,FALSE)="flatq",IF(OR(MONTH($B45)=1,MONTH($B45)=4,MONTH($B45)=7,MONTH($B45)=10),VLOOKUP($AN45,StateTables!$A$6:$AB$56,25,FALSE),0),IF(VLOOKUP($AN45,StateTables!$A$6:$AB$56,24,FALSE)="dbl",MIN(ROUND(0.005*$N45,2),ROUND(0.6*52/Inputs!$C$8,2)),IF(OR(VLOOKUP($AN45,StateTables!$A$6:$AB$56,15,FALSE)="",VLOOKUP($AN45,StateTables!$A$6:$AB$56,15,FALSE)=0),0,ROUND(VLOOKUP($AN45,StateTables!$A$6:$AB$56,15,FALSE)*IF(OR(VLOOKUP($AN45,StateTables!$A$6:$AB$56,16,FALSE)="",VLOOKUP($AN45,StateTables!$A$6:$AB$56,16,FALSE)=0),$N45,MIN($N45,MAX(0,VLOOKUP($AN45,StateTables!$A$6:$AB$56,16,FALSE)-($AX45+$AB44-$AW45)))),2))))+IF(VLOOKUP($AN45,StateTables!$A$6:$AB$56,27,FALSE)="flatq",IF(OR(MONTH($B45)=1,MONTH($B45)=4,MONTH($B45)=7,MONTH($B45)=10),VLOOKUP($AN45,StateTables!$A$6:$AB$56,28,FALSE),0),IF(VLOOKUP($AN45,StateTables!$A$6:$AB$56,27,FALSE)="dbl",MIN(ROUND(0.005*$N45,2),ROUND(0.6*52/Inputs!$C$8,2)),IF(OR(VLOOKUP($AN45,StateTables!$A$6:$AB$56,18,FALSE)="",VLOOKUP($AN45,StateTables!$A$6:$AB$56,18,FALSE)=0),0,ROUND(VLOOKUP($AN45,StateTables!$A$6:$AB$56,18,FALSE)*IF(OR(VLOOKUP($AN45,StateTables!$A$6:$AB$56,19,FALSE)="",VLOOKUP($AN45,StateTables!$A$6:$AB$56,19,FALSE)=0),$N45,MIN($N45,MAX(0,VLOOKUP($AN45,StateTables!$A$6:$AB$56,19,FALSE)-($AX45+$AB44-$AW45)))),2)))))</f>
      </c>
      <c r="V45" s="7">
        <f>IF($B45="","",IF($AN45="NY",IF(Inputs!$C$78,ROUND(SUMPRODUCT((MAX(0,($O45-$D45)*Inputs!$C$8-(IF($AU45="Married",5500,5000)+1000*$AS45))&gt;INDEX('Methodology &amp; Sources'!$B$184:$J$198,0,4))*(MAX(0,($O45-$D45)*Inputs!$C$8-(IF($AU45="Married",5500,5000)+1000*$AS45))-INDEX('Methodology &amp; Sources'!$B$184:$J$198,0,4))*INDEX('Methodology &amp; Sources'!$B$184:$J$198,0,4+2))/Inputs!$C$8+0.0425*$D45,2),0)+IF(Inputs!$C$79="Resident",ROUND(0.1675*$T45,2),IF(Inputs!$C$79="Nonresident",ROUND(0.005*MAX(0,($O45-$D45)-(IF($AU45="Married",7950,7400)+1000*$AS45)/Inputs!$C$8),2),0)),IF($AN45="PA",IF(Inputs!$C$80="None",Inputs!$C$27+ROUND(Inputs!$C$81*($C45+$D45),2),ROUND(IF(Inputs!$C$80="Resident",IF($B45&lt;DATE(2027,7,1),0.03735,0.03735),IF($B45&lt;DATE(2027,7,1),0.03425,0.03425))*($C45+$D45),2)),IF($BF45=0,ROUND(Inputs!$C$81*($C45+$D45),2),Inputs!$C$27+ROUND(Inputs!$C$81*($C45+$D45),2)))))</f>
      </c>
      <c r="W45" s="7">
        <f>IF($B45="","",IF($BF45=0,0,$BP45))</f>
      </c>
      <c r="X45" s="7">
        <f>IF($B45="","",SUM($E45:$K45)+$P45+$Q45+$R45+$S45+$T45+$U45+$V45+$W45)</f>
      </c>
      <c r="Y45" s="22">
        <f>IF($B45="","",$C45+$D45-$X45)</f>
      </c>
      <c r="Z45" s="7">
        <f>IF($B45="","",$Z44+$C45+$D45)</f>
      </c>
      <c r="AA45" s="7">
        <f>IF($B45="","",$AA44+$Y45)</f>
      </c>
      <c r="AB45" s="7">
        <f>IF($B45="","",$AB44+MIN($N45,MAX(0,'Methodology &amp; Sources'!$C$3-($AX45+$AB44-$AW45))))</f>
      </c>
      <c r="AC45" s="7">
        <f>IF($B45="","",$AC44+$E45+$F45)</f>
      </c>
      <c r="AD45" s="3">
        <f>IF($B45="","",IF(AND($AB44&lt;'Methodology &amp; Sources'!$C$3,$AB45&gt;='Methodology &amp; Sources'!$C$3),"★ Social Security maxed on this check — from the next check your net rises by about $"&amp;TEXT(ROUND('Methodology &amp; Sources'!$C$4*$N45,2),"#,##0.00")&amp;". ","")&amp;IF(AND($AC44&lt;Inputs!$C$34,$AC45&gt;=Inputs!$C$34),"★ 401(k) reaches the $"&amp;TEXT(Inputs!$C$34,"#,##0")&amp;" cap on this check — deferrals stop and net pay rises. ","")&amp;IF(AND($AG44&lt;'Methodology &amp; Sources'!$C$7,$AG45&gt;='Methodology &amp; Sources'!$C$7),"★ Wages pass $200,000 — the 0.9% Additional Medicare Tax starts here. ","")&amp;IF(AND($BJ45&gt;0,$H45&gt;0,$BG44&lt;MIN($BJ45,'Methodology &amp; Sources'!$C$13),$BG44+$H45&gt;=MIN($BJ45,'Methodology &amp; Sources'!$C$13)),"★ Health FSA election is now fully deferred for the year. ",""))</f>
      </c>
      <c r="AE45" s="41" t="n"/>
      <c r="AF45" s="7">
        <f>IF(OR($B45="",$AE45=""),"",$AE45-$Y45)</f>
      </c>
      <c r="AG45" s="7">
        <f>IF($B45="","",$AG44+$N45)</f>
      </c>
      <c r="AH45" s="7">
        <f>IF($B45="","",MAX(0,($M45-$D45)*Inputs!$C$8+$AP45-$AQ45-IF(Inputs!$C$13,0,IF(Inputs!$C$12="MFJ",'Methodology &amp; Sources'!$C$8,'Methodology &amp; Sources'!$C$9))))</f>
      </c>
      <c r="AI45" s="7">
        <f>IF($B45="","",$O45*Inputs!$C$8)</f>
      </c>
      <c r="AJ45" s="7">
        <f>IF($B45="","",MAX(0,$AI45-VLOOKUP($AN45,StateTables!$A$6:$AB$56,12,FALSE)*$AT45-IF(($AS45+$AT45)&gt;=2,VLOOKUP($AN45,StateTables!$A$6:$AB$56,8,FALSE),VLOOKUP($AN45,StateTables!$A$6:$AB$56,7,FALSE))))</f>
      </c>
      <c r="AK45" s="7">
        <f>IF($B45="","",IFERROR(LOOKUP(2,1/((Events!$C$6:$C$17="Salary change")*(Events!$B$6:$B$17&lt;=$B45)*(Events!$B$6:$B$17&lt;&gt;"")),Events!$D$6:$D$17),IF(Inputs!$C$4="Annual salary",Inputs!$C$5,Inputs!$C$6)))</f>
      </c>
      <c r="AL45">
        <f>IF($B45="","",IFERROR(LOOKUP(2,1/((Events!$C$6:$C$17="401(k) change")*(Events!$B$6:$B$17&lt;=$B45)*(Events!$B$6:$B$17&lt;&gt;"")),Events!$D$6:$D$17),Inputs!$C$30))</f>
      </c>
      <c r="AM45" s="7">
        <f>IF($B45="","",IFERROR(LOOKUP(2,1/((Events!$C$6:$C$17="401(k) change")*(Events!$B$6:$B$17&lt;=$B45)*(Events!$B$6:$B$17&lt;&gt;"")),Events!$E$6:$E$17),Inputs!$D$30))</f>
      </c>
      <c r="AN45">
        <f>IF($B45="","",IFERROR(LOOKUP(2,1/((Events!$C$6:$C$17="State move")*(Events!$B$6:$B$17&lt;=$B45)*(Events!$B$6:$B$17&lt;&gt;"")),Events!$D$6:$D$17),Inputs!$C$21))</f>
      </c>
      <c r="AO45" s="7">
        <f>IF($B45="","",IFERROR(LOOKUP(2,1/((Events!$C$6:$C$17="W-4 change")*(Events!$B$6:$B$17&lt;=$B45)*(Events!$B$6:$B$17&lt;&gt;"")),Events!$D$6:$D$17),Inputs!$C$14))</f>
      </c>
      <c r="AP45" s="7">
        <f>IF($B45="","",IFERROR(LOOKUP(2,1/((Events!$C$6:$C$17="W-4 change")*(Events!$B$6:$B$17&lt;=$B45)*(Events!$B$6:$B$17&lt;&gt;"")),Events!$E$6:$E$17),Inputs!$C$15))</f>
      </c>
      <c r="AQ45" s="7">
        <f>IF($B45="","",IFERROR(LOOKUP(2,1/((Events!$C$6:$C$17="W-4 change")*(Events!$B$6:$B$17&lt;=$B45)*(Events!$B$6:$B$17&lt;&gt;"")),Events!$F$6:$F$17),Inputs!$C$16))</f>
      </c>
      <c r="AR45" s="7">
        <f>IF($B45="","",IFERROR(LOOKUP(2,1/((Events!$C$6:$C$17="W-4 change")*(Events!$B$6:$B$17&lt;=$B45)*(Events!$B$6:$B$17&lt;&gt;"")),Events!$G$6:$G$17),Inputs!$C$17))</f>
      </c>
      <c r="AS45" s="6">
        <f>IF($B45="","",IFERROR(LOOKUP(2,1/(((Events!$C$6:$C$17="State move")+(Events!$C$6:$C$17="State cert change"))*(Events!$B$6:$B$17&lt;=$B45)*(Events!$B$6:$B$17&lt;&gt;"")),Events!$F$6:$F$17),Inputs!$C$23))</f>
      </c>
      <c r="AT45" s="6">
        <f>IF($B45="","",IFERROR(LOOKUP(2,1/(((Events!$C$6:$C$17="State move")+(Events!$C$6:$C$17="State cert change"))*(Events!$B$6:$B$17&lt;=$B45)*(Events!$B$6:$B$17&lt;&gt;"")),Events!$G$6:$G$17),Inputs!$C$24))</f>
      </c>
      <c r="AU45">
        <f>IF($B45="","",IFERROR(LOOKUP(2,1/((Events!$C$6:$C$17="State move")*(Events!$B$6:$B$17&lt;=$B45)*(Events!$B$6:$B$17&lt;&gt;"")),Events!$E$6:$E$17),Inputs!$C$22))</f>
      </c>
      <c r="AV45" s="6">
        <f>IF($B45="","",1+COUNTIFS(Events!$C$6:$C$17,"Employer change",Events!$B$6:$B$17,"&lt;="&amp;$B45,Events!$B$6:$B$17,"&lt;&gt;"))</f>
      </c>
      <c r="AW45" s="7">
        <f>IF($B45="","",IF($AV45=1,Inputs!$C$94,IF(IFERROR(MATCH(IFERROR(LOOKUP(2,1/((Events!$C$6:$C$17="Employer change")*(Events!$B$6:$B$17&lt;=$B45)*(Events!$B$6:$B$17&lt;&gt;"")),Events!$B$6:$B$17),""),$B$6:$B$68,1),1)&lt;=1,Inputs!$C$94,INDEX($AB$6:$AB$68,MATCH(IFERROR(LOOKUP(2,1/((Events!$C$6:$C$17="Employer change")*(Events!$B$6:$B$17&lt;=$B45)*(Events!$B$6:$B$17&lt;&gt;"")),Events!$B$6:$B$17),""),$B$6:$B$68,1)-1))))</f>
      </c>
      <c r="AX45" s="7">
        <f>IF($B45="","",IF($AV45=1,Inputs!$C$94,IFERROR(LOOKUP(2,1/((Events!$C$6:$C$17="Employer change")*(Events!$B$6:$B$17&lt;=$B45)*(Events!$B$6:$B$17&lt;&gt;"")),Events!$D$6:$D$17),0)))</f>
      </c>
      <c r="AY45" s="7">
        <f>IF($B45="","",($O45-$D45)*Inputs!$C$8)</f>
      </c>
      <c r="AZ45" s="7">
        <f>IF($B45="","",IF($AN45="AL",MAX(0,$AY45-IF($AU45="Married",IF($AY45&lt;=25999,8500,MAX(5000,8500-175*CEILING(($AY45-25999)/500,1))),IF($AU45="Head of household",IF($AY45&lt;=25999,5200,MAX(2500,5200-135*CEILING(($AY45-25999)/500,1))),IF($AY45&lt;=25999,3000,MAX(2500,3000-25*CEILING(($AY45-25999)/500,1)))))-($P45-'Methodology &amp; Sources'!$C$10*$D45)*Inputs!$C$8-IF(OR($AU45="Married",$AU45="Head of household"),3000,1500)-$AT45*IF($AY45&lt;=50000,1000,IF($AY45&lt;=100000,500,300))),IF($AN45="AR",IF(MAX(0,$AY45-2470)&lt;97701,INT(MAX(0,$AY45-2470)/100)*100+50,MAX(0,$AY45-2470)),IF($AN45="DE",MAX(0,$AI45-3250),IF($AN45="HI",MAX(0,$AI45-1144*$AS45-4350),IF($AN45="KS",MAX(0,$AI45-(9160*IF($AU45="Married",2,1)+2320*$AT45+IF($AU45="Head of household",2320,0))),IF($AN45="MD",MAX(0,$AI45-3400-3200*$AS45),IF($AN45="MN",MAX(0,$AY45-5300*$AS45),IF($AN45="MO",MAX(0,$AI45-IF($AU45="Head of household",24150,IF($AU45="Married",IF(Inputs!$C$83,16100,32200),16100))),IF($AN45="MT",$AY45,IF($AN45="ND",($C45+$L45)*Inputs!$C$8,IF($AN45="NE",MAX(0,$AY45-2440*$AS45),IF($AN45="NJ",MAX(0,$AY45-1000*$AS45),IF($AN45="NY",MAX(0,$AY45-(IF($AU45="Married",7950,7400)+1000*$AS45)),IF($AN45="OH",MAX(0,$AY45-650*$AS45),IF($AN45="OK",MAX(0,$AY45-1000*$AS45),IF($AN45="RI",MAX(0,$AI45-1000*$AS45),IF($AN45="SC",MAX(0,$AI45-5000*$AS45-IF($AS45=0,0,MIN(0.1*$AI45,7500))),IF($AN45="VA",MAX(0,$AI45-IF($AU45="Married",17500,8750)-930*$AS45-800*$AT45),IF($AN45="VT",MAX(0,$AI45-5400*$AS45),IF($AN45="WI",MAX(0,$AI45-MAX(0,IF($AU45="Married",9461-0.2*MAX(0,$AI45-25727),6702-0.12*MAX(0,$AI45-17780)))-400*$AS45),IF($AN45="WV",MAX(0,$AI45-2000*$AS45),$AI45))))))))))))))))))))))</f>
      </c>
      <c r="BA45" s="7">
        <f>IF($B45="","",IF($BW45&lt;&gt;"",$BW45,IF($BX45&lt;&gt;"",$BX45,IF($BY45&lt;&gt;"",$BY45,0))))</f>
      </c>
      <c r="BB45" s="7">
        <f>IF($B45="","",IF($AN45="AR",-29*$AS45,IF($AN45="DE",-110*$AS45,IF($AN45="MD",$AZ45*Inputs!$C$74,IF($AN45="AZ",Inputs!$C$82*($M45-$D45)*Inputs!$C$8,IF($AN45="CO",0.044*MAX(0,$AY45-IF($AU45="Married",10000,5000)),IF($AN45="IA",MAX(0,0.038*MAX(0,$AY45-IF($AU45="Head of household",19500,IF($AU45="Married",26000,13000)))-40*$AS45),IF($AN45="ID",0.053*MAX(0,$AY45-IF($AU45="Married",32000,16094)),IF($AN45="IL",0.0495*MAX(0,$AY45-(2925*$AS45+1000*$AT45)),IF($AN45="IN",(0.0295+Inputs!$C$76)*MAX(0,$AY45-(1000*$AS45+1500*$AT45+3000*Inputs!$C$86)),IF($AN45="KY",0.035*MAX(0,$AI45-3360),IF($AN45="LA",IF(Inputs!$C$84="0",0.0309*$AI45,0.0309*MAX(0,$AI45-IF(Inputs!$C$84="2",25750,12875))),IF($AN45="MA",0.05*MIN(MAX(0,$AY45-MIN(($BD44+$Q45+$R45+$S45),2000)-IF($AS45=0,0,IF($AS45=1,4400,1000*$AS45+3400))),1107750)+0.09*MAX(0,MAX(0,$AY45-MIN(($BD44+$Q45+$R45+$S45),2000)-IF($AS45=0,0,IF($AS45=1,4400,1000*$AS45+3400)))-1107750)-IF($AU45="Head of household",120,0)-110*Inputs!$C$75,IF($AN45="MI",0.0425*MAX(0,$AY45-5900*$AS45),IF($AN45="MS",0.04*MAX(0,$AI45-IF($AU45="Head of household",3400,IF($AU45="Married",4600,2300))-Inputs!$C$85-10000),IF($AN45="OR",IF(OR($AU45="Married",AND($AU45="Single",$AS45&gt;=3)),SUMPRODUCT((MAX(0,$AY45-MIN(($P45-'Methodology &amp; Sources'!$C$10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Sources'!$B$211:$J$214,0,4))*(MAX(0,$AY45-MIN(($P45-'Methodology &amp; Sources'!$C$10*$D45)*Inputs!$C$8,IF(OR($AU45="Married",AND($AU45="Single",$AS45&gt;=3)),IF($AY45&lt;250000,8750,IF($AY45&lt;260000,7000,IF($AY45&lt;270000,5250,IF($AY45&lt;280000,3500,IF($AY45&lt;290000,1750,0))))),IF($AY45&lt;125000,8750,IF($AY45&lt;130000,7000,IF($AY45&lt;135000,5250,IF($AY45&lt;140000,3500,IF($AY45&lt;145000,1750,0)))))))-IF(OR($AU45="Married",AND($AU45="Single",$AS45&gt;=3)),5820,2910))-INDEX('Methodology &amp; Sources'!$B$211:$J$214,0,4))*INDEX('Methodology &amp; Sources'!$B$211:$J$214,0,4+2)),SUMPRODUCT((MAX(0,$AY45-MIN(($P45-'Methodology &amp; Sources'!$C$10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Sources'!$B$211:$J$214,0,1))*(MAX(0,$AY45-MIN(($P45-'Methodology &amp; Sources'!$C$10*$D45)*Inputs!$C$8,IF(OR($AU45="Married",AND($AU45="Single",$AS45&gt;=3)),IF($AY45&lt;250000,8750,IF($AY45&lt;260000,7000,IF($AY45&lt;270000,5250,IF($AY45&lt;280000,3500,IF($AY45&lt;290000,1750,0))))),IF($AY45&lt;125000,8750,IF($AY45&lt;130000,7000,IF($AY45&lt;135000,5250,IF($AY45&lt;140000,3500,IF($AY45&lt;145000,1750,0)))))))-IF(OR($AU45="Married",AND($AU45="Single",$AS45&gt;=3)),5820,2910))-INDEX('Methodology &amp; Sources'!$B$211:$J$214,0,1))*INDEX('Methodology &amp; Sources'!$B$211:$J$214,0,1+2)))+263-263*IF(IF($AU45="Married",$AY45&gt;200000,$AY45&gt;100000),0,$AS45),IF($AN45="PA",0.0307*(($O45+$E45+$G45)*Inputs!$C$8),IF($AN45="NY",IF($AU45="Married",IF($AZ45&gt;=2155350,0,IF($AZ45&gt;=1077550,0.48,IF($AZ45&gt;=373200,1.21,IF($AZ45&gt;=323200,0.21,IF($AZ45&gt;=211550,-0.19,IF($AZ45&gt;=157650,-2.8,IF($AZ45&gt;=107650,-0.8,IF($AZ45&gt;=96800,0.05,IF($AZ45&gt;=80650,-0.1,IF($AZ45&gt;=13900,0.4,IF($AZ45&gt;=11700,-0.3,IF($AZ45&gt;=8500,0.5,0)))))))))))),IF($AZ45&gt;=1077550,0,IF($AZ45&gt;=265400,4.29,IF($AZ45&gt;=215400,2.29,IF($AZ45&gt;=157650,2.29,IF($AZ45&gt;=107650,0.29,IF($AZ45&gt;=96800,0.05,IF($AZ45&gt;=80650,-0.1,IF($AZ45&gt;=13900,0.4,IF($AZ45&gt;=11700,-0.3,IF($AZ45&gt;=8500,0.5,0))))))))))),0))))))))))))))))))</f>
      </c>
      <c r="BC45" s="7">
        <f>IF($B45="","",IF($AN45="AL",0.05*$D45,IF($AN45="AR",0.039*$D45,IF($AN45="ID",0.053*$D45,IF($AN45="IN",(0.0295+Inputs!$C$76)*$D45,IF($AN45="KS",0.05*$D45,IF($AN45="MA",0.09*MIN($D45,MAX(0,MAX(0,$AY45-MIN(($BD44+$Q45+$R45+$S45),2000)-IF($AS45=0,0,IF($AS45=1,4400,1000*$AS45+3400)))+$D45-1107750))+0.05*($D45-MIN($D45,MAX(0,MAX(0,$AY45-MIN(($BD44+$Q45+$R45+$S45),2000)-IF($AS45=0,0,IF($AS45=1,4400,1000*$AS45+3400)))+$D45-1107750))),IF($AN45="MD",(0.065+Inputs!$C$74)*$D45,IF($AN45="MI",0.0425*$D45,IF($AN45="MN",0.0625*$D45,IF($AN45="MO",0.047*$D45,IF($AN45="MT",0.05*$D45,IF($AN45="ND",0.015*$D45,IF($AN45="NE",0.035*$D45,IF($AN45="NJ",IF(Inputs!$C$77="B",SUMPRODUCT(($D45*Inputs!$C$8&gt;INDEX('Methodology &amp; Sources'!$B$155:$J$162,0,4))*($D45*Inputs!$C$8-INDEX('Methodology &amp; Sources'!$B$155:$J$162,0,4))*INDEX('Methodology &amp; Sources'!$B$155:$J$162,0,4+2)),IF(Inputs!$C$77="C",SUMPRODUCT(($D45*Inputs!$C$8&gt;INDEX('Methodology &amp; Sources'!$B$155:$J$162,0,7))*($D45*Inputs!$C$8-INDEX('Methodology &amp; Sources'!$B$155:$J$162,0,7))*INDEX('Methodology &amp; Sources'!$B$155:$J$162,0,7+2)),IF(Inputs!$C$77="D",SUMPRODUCT(($D45*Inputs!$C$8&gt;INDEX('Methodology &amp; Sources'!$B$167:$J$179,0,1))*($D45*Inputs!$C$8-INDEX('Methodology &amp; Sources'!$B$167:$J$179,0,1))*INDEX('Methodology &amp; Sources'!$B$167:$J$179,0,1+2)),IF(Inputs!$C$77="E",SUMPRODUCT(($D45*Inputs!$C$8&gt;INDEX('Methodology &amp; Sources'!$B$167:$J$179,0,4))*($D45*Inputs!$C$8-INDEX('Methodology &amp; Sources'!$B$167:$J$179,0,4))*INDEX('Methodology &amp; Sources'!$B$167:$J$179,0,4+2)),SUMPRODUCT(($D45*Inputs!$C$8&gt;INDEX('Methodology &amp; Sources'!$B$155:$J$162,0,1))*($D45*Inputs!$C$8-INDEX('Methodology &amp; Sources'!$B$155:$J$162,0,1))*INDEX('Methodology &amp; Sources'!$B$155:$J$162,0,1+2))))))/Inputs!$C$8,IF($AN45="NY",0.117*$D45,IF($AN45="OH",0.0275*$D45,IF($AN45="OK",0.045*$D45,IF($AN45="OR",0.08*$D45,IF($AN45="WI",IF($AY45&lt;12760,0.0354,IF($AY45&lt;25520,0.0465,IF($AY45&lt;280950,0.053,0.0765)))*$D45,0))))))))))))))))))))</f>
      </c>
      <c r="BD45" s="7">
        <f>IF($B45="","",$BD44+$Q45+$R45+$S45)</f>
      </c>
      <c r="BE45" s="6">
        <f>IF($B45="",$BE44,$BE44+$BF45)</f>
      </c>
      <c r="BF45" s="6">
        <f>IF($B45="","",IF(AND(IF(YEAR(IF(Inputs!$C$7="Weekly",Inputs!$C$90+7*(($BE44+1)-1),IF(Inputs!$C$7="Biweekly",Inputs!$C$90+14*(($BE44+1)-1),IF(Inputs!$C$7="Semimonthly",DATE(YEAR(Inputs!$C$9),MONTH(Inputs!$C$9)+INT((($BE44+1)-1+'Rest of 2026'!$C$2)/2),MIN(DAY(Inputs!$C$9),DAY(EOMONTH(DATE(YEAR(Inputs!$C$9),MONTH(Inputs!$C$9)+INT((($BE44+1)-1+'Rest of 2026'!$C$2)/2),1),0))))+IF(MOD(($BE44+1)-1+'Rest of 2026'!$C$2,2)=1,15,0),EDATE(Inputs!$C$90,($BE44+1)-1)))))&lt;&gt;Inputs!$C$10,"",IF(Inputs!$C$7="Weekly",Inputs!$C$90+7*(($BE44+1)-1),IF(Inputs!$C$7="Biweekly",Inputs!$C$90+14*(($BE44+1)-1),IF(Inputs!$C$7="Semimonthly",DATE(YEAR(Inputs!$C$9),MONTH(Inputs!$C$9)+INT((($BE44+1)-1+'Rest of 2026'!$C$2)/2),MIN(DAY(Inputs!$C$9),DAY(EOMONTH(DATE(YEAR(Inputs!$C$9),MONTH(Inputs!$C$9)+INT((($BE44+1)-1+'Rest of 2026'!$C$2)/2),1),0))))+IF(MOD(($BE44+1)-1+'Rest of 2026'!$C$2,2)=1,15,0),EDATE(Inputs!$C$90,($BE44+1)-1)))))&lt;&gt;"",$B45=IF(YEAR(IF(Inputs!$C$7="Weekly",Inputs!$C$90+7*(($BE44+1)-1),IF(Inputs!$C$7="Biweekly",Inputs!$C$90+14*(($BE44+1)-1),IF(Inputs!$C$7="Semimonthly",DATE(YEAR(Inputs!$C$9),MONTH(Inputs!$C$9)+INT((($BE44+1)-1+'Rest of 2026'!$C$2)/2),MIN(DAY(Inputs!$C$9),DAY(EOMONTH(DATE(YEAR(Inputs!$C$9),MONTH(Inputs!$C$9)+INT((($BE44+1)-1+'Rest of 2026'!$C$2)/2),1),0))))+IF(MOD(($BE44+1)-1+'Rest of 2026'!$C$2,2)=1,15,0),EDATE(Inputs!$C$90,($BE44+1)-1)))))&lt;&gt;Inputs!$C$10,"",IF(Inputs!$C$7="Weekly",Inputs!$C$90+7*(($BE44+1)-1),IF(Inputs!$C$7="Biweekly",Inputs!$C$90+14*(($BE44+1)-1),IF(Inputs!$C$7="Semimonthly",DATE(YEAR(Inputs!$C$9),MONTH(Inputs!$C$9)+INT((($BE44+1)-1+'Rest of 2026'!$C$2)/2),MIN(DAY(Inputs!$C$9),DAY(EOMONTH(DATE(YEAR(Inputs!$C$9),MONTH(Inputs!$C$9)+INT((($BE44+1)-1+'Rest of 2026'!$C$2)/2),1),0))))+IF(MOD(($BE44+1)-1+'Rest of 2026'!$C$2,2)=1,15,0),EDATE(Inputs!$C$90,($BE44+1)-1)))))),1,0))</f>
      </c>
      <c r="BG45" s="7">
        <f>IF($B45="","",$BG44+$H45)</f>
      </c>
      <c r="BH45" s="7">
        <f>IF($B45="","",$BH44+$I45)</f>
      </c>
      <c r="BI45" s="7">
        <f>IF($B45="","",$BI44+$G45)</f>
      </c>
      <c r="BJ45" s="7">
        <f>IF($B45="","",IFERROR(LOOKUP(2,1/((((Events!$C$6:$C$17="Deduction start"))*(Events!$D$6:$D$17="Health FSA"))*(Events!$B$6:$B$17&lt;=$B45)*(Events!$B$6:$B$17&lt;&gt;"")),Events!$E$6:$E$17),Inputs!$D$38))</f>
      </c>
      <c r="BK45" s="7">
        <f>IF($B45="","",IFERROR(LOOKUP(2,1/((((Events!$C$6:$C$17="Deduction start"))*(Events!$D$6:$D$17="Dependent-care FSA"))*(Events!$B$6:$B$17&lt;=$B45)*(Events!$B$6:$B$17&lt;&gt;"")),Events!$E$6:$E$17),Inputs!$D$39))</f>
      </c>
      <c r="BL45" s="7">
        <f>IF($B45="","",IFERROR(LOOKUP(2,1/((((Events!$C$6:$C$17="Deduction start")+(Events!$C$6:$C$17="Deduction stop"))*(Events!$D$6:$D$17="HSA"))*(Events!$B$6:$B$17&lt;=$B45)*(Events!$B$6:$B$17&lt;&gt;"")),Events!$I$6:$I$17),Inputs!$D$35))</f>
      </c>
      <c r="BM45" s="7">
        <f>IF($B45="","",IFERROR(LOOKUP(2,1/((((Events!$C$6:$C$17="Deduction start")+(Events!$C$6:$C$17="Deduction stop"))*(Events!$D$6:$D$17="Premiums"))*(Events!$B$6:$B$17&lt;=$B45)*(Events!$B$6:$B$17&lt;&gt;"")),Events!$I$6:$I$17),Inputs!$D$40+Inputs!$D$41+Inputs!$D$42))</f>
      </c>
      <c r="BN45" s="7">
        <f>IF($B45="","",IFERROR(LOOKUP(2,1/((((Events!$C$6:$C$17="Deduction start")+(Events!$C$6:$C$17="Deduction stop"))*(Events!$D$6:$D$17="Commuter"))*(Events!$B$6:$B$17&lt;=$B45)*(Events!$B$6:$B$17&lt;&gt;"")),Events!$I$6:$I$17),Inputs!$D$43))</f>
      </c>
      <c r="BO45" s="7">
        <f>IF($B45="","",IFERROR(LOOKUP(2,1/((((Events!$C$6:$C$17="Deduction start")+(Events!$C$6:$C$17="Deduction stop"))*(Events!$D$6:$D$17="Other pre-tax"))*(Events!$B$6:$B$17&lt;=$B45)*(Events!$B$6:$B$17&lt;&gt;"")),Events!$I$6:$I$17),Inputs!$D$44))</f>
      </c>
      <c r="BP45" s="7">
        <f>IF($B45="","",IFERROR(LOOKUP(2,1/((((Events!$C$6:$C$17="Deduction start")+(Events!$C$6:$C$17="Deduction stop"))*(Events!$D$6:$D$17="Other post-tax"))*(Events!$B$6:$B$17&lt;=$B45)*(Events!$B$6:$B$17&lt;&gt;"")),Events!$I$6:$I$17),Inputs!$D$45))</f>
      </c>
      <c r="BQ45" s="6">
        <f>IF($B45="","",IFERROR(LOOKUP(2,1/((((Events!$C$6:$C$17="Deduction start")+(Events!$C$6:$C$17="Deduction stop"))*(Events!$D$6:$D$17="Health FSA"))*(Events!$B$6:$B$17&lt;=$B45)*(Events!$B$6:$B$17&lt;&gt;"")),Events!$J$6:$J$17),0))</f>
      </c>
      <c r="BR45" s="6">
        <f>IF($B45="","",IFERROR(LOOKUP(2,1/((((Events!$C$6:$C$17="Deduction start")+(Events!$C$6:$C$17="Deduction stop"))*(Events!$D$6:$D$17="Dependent-care FSA"))*(Events!$B$6:$B$17&lt;=$B45)*(Events!$B$6:$B$17&lt;&gt;"")),Events!$J$6:$J$17),0))</f>
      </c>
      <c r="BS45" s="6">
        <f>IF($B45="","",IF(SUMPRODUCT((Events!$C$6:$C$17="Deduction start")*(Events!$B$6:$B$17&lt;=$B45)*(Events!$B$6:$B$17&lt;&gt;"")*(Events!$D$6:$D$17="Health FSA"))&gt;0,1,0))</f>
      </c>
      <c r="BT45" s="6">
        <f>IF($B45="","",IF(SUMPRODUCT((Events!$C$6:$C$17="Deduction start")*(Events!$B$6:$B$17&lt;=$B45)*(Events!$B$6:$B$17&lt;&gt;"")*(Events!$D$6:$D$17="Dependent-care FSA"))&gt;0,1,0))</f>
      </c>
      <c r="BU45" s="24">
        <f>IF($B45="","",IF(Inputs!$C$13,SUMPRODUCT(($AH45&gt;=INDEX('Methodology &amp; Sources'!$B$29:$J$36,0,IF(Inputs!$C$12="MFJ",1,IF(Inputs!$C$12="HoH",7,4))))*INDEX('Methodology &amp; Sources'!$B$29:$J$36,0,IF(Inputs!$C$12="MFJ",1,IF(Inputs!$C$12="HoH",7,4))+2)),SUMPRODUCT(($AH45&gt;=INDEX('Methodology &amp; Sources'!$B$19:$J$26,0,IF(Inputs!$C$12="MFJ",1,IF(Inputs!$C$12="HoH",7,4))))*INDEX('Methodology &amp; Sources'!$B$19:$J$26,0,IF(Inputs!$C$12="MFJ",1,IF(Inputs!$C$12="HoH",7,4))+2))))</f>
      </c>
      <c r="BV45" s="24">
        <f>IF($B45="","",IF($BZ45&lt;&gt;"",$BZ45,IF($CA45&lt;&gt;"",$CA45,IF($CB45&lt;&gt;"",$CB45,IF($CC45&lt;&gt;"",$CC45,0)))))</f>
      </c>
      <c r="BW45" s="7">
        <f>IF($B45="","",IF($AN45="MD",IF(OR($AU45="Married",$AU45="Head of household"),SUMPRODUCT(($AZ45&gt;INDEX('Methodology &amp; Sources'!$B$114:$J$120,0,1))*($AZ45-INDEX('Methodology &amp; Sources'!$B$114:$J$120,0,1))*INDEX('Methodology &amp; Sources'!$B$114:$J$120,0,1+2)),SUMPRODUCT(($AZ45&gt;INDEX('Methodology &amp; Sources'!$B$103:$J$109,0,7))*($AZ45-INDEX('Methodology &amp; Sources'!$B$103:$J$109,0,7))*INDEX('Methodology &amp; Sources'!$B$103:$J$109,0,7+2))),IF($AN45="MO",SUMPRODUCT(($AZ45&gt;INDEX('Methodology &amp; Sources'!$B$125:$J$132,0,1))*($AZ45-INDEX('Methodology &amp; Sources'!$B$125:$J$132,0,1))*INDEX('Methodology &amp; Sources'!$B$125:$J$132,0,1+2)),IF($AN45="MT",IF($AU45="Head of household",SUMPRODUCT(($AZ45&gt;INDEX('Methodology &amp; Sources'!$B$137:$J$139,0,1))*($AZ45-INDEX('Methodology &amp; Sources'!$B$137:$J$139,0,1))*INDEX('Methodology &amp; Sources'!$B$137:$J$139,0,1+2)),IF($AU45="Married",SUMPRODUCT(($AZ45&gt;INDEX('Methodology &amp; Sources'!$B$125:$J$132,0,7))*($AZ45-INDEX('Methodology &amp; Sources'!$B$125:$J$132,0,7))*INDEX('Methodology &amp; Sources'!$B$125:$J$132,0,7+2)),SUMPRODUCT(($AZ45&gt;INDEX('Methodology &amp; Sources'!$B$125:$J$132,0,4))*($AZ45-INDEX('Methodology &amp; Sources'!$B$125:$J$132,0,4))*INDEX('Methodology &amp; Sources'!$B$125:$J$132,0,4+2)))),IF($AN45="ND",IF($AU45="Head of household",SUMPRODUCT(($AZ45&gt;INDEX('Methodology &amp; Sources'!$B$144:$J$150,0,1))*($AZ45-INDEX('Methodology &amp; Sources'!$B$144:$J$150,0,1))*INDEX('Methodology &amp; Sources'!$B$144:$J$150,0,1+2)),IF($AU45="Married",SUMPRODUCT(($AZ45&gt;INDEX('Methodology &amp; Sources'!$B$137:$J$139,0,7))*($AZ45-INDEX('Methodology &amp; Sources'!$B$137:$J$139,0,7))*INDEX('Methodology &amp; Sources'!$B$137:$J$139,0,7+2)),SUMPRODUCT(($AZ45&gt;INDEX('Methodology &amp; Sources'!$B$137:$J$139,0,4))*($AZ45-INDEX('Methodology &amp; Sources'!$B$137:$J$139,0,4))*INDEX('Methodology &amp; Sources'!$B$137:$J$139,0,4+2)))),IF($AN45="NJ",IF(Inputs!$C$77="B",SUMPRODUCT(($AZ45&gt;INDEX('Methodology &amp; Sources'!$B$155:$J$162,0,4))*($AZ45-INDEX('Methodology &amp; Sources'!$B$155:$J$162,0,4))*INDEX('Methodology &amp; Sources'!$B$155:$J$162,0,4+2)),IF(Inputs!$C$77="C",SUMPRODUCT(($AZ45&gt;INDEX('Methodology &amp; Sources'!$B$155:$J$162,0,7))*($AZ45-INDEX('Methodology &amp; Sources'!$B$155:$J$162,0,7))*INDEX('Methodology &amp; Sources'!$B$155:$J$162,0,7+2)),IF(Inputs!$C$77="D",SUMPRODUCT(($AZ45&gt;INDEX('Methodology &amp; Sources'!$B$167:$J$179,0,1))*($AZ45-INDEX('Methodology &amp; Sources'!$B$167:$J$179,0,1))*INDEX('Methodology &amp; Sources'!$B$167:$J$179,0,1+2)),IF(Inputs!$C$77="E",SUMPRODUCT(($AZ45&gt;INDEX('Methodology &amp; Sources'!$B$167:$J$179,0,4))*($AZ45-INDEX('Methodology &amp; Sources'!$B$167:$J$179,0,4))*INDEX('Methodology &amp; Sources'!$B$167:$J$179,0,4+2)),SUMPRODUCT(($AZ45&gt;INDEX('Methodology &amp; Sources'!$B$155:$J$162,0,1))*($AZ45-INDEX('Methodology &amp; Sources'!$B$155:$J$162,0,1))*INDEX('Methodology &amp; Sources'!$B$155:$J$162,0,1+2)))))),IF($AN45="NY",IF($AU45="Married",IF($AZ45&gt;=2155350,$AZ45*IF($AZ45&gt;25000000,0.117,IF($AZ45&gt;5000000,0.111,0.1045)),SUMPRODUCT(($AZ45&gt;INDEX('Methodology &amp; Sources'!$B$184:$J$198,0,1))*($AZ45-INDEX('Methodology &amp; Sources'!$B$184:$J$198,0,1))*INDEX('Methodology &amp; Sources'!$B$184:$J$198,0,1+2))),IF($AZ45&gt;=1077550,$AZ45*IF($AZ45&gt;25000000,0.117,IF($AZ45&gt;5000000,0.111,0.1045)),SUMPRODUCT(($AZ45&gt;INDEX('Methodology &amp; Sources'!$B$167:$J$179,0,7))*($AZ45-INDEX('Methodology &amp; Sources'!$B$167:$J$179,0,7))*INDEX('Methodology &amp; Sources'!$B$167:$J$179,0,7+2)))),"")))))))</f>
      </c>
      <c r="BX45" s="7">
        <f>IF($B45="","",IF($AN45="AL",IF(OR($AU45="Married",$AU45="Head of household"),SUMPRODUCT(($AZ45&gt;INDEX('Methodology &amp; Sources'!$B$82:$J$86,0,4))*($AZ45-INDEX('Methodology &amp; Sources'!$B$82:$J$86,0,4))*INDEX('Methodology &amp; Sources'!$B$82:$J$86,0,4+2)),SUMPRODUCT(($AZ45&gt;INDEX('Methodology &amp; Sources'!$B$82:$J$86,0,1))*($AZ45-INDEX('Methodology &amp; Sources'!$B$82:$J$86,0,1))*INDEX('Methodology &amp; Sources'!$B$82:$J$86,0,1+2))),IF($AN45="KS",IF($AU45="Married",SUMPRODUCT(($AZ45&gt;INDEX('Methodology &amp; Sources'!$B$103:$J$109,0,4))*($AZ45-INDEX('Methodology &amp; Sources'!$B$103:$J$109,0,4))*INDEX('Methodology &amp; Sources'!$B$103:$J$109,0,4+2)),SUMPRODUCT(($AZ45&gt;INDEX('Methodology &amp; Sources'!$B$103:$J$109,0,1))*($AZ45-INDEX('Methodology &amp; Sources'!$B$103:$J$109,0,1))*INDEX('Methodology &amp; Sources'!$B$103:$J$109,0,1+2))),IF($AN45="MN",IF($AU45="Married",SUMPRODUCT(($AZ45&gt;INDEX('Methodology &amp; Sources'!$B$114:$J$120,0,7))*($AZ45-INDEX('Methodology &amp; Sources'!$B$114:$J$120,0,7))*INDEX('Methodology &amp; Sources'!$B$114:$J$120,0,7+2)),SUMPRODUCT(($AZ45&gt;INDEX('Methodology &amp; Sources'!$B$114:$J$120,0,4))*($AZ45-INDEX('Methodology &amp; Sources'!$B$114:$J$120,0,4))*INDEX('Methodology &amp; Sources'!$B$114:$J$120,0,4+2))),IF($AN45="NE",MAX(IF($AU45="Married",SUMPRODUCT(($AZ45&gt;INDEX('Methodology &amp; Sources'!$B$144:$J$150,0,7))*($AZ45-INDEX('Methodology &amp; Sources'!$B$144:$J$150,0,7))*INDEX('Methodology &amp; Sources'!$B$144:$J$150,0,7+2)),SUMPRODUCT(($AZ45&gt;INDEX('Methodology &amp; Sources'!$B$144:$J$150,0,4))*($AZ45-INDEX('Methodology &amp; Sources'!$B$144:$J$150,0,4))*INDEX('Methodology &amp; Sources'!$B$144:$J$150,0,4+2))),0.015*$AZ45),IF($AN45="OH",IF($B45&gt;=DATE(2027,8,1),SUMPRODUCT(($AZ45&gt;INDEX('Methodology &amp; Sources'!$B$203:$J$206,0,1))*($AZ45-INDEX('Methodology &amp; Sources'!$B$203:$J$206,0,1))*INDEX('Methodology &amp; Sources'!$B$203:$J$206,0,1+2)),SUMPRODUCT(($AZ45&gt;INDEX('Methodology &amp; Sources'!$B$184:$J$198,0,7))*($AZ45-INDEX('Methodology &amp; Sources'!$B$184:$J$198,0,7))*INDEX('Methodology &amp; Sources'!$B$184:$J$198,0,7+2))),IF($AN45="OK",IF($AU45="Married",SUMPRODUCT(($AZ45&gt;INDEX('Methodology &amp; Sources'!$B$203:$J$206,0,7))*($AZ45-INDEX('Methodology &amp; Sources'!$B$203:$J$206,0,7))*INDEX('Methodology &amp; Sources'!$B$203:$J$206,0,7+2)),SUMPRODUCT(($AZ45&gt;INDEX('Methodology &amp; Sources'!$B$203:$J$206,0,4))*($AZ45-INDEX('Methodology &amp; Sources'!$B$203:$J$206,0,4))*INDEX('Methodology &amp; Sources'!$B$203:$J$206,0,4+2))),IF($AN45="RI",SUMPRODUCT(($AZ45&gt;INDEX('Methodology &amp; Sources'!$B$211:$J$214,0,7))*($AZ45-INDEX('Methodology &amp; Sources'!$B$211:$J$214,0,7))*INDEX('Methodology &amp; Sources'!$B$211:$J$214,0,7+2)),IF($AN45="VT",IF($AU45="Married",SUMPRODUCT(($AZ45&gt;INDEX('Methodology &amp; Sources'!$B$228:$J$232,0,1))*($AZ45-INDEX('Methodology &amp; Sources'!$B$228:$J$232,0,1))*INDEX('Methodology &amp; Sources'!$B$228:$J$232,0,1+2)),SUMPRODUCT(($AZ45&gt;INDEX('Methodology &amp; Sources'!$B$219:$J$223,0,7))*($AZ45-INDEX('Methodology &amp; Sources'!$B$219:$J$223,0,7))*INDEX('Methodology &amp; Sources'!$B$219:$J$223,0,7+2))),IF($AN45="WV",IF($AU45="Married",SUMPRODUCT(($AZ45&gt;INDEX('Methodology &amp; Sources'!$B$237:$J$241,0,7))*($AZ45-INDEX('Methodology &amp; Sources'!$B$237:$J$241,0,7))*INDEX('Methodology &amp; Sources'!$B$237:$J$241,0,7+2)),SUMPRODUCT(($AZ45&gt;INDEX('Methodology &amp; Sources'!$B$228:$J$232,0,7))*($AZ45-INDEX('Methodology &amp; Sources'!$B$228:$J$232,0,7))*INDEX('Methodology &amp; Sources'!$B$228:$J$232,0,7+2))),""))))))))))</f>
      </c>
      <c r="BY45" s="7">
        <f>IF($B45="","",IF($AN45="AR",SUMPRODUCT(($AZ45&gt;INDEX('Methodology &amp; Sources'!$B$82:$J$86,0,7))*($AZ45-INDEX('Methodology &amp; Sources'!$B$82:$J$86,0,7))*INDEX('Methodology &amp; Sources'!$B$82:$J$86,0,7+2)),IF($AN45="DE",SUMPRODUCT(($AZ45&gt;INDEX('Methodology &amp; Sources'!$B$91:$J$98,0,1))*($AZ45-INDEX('Methodology &amp; Sources'!$B$91:$J$98,0,1))*INDEX('Methodology &amp; Sources'!$B$91:$J$98,0,1+2)),IF($AN45="HI",IF($AU45="Married",SUMPRODUCT(($AZ45&gt;INDEX('Methodology &amp; Sources'!$B$91:$J$98,0,7))*($AZ45-INDEX('Methodology &amp; Sources'!$B$91:$J$98,0,7))*INDEX('Methodology &amp; Sources'!$B$91:$J$98,0,7+2)),SUMPRODUCT(($AZ45&gt;INDEX('Methodology &amp; Sources'!$B$91:$J$98,0,4))*($AZ45-INDEX('Methodology &amp; Sources'!$B$91:$J$98,0,4))*INDEX('Methodology &amp; Sources'!$B$91:$J$98,0,4+2))),IF($AN45="SC",SUMPRODUCT(($AZ45&gt;INDEX('Methodology &amp; Sources'!$B$219:$J$223,0,1))*($AZ45-INDEX('Methodology &amp; Sources'!$B$219:$J$223,0,1))*INDEX('Methodology &amp; Sources'!$B$219:$J$223,0,1+2)),IF($AN45="VA",SUMPRODUCT(($AZ45&gt;INDEX('Methodology &amp; Sources'!$B$219:$J$223,0,4))*($AZ45-INDEX('Methodology &amp; Sources'!$B$219:$J$223,0,4))*INDEX('Methodology &amp; Sources'!$B$219:$J$223,0,4+2)),IF($AN45="WI",SUMPRODUCT(($AZ45&gt;INDEX('Methodology &amp; Sources'!$B$228:$J$232,0,4))*($AZ45-INDEX('Methodology &amp; Sources'!$B$228:$J$232,0,4))*INDEX('Methodology &amp; Sources'!$B$228:$J$232,0,4+2)),"")))))))</f>
      </c>
      <c r="BZ45" s="24">
        <f>IF($B45="","",IF($AN45="NJ",IF(Inputs!$C$77="B",SUMPRODUCT(($AZ45&gt;=INDEX('Methodology &amp; Sources'!$B$155:$J$162,0,4))*INDEX('Methodology &amp; Sources'!$B$155:$J$162,0,4+2)),IF(Inputs!$C$77="C",SUMPRODUCT(($AZ45&gt;=INDEX('Methodology &amp; Sources'!$B$155:$J$162,0,7))*INDEX('Methodology &amp; Sources'!$B$155:$J$162,0,7+2)),IF(Inputs!$C$77="D",SUMPRODUCT(($AZ45&gt;=INDEX('Methodology &amp; Sources'!$B$167:$J$179,0,1))*INDEX('Methodology &amp; Sources'!$B$167:$J$179,0,1+2)),IF(Inputs!$C$77="E",SUMPRODUCT(($AZ45&gt;=INDEX('Methodology &amp; Sources'!$B$167:$J$179,0,4))*INDEX('Methodology &amp; Sources'!$B$167:$J$179,0,4+2)),SUMPRODUCT(($AZ45&gt;=INDEX('Methodology &amp; Sources'!$B$155:$J$162,0,1))*INDEX('Methodology &amp; Sources'!$B$155:$J$162,0,1+2)))))),IF($AN45="OR",IF(OR($AU45="Married",AND($AU45="Single",$AS45&gt;=3)),SUMPRODUCT((MAX(0,$AY45-MIN(($P45-'Methodology &amp; Sources'!$C$10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Sources'!$B$211:$J$214,0,4))*INDEX('Methodology &amp; Sources'!$B$211:$J$214,0,4+2)),SUMPRODUCT((MAX(0,$AY45-MIN(($P45-'Methodology &amp; Sources'!$C$10*$D45)*Inputs!$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Sources'!$B$211:$J$214,0,1))*INDEX('Methodology &amp; Sources'!$B$211:$J$214,0,1+2)))*IF(($P45-'Methodology &amp; Sources'!$C$10*$D45)*Inputs!$C$8&gt;=IF(OR($AU45="Married",AND($AU45="Single",$AS45&gt;=3)),IF($AY45&lt;250000,8750,IF($AY45&lt;260000,7000,IF($AY45&lt;270000,5250,IF($AY45&lt;280000,3500,IF($AY45&lt;290000,1750,0))))),IF($AY45&lt;125000,8750,IF($AY45&lt;130000,7000,IF($AY45&lt;135000,5250,IF($AY45&lt;140000,3500,IF($AY45&lt;145000,1750,0)))))),1,1-IF(Inputs!$C$13,SUMPRODUCT(($AH45&gt;=INDEX('Methodology &amp; Sources'!$B$29:$J$36,0,IF(Inputs!$C$12="MFJ",1,IF(Inputs!$C$12="HoH",7,4))))*INDEX('Methodology &amp; Sources'!$B$29:$J$36,0,IF(Inputs!$C$12="MFJ",1,IF(Inputs!$C$12="HoH",7,4))+2)),SUMPRODUCT(($AH45&gt;=INDEX('Methodology &amp; Sources'!$B$19:$J$26,0,IF(Inputs!$C$12="MFJ",1,IF(Inputs!$C$12="HoH",7,4))))*INDEX('Methodology &amp; Sources'!$B$19:$J$26,0,IF(Inputs!$C$12="MFJ",1,IF(Inputs!$C$12="HoH",7,4))+2)))),IF($AN45="MI",IF($AY45&gt;5900*$AS45,0.0425,0),""))))</f>
      </c>
      <c r="CA45" s="24">
        <f>IF($B45="","",IF($AN45="AL",IF(OR($AU45="Married",$AU45="Head of household"),SUMPRODUCT(($AZ45&gt;=INDEX('Methodology &amp; Sources'!$B$82:$J$86,0,4))*INDEX('Methodology &amp; Sources'!$B$82:$J$86,0,4+2)),SUMPRODUCT(($AZ45&gt;=INDEX('Methodology &amp; Sources'!$B$82:$J$86,0,1))*INDEX('Methodology &amp; Sources'!$B$82:$J$86,0,1+2)))*(1-IF(Inputs!$C$13,SUMPRODUCT(($AH45&gt;=INDEX('Methodology &amp; Sources'!$B$29:$J$36,0,IF(Inputs!$C$12="MFJ",1,IF(Inputs!$C$12="HoH",7,4))))*INDEX('Methodology &amp; Sources'!$B$29:$J$36,0,IF(Inputs!$C$12="MFJ",1,IF(Inputs!$C$12="HoH",7,4))+2)),SUMPRODUCT(($AH45&gt;=INDEX('Methodology &amp; Sources'!$B$19:$J$26,0,IF(Inputs!$C$12="MFJ",1,IF(Inputs!$C$12="HoH",7,4))))*INDEX('Methodology &amp; Sources'!$B$19:$J$26,0,IF(Inputs!$C$12="MFJ",1,IF(Inputs!$C$12="HoH",7,4))+2)))),IF($AN45="KS",IF($AU45="Married",SUMPRODUCT(($AZ45&gt;=INDEX('Methodology &amp; Sources'!$B$103:$J$109,0,4))*INDEX('Methodology &amp; Sources'!$B$103:$J$109,0,4+2)),SUMPRODUCT(($AZ45&gt;=INDEX('Methodology &amp; Sources'!$B$103:$J$109,0,1))*INDEX('Methodology &amp; Sources'!$B$103:$J$109,0,1+2))),IF($AN45="MD",IF(OR($AU45="Married",$AU45="Head of household"),SUMPRODUCT(($AZ45&gt;=INDEX('Methodology &amp; Sources'!$B$114:$J$120,0,1))*INDEX('Methodology &amp; Sources'!$B$114:$J$120,0,1+2)),SUMPRODUCT(($AZ45&gt;=INDEX('Methodology &amp; Sources'!$B$103:$J$109,0,7))*INDEX('Methodology &amp; Sources'!$B$103:$J$109,0,7+2)))+Inputs!$C$74,IF($AN45="MT",IF($AU45="Head of household",SUMPRODUCT(($AZ45&gt;=INDEX('Methodology &amp; Sources'!$B$137:$J$139,0,1))*INDEX('Methodology &amp; Sources'!$B$137:$J$139,0,1+2)),IF($AU45="Married",SUMPRODUCT(($AZ45&gt;=INDEX('Methodology &amp; Sources'!$B$125:$J$132,0,7))*INDEX('Methodology &amp; Sources'!$B$125:$J$132,0,7+2)),SUMPRODUCT(($AZ45&gt;=INDEX('Methodology &amp; Sources'!$B$125:$J$132,0,4))*INDEX('Methodology &amp; Sources'!$B$125:$J$132,0,4+2)))),IF($AN45="ND",IF($AU45="Head of household",SUMPRODUCT(($AZ45&gt;=INDEX('Methodology &amp; Sources'!$B$144:$J$150,0,1))*INDEX('Methodology &amp; Sources'!$B$144:$J$150,0,1+2)),IF($AU45="Married",SUMPRODUCT(($AZ45&gt;=INDEX('Methodology &amp; Sources'!$B$137:$J$139,0,7))*INDEX('Methodology &amp; Sources'!$B$137:$J$139,0,7+2)),SUMPRODUCT(($AZ45&gt;=INDEX('Methodology &amp; Sources'!$B$137:$J$139,0,4))*INDEX('Methodology &amp; Sources'!$B$137:$J$139,0,4+2)))),IF($AN45="NY",IF($AU45="Married",IF($AZ45&gt;=2155350,IF($AZ45&gt;25000000,0.117,IF($AZ45&gt;5000000,0.111,0.1045)),SUMPRODUCT(($AZ45&gt;=INDEX('Methodology &amp; Sources'!$B$184:$J$198,0,1))*INDEX('Methodology &amp; Sources'!$B$184:$J$198,0,1+2))),IF($AZ45&gt;=1077550,IF($AZ45&gt;25000000,0.117,IF($AZ45&gt;5000000,0.111,0.1045)),SUMPRODUCT(($AZ45&gt;=INDEX('Methodology &amp; Sources'!$B$167:$J$179,0,7))*INDEX('Methodology &amp; Sources'!$B$167:$J$179,0,7+2)))),"")))))))</f>
      </c>
      <c r="CB45" s="24">
        <f>IF($B45="","",IF($AN45="CA",SUMPRODUCT(($AJ45&gt;=INDEX('Methodology &amp; Sources'!$B$39:$J$48,0,IF($AU45="Married",4,IF($AU45="Head of household",7,1))))*INDEX('Methodology &amp; Sources'!$B$39:$J$48,0,IF($AU45="Married",4,IF($AU45="Head of household",7,1))+2)),IF($AN45="HI",IF($AU45="Married",SUMPRODUCT(($AZ45&gt;=INDEX('Methodology &amp; Sources'!$B$91:$J$98,0,7))*INDEX('Methodology &amp; Sources'!$B$91:$J$98,0,7+2)),SUMPRODUCT(($AZ45&gt;=INDEX('Methodology &amp; Sources'!$B$91:$J$98,0,4))*INDEX('Methodology &amp; Sources'!$B$91:$J$98,0,4+2))),IF($AN45="MN",IF($AU45="Married",SUMPRODUCT(($AZ45&gt;=INDEX('Methodology &amp; Sources'!$B$114:$J$120,0,7))*INDEX('Methodology &amp; Sources'!$B$114:$J$120,0,7+2)),SUMPRODUCT(($AZ45&gt;=INDEX('Methodology &amp; Sources'!$B$114:$J$120,0,4))*INDEX('Methodology &amp; Sources'!$B$114:$J$120,0,4+2))),IF($AN45="MO",SUMPRODUCT(($AZ45&gt;=INDEX('Methodology &amp; Sources'!$B$125:$J$132,0,1))*INDEX('Methodology &amp; Sources'!$B$125:$J$132,0,1+2)),IF($AN45="NE",MAX(IF($AU45="Married",SUMPRODUCT(($AZ45&gt;=INDEX('Methodology &amp; Sources'!$B$144:$J$150,0,7))*INDEX('Methodology &amp; Sources'!$B$144:$J$150,0,7+2)),SUMPRODUCT(($AZ45&gt;=INDEX('Methodology &amp; Sources'!$B$144:$J$150,0,4))*INDEX('Methodology &amp; Sources'!$B$144:$J$150,0,4+2))),0.015),IF($AN45="OH",IF($B45&gt;=DATE(2027,8,1),SUMPRODUCT(($AZ45&gt;=INDEX('Methodology &amp; Sources'!$B$203:$J$206,0,1))*INDEX('Methodology &amp; Sources'!$B$203:$J$206,0,1+2)),SUMPRODUCT(($AZ45&gt;=INDEX('Methodology &amp; Sources'!$B$184:$J$198,0,7))*INDEX('Methodology &amp; Sources'!$B$184:$J$198,0,7+2))),IF($AN45="OK",IF($AU45="Married",SUMPRODUCT(($AZ45&gt;=INDEX('Methodology &amp; Sources'!$B$203:$J$206,0,7))*INDEX('Methodology &amp; Sources'!$B$203:$J$206,0,7+2)),SUMPRODUCT(($AZ45&gt;=INDEX('Methodology &amp; Sources'!$B$203:$J$206,0,4))*INDEX('Methodology &amp; Sources'!$B$203:$J$206,0,4+2))),IF($AN45="RI",SUMPRODUCT(($AZ45&gt;=INDEX('Methodology &amp; Sources'!$B$211:$J$214,0,7))*INDEX('Methodology &amp; Sources'!$B$211:$J$214,0,7+2)),IF($AN45="SC",SUMPRODUCT(($AZ45&gt;=INDEX('Methodology &amp; Sources'!$B$219:$J$223,0,1))*INDEX('Methodology &amp; Sources'!$B$219:$J$223,0,1+2)),IF($AN45="VT",IF($AU45="Married",SUMPRODUCT(($AZ45&gt;=INDEX('Methodology &amp; Sources'!$B$228:$J$232,0,1))*INDEX('Methodology &amp; Sources'!$B$228:$J$232,0,1+2)),SUMPRODUCT(($AZ45&gt;=INDEX('Methodology &amp; Sources'!$B$219:$J$223,0,7))*INDEX('Methodology &amp; Sources'!$B$219:$J$223,0,7+2))),IF($AN45="WV",IF($AU45="Married",SUMPRODUCT(($AZ45&gt;=INDEX('Methodology &amp; Sources'!$B$237:$J$241,0,7))*INDEX('Methodology &amp; Sources'!$B$237:$J$241,0,7+2)),SUMPRODUCT(($AZ45&gt;=INDEX('Methodology &amp; Sources'!$B$228:$J$232,0,7))*INDEX('Methodology &amp; Sources'!$B$228:$J$232,0,7+2))),IF($AN45="IN",(0.0295+Inputs!$C$76),"")))))))))))))</f>
      </c>
      <c r="CC45" s="24">
        <f>IF($B45="","",IF($AN45="AR",SUMPRODUCT(($AZ45&gt;=INDEX('Methodology &amp; Sources'!$B$82:$J$86,0,7))*INDEX('Methodology &amp; Sources'!$B$82:$J$86,0,7+2)),IF($AN45="DE",SUMPRODUCT(($AZ45&gt;=INDEX('Methodology &amp; Sources'!$B$91:$J$98,0,1))*INDEX('Methodology &amp; Sources'!$B$91:$J$98,0,1+2)),IF($AN45="VA",SUMPRODUCT(($AZ45&gt;=INDEX('Methodology &amp; Sources'!$B$219:$J$223,0,4))*INDEX('Methodology &amp; Sources'!$B$219:$J$223,0,4+2)),IF($AN45="WI",SUMPRODUCT(($AZ45&gt;=INDEX('Methodology &amp; Sources'!$B$228:$J$232,0,4))*INDEX('Methodology &amp; Sources'!$B$228:$J$232,0,4+2)),IF($AN45="AZ",Inputs!$C$82,IF($AN45="CO",IF($AY45&gt;IF($AU45="Married",10000,5000),0.044,0),IF($AN45="IA",IF($AY45&gt;IF($AU45="Head of household",19500,IF($AU45="Married",26000,13000)),0.038,0),IF($AN45="ID",IF($AY45&gt;IF($AU45="Married",32000,16094),0.053,0),IF($AN45="IL",IF($AY45&gt;(2925*$AS45+1000*$AT45),0.0495,0),IF($AN45="KY",IF($AI45&gt;3360,0.035,0),IF($AN45="LA",0.0309,IF($AN45="MA",IF(MAX(0,$AY45-MIN(($BD44+$Q45+$R45+$S45),2000)-IF($AS45=0,0,IF($AS45=1,4400,1000*$AS45+3400)))&gt;=1107750,0.09,0.05),IF($AN45="MS",IF($AI45-IF($AU45="Head of household",3400,IF($AU45="Married",4600,2300))-Inputs!$C$85&gt;10000,0.04,0),IF($AN45="PA",0.0307,"")))))))))))))))</f>
      </c>
      <c r="CD45" s="21">
        <f>IF(YEAR(IF(Inputs!$C$7="Weekly",Inputs!$C$90+7*(($BE44+1)-1),IF(Inputs!$C$7="Biweekly",Inputs!$C$90+14*(($BE44+1)-1),IF(Inputs!$C$7="Semimonthly",DATE(YEAR(Inputs!$C$9),MONTH(Inputs!$C$9)+INT((($BE44+1)-1+'Rest of 2026'!$C$2)/2),MIN(DAY(Inputs!$C$9),DAY(EOMONTH(DATE(YEAR(Inputs!$C$9),MONTH(Inputs!$C$9)+INT((($BE44+1)-1+'Rest of 2026'!$C$2)/2),1),0))))+IF(MOD(($BE44+1)-1+'Rest of 2026'!$C$2,2)=1,15,0),EDATE(Inputs!$C$90,($BE44+1)-1)))))&lt;&gt;Inputs!$C$10,"",IF(Inputs!$C$7="Weekly",Inputs!$C$90+7*(($BE44+1)-1),IF(Inputs!$C$7="Biweekly",Inputs!$C$90+14*(($BE44+1)-1),IF(Inputs!$C$7="Semimonthly",DATE(YEAR(Inputs!$C$9),MONTH(Inputs!$C$9)+INT((($BE44+1)-1+'Rest of 2026'!$C$2)/2),MIN(DAY(Inputs!$C$9),DAY(EOMONTH(DATE(YEAR(Inputs!$C$9),MONTH(Inputs!$C$9)+INT((($BE44+1)-1+'Rest of 2026'!$C$2)/2),1),0))))+IF(MOD(($BE44+1)-1+'Rest of 2026'!$C$2,2)=1,15,0),EDATE(Inputs!$C$90,($BE44+1)-1)))))</f>
      </c>
      <c r="CE45" s="21">
        <f>IF(SUMPRODUCT(MIN(IF((Inputs!$C$58:$C$67&gt;MAX($B$6:$B44))*(Inputs!$C$58:$C$67&gt;=DATE(Inputs!$C$10,1,1))*(Inputs!$C$58:$C$67&lt;=DATE(Inputs!$C$10,12,31)),Inputs!$C$58:$C$67,999999)))=999999,"",SUMPRODUCT(MIN(IF((Inputs!$C$58:$C$67&gt;MAX($B$6:$B44))*(Inputs!$C$58:$C$67&gt;=DATE(Inputs!$C$10,1,1))*(Inputs!$C$58:$C$67&lt;=DATE(Inputs!$C$10,12,31)),Inputs!$C$58:$C$67,999999))))</f>
      </c>
    </row>
    <row r="46">
      <c r="A46" t="n">
        <v>41</v>
      </c>
      <c r="B46" s="21">
        <f>IF(AND($CD46="",$CE46=""),"",IF($CE46="",$CD46,IF($CD46="",$CE46,MIN($CD46,$CE46))))</f>
      </c>
      <c r="C46" s="7">
        <f>IF($B46="","",IF($BF46=0,0,IF(Inputs!$C$4="Annual salary",ROUND($AK46/IF(AND(Inputs!$C$88="Actual paydays",MONTH(Inputs!$C$90)=1),MAX(1,MAX($BE$6:$BE$68)),Inputs!$C$8),2),$AK46)))</f>
      </c>
      <c r="D46" s="7">
        <f>IF($B46="","",SUMIF(Inputs!$C$58:$C$67,$B46,Inputs!$D$58:$D$67))</f>
      </c>
      <c r="E46" s="7">
        <f>IF($B46="","",ROUND(MAX(0,MIN(IF($AL46="Percent",$AM46*($C46+$D46),$AM46),MAX(0,Inputs!$C$34-$AC45))),2))</f>
      </c>
      <c r="F46" s="7">
        <f>IF($B46="","",ROUND(MAX(0,MIN(IF(Inputs!$C$32="Percent",Inputs!$D$32*($C46+$D46),Inputs!$D$32),MAX(0,Inputs!$C$34-$AC45-$E46))),2))</f>
      </c>
      <c r="G46" s="7">
        <f>IF($B46="","",IF($BF46=0,0,ROUND(MAX(0,MIN($BL46,Inputs!$C$37-Inputs!$C$99-$BI45)),2)))</f>
      </c>
      <c r="H46" s="7">
        <f>IF($B46="","",IF(OR($BF46=0,$BQ46=1),0,ROUND(MAX(0,MIN(IF($BS46=1,ROUND(MAX(0,MIN($BJ46,'Methodology &amp; Sources'!$C$13)-$BG45)/MAX(1,MAX($BE$6:$BE$68)-($BE45)),2),ROUND(MIN($BJ46,'Methodology &amp; Sources'!$C$13)/Inputs!$C$8,2)),MIN($BJ46,'Methodology &amp; Sources'!$C$13)-$BG45)),2)))</f>
      </c>
      <c r="I46" s="7">
        <f>IF($B46="","",IF(OR($BF46=0,$BR46=1),0,ROUND(MAX(0,MIN(IF($BT46=1,ROUND(MAX(0,MIN($BK46,IF(Inputs!$C$12="MFJ",'Methodology &amp; Sources'!$C$14,'Methodology &amp; Sources'!$C$15))-$BH45)/MAX(1,MAX($BE$6:$BE$68)-($BE45)),2),ROUND(MIN($BK46,IF(Inputs!$C$12="MFJ",'Methodology &amp; Sources'!$C$14,'Methodology &amp; Sources'!$C$15))/Inputs!$C$8,2)),MIN($BK46,IF(Inputs!$C$12="MFJ",'Methodology &amp; Sources'!$C$14,'Methodology &amp; Sources'!$C$15))-$BH45)),2)))</f>
      </c>
      <c r="J46" s="7">
        <f>IF($B46="","",IF($BF46=0,0,$BM46))</f>
      </c>
      <c r="K46" s="7">
        <f>IF($B46="","",IF($BF46=0,0,$BN46+$BO46))</f>
      </c>
      <c r="L46" s="7">
        <f>IF($B46="","",IF($BF46=0,0,Inputs!$D$46))</f>
      </c>
      <c r="M46" s="7">
        <f>IF($B46="","",$C46+$D46+$L46-$E46-$G46-$H46-$I46-$J46-$K46)</f>
      </c>
      <c r="N46" s="7">
        <f>IF($B46="","",$C46+$D46+$L46-$G46-$H46-$I46-$J46-$K46)</f>
      </c>
      <c r="O46" s="7">
        <f>IF($B46="","",$C46+$D46+$L46-$E46-$H46-$I46-$J46-$K46-IF(OR($AN46="CA",$AN46="NJ"),0,$G46))</f>
      </c>
      <c r="P46" s="7">
        <f>IF($B46="","",IF(Inputs!$C$18,0,ROUND(MAX(0,IF(Inputs!$C$13,SUMPRODUCT(($AH46&gt;INDEX('Methodology &amp; Sources'!$B$29:$J$36,0,IF(Inputs!$C$12="MFJ",1,IF(Inputs!$C$12="HoH",7,4))))*($AH46-INDEX('Methodology &amp; Sources'!$B$29:$J$36,0,IF(Inputs!$C$12="MFJ",1,IF(Inputs!$C$12="HoH",7,4))))*INDEX('Methodology &amp; Sources'!$B$29:$J$36,0,IF(Inputs!$C$12="MFJ",1,IF(Inputs!$C$12="HoH",7,4))+2)),SUMPRODUCT(($AH46&gt;INDEX('Methodology &amp; Sources'!$B$19:$J$26,0,IF(Inputs!$C$12="MFJ",1,IF(Inputs!$C$12="HoH",7,4))))*($AH46-INDEX('Methodology &amp; Sources'!$B$19:$J$26,0,IF(Inputs!$C$12="MFJ",1,IF(Inputs!$C$12="HoH",7,4))))*INDEX('Methodology &amp; Sources'!$B$19:$J$26,0,IF(Inputs!$C$12="MFJ",1,IF(Inputs!$C$12="HoH",7,4))+2)))/Inputs!$C$8-$AO46/Inputs!$C$8)+$AR46+IF(Inputs!$C$89="Aggregate",MAX(0,IF(Inputs!$C$13,SUMPRODUCT((($AH46+$D46)&gt;INDEX('Methodology &amp; Sources'!$B$29:$J$36,0,IF(Inputs!$C$12="MFJ",1,IF(Inputs!$C$12="HoH",7,4))))*(($AH46+$D46)-INDEX('Methodology &amp; Sources'!$B$29:$J$36,0,IF(Inputs!$C$12="MFJ",1,IF(Inputs!$C$12="HoH",7,4))))*INDEX('Methodology &amp; Sources'!$B$29:$J$36,0,IF(Inputs!$C$12="MFJ",1,IF(Inputs!$C$12="HoH",7,4))+2)),SUMPRODUCT((($AH46+$D46)&gt;INDEX('Methodology &amp; Sources'!$B$19:$J$26,0,IF(Inputs!$C$12="MFJ",1,IF(Inputs!$C$12="HoH",7,4))))*(($AH46+$D46)-INDEX('Methodology &amp; Sources'!$B$19:$J$26,0,IF(Inputs!$C$12="MFJ",1,IF(Inputs!$C$12="HoH",7,4))))*INDEX('Methodology &amp; Sources'!$B$19:$J$26,0,IF(Inputs!$C$12="MFJ",1,IF(Inputs!$C$12="HoH",7,4))+2)))-IF(Inputs!$C$13,SUMPRODUCT(($AH46&gt;INDEX('Methodology &amp; Sources'!$B$29:$J$36,0,IF(Inputs!$C$12="MFJ",1,IF(Inputs!$C$12="HoH",7,4))))*($AH46-INDEX('Methodology &amp; Sources'!$B$29:$J$36,0,IF(Inputs!$C$12="MFJ",1,IF(Inputs!$C$12="HoH",7,4))))*INDEX('Methodology &amp; Sources'!$B$29:$J$36,0,IF(Inputs!$C$12="MFJ",1,IF(Inputs!$C$12="HoH",7,4))+2)),SUMPRODUCT(($AH46&gt;INDEX('Methodology &amp; Sources'!$B$19:$J$26,0,IF(Inputs!$C$12="MFJ",1,IF(Inputs!$C$12="HoH",7,4))))*($AH46-INDEX('Methodology &amp; Sources'!$B$19:$J$26,0,IF(Inputs!$C$12="MFJ",1,IF(Inputs!$C$12="HoH",7,4))))*INDEX('Methodology &amp; Sources'!$B$19:$J$26,0,IF(Inputs!$C$12="MFJ",1,IF(Inputs!$C$12="HoH",7,4))+2)))),'Methodology &amp; Sources'!$C$10*$D46),2)))</f>
      </c>
      <c r="Q46" s="7">
        <f>IF($B46="","",ROUND('Methodology &amp; Sources'!$C$4*MIN($N46,MAX(0,'Methodology &amp; Sources'!$C$3-($AX46+$AB45-$AW46))),2))</f>
      </c>
      <c r="R46" s="7">
        <f>IF($B46="","",ROUND('Methodology &amp; Sources'!$C$5*$N46,2))</f>
      </c>
      <c r="S46" s="7">
        <f>IF($B46="","",ROUND('Methodology &amp; Sources'!$C$6*MAX(0,MIN($N46,$AG45+$N46-'Methodology &amp; Sources'!$C$7)),2))</f>
      </c>
      <c r="T46" s="7">
        <f>IF($B46="","",IF(Inputs!$C$26,0,IF($AN46="CA",ROUND(IF($AI46&lt;=IF(($AS46+$AT46)&gt;=2,VLOOKUP($AN46,StateTables!$A$6:$AB$56,10,FALSE),VLOOKUP($AN46,StateTables!$A$6:$AB$56,9,FALSE)),0,MAX(0,SUMPRODUCT(($AJ46&gt;INDEX('Methodology &amp; Sources'!$B$39:$J$48,0,IF($AU46="Married",4,IF($AU46="Head of household",7,1))))*($AJ46-INDEX('Methodology &amp; Sources'!$B$39:$J$48,0,IF($AU46="Married",4,IF($AU46="Head of household",7,1))))*INDEX('Methodology &amp; Sources'!$B$39:$J$48,0,IF($AU46="Married",4,IF($AU46="Head of household",7,1))+2))-VLOOKUP($AN46,StateTables!$A$6:$AB$56,11,FALSE)*$AS46)/Inputs!$C$8)+Inputs!$C$25+VLOOKUP($AN46,StateTables!$A$6:$AB$56,13,FALSE)*$D46,2),IF(VLOOKUP($AN46,StateTables!$A$6:$AB$56,4,FALSE)="None",0,IF(ISNUMBER(SEARCH("MANUAL",VLOOKUP($AN46,StateTables!$A$6:$AB$56,5,FALSE))),Inputs!$C$28,ROUND(MAX(0,$BA46+$BB46)/Inputs!$C$8+Inputs!$C$25+$BC46,2))))))</f>
      </c>
      <c r="U46" s="7">
        <f>IF($B46="","",IF(VLOOKUP($AN46,StateTables!$A$6:$AB$56,24,FALSE)="flatq",IF(OR(MONTH($B46)=1,MONTH($B46)=4,MONTH($B46)=7,MONTH($B46)=10),VLOOKUP($AN46,StateTables!$A$6:$AB$56,25,FALSE),0),IF(VLOOKUP($AN46,StateTables!$A$6:$AB$56,24,FALSE)="dbl",MIN(ROUND(0.005*$N46,2),ROUND(0.6*52/Inputs!$C$8,2)),IF(OR(VLOOKUP($AN46,StateTables!$A$6:$AB$56,15,FALSE)="",VLOOKUP($AN46,StateTables!$A$6:$AB$56,15,FALSE)=0),0,ROUND(VLOOKUP($AN46,StateTables!$A$6:$AB$56,15,FALSE)*IF(OR(VLOOKUP($AN46,StateTables!$A$6:$AB$56,16,FALSE)="",VLOOKUP($AN46,StateTables!$A$6:$AB$56,16,FALSE)=0),$N46,MIN($N46,MAX(0,VLOOKUP($AN46,StateTables!$A$6:$AB$56,16,FALSE)-($AX46+$AB45-$AW46)))),2))))+IF(VLOOKUP($AN46,StateTables!$A$6:$AB$56,27,FALSE)="flatq",IF(OR(MONTH($B46)=1,MONTH($B46)=4,MONTH($B46)=7,MONTH($B46)=10),VLOOKUP($AN46,StateTables!$A$6:$AB$56,28,FALSE),0),IF(VLOOKUP($AN46,StateTables!$A$6:$AB$56,27,FALSE)="dbl",MIN(ROUND(0.005*$N46,2),ROUND(0.6*52/Inputs!$C$8,2)),IF(OR(VLOOKUP($AN46,StateTables!$A$6:$AB$56,18,FALSE)="",VLOOKUP($AN46,StateTables!$A$6:$AB$56,18,FALSE)=0),0,ROUND(VLOOKUP($AN46,StateTables!$A$6:$AB$56,18,FALSE)*IF(OR(VLOOKUP($AN46,StateTables!$A$6:$AB$56,19,FALSE)="",VLOOKUP($AN46,StateTables!$A$6:$AB$56,19,FALSE)=0),$N46,MIN($N46,MAX(0,VLOOKUP($AN46,StateTables!$A$6:$AB$56,19,FALSE)-($AX46+$AB45-$AW46)))),2)))))</f>
      </c>
      <c r="V46" s="7">
        <f>IF($B46="","",IF($AN46="NY",IF(Inputs!$C$78,ROUND(SUMPRODUCT((MAX(0,($O46-$D46)*Inputs!$C$8-(IF($AU46="Married",5500,5000)+1000*$AS46))&gt;INDEX('Methodology &amp; Sources'!$B$184:$J$198,0,4))*(MAX(0,($O46-$D46)*Inputs!$C$8-(IF($AU46="Married",5500,5000)+1000*$AS46))-INDEX('Methodology &amp; Sources'!$B$184:$J$198,0,4))*INDEX('Methodology &amp; Sources'!$B$184:$J$198,0,4+2))/Inputs!$C$8+0.0425*$D46,2),0)+IF(Inputs!$C$79="Resident",ROUND(0.1675*$T46,2),IF(Inputs!$C$79="Nonresident",ROUND(0.005*MAX(0,($O46-$D46)-(IF($AU46="Married",7950,7400)+1000*$AS46)/Inputs!$C$8),2),0)),IF($AN46="PA",IF(Inputs!$C$80="None",Inputs!$C$27+ROUND(Inputs!$C$81*($C46+$D46),2),ROUND(IF(Inputs!$C$80="Resident",IF($B46&lt;DATE(2027,7,1),0.03735,0.03735),IF($B46&lt;DATE(2027,7,1),0.03425,0.03425))*($C46+$D46),2)),IF($BF46=0,ROUND(Inputs!$C$81*($C46+$D46),2),Inputs!$C$27+ROUND(Inputs!$C$81*($C46+$D46),2)))))</f>
      </c>
      <c r="W46" s="7">
        <f>IF($B46="","",IF($BF46=0,0,$BP46))</f>
      </c>
      <c r="X46" s="7">
        <f>IF($B46="","",SUM($E46:$K46)+$P46+$Q46+$R46+$S46+$T46+$U46+$V46+$W46)</f>
      </c>
      <c r="Y46" s="22">
        <f>IF($B46="","",$C46+$D46-$X46)</f>
      </c>
      <c r="Z46" s="7">
        <f>IF($B46="","",$Z45+$C46+$D46)</f>
      </c>
      <c r="AA46" s="7">
        <f>IF($B46="","",$AA45+$Y46)</f>
      </c>
      <c r="AB46" s="7">
        <f>IF($B46="","",$AB45+MIN($N46,MAX(0,'Methodology &amp; Sources'!$C$3-($AX46+$AB45-$AW46))))</f>
      </c>
      <c r="AC46" s="7">
        <f>IF($B46="","",$AC45+$E46+$F46)</f>
      </c>
      <c r="AD46" s="3">
        <f>IF($B46="","",IF(AND($AB45&lt;'Methodology &amp; Sources'!$C$3,$AB46&gt;='Methodology &amp; Sources'!$C$3),"★ Social Security maxed on this check — from the next check your net rises by about $"&amp;TEXT(ROUND('Methodology &amp; Sources'!$C$4*$N46,2),"#,##0.00")&amp;". ","")&amp;IF(AND($AC45&lt;Inputs!$C$34,$AC46&gt;=Inputs!$C$34),"★ 401(k) reaches the $"&amp;TEXT(Inputs!$C$34,"#,##0")&amp;" cap on this check — deferrals stop and net pay rises. ","")&amp;IF(AND($AG45&lt;'Methodology &amp; Sources'!$C$7,$AG46&gt;='Methodology &amp; Sources'!$C$7),"★ Wages pass $200,000 — the 0.9% Additional Medicare Tax starts here. ","")&amp;IF(AND($BJ46&gt;0,$H46&gt;0,$BG45&lt;MIN($BJ46,'Methodology &amp; Sources'!$C$13),$BG45+$H46&gt;=MIN($BJ46,'Methodology &amp; Sources'!$C$13)),"★ Health FSA election is now fully deferred for the year. ",""))</f>
      </c>
      <c r="AE46" s="41" t="n"/>
      <c r="AF46" s="7">
        <f>IF(OR($B46="",$AE46=""),"",$AE46-$Y46)</f>
      </c>
      <c r="AG46" s="7">
        <f>IF($B46="","",$AG45+$N46)</f>
      </c>
      <c r="AH46" s="7">
        <f>IF($B46="","",MAX(0,($M46-$D46)*Inputs!$C$8+$AP46-$AQ46-IF(Inputs!$C$13,0,IF(Inputs!$C$12="MFJ",'Methodology &amp; Sources'!$C$8,'Methodology &amp; Sources'!$C$9))))</f>
      </c>
      <c r="AI46" s="7">
        <f>IF($B46="","",$O46*Inputs!$C$8)</f>
      </c>
      <c r="AJ46" s="7">
        <f>IF($B46="","",MAX(0,$AI46-VLOOKUP($AN46,StateTables!$A$6:$AB$56,12,FALSE)*$AT46-IF(($AS46+$AT46)&gt;=2,VLOOKUP($AN46,StateTables!$A$6:$AB$56,8,FALSE),VLOOKUP($AN46,StateTables!$A$6:$AB$56,7,FALSE))))</f>
      </c>
      <c r="AK46" s="7">
        <f>IF($B46="","",IFERROR(LOOKUP(2,1/((Events!$C$6:$C$17="Salary change")*(Events!$B$6:$B$17&lt;=$B46)*(Events!$B$6:$B$17&lt;&gt;"")),Events!$D$6:$D$17),IF(Inputs!$C$4="Annual salary",Inputs!$C$5,Inputs!$C$6)))</f>
      </c>
      <c r="AL46">
        <f>IF($B46="","",IFERROR(LOOKUP(2,1/((Events!$C$6:$C$17="401(k) change")*(Events!$B$6:$B$17&lt;=$B46)*(Events!$B$6:$B$17&lt;&gt;"")),Events!$D$6:$D$17),Inputs!$C$30))</f>
      </c>
      <c r="AM46" s="7">
        <f>IF($B46="","",IFERROR(LOOKUP(2,1/((Events!$C$6:$C$17="401(k) change")*(Events!$B$6:$B$17&lt;=$B46)*(Events!$B$6:$B$17&lt;&gt;"")),Events!$E$6:$E$17),Inputs!$D$30))</f>
      </c>
      <c r="AN46">
        <f>IF($B46="","",IFERROR(LOOKUP(2,1/((Events!$C$6:$C$17="State move")*(Events!$B$6:$B$17&lt;=$B46)*(Events!$B$6:$B$17&lt;&gt;"")),Events!$D$6:$D$17),Inputs!$C$21))</f>
      </c>
      <c r="AO46" s="7">
        <f>IF($B46="","",IFERROR(LOOKUP(2,1/((Events!$C$6:$C$17="W-4 change")*(Events!$B$6:$B$17&lt;=$B46)*(Events!$B$6:$B$17&lt;&gt;"")),Events!$D$6:$D$17),Inputs!$C$14))</f>
      </c>
      <c r="AP46" s="7">
        <f>IF($B46="","",IFERROR(LOOKUP(2,1/((Events!$C$6:$C$17="W-4 change")*(Events!$B$6:$B$17&lt;=$B46)*(Events!$B$6:$B$17&lt;&gt;"")),Events!$E$6:$E$17),Inputs!$C$15))</f>
      </c>
      <c r="AQ46" s="7">
        <f>IF($B46="","",IFERROR(LOOKUP(2,1/((Events!$C$6:$C$17="W-4 change")*(Events!$B$6:$B$17&lt;=$B46)*(Events!$B$6:$B$17&lt;&gt;"")),Events!$F$6:$F$17),Inputs!$C$16))</f>
      </c>
      <c r="AR46" s="7">
        <f>IF($B46="","",IFERROR(LOOKUP(2,1/((Events!$C$6:$C$17="W-4 change")*(Events!$B$6:$B$17&lt;=$B46)*(Events!$B$6:$B$17&lt;&gt;"")),Events!$G$6:$G$17),Inputs!$C$17))</f>
      </c>
      <c r="AS46" s="6">
        <f>IF($B46="","",IFERROR(LOOKUP(2,1/(((Events!$C$6:$C$17="State move")+(Events!$C$6:$C$17="State cert change"))*(Events!$B$6:$B$17&lt;=$B46)*(Events!$B$6:$B$17&lt;&gt;"")),Events!$F$6:$F$17),Inputs!$C$23))</f>
      </c>
      <c r="AT46" s="6">
        <f>IF($B46="","",IFERROR(LOOKUP(2,1/(((Events!$C$6:$C$17="State move")+(Events!$C$6:$C$17="State cert change"))*(Events!$B$6:$B$17&lt;=$B46)*(Events!$B$6:$B$17&lt;&gt;"")),Events!$G$6:$G$17),Inputs!$C$24))</f>
      </c>
      <c r="AU46">
        <f>IF($B46="","",IFERROR(LOOKUP(2,1/((Events!$C$6:$C$17="State move")*(Events!$B$6:$B$17&lt;=$B46)*(Events!$B$6:$B$17&lt;&gt;"")),Events!$E$6:$E$17),Inputs!$C$22))</f>
      </c>
      <c r="AV46" s="6">
        <f>IF($B46="","",1+COUNTIFS(Events!$C$6:$C$17,"Employer change",Events!$B$6:$B$17,"&lt;="&amp;$B46,Events!$B$6:$B$17,"&lt;&gt;"))</f>
      </c>
      <c r="AW46" s="7">
        <f>IF($B46="","",IF($AV46=1,Inputs!$C$94,IF(IFERROR(MATCH(IFERROR(LOOKUP(2,1/((Events!$C$6:$C$17="Employer change")*(Events!$B$6:$B$17&lt;=$B46)*(Events!$B$6:$B$17&lt;&gt;"")),Events!$B$6:$B$17),""),$B$6:$B$68,1),1)&lt;=1,Inputs!$C$94,INDEX($AB$6:$AB$68,MATCH(IFERROR(LOOKUP(2,1/((Events!$C$6:$C$17="Employer change")*(Events!$B$6:$B$17&lt;=$B46)*(Events!$B$6:$B$17&lt;&gt;"")),Events!$B$6:$B$17),""),$B$6:$B$68,1)-1))))</f>
      </c>
      <c r="AX46" s="7">
        <f>IF($B46="","",IF($AV46=1,Inputs!$C$94,IFERROR(LOOKUP(2,1/((Events!$C$6:$C$17="Employer change")*(Events!$B$6:$B$17&lt;=$B46)*(Events!$B$6:$B$17&lt;&gt;"")),Events!$D$6:$D$17),0)))</f>
      </c>
      <c r="AY46" s="7">
        <f>IF($B46="","",($O46-$D46)*Inputs!$C$8)</f>
      </c>
      <c r="AZ46" s="7">
        <f>IF($B46="","",IF($AN46="AL",MAX(0,$AY46-IF($AU46="Married",IF($AY46&lt;=25999,8500,MAX(5000,8500-175*CEILING(($AY46-25999)/500,1))),IF($AU46="Head of household",IF($AY46&lt;=25999,5200,MAX(2500,5200-135*CEILING(($AY46-25999)/500,1))),IF($AY46&lt;=25999,3000,MAX(2500,3000-25*CEILING(($AY46-25999)/500,1)))))-($P46-'Methodology &amp; Sources'!$C$10*$D46)*Inputs!$C$8-IF(OR($AU46="Married",$AU46="Head of household"),3000,1500)-$AT46*IF($AY46&lt;=50000,1000,IF($AY46&lt;=100000,500,300))),IF($AN46="AR",IF(MAX(0,$AY46-2470)&lt;97701,INT(MAX(0,$AY46-2470)/100)*100+50,MAX(0,$AY46-2470)),IF($AN46="DE",MAX(0,$AI46-3250),IF($AN46="HI",MAX(0,$AI46-1144*$AS46-4350),IF($AN46="KS",MAX(0,$AI46-(9160*IF($AU46="Married",2,1)+2320*$AT46+IF($AU46="Head of household",2320,0))),IF($AN46="MD",MAX(0,$AI46-3400-3200*$AS46),IF($AN46="MN",MAX(0,$AY46-5300*$AS46),IF($AN46="MO",MAX(0,$AI46-IF($AU46="Head of household",24150,IF($AU46="Married",IF(Inputs!$C$83,16100,32200),16100))),IF($AN46="MT",$AY46,IF($AN46="ND",($C46+$L46)*Inputs!$C$8,IF($AN46="NE",MAX(0,$AY46-2440*$AS46),IF($AN46="NJ",MAX(0,$AY46-1000*$AS46),IF($AN46="NY",MAX(0,$AY46-(IF($AU46="Married",7950,7400)+1000*$AS46)),IF($AN46="OH",MAX(0,$AY46-650*$AS46),IF($AN46="OK",MAX(0,$AY46-1000*$AS46),IF($AN46="RI",MAX(0,$AI46-1000*$AS46),IF($AN46="SC",MAX(0,$AI46-5000*$AS46-IF($AS46=0,0,MIN(0.1*$AI46,7500))),IF($AN46="VA",MAX(0,$AI46-IF($AU46="Married",17500,8750)-930*$AS46-800*$AT46),IF($AN46="VT",MAX(0,$AI46-5400*$AS46),IF($AN46="WI",MAX(0,$AI46-MAX(0,IF($AU46="Married",9461-0.2*MAX(0,$AI46-25727),6702-0.12*MAX(0,$AI46-17780)))-400*$AS46),IF($AN46="WV",MAX(0,$AI46-2000*$AS46),$AI46))))))))))))))))))))))</f>
      </c>
      <c r="BA46" s="7">
        <f>IF($B46="","",IF($BW46&lt;&gt;"",$BW46,IF($BX46&lt;&gt;"",$BX46,IF($BY46&lt;&gt;"",$BY46,0))))</f>
      </c>
      <c r="BB46" s="7">
        <f>IF($B46="","",IF($AN46="AR",-29*$AS46,IF($AN46="DE",-110*$AS46,IF($AN46="MD",$AZ46*Inputs!$C$74,IF($AN46="AZ",Inputs!$C$82*($M46-$D46)*Inputs!$C$8,IF($AN46="CO",0.044*MAX(0,$AY46-IF($AU46="Married",10000,5000)),IF($AN46="IA",MAX(0,0.038*MAX(0,$AY46-IF($AU46="Head of household",19500,IF($AU46="Married",26000,13000)))-40*$AS46),IF($AN46="ID",0.053*MAX(0,$AY46-IF($AU46="Married",32000,16094)),IF($AN46="IL",0.0495*MAX(0,$AY46-(2925*$AS46+1000*$AT46)),IF($AN46="IN",(0.0295+Inputs!$C$76)*MAX(0,$AY46-(1000*$AS46+1500*$AT46+3000*Inputs!$C$86)),IF($AN46="KY",0.035*MAX(0,$AI46-3360),IF($AN46="LA",IF(Inputs!$C$84="0",0.0309*$AI46,0.0309*MAX(0,$AI46-IF(Inputs!$C$84="2",25750,12875))),IF($AN46="MA",0.05*MIN(MAX(0,$AY46-MIN(($BD45+$Q46+$R46+$S46),2000)-IF($AS46=0,0,IF($AS46=1,4400,1000*$AS46+3400))),1107750)+0.09*MAX(0,MAX(0,$AY46-MIN(($BD45+$Q46+$R46+$S46),2000)-IF($AS46=0,0,IF($AS46=1,4400,1000*$AS46+3400)))-1107750)-IF($AU46="Head of household",120,0)-110*Inputs!$C$75,IF($AN46="MI",0.0425*MAX(0,$AY46-5900*$AS46),IF($AN46="MS",0.04*MAX(0,$AI46-IF($AU46="Head of household",3400,IF($AU46="Married",4600,2300))-Inputs!$C$85-10000),IF($AN46="OR",IF(OR($AU46="Married",AND($AU46="Single",$AS46&gt;=3)),SUMPRODUCT((MAX(0,$AY46-MIN(($P46-'Methodology &amp; Sources'!$C$10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Sources'!$B$211:$J$214,0,4))*(MAX(0,$AY46-MIN(($P46-'Methodology &amp; Sources'!$C$10*$D46)*Inputs!$C$8,IF(OR($AU46="Married",AND($AU46="Single",$AS46&gt;=3)),IF($AY46&lt;250000,8750,IF($AY46&lt;260000,7000,IF($AY46&lt;270000,5250,IF($AY46&lt;280000,3500,IF($AY46&lt;290000,1750,0))))),IF($AY46&lt;125000,8750,IF($AY46&lt;130000,7000,IF($AY46&lt;135000,5250,IF($AY46&lt;140000,3500,IF($AY46&lt;145000,1750,0)))))))-IF(OR($AU46="Married",AND($AU46="Single",$AS46&gt;=3)),5820,2910))-INDEX('Methodology &amp; Sources'!$B$211:$J$214,0,4))*INDEX('Methodology &amp; Sources'!$B$211:$J$214,0,4+2)),SUMPRODUCT((MAX(0,$AY46-MIN(($P46-'Methodology &amp; Sources'!$C$10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Sources'!$B$211:$J$214,0,1))*(MAX(0,$AY46-MIN(($P46-'Methodology &amp; Sources'!$C$10*$D46)*Inputs!$C$8,IF(OR($AU46="Married",AND($AU46="Single",$AS46&gt;=3)),IF($AY46&lt;250000,8750,IF($AY46&lt;260000,7000,IF($AY46&lt;270000,5250,IF($AY46&lt;280000,3500,IF($AY46&lt;290000,1750,0))))),IF($AY46&lt;125000,8750,IF($AY46&lt;130000,7000,IF($AY46&lt;135000,5250,IF($AY46&lt;140000,3500,IF($AY46&lt;145000,1750,0)))))))-IF(OR($AU46="Married",AND($AU46="Single",$AS46&gt;=3)),5820,2910))-INDEX('Methodology &amp; Sources'!$B$211:$J$214,0,1))*INDEX('Methodology &amp; Sources'!$B$211:$J$214,0,1+2)))+263-263*IF(IF($AU46="Married",$AY46&gt;200000,$AY46&gt;100000),0,$AS46),IF($AN46="PA",0.0307*(($O46+$E46+$G46)*Inputs!$C$8),IF($AN46="NY",IF($AU46="Married",IF($AZ46&gt;=2155350,0,IF($AZ46&gt;=1077550,0.48,IF($AZ46&gt;=373200,1.21,IF($AZ46&gt;=323200,0.21,IF($AZ46&gt;=211550,-0.19,IF($AZ46&gt;=157650,-2.8,IF($AZ46&gt;=107650,-0.8,IF($AZ46&gt;=96800,0.05,IF($AZ46&gt;=80650,-0.1,IF($AZ46&gt;=13900,0.4,IF($AZ46&gt;=11700,-0.3,IF($AZ46&gt;=8500,0.5,0)))))))))))),IF($AZ46&gt;=1077550,0,IF($AZ46&gt;=265400,4.29,IF($AZ46&gt;=215400,2.29,IF($AZ46&gt;=157650,2.29,IF($AZ46&gt;=107650,0.29,IF($AZ46&gt;=96800,0.05,IF($AZ46&gt;=80650,-0.1,IF($AZ46&gt;=13900,0.4,IF($AZ46&gt;=11700,-0.3,IF($AZ46&gt;=8500,0.5,0))))))))))),0))))))))))))))))))</f>
      </c>
      <c r="BC46" s="7">
        <f>IF($B46="","",IF($AN46="AL",0.05*$D46,IF($AN46="AR",0.039*$D46,IF($AN46="ID",0.053*$D46,IF($AN46="IN",(0.0295+Inputs!$C$76)*$D46,IF($AN46="KS",0.05*$D46,IF($AN46="MA",0.09*MIN($D46,MAX(0,MAX(0,$AY46-MIN(($BD45+$Q46+$R46+$S46),2000)-IF($AS46=0,0,IF($AS46=1,4400,1000*$AS46+3400)))+$D46-1107750))+0.05*($D46-MIN($D46,MAX(0,MAX(0,$AY46-MIN(($BD45+$Q46+$R46+$S46),2000)-IF($AS46=0,0,IF($AS46=1,4400,1000*$AS46+3400)))+$D46-1107750))),IF($AN46="MD",(0.065+Inputs!$C$74)*$D46,IF($AN46="MI",0.0425*$D46,IF($AN46="MN",0.0625*$D46,IF($AN46="MO",0.047*$D46,IF($AN46="MT",0.05*$D46,IF($AN46="ND",0.015*$D46,IF($AN46="NE",0.035*$D46,IF($AN46="NJ",IF(Inputs!$C$77="B",SUMPRODUCT(($D46*Inputs!$C$8&gt;INDEX('Methodology &amp; Sources'!$B$155:$J$162,0,4))*($D46*Inputs!$C$8-INDEX('Methodology &amp; Sources'!$B$155:$J$162,0,4))*INDEX('Methodology &amp; Sources'!$B$155:$J$162,0,4+2)),IF(Inputs!$C$77="C",SUMPRODUCT(($D46*Inputs!$C$8&gt;INDEX('Methodology &amp; Sources'!$B$155:$J$162,0,7))*($D46*Inputs!$C$8-INDEX('Methodology &amp; Sources'!$B$155:$J$162,0,7))*INDEX('Methodology &amp; Sources'!$B$155:$J$162,0,7+2)),IF(Inputs!$C$77="D",SUMPRODUCT(($D46*Inputs!$C$8&gt;INDEX('Methodology &amp; Sources'!$B$167:$J$179,0,1))*($D46*Inputs!$C$8-INDEX('Methodology &amp; Sources'!$B$167:$J$179,0,1))*INDEX('Methodology &amp; Sources'!$B$167:$J$179,0,1+2)),IF(Inputs!$C$77="E",SUMPRODUCT(($D46*Inputs!$C$8&gt;INDEX('Methodology &amp; Sources'!$B$167:$J$179,0,4))*($D46*Inputs!$C$8-INDEX('Methodology &amp; Sources'!$B$167:$J$179,0,4))*INDEX('Methodology &amp; Sources'!$B$167:$J$179,0,4+2)),SUMPRODUCT(($D46*Inputs!$C$8&gt;INDEX('Methodology &amp; Sources'!$B$155:$J$162,0,1))*($D46*Inputs!$C$8-INDEX('Methodology &amp; Sources'!$B$155:$J$162,0,1))*INDEX('Methodology &amp; Sources'!$B$155:$J$162,0,1+2))))))/Inputs!$C$8,IF($AN46="NY",0.117*$D46,IF($AN46="OH",0.0275*$D46,IF($AN46="OK",0.045*$D46,IF($AN46="OR",0.08*$D46,IF($AN46="WI",IF($AY46&lt;12760,0.0354,IF($AY46&lt;25520,0.0465,IF($AY46&lt;280950,0.053,0.0765)))*$D46,0))))))))))))))))))))</f>
      </c>
      <c r="BD46" s="7">
        <f>IF($B46="","",$BD45+$Q46+$R46+$S46)</f>
      </c>
      <c r="BE46" s="6">
        <f>IF($B46="",$BE45,$BE45+$BF46)</f>
      </c>
      <c r="BF46" s="6">
        <f>IF($B46="","",IF(AND(IF(YEAR(IF(Inputs!$C$7="Weekly",Inputs!$C$90+7*(($BE45+1)-1),IF(Inputs!$C$7="Biweekly",Inputs!$C$90+14*(($BE45+1)-1),IF(Inputs!$C$7="Semimonthly",DATE(YEAR(Inputs!$C$9),MONTH(Inputs!$C$9)+INT((($BE45+1)-1+'Rest of 2026'!$C$2)/2),MIN(DAY(Inputs!$C$9),DAY(EOMONTH(DATE(YEAR(Inputs!$C$9),MONTH(Inputs!$C$9)+INT((($BE45+1)-1+'Rest of 2026'!$C$2)/2),1),0))))+IF(MOD(($BE45+1)-1+'Rest of 2026'!$C$2,2)=1,15,0),EDATE(Inputs!$C$90,($BE45+1)-1)))))&lt;&gt;Inputs!$C$10,"",IF(Inputs!$C$7="Weekly",Inputs!$C$90+7*(($BE45+1)-1),IF(Inputs!$C$7="Biweekly",Inputs!$C$90+14*(($BE45+1)-1),IF(Inputs!$C$7="Semimonthly",DATE(YEAR(Inputs!$C$9),MONTH(Inputs!$C$9)+INT((($BE45+1)-1+'Rest of 2026'!$C$2)/2),MIN(DAY(Inputs!$C$9),DAY(EOMONTH(DATE(YEAR(Inputs!$C$9),MONTH(Inputs!$C$9)+INT((($BE45+1)-1+'Rest of 2026'!$C$2)/2),1),0))))+IF(MOD(($BE45+1)-1+'Rest of 2026'!$C$2,2)=1,15,0),EDATE(Inputs!$C$90,($BE45+1)-1)))))&lt;&gt;"",$B46=IF(YEAR(IF(Inputs!$C$7="Weekly",Inputs!$C$90+7*(($BE45+1)-1),IF(Inputs!$C$7="Biweekly",Inputs!$C$90+14*(($BE45+1)-1),IF(Inputs!$C$7="Semimonthly",DATE(YEAR(Inputs!$C$9),MONTH(Inputs!$C$9)+INT((($BE45+1)-1+'Rest of 2026'!$C$2)/2),MIN(DAY(Inputs!$C$9),DAY(EOMONTH(DATE(YEAR(Inputs!$C$9),MONTH(Inputs!$C$9)+INT((($BE45+1)-1+'Rest of 2026'!$C$2)/2),1),0))))+IF(MOD(($BE45+1)-1+'Rest of 2026'!$C$2,2)=1,15,0),EDATE(Inputs!$C$90,($BE45+1)-1)))))&lt;&gt;Inputs!$C$10,"",IF(Inputs!$C$7="Weekly",Inputs!$C$90+7*(($BE45+1)-1),IF(Inputs!$C$7="Biweekly",Inputs!$C$90+14*(($BE45+1)-1),IF(Inputs!$C$7="Semimonthly",DATE(YEAR(Inputs!$C$9),MONTH(Inputs!$C$9)+INT((($BE45+1)-1+'Rest of 2026'!$C$2)/2),MIN(DAY(Inputs!$C$9),DAY(EOMONTH(DATE(YEAR(Inputs!$C$9),MONTH(Inputs!$C$9)+INT((($BE45+1)-1+'Rest of 2026'!$C$2)/2),1),0))))+IF(MOD(($BE45+1)-1+'Rest of 2026'!$C$2,2)=1,15,0),EDATE(Inputs!$C$90,($BE45+1)-1)))))),1,0))</f>
      </c>
      <c r="BG46" s="7">
        <f>IF($B46="","",$BG45+$H46)</f>
      </c>
      <c r="BH46" s="7">
        <f>IF($B46="","",$BH45+$I46)</f>
      </c>
      <c r="BI46" s="7">
        <f>IF($B46="","",$BI45+$G46)</f>
      </c>
      <c r="BJ46" s="7">
        <f>IF($B46="","",IFERROR(LOOKUP(2,1/((((Events!$C$6:$C$17="Deduction start"))*(Events!$D$6:$D$17="Health FSA"))*(Events!$B$6:$B$17&lt;=$B46)*(Events!$B$6:$B$17&lt;&gt;"")),Events!$E$6:$E$17),Inputs!$D$38))</f>
      </c>
      <c r="BK46" s="7">
        <f>IF($B46="","",IFERROR(LOOKUP(2,1/((((Events!$C$6:$C$17="Deduction start"))*(Events!$D$6:$D$17="Dependent-care FSA"))*(Events!$B$6:$B$17&lt;=$B46)*(Events!$B$6:$B$17&lt;&gt;"")),Events!$E$6:$E$17),Inputs!$D$39))</f>
      </c>
      <c r="BL46" s="7">
        <f>IF($B46="","",IFERROR(LOOKUP(2,1/((((Events!$C$6:$C$17="Deduction start")+(Events!$C$6:$C$17="Deduction stop"))*(Events!$D$6:$D$17="HSA"))*(Events!$B$6:$B$17&lt;=$B46)*(Events!$B$6:$B$17&lt;&gt;"")),Events!$I$6:$I$17),Inputs!$D$35))</f>
      </c>
      <c r="BM46" s="7">
        <f>IF($B46="","",IFERROR(LOOKUP(2,1/((((Events!$C$6:$C$17="Deduction start")+(Events!$C$6:$C$17="Deduction stop"))*(Events!$D$6:$D$17="Premiums"))*(Events!$B$6:$B$17&lt;=$B46)*(Events!$B$6:$B$17&lt;&gt;"")),Events!$I$6:$I$17),Inputs!$D$40+Inputs!$D$41+Inputs!$D$42))</f>
      </c>
      <c r="BN46" s="7">
        <f>IF($B46="","",IFERROR(LOOKUP(2,1/((((Events!$C$6:$C$17="Deduction start")+(Events!$C$6:$C$17="Deduction stop"))*(Events!$D$6:$D$17="Commuter"))*(Events!$B$6:$B$17&lt;=$B46)*(Events!$B$6:$B$17&lt;&gt;"")),Events!$I$6:$I$17),Inputs!$D$43))</f>
      </c>
      <c r="BO46" s="7">
        <f>IF($B46="","",IFERROR(LOOKUP(2,1/((((Events!$C$6:$C$17="Deduction start")+(Events!$C$6:$C$17="Deduction stop"))*(Events!$D$6:$D$17="Other pre-tax"))*(Events!$B$6:$B$17&lt;=$B46)*(Events!$B$6:$B$17&lt;&gt;"")),Events!$I$6:$I$17),Inputs!$D$44))</f>
      </c>
      <c r="BP46" s="7">
        <f>IF($B46="","",IFERROR(LOOKUP(2,1/((((Events!$C$6:$C$17="Deduction start")+(Events!$C$6:$C$17="Deduction stop"))*(Events!$D$6:$D$17="Other post-tax"))*(Events!$B$6:$B$17&lt;=$B46)*(Events!$B$6:$B$17&lt;&gt;"")),Events!$I$6:$I$17),Inputs!$D$45))</f>
      </c>
      <c r="BQ46" s="6">
        <f>IF($B46="","",IFERROR(LOOKUP(2,1/((((Events!$C$6:$C$17="Deduction start")+(Events!$C$6:$C$17="Deduction stop"))*(Events!$D$6:$D$17="Health FSA"))*(Events!$B$6:$B$17&lt;=$B46)*(Events!$B$6:$B$17&lt;&gt;"")),Events!$J$6:$J$17),0))</f>
      </c>
      <c r="BR46" s="6">
        <f>IF($B46="","",IFERROR(LOOKUP(2,1/((((Events!$C$6:$C$17="Deduction start")+(Events!$C$6:$C$17="Deduction stop"))*(Events!$D$6:$D$17="Dependent-care FSA"))*(Events!$B$6:$B$17&lt;=$B46)*(Events!$B$6:$B$17&lt;&gt;"")),Events!$J$6:$J$17),0))</f>
      </c>
      <c r="BS46" s="6">
        <f>IF($B46="","",IF(SUMPRODUCT((Events!$C$6:$C$17="Deduction start")*(Events!$B$6:$B$17&lt;=$B46)*(Events!$B$6:$B$17&lt;&gt;"")*(Events!$D$6:$D$17="Health FSA"))&gt;0,1,0))</f>
      </c>
      <c r="BT46" s="6">
        <f>IF($B46="","",IF(SUMPRODUCT((Events!$C$6:$C$17="Deduction start")*(Events!$B$6:$B$17&lt;=$B46)*(Events!$B$6:$B$17&lt;&gt;"")*(Events!$D$6:$D$17="Dependent-care FSA"))&gt;0,1,0))</f>
      </c>
      <c r="BU46" s="24">
        <f>IF($B46="","",IF(Inputs!$C$13,SUMPRODUCT(($AH46&gt;=INDEX('Methodology &amp; Sources'!$B$29:$J$36,0,IF(Inputs!$C$12="MFJ",1,IF(Inputs!$C$12="HoH",7,4))))*INDEX('Methodology &amp; Sources'!$B$29:$J$36,0,IF(Inputs!$C$12="MFJ",1,IF(Inputs!$C$12="HoH",7,4))+2)),SUMPRODUCT(($AH46&gt;=INDEX('Methodology &amp; Sources'!$B$19:$J$26,0,IF(Inputs!$C$12="MFJ",1,IF(Inputs!$C$12="HoH",7,4))))*INDEX('Methodology &amp; Sources'!$B$19:$J$26,0,IF(Inputs!$C$12="MFJ",1,IF(Inputs!$C$12="HoH",7,4))+2))))</f>
      </c>
      <c r="BV46" s="24">
        <f>IF($B46="","",IF($BZ46&lt;&gt;"",$BZ46,IF($CA46&lt;&gt;"",$CA46,IF($CB46&lt;&gt;"",$CB46,IF($CC46&lt;&gt;"",$CC46,0)))))</f>
      </c>
      <c r="BW46" s="7">
        <f>IF($B46="","",IF($AN46="MD",IF(OR($AU46="Married",$AU46="Head of household"),SUMPRODUCT(($AZ46&gt;INDEX('Methodology &amp; Sources'!$B$114:$J$120,0,1))*($AZ46-INDEX('Methodology &amp; Sources'!$B$114:$J$120,0,1))*INDEX('Methodology &amp; Sources'!$B$114:$J$120,0,1+2)),SUMPRODUCT(($AZ46&gt;INDEX('Methodology &amp; Sources'!$B$103:$J$109,0,7))*($AZ46-INDEX('Methodology &amp; Sources'!$B$103:$J$109,0,7))*INDEX('Methodology &amp; Sources'!$B$103:$J$109,0,7+2))),IF($AN46="MO",SUMPRODUCT(($AZ46&gt;INDEX('Methodology &amp; Sources'!$B$125:$J$132,0,1))*($AZ46-INDEX('Methodology &amp; Sources'!$B$125:$J$132,0,1))*INDEX('Methodology &amp; Sources'!$B$125:$J$132,0,1+2)),IF($AN46="MT",IF($AU46="Head of household",SUMPRODUCT(($AZ46&gt;INDEX('Methodology &amp; Sources'!$B$137:$J$139,0,1))*($AZ46-INDEX('Methodology &amp; Sources'!$B$137:$J$139,0,1))*INDEX('Methodology &amp; Sources'!$B$137:$J$139,0,1+2)),IF($AU46="Married",SUMPRODUCT(($AZ46&gt;INDEX('Methodology &amp; Sources'!$B$125:$J$132,0,7))*($AZ46-INDEX('Methodology &amp; Sources'!$B$125:$J$132,0,7))*INDEX('Methodology &amp; Sources'!$B$125:$J$132,0,7+2)),SUMPRODUCT(($AZ46&gt;INDEX('Methodology &amp; Sources'!$B$125:$J$132,0,4))*($AZ46-INDEX('Methodology &amp; Sources'!$B$125:$J$132,0,4))*INDEX('Methodology &amp; Sources'!$B$125:$J$132,0,4+2)))),IF($AN46="ND",IF($AU46="Head of household",SUMPRODUCT(($AZ46&gt;INDEX('Methodology &amp; Sources'!$B$144:$J$150,0,1))*($AZ46-INDEX('Methodology &amp; Sources'!$B$144:$J$150,0,1))*INDEX('Methodology &amp; Sources'!$B$144:$J$150,0,1+2)),IF($AU46="Married",SUMPRODUCT(($AZ46&gt;INDEX('Methodology &amp; Sources'!$B$137:$J$139,0,7))*($AZ46-INDEX('Methodology &amp; Sources'!$B$137:$J$139,0,7))*INDEX('Methodology &amp; Sources'!$B$137:$J$139,0,7+2)),SUMPRODUCT(($AZ46&gt;INDEX('Methodology &amp; Sources'!$B$137:$J$139,0,4))*($AZ46-INDEX('Methodology &amp; Sources'!$B$137:$J$139,0,4))*INDEX('Methodology &amp; Sources'!$B$137:$J$139,0,4+2)))),IF($AN46="NJ",IF(Inputs!$C$77="B",SUMPRODUCT(($AZ46&gt;INDEX('Methodology &amp; Sources'!$B$155:$J$162,0,4))*($AZ46-INDEX('Methodology &amp; Sources'!$B$155:$J$162,0,4))*INDEX('Methodology &amp; Sources'!$B$155:$J$162,0,4+2)),IF(Inputs!$C$77="C",SUMPRODUCT(($AZ46&gt;INDEX('Methodology &amp; Sources'!$B$155:$J$162,0,7))*($AZ46-INDEX('Methodology &amp; Sources'!$B$155:$J$162,0,7))*INDEX('Methodology &amp; Sources'!$B$155:$J$162,0,7+2)),IF(Inputs!$C$77="D",SUMPRODUCT(($AZ46&gt;INDEX('Methodology &amp; Sources'!$B$167:$J$179,0,1))*($AZ46-INDEX('Methodology &amp; Sources'!$B$167:$J$179,0,1))*INDEX('Methodology &amp; Sources'!$B$167:$J$179,0,1+2)),IF(Inputs!$C$77="E",SUMPRODUCT(($AZ46&gt;INDEX('Methodology &amp; Sources'!$B$167:$J$179,0,4))*($AZ46-INDEX('Methodology &amp; Sources'!$B$167:$J$179,0,4))*INDEX('Methodology &amp; Sources'!$B$167:$J$179,0,4+2)),SUMPRODUCT(($AZ46&gt;INDEX('Methodology &amp; Sources'!$B$155:$J$162,0,1))*($AZ46-INDEX('Methodology &amp; Sources'!$B$155:$J$162,0,1))*INDEX('Methodology &amp; Sources'!$B$155:$J$162,0,1+2)))))),IF($AN46="NY",IF($AU46="Married",IF($AZ46&gt;=2155350,$AZ46*IF($AZ46&gt;25000000,0.117,IF($AZ46&gt;5000000,0.111,0.1045)),SUMPRODUCT(($AZ46&gt;INDEX('Methodology &amp; Sources'!$B$184:$J$198,0,1))*($AZ46-INDEX('Methodology &amp; Sources'!$B$184:$J$198,0,1))*INDEX('Methodology &amp; Sources'!$B$184:$J$198,0,1+2))),IF($AZ46&gt;=1077550,$AZ46*IF($AZ46&gt;25000000,0.117,IF($AZ46&gt;5000000,0.111,0.1045)),SUMPRODUCT(($AZ46&gt;INDEX('Methodology &amp; Sources'!$B$167:$J$179,0,7))*($AZ46-INDEX('Methodology &amp; Sources'!$B$167:$J$179,0,7))*INDEX('Methodology &amp; Sources'!$B$167:$J$179,0,7+2)))),"")))))))</f>
      </c>
      <c r="BX46" s="7">
        <f>IF($B46="","",IF($AN46="AL",IF(OR($AU46="Married",$AU46="Head of household"),SUMPRODUCT(($AZ46&gt;INDEX('Methodology &amp; Sources'!$B$82:$J$86,0,4))*($AZ46-INDEX('Methodology &amp; Sources'!$B$82:$J$86,0,4))*INDEX('Methodology &amp; Sources'!$B$82:$J$86,0,4+2)),SUMPRODUCT(($AZ46&gt;INDEX('Methodology &amp; Sources'!$B$82:$J$86,0,1))*($AZ46-INDEX('Methodology &amp; Sources'!$B$82:$J$86,0,1))*INDEX('Methodology &amp; Sources'!$B$82:$J$86,0,1+2))),IF($AN46="KS",IF($AU46="Married",SUMPRODUCT(($AZ46&gt;INDEX('Methodology &amp; Sources'!$B$103:$J$109,0,4))*($AZ46-INDEX('Methodology &amp; Sources'!$B$103:$J$109,0,4))*INDEX('Methodology &amp; Sources'!$B$103:$J$109,0,4+2)),SUMPRODUCT(($AZ46&gt;INDEX('Methodology &amp; Sources'!$B$103:$J$109,0,1))*($AZ46-INDEX('Methodology &amp; Sources'!$B$103:$J$109,0,1))*INDEX('Methodology &amp; Sources'!$B$103:$J$109,0,1+2))),IF($AN46="MN",IF($AU46="Married",SUMPRODUCT(($AZ46&gt;INDEX('Methodology &amp; Sources'!$B$114:$J$120,0,7))*($AZ46-INDEX('Methodology &amp; Sources'!$B$114:$J$120,0,7))*INDEX('Methodology &amp; Sources'!$B$114:$J$120,0,7+2)),SUMPRODUCT(($AZ46&gt;INDEX('Methodology &amp; Sources'!$B$114:$J$120,0,4))*($AZ46-INDEX('Methodology &amp; Sources'!$B$114:$J$120,0,4))*INDEX('Methodology &amp; Sources'!$B$114:$J$120,0,4+2))),IF($AN46="NE",MAX(IF($AU46="Married",SUMPRODUCT(($AZ46&gt;INDEX('Methodology &amp; Sources'!$B$144:$J$150,0,7))*($AZ46-INDEX('Methodology &amp; Sources'!$B$144:$J$150,0,7))*INDEX('Methodology &amp; Sources'!$B$144:$J$150,0,7+2)),SUMPRODUCT(($AZ46&gt;INDEX('Methodology &amp; Sources'!$B$144:$J$150,0,4))*($AZ46-INDEX('Methodology &amp; Sources'!$B$144:$J$150,0,4))*INDEX('Methodology &amp; Sources'!$B$144:$J$150,0,4+2))),0.015*$AZ46),IF($AN46="OH",IF($B46&gt;=DATE(2027,8,1),SUMPRODUCT(($AZ46&gt;INDEX('Methodology &amp; Sources'!$B$203:$J$206,0,1))*($AZ46-INDEX('Methodology &amp; Sources'!$B$203:$J$206,0,1))*INDEX('Methodology &amp; Sources'!$B$203:$J$206,0,1+2)),SUMPRODUCT(($AZ46&gt;INDEX('Methodology &amp; Sources'!$B$184:$J$198,0,7))*($AZ46-INDEX('Methodology &amp; Sources'!$B$184:$J$198,0,7))*INDEX('Methodology &amp; Sources'!$B$184:$J$198,0,7+2))),IF($AN46="OK",IF($AU46="Married",SUMPRODUCT(($AZ46&gt;INDEX('Methodology &amp; Sources'!$B$203:$J$206,0,7))*($AZ46-INDEX('Methodology &amp; Sources'!$B$203:$J$206,0,7))*INDEX('Methodology &amp; Sources'!$B$203:$J$206,0,7+2)),SUMPRODUCT(($AZ46&gt;INDEX('Methodology &amp; Sources'!$B$203:$J$206,0,4))*($AZ46-INDEX('Methodology &amp; Sources'!$B$203:$J$206,0,4))*INDEX('Methodology &amp; Sources'!$B$203:$J$206,0,4+2))),IF($AN46="RI",SUMPRODUCT(($AZ46&gt;INDEX('Methodology &amp; Sources'!$B$211:$J$214,0,7))*($AZ46-INDEX('Methodology &amp; Sources'!$B$211:$J$214,0,7))*INDEX('Methodology &amp; Sources'!$B$211:$J$214,0,7+2)),IF($AN46="VT",IF($AU46="Married",SUMPRODUCT(($AZ46&gt;INDEX('Methodology &amp; Sources'!$B$228:$J$232,0,1))*($AZ46-INDEX('Methodology &amp; Sources'!$B$228:$J$232,0,1))*INDEX('Methodology &amp; Sources'!$B$228:$J$232,0,1+2)),SUMPRODUCT(($AZ46&gt;INDEX('Methodology &amp; Sources'!$B$219:$J$223,0,7))*($AZ46-INDEX('Methodology &amp; Sources'!$B$219:$J$223,0,7))*INDEX('Methodology &amp; Sources'!$B$219:$J$223,0,7+2))),IF($AN46="WV",IF($AU46="Married",SUMPRODUCT(($AZ46&gt;INDEX('Methodology &amp; Sources'!$B$237:$J$241,0,7))*($AZ46-INDEX('Methodology &amp; Sources'!$B$237:$J$241,0,7))*INDEX('Methodology &amp; Sources'!$B$237:$J$241,0,7+2)),SUMPRODUCT(($AZ46&gt;INDEX('Methodology &amp; Sources'!$B$228:$J$232,0,7))*($AZ46-INDEX('Methodology &amp; Sources'!$B$228:$J$232,0,7))*INDEX('Methodology &amp; Sources'!$B$228:$J$232,0,7+2))),""))))))))))</f>
      </c>
      <c r="BY46" s="7">
        <f>IF($B46="","",IF($AN46="AR",SUMPRODUCT(($AZ46&gt;INDEX('Methodology &amp; Sources'!$B$82:$J$86,0,7))*($AZ46-INDEX('Methodology &amp; Sources'!$B$82:$J$86,0,7))*INDEX('Methodology &amp; Sources'!$B$82:$J$86,0,7+2)),IF($AN46="DE",SUMPRODUCT(($AZ46&gt;INDEX('Methodology &amp; Sources'!$B$91:$J$98,0,1))*($AZ46-INDEX('Methodology &amp; Sources'!$B$91:$J$98,0,1))*INDEX('Methodology &amp; Sources'!$B$91:$J$98,0,1+2)),IF($AN46="HI",IF($AU46="Married",SUMPRODUCT(($AZ46&gt;INDEX('Methodology &amp; Sources'!$B$91:$J$98,0,7))*($AZ46-INDEX('Methodology &amp; Sources'!$B$91:$J$98,0,7))*INDEX('Methodology &amp; Sources'!$B$91:$J$98,0,7+2)),SUMPRODUCT(($AZ46&gt;INDEX('Methodology &amp; Sources'!$B$91:$J$98,0,4))*($AZ46-INDEX('Methodology &amp; Sources'!$B$91:$J$98,0,4))*INDEX('Methodology &amp; Sources'!$B$91:$J$98,0,4+2))),IF($AN46="SC",SUMPRODUCT(($AZ46&gt;INDEX('Methodology &amp; Sources'!$B$219:$J$223,0,1))*($AZ46-INDEX('Methodology &amp; Sources'!$B$219:$J$223,0,1))*INDEX('Methodology &amp; Sources'!$B$219:$J$223,0,1+2)),IF($AN46="VA",SUMPRODUCT(($AZ46&gt;INDEX('Methodology &amp; Sources'!$B$219:$J$223,0,4))*($AZ46-INDEX('Methodology &amp; Sources'!$B$219:$J$223,0,4))*INDEX('Methodology &amp; Sources'!$B$219:$J$223,0,4+2)),IF($AN46="WI",SUMPRODUCT(($AZ46&gt;INDEX('Methodology &amp; Sources'!$B$228:$J$232,0,4))*($AZ46-INDEX('Methodology &amp; Sources'!$B$228:$J$232,0,4))*INDEX('Methodology &amp; Sources'!$B$228:$J$232,0,4+2)),"")))))))</f>
      </c>
      <c r="BZ46" s="24">
        <f>IF($B46="","",IF($AN46="NJ",IF(Inputs!$C$77="B",SUMPRODUCT(($AZ46&gt;=INDEX('Methodology &amp; Sources'!$B$155:$J$162,0,4))*INDEX('Methodology &amp; Sources'!$B$155:$J$162,0,4+2)),IF(Inputs!$C$77="C",SUMPRODUCT(($AZ46&gt;=INDEX('Methodology &amp; Sources'!$B$155:$J$162,0,7))*INDEX('Methodology &amp; Sources'!$B$155:$J$162,0,7+2)),IF(Inputs!$C$77="D",SUMPRODUCT(($AZ46&gt;=INDEX('Methodology &amp; Sources'!$B$167:$J$179,0,1))*INDEX('Methodology &amp; Sources'!$B$167:$J$179,0,1+2)),IF(Inputs!$C$77="E",SUMPRODUCT(($AZ46&gt;=INDEX('Methodology &amp; Sources'!$B$167:$J$179,0,4))*INDEX('Methodology &amp; Sources'!$B$167:$J$179,0,4+2)),SUMPRODUCT(($AZ46&gt;=INDEX('Methodology &amp; Sources'!$B$155:$J$162,0,1))*INDEX('Methodology &amp; Sources'!$B$155:$J$162,0,1+2)))))),IF($AN46="OR",IF(OR($AU46="Married",AND($AU46="Single",$AS46&gt;=3)),SUMPRODUCT((MAX(0,$AY46-MIN(($P46-'Methodology &amp; Sources'!$C$10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Sources'!$B$211:$J$214,0,4))*INDEX('Methodology &amp; Sources'!$B$211:$J$214,0,4+2)),SUMPRODUCT((MAX(0,$AY46-MIN(($P46-'Methodology &amp; Sources'!$C$10*$D46)*Inputs!$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Sources'!$B$211:$J$214,0,1))*INDEX('Methodology &amp; Sources'!$B$211:$J$214,0,1+2)))*IF(($P46-'Methodology &amp; Sources'!$C$10*$D46)*Inputs!$C$8&gt;=IF(OR($AU46="Married",AND($AU46="Single",$AS46&gt;=3)),IF($AY46&lt;250000,8750,IF($AY46&lt;260000,7000,IF($AY46&lt;270000,5250,IF($AY46&lt;280000,3500,IF($AY46&lt;290000,1750,0))))),IF($AY46&lt;125000,8750,IF($AY46&lt;130000,7000,IF($AY46&lt;135000,5250,IF($AY46&lt;140000,3500,IF($AY46&lt;145000,1750,0)))))),1,1-IF(Inputs!$C$13,SUMPRODUCT(($AH46&gt;=INDEX('Methodology &amp; Sources'!$B$29:$J$36,0,IF(Inputs!$C$12="MFJ",1,IF(Inputs!$C$12="HoH",7,4))))*INDEX('Methodology &amp; Sources'!$B$29:$J$36,0,IF(Inputs!$C$12="MFJ",1,IF(Inputs!$C$12="HoH",7,4))+2)),SUMPRODUCT(($AH46&gt;=INDEX('Methodology &amp; Sources'!$B$19:$J$26,0,IF(Inputs!$C$12="MFJ",1,IF(Inputs!$C$12="HoH",7,4))))*INDEX('Methodology &amp; Sources'!$B$19:$J$26,0,IF(Inputs!$C$12="MFJ",1,IF(Inputs!$C$12="HoH",7,4))+2)))),IF($AN46="MI",IF($AY46&gt;5900*$AS46,0.0425,0),""))))</f>
      </c>
      <c r="CA46" s="24">
        <f>IF($B46="","",IF($AN46="AL",IF(OR($AU46="Married",$AU46="Head of household"),SUMPRODUCT(($AZ46&gt;=INDEX('Methodology &amp; Sources'!$B$82:$J$86,0,4))*INDEX('Methodology &amp; Sources'!$B$82:$J$86,0,4+2)),SUMPRODUCT(($AZ46&gt;=INDEX('Methodology &amp; Sources'!$B$82:$J$86,0,1))*INDEX('Methodology &amp; Sources'!$B$82:$J$86,0,1+2)))*(1-IF(Inputs!$C$13,SUMPRODUCT(($AH46&gt;=INDEX('Methodology &amp; Sources'!$B$29:$J$36,0,IF(Inputs!$C$12="MFJ",1,IF(Inputs!$C$12="HoH",7,4))))*INDEX('Methodology &amp; Sources'!$B$29:$J$36,0,IF(Inputs!$C$12="MFJ",1,IF(Inputs!$C$12="HoH",7,4))+2)),SUMPRODUCT(($AH46&gt;=INDEX('Methodology &amp; Sources'!$B$19:$J$26,0,IF(Inputs!$C$12="MFJ",1,IF(Inputs!$C$12="HoH",7,4))))*INDEX('Methodology &amp; Sources'!$B$19:$J$26,0,IF(Inputs!$C$12="MFJ",1,IF(Inputs!$C$12="HoH",7,4))+2)))),IF($AN46="KS",IF($AU46="Married",SUMPRODUCT(($AZ46&gt;=INDEX('Methodology &amp; Sources'!$B$103:$J$109,0,4))*INDEX('Methodology &amp; Sources'!$B$103:$J$109,0,4+2)),SUMPRODUCT(($AZ46&gt;=INDEX('Methodology &amp; Sources'!$B$103:$J$109,0,1))*INDEX('Methodology &amp; Sources'!$B$103:$J$109,0,1+2))),IF($AN46="MD",IF(OR($AU46="Married",$AU46="Head of household"),SUMPRODUCT(($AZ46&gt;=INDEX('Methodology &amp; Sources'!$B$114:$J$120,0,1))*INDEX('Methodology &amp; Sources'!$B$114:$J$120,0,1+2)),SUMPRODUCT(($AZ46&gt;=INDEX('Methodology &amp; Sources'!$B$103:$J$109,0,7))*INDEX('Methodology &amp; Sources'!$B$103:$J$109,0,7+2)))+Inputs!$C$74,IF($AN46="MT",IF($AU46="Head of household",SUMPRODUCT(($AZ46&gt;=INDEX('Methodology &amp; Sources'!$B$137:$J$139,0,1))*INDEX('Methodology &amp; Sources'!$B$137:$J$139,0,1+2)),IF($AU46="Married",SUMPRODUCT(($AZ46&gt;=INDEX('Methodology &amp; Sources'!$B$125:$J$132,0,7))*INDEX('Methodology &amp; Sources'!$B$125:$J$132,0,7+2)),SUMPRODUCT(($AZ46&gt;=INDEX('Methodology &amp; Sources'!$B$125:$J$132,0,4))*INDEX('Methodology &amp; Sources'!$B$125:$J$132,0,4+2)))),IF($AN46="ND",IF($AU46="Head of household",SUMPRODUCT(($AZ46&gt;=INDEX('Methodology &amp; Sources'!$B$144:$J$150,0,1))*INDEX('Methodology &amp; Sources'!$B$144:$J$150,0,1+2)),IF($AU46="Married",SUMPRODUCT(($AZ46&gt;=INDEX('Methodology &amp; Sources'!$B$137:$J$139,0,7))*INDEX('Methodology &amp; Sources'!$B$137:$J$139,0,7+2)),SUMPRODUCT(($AZ46&gt;=INDEX('Methodology &amp; Sources'!$B$137:$J$139,0,4))*INDEX('Methodology &amp; Sources'!$B$137:$J$139,0,4+2)))),IF($AN46="NY",IF($AU46="Married",IF($AZ46&gt;=2155350,IF($AZ46&gt;25000000,0.117,IF($AZ46&gt;5000000,0.111,0.1045)),SUMPRODUCT(($AZ46&gt;=INDEX('Methodology &amp; Sources'!$B$184:$J$198,0,1))*INDEX('Methodology &amp; Sources'!$B$184:$J$198,0,1+2))),IF($AZ46&gt;=1077550,IF($AZ46&gt;25000000,0.117,IF($AZ46&gt;5000000,0.111,0.1045)),SUMPRODUCT(($AZ46&gt;=INDEX('Methodology &amp; Sources'!$B$167:$J$179,0,7))*INDEX('Methodology &amp; Sources'!$B$167:$J$179,0,7+2)))),"")))))))</f>
      </c>
      <c r="CB46" s="24">
        <f>IF($B46="","",IF($AN46="CA",SUMPRODUCT(($AJ46&gt;=INDEX('Methodology &amp; Sources'!$B$39:$J$48,0,IF($AU46="Married",4,IF($AU46="Head of household",7,1))))*INDEX('Methodology &amp; Sources'!$B$39:$J$48,0,IF($AU46="Married",4,IF($AU46="Head of household",7,1))+2)),IF($AN46="HI",IF($AU46="Married",SUMPRODUCT(($AZ46&gt;=INDEX('Methodology &amp; Sources'!$B$91:$J$98,0,7))*INDEX('Methodology &amp; Sources'!$B$91:$J$98,0,7+2)),SUMPRODUCT(($AZ46&gt;=INDEX('Methodology &amp; Sources'!$B$91:$J$98,0,4))*INDEX('Methodology &amp; Sources'!$B$91:$J$98,0,4+2))),IF($AN46="MN",IF($AU46="Married",SUMPRODUCT(($AZ46&gt;=INDEX('Methodology &amp; Sources'!$B$114:$J$120,0,7))*INDEX('Methodology &amp; Sources'!$B$114:$J$120,0,7+2)),SUMPRODUCT(($AZ46&gt;=INDEX('Methodology &amp; Sources'!$B$114:$J$120,0,4))*INDEX('Methodology &amp; Sources'!$B$114:$J$120,0,4+2))),IF($AN46="MO",SUMPRODUCT(($AZ46&gt;=INDEX('Methodology &amp; Sources'!$B$125:$J$132,0,1))*INDEX('Methodology &amp; Sources'!$B$125:$J$132,0,1+2)),IF($AN46="NE",MAX(IF($AU46="Married",SUMPRODUCT(($AZ46&gt;=INDEX('Methodology &amp; Sources'!$B$144:$J$150,0,7))*INDEX('Methodology &amp; Sources'!$B$144:$J$150,0,7+2)),SUMPRODUCT(($AZ46&gt;=INDEX('Methodology &amp; Sources'!$B$144:$J$150,0,4))*INDEX('Methodology &amp; Sources'!$B$144:$J$150,0,4+2))),0.015),IF($AN46="OH",IF($B46&gt;=DATE(2027,8,1),SUMPRODUCT(($AZ46&gt;=INDEX('Methodology &amp; Sources'!$B$203:$J$206,0,1))*INDEX('Methodology &amp; Sources'!$B$203:$J$206,0,1+2)),SUMPRODUCT(($AZ46&gt;=INDEX('Methodology &amp; Sources'!$B$184:$J$198,0,7))*INDEX('Methodology &amp; Sources'!$B$184:$J$198,0,7+2))),IF($AN46="OK",IF($AU46="Married",SUMPRODUCT(($AZ46&gt;=INDEX('Methodology &amp; Sources'!$B$203:$J$206,0,7))*INDEX('Methodology &amp; Sources'!$B$203:$J$206,0,7+2)),SUMPRODUCT(($AZ46&gt;=INDEX('Methodology &amp; Sources'!$B$203:$J$206,0,4))*INDEX('Methodology &amp; Sources'!$B$203:$J$206,0,4+2))),IF($AN46="RI",SUMPRODUCT(($AZ46&gt;=INDEX('Methodology &amp; Sources'!$B$211:$J$214,0,7))*INDEX('Methodology &amp; Sources'!$B$211:$J$214,0,7+2)),IF($AN46="SC",SUMPRODUCT(($AZ46&gt;=INDEX('Methodology &amp; Sources'!$B$219:$J$223,0,1))*INDEX('Methodology &amp; Sources'!$B$219:$J$223,0,1+2)),IF($AN46="VT",IF($AU46="Married",SUMPRODUCT(($AZ46&gt;=INDEX('Methodology &amp; Sources'!$B$228:$J$232,0,1))*INDEX('Methodology &amp; Sources'!$B$228:$J$232,0,1+2)),SUMPRODUCT(($AZ46&gt;=INDEX('Methodology &amp; Sources'!$B$219:$J$223,0,7))*INDEX('Methodology &amp; Sources'!$B$219:$J$223,0,7+2))),IF($AN46="WV",IF($AU46="Married",SUMPRODUCT(($AZ46&gt;=INDEX('Methodology &amp; Sources'!$B$237:$J$241,0,7))*INDEX('Methodology &amp; Sources'!$B$237:$J$241,0,7+2)),SUMPRODUCT(($AZ46&gt;=INDEX('Methodology &amp; Sources'!$B$228:$J$232,0,7))*INDEX('Methodology &amp; Sources'!$B$228:$J$232,0,7+2))),IF($AN46="IN",(0.0295+Inputs!$C$76),"")))))))))))))</f>
      </c>
      <c r="CC46" s="24">
        <f>IF($B46="","",IF($AN46="AR",SUMPRODUCT(($AZ46&gt;=INDEX('Methodology &amp; Sources'!$B$82:$J$86,0,7))*INDEX('Methodology &amp; Sources'!$B$82:$J$86,0,7+2)),IF($AN46="DE",SUMPRODUCT(($AZ46&gt;=INDEX('Methodology &amp; Sources'!$B$91:$J$98,0,1))*INDEX('Methodology &amp; Sources'!$B$91:$J$98,0,1+2)),IF($AN46="VA",SUMPRODUCT(($AZ46&gt;=INDEX('Methodology &amp; Sources'!$B$219:$J$223,0,4))*INDEX('Methodology &amp; Sources'!$B$219:$J$223,0,4+2)),IF($AN46="WI",SUMPRODUCT(($AZ46&gt;=INDEX('Methodology &amp; Sources'!$B$228:$J$232,0,4))*INDEX('Methodology &amp; Sources'!$B$228:$J$232,0,4+2)),IF($AN46="AZ",Inputs!$C$82,IF($AN46="CO",IF($AY46&gt;IF($AU46="Married",10000,5000),0.044,0),IF($AN46="IA",IF($AY46&gt;IF($AU46="Head of household",19500,IF($AU46="Married",26000,13000)),0.038,0),IF($AN46="ID",IF($AY46&gt;IF($AU46="Married",32000,16094),0.053,0),IF($AN46="IL",IF($AY46&gt;(2925*$AS46+1000*$AT46),0.0495,0),IF($AN46="KY",IF($AI46&gt;3360,0.035,0),IF($AN46="LA",0.0309,IF($AN46="MA",IF(MAX(0,$AY46-MIN(($BD45+$Q46+$R46+$S46),2000)-IF($AS46=0,0,IF($AS46=1,4400,1000*$AS46+3400)))&gt;=1107750,0.09,0.05),IF($AN46="MS",IF($AI46-IF($AU46="Head of household",3400,IF($AU46="Married",4600,2300))-Inputs!$C$85&gt;10000,0.04,0),IF($AN46="PA",0.0307,"")))))))))))))))</f>
      </c>
      <c r="CD46" s="21">
        <f>IF(YEAR(IF(Inputs!$C$7="Weekly",Inputs!$C$90+7*(($BE45+1)-1),IF(Inputs!$C$7="Biweekly",Inputs!$C$90+14*(($BE45+1)-1),IF(Inputs!$C$7="Semimonthly",DATE(YEAR(Inputs!$C$9),MONTH(Inputs!$C$9)+INT((($BE45+1)-1+'Rest of 2026'!$C$2)/2),MIN(DAY(Inputs!$C$9),DAY(EOMONTH(DATE(YEAR(Inputs!$C$9),MONTH(Inputs!$C$9)+INT((($BE45+1)-1+'Rest of 2026'!$C$2)/2),1),0))))+IF(MOD(($BE45+1)-1+'Rest of 2026'!$C$2,2)=1,15,0),EDATE(Inputs!$C$90,($BE45+1)-1)))))&lt;&gt;Inputs!$C$10,"",IF(Inputs!$C$7="Weekly",Inputs!$C$90+7*(($BE45+1)-1),IF(Inputs!$C$7="Biweekly",Inputs!$C$90+14*(($BE45+1)-1),IF(Inputs!$C$7="Semimonthly",DATE(YEAR(Inputs!$C$9),MONTH(Inputs!$C$9)+INT((($BE45+1)-1+'Rest of 2026'!$C$2)/2),MIN(DAY(Inputs!$C$9),DAY(EOMONTH(DATE(YEAR(Inputs!$C$9),MONTH(Inputs!$C$9)+INT((($BE45+1)-1+'Rest of 2026'!$C$2)/2),1),0))))+IF(MOD(($BE45+1)-1+'Rest of 2026'!$C$2,2)=1,15,0),EDATE(Inputs!$C$90,($BE45+1)-1)))))</f>
      </c>
      <c r="CE46" s="21">
        <f>IF(SUMPRODUCT(MIN(IF((Inputs!$C$58:$C$67&gt;MAX($B$6:$B45))*(Inputs!$C$58:$C$67&gt;=DATE(Inputs!$C$10,1,1))*(Inputs!$C$58:$C$67&lt;=DATE(Inputs!$C$10,12,31)),Inputs!$C$58:$C$67,999999)))=999999,"",SUMPRODUCT(MIN(IF((Inputs!$C$58:$C$67&gt;MAX($B$6:$B45))*(Inputs!$C$58:$C$67&gt;=DATE(Inputs!$C$10,1,1))*(Inputs!$C$58:$C$67&lt;=DATE(Inputs!$C$10,12,31)),Inputs!$C$58:$C$67,999999))))</f>
      </c>
    </row>
    <row r="47">
      <c r="A47" t="n">
        <v>42</v>
      </c>
      <c r="B47" s="21">
        <f>IF(AND($CD47="",$CE47=""),"",IF($CE47="",$CD47,IF($CD47="",$CE47,MIN($CD47,$CE47))))</f>
      </c>
      <c r="C47" s="7">
        <f>IF($B47="","",IF($BF47=0,0,IF(Inputs!$C$4="Annual salary",ROUND($AK47/IF(AND(Inputs!$C$88="Actual paydays",MONTH(Inputs!$C$90)=1),MAX(1,MAX($BE$6:$BE$68)),Inputs!$C$8),2),$AK47)))</f>
      </c>
      <c r="D47" s="7">
        <f>IF($B47="","",SUMIF(Inputs!$C$58:$C$67,$B47,Inputs!$D$58:$D$67))</f>
      </c>
      <c r="E47" s="7">
        <f>IF($B47="","",ROUND(MAX(0,MIN(IF($AL47="Percent",$AM47*($C47+$D47),$AM47),MAX(0,Inputs!$C$34-$AC46))),2))</f>
      </c>
      <c r="F47" s="7">
        <f>IF($B47="","",ROUND(MAX(0,MIN(IF(Inputs!$C$32="Percent",Inputs!$D$32*($C47+$D47),Inputs!$D$32),MAX(0,Inputs!$C$34-$AC46-$E47))),2))</f>
      </c>
      <c r="G47" s="7">
        <f>IF($B47="","",IF($BF47=0,0,ROUND(MAX(0,MIN($BL47,Inputs!$C$37-Inputs!$C$99-$BI46)),2)))</f>
      </c>
      <c r="H47" s="7">
        <f>IF($B47="","",IF(OR($BF47=0,$BQ47=1),0,ROUND(MAX(0,MIN(IF($BS47=1,ROUND(MAX(0,MIN($BJ47,'Methodology &amp; Sources'!$C$13)-$BG46)/MAX(1,MAX($BE$6:$BE$68)-($BE46)),2),ROUND(MIN($BJ47,'Methodology &amp; Sources'!$C$13)/Inputs!$C$8,2)),MIN($BJ47,'Methodology &amp; Sources'!$C$13)-$BG46)),2)))</f>
      </c>
      <c r="I47" s="7">
        <f>IF($B47="","",IF(OR($BF47=0,$BR47=1),0,ROUND(MAX(0,MIN(IF($BT47=1,ROUND(MAX(0,MIN($BK47,IF(Inputs!$C$12="MFJ",'Methodology &amp; Sources'!$C$14,'Methodology &amp; Sources'!$C$15))-$BH46)/MAX(1,MAX($BE$6:$BE$68)-($BE46)),2),ROUND(MIN($BK47,IF(Inputs!$C$12="MFJ",'Methodology &amp; Sources'!$C$14,'Methodology &amp; Sources'!$C$15))/Inputs!$C$8,2)),MIN($BK47,IF(Inputs!$C$12="MFJ",'Methodology &amp; Sources'!$C$14,'Methodology &amp; Sources'!$C$15))-$BH46)),2)))</f>
      </c>
      <c r="J47" s="7">
        <f>IF($B47="","",IF($BF47=0,0,$BM47))</f>
      </c>
      <c r="K47" s="7">
        <f>IF($B47="","",IF($BF47=0,0,$BN47+$BO47))</f>
      </c>
      <c r="L47" s="7">
        <f>IF($B47="","",IF($BF47=0,0,Inputs!$D$46))</f>
      </c>
      <c r="M47" s="7">
        <f>IF($B47="","",$C47+$D47+$L47-$E47-$G47-$H47-$I47-$J47-$K47)</f>
      </c>
      <c r="N47" s="7">
        <f>IF($B47="","",$C47+$D47+$L47-$G47-$H47-$I47-$J47-$K47)</f>
      </c>
      <c r="O47" s="7">
        <f>IF($B47="","",$C47+$D47+$L47-$E47-$H47-$I47-$J47-$K47-IF(OR($AN47="CA",$AN47="NJ"),0,$G47))</f>
      </c>
      <c r="P47" s="7">
        <f>IF($B47="","",IF(Inputs!$C$18,0,ROUND(MAX(0,IF(Inputs!$C$13,SUMPRODUCT(($AH47&gt;INDEX('Methodology &amp; Sources'!$B$29:$J$36,0,IF(Inputs!$C$12="MFJ",1,IF(Inputs!$C$12="HoH",7,4))))*($AH47-INDEX('Methodology &amp; Sources'!$B$29:$J$36,0,IF(Inputs!$C$12="MFJ",1,IF(Inputs!$C$12="HoH",7,4))))*INDEX('Methodology &amp; Sources'!$B$29:$J$36,0,IF(Inputs!$C$12="MFJ",1,IF(Inputs!$C$12="HoH",7,4))+2)),SUMPRODUCT(($AH47&gt;INDEX('Methodology &amp; Sources'!$B$19:$J$26,0,IF(Inputs!$C$12="MFJ",1,IF(Inputs!$C$12="HoH",7,4))))*($AH47-INDEX('Methodology &amp; Sources'!$B$19:$J$26,0,IF(Inputs!$C$12="MFJ",1,IF(Inputs!$C$12="HoH",7,4))))*INDEX('Methodology &amp; Sources'!$B$19:$J$26,0,IF(Inputs!$C$12="MFJ",1,IF(Inputs!$C$12="HoH",7,4))+2)))/Inputs!$C$8-$AO47/Inputs!$C$8)+$AR47+IF(Inputs!$C$89="Aggregate",MAX(0,IF(Inputs!$C$13,SUMPRODUCT((($AH47+$D47)&gt;INDEX('Methodology &amp; Sources'!$B$29:$J$36,0,IF(Inputs!$C$12="MFJ",1,IF(Inputs!$C$12="HoH",7,4))))*(($AH47+$D47)-INDEX('Methodology &amp; Sources'!$B$29:$J$36,0,IF(Inputs!$C$12="MFJ",1,IF(Inputs!$C$12="HoH",7,4))))*INDEX('Methodology &amp; Sources'!$B$29:$J$36,0,IF(Inputs!$C$12="MFJ",1,IF(Inputs!$C$12="HoH",7,4))+2)),SUMPRODUCT((($AH47+$D47)&gt;INDEX('Methodology &amp; Sources'!$B$19:$J$26,0,IF(Inputs!$C$12="MFJ",1,IF(Inputs!$C$12="HoH",7,4))))*(($AH47+$D47)-INDEX('Methodology &amp; Sources'!$B$19:$J$26,0,IF(Inputs!$C$12="MFJ",1,IF(Inputs!$C$12="HoH",7,4))))*INDEX('Methodology &amp; Sources'!$B$19:$J$26,0,IF(Inputs!$C$12="MFJ",1,IF(Inputs!$C$12="HoH",7,4))+2)))-IF(Inputs!$C$13,SUMPRODUCT(($AH47&gt;INDEX('Methodology &amp; Sources'!$B$29:$J$36,0,IF(Inputs!$C$12="MFJ",1,IF(Inputs!$C$12="HoH",7,4))))*($AH47-INDEX('Methodology &amp; Sources'!$B$29:$J$36,0,IF(Inputs!$C$12="MFJ",1,IF(Inputs!$C$12="HoH",7,4))))*INDEX('Methodology &amp; Sources'!$B$29:$J$36,0,IF(Inputs!$C$12="MFJ",1,IF(Inputs!$C$12="HoH",7,4))+2)),SUMPRODUCT(($AH47&gt;INDEX('Methodology &amp; Sources'!$B$19:$J$26,0,IF(Inputs!$C$12="MFJ",1,IF(Inputs!$C$12="HoH",7,4))))*($AH47-INDEX('Methodology &amp; Sources'!$B$19:$J$26,0,IF(Inputs!$C$12="MFJ",1,IF(Inputs!$C$12="HoH",7,4))))*INDEX('Methodology &amp; Sources'!$B$19:$J$26,0,IF(Inputs!$C$12="MFJ",1,IF(Inputs!$C$12="HoH",7,4))+2)))),'Methodology &amp; Sources'!$C$10*$D47),2)))</f>
      </c>
      <c r="Q47" s="7">
        <f>IF($B47="","",ROUND('Methodology &amp; Sources'!$C$4*MIN($N47,MAX(0,'Methodology &amp; Sources'!$C$3-($AX47+$AB46-$AW47))),2))</f>
      </c>
      <c r="R47" s="7">
        <f>IF($B47="","",ROUND('Methodology &amp; Sources'!$C$5*$N47,2))</f>
      </c>
      <c r="S47" s="7">
        <f>IF($B47="","",ROUND('Methodology &amp; Sources'!$C$6*MAX(0,MIN($N47,$AG46+$N47-'Methodology &amp; Sources'!$C$7)),2))</f>
      </c>
      <c r="T47" s="7">
        <f>IF($B47="","",IF(Inputs!$C$26,0,IF($AN47="CA",ROUND(IF($AI47&lt;=IF(($AS47+$AT47)&gt;=2,VLOOKUP($AN47,StateTables!$A$6:$AB$56,10,FALSE),VLOOKUP($AN47,StateTables!$A$6:$AB$56,9,FALSE)),0,MAX(0,SUMPRODUCT(($AJ47&gt;INDEX('Methodology &amp; Sources'!$B$39:$J$48,0,IF($AU47="Married",4,IF($AU47="Head of household",7,1))))*($AJ47-INDEX('Methodology &amp; Sources'!$B$39:$J$48,0,IF($AU47="Married",4,IF($AU47="Head of household",7,1))))*INDEX('Methodology &amp; Sources'!$B$39:$J$48,0,IF($AU47="Married",4,IF($AU47="Head of household",7,1))+2))-VLOOKUP($AN47,StateTables!$A$6:$AB$56,11,FALSE)*$AS47)/Inputs!$C$8)+Inputs!$C$25+VLOOKUP($AN47,StateTables!$A$6:$AB$56,13,FALSE)*$D47,2),IF(VLOOKUP($AN47,StateTables!$A$6:$AB$56,4,FALSE)="None",0,IF(ISNUMBER(SEARCH("MANUAL",VLOOKUP($AN47,StateTables!$A$6:$AB$56,5,FALSE))),Inputs!$C$28,ROUND(MAX(0,$BA47+$BB47)/Inputs!$C$8+Inputs!$C$25+$BC47,2))))))</f>
      </c>
      <c r="U47" s="7">
        <f>IF($B47="","",IF(VLOOKUP($AN47,StateTables!$A$6:$AB$56,24,FALSE)="flatq",IF(OR(MONTH($B47)=1,MONTH($B47)=4,MONTH($B47)=7,MONTH($B47)=10),VLOOKUP($AN47,StateTables!$A$6:$AB$56,25,FALSE),0),IF(VLOOKUP($AN47,StateTables!$A$6:$AB$56,24,FALSE)="dbl",MIN(ROUND(0.005*$N47,2),ROUND(0.6*52/Inputs!$C$8,2)),IF(OR(VLOOKUP($AN47,StateTables!$A$6:$AB$56,15,FALSE)="",VLOOKUP($AN47,StateTables!$A$6:$AB$56,15,FALSE)=0),0,ROUND(VLOOKUP($AN47,StateTables!$A$6:$AB$56,15,FALSE)*IF(OR(VLOOKUP($AN47,StateTables!$A$6:$AB$56,16,FALSE)="",VLOOKUP($AN47,StateTables!$A$6:$AB$56,16,FALSE)=0),$N47,MIN($N47,MAX(0,VLOOKUP($AN47,StateTables!$A$6:$AB$56,16,FALSE)-($AX47+$AB46-$AW47)))),2))))+IF(VLOOKUP($AN47,StateTables!$A$6:$AB$56,27,FALSE)="flatq",IF(OR(MONTH($B47)=1,MONTH($B47)=4,MONTH($B47)=7,MONTH($B47)=10),VLOOKUP($AN47,StateTables!$A$6:$AB$56,28,FALSE),0),IF(VLOOKUP($AN47,StateTables!$A$6:$AB$56,27,FALSE)="dbl",MIN(ROUND(0.005*$N47,2),ROUND(0.6*52/Inputs!$C$8,2)),IF(OR(VLOOKUP($AN47,StateTables!$A$6:$AB$56,18,FALSE)="",VLOOKUP($AN47,StateTables!$A$6:$AB$56,18,FALSE)=0),0,ROUND(VLOOKUP($AN47,StateTables!$A$6:$AB$56,18,FALSE)*IF(OR(VLOOKUP($AN47,StateTables!$A$6:$AB$56,19,FALSE)="",VLOOKUP($AN47,StateTables!$A$6:$AB$56,19,FALSE)=0),$N47,MIN($N47,MAX(0,VLOOKUP($AN47,StateTables!$A$6:$AB$56,19,FALSE)-($AX47+$AB46-$AW47)))),2)))))</f>
      </c>
      <c r="V47" s="7">
        <f>IF($B47="","",IF($AN47="NY",IF(Inputs!$C$78,ROUND(SUMPRODUCT((MAX(0,($O47-$D47)*Inputs!$C$8-(IF($AU47="Married",5500,5000)+1000*$AS47))&gt;INDEX('Methodology &amp; Sources'!$B$184:$J$198,0,4))*(MAX(0,($O47-$D47)*Inputs!$C$8-(IF($AU47="Married",5500,5000)+1000*$AS47))-INDEX('Methodology &amp; Sources'!$B$184:$J$198,0,4))*INDEX('Methodology &amp; Sources'!$B$184:$J$198,0,4+2))/Inputs!$C$8+0.0425*$D47,2),0)+IF(Inputs!$C$79="Resident",ROUND(0.1675*$T47,2),IF(Inputs!$C$79="Nonresident",ROUND(0.005*MAX(0,($O47-$D47)-(IF($AU47="Married",7950,7400)+1000*$AS47)/Inputs!$C$8),2),0)),IF($AN47="PA",IF(Inputs!$C$80="None",Inputs!$C$27+ROUND(Inputs!$C$81*($C47+$D47),2),ROUND(IF(Inputs!$C$80="Resident",IF($B47&lt;DATE(2027,7,1),0.03735,0.03735),IF($B47&lt;DATE(2027,7,1),0.03425,0.03425))*($C47+$D47),2)),IF($BF47=0,ROUND(Inputs!$C$81*($C47+$D47),2),Inputs!$C$27+ROUND(Inputs!$C$81*($C47+$D47),2)))))</f>
      </c>
      <c r="W47" s="7">
        <f>IF($B47="","",IF($BF47=0,0,$BP47))</f>
      </c>
      <c r="X47" s="7">
        <f>IF($B47="","",SUM($E47:$K47)+$P47+$Q47+$R47+$S47+$T47+$U47+$V47+$W47)</f>
      </c>
      <c r="Y47" s="22">
        <f>IF($B47="","",$C47+$D47-$X47)</f>
      </c>
      <c r="Z47" s="7">
        <f>IF($B47="","",$Z46+$C47+$D47)</f>
      </c>
      <c r="AA47" s="7">
        <f>IF($B47="","",$AA46+$Y47)</f>
      </c>
      <c r="AB47" s="7">
        <f>IF($B47="","",$AB46+MIN($N47,MAX(0,'Methodology &amp; Sources'!$C$3-($AX47+$AB46-$AW47))))</f>
      </c>
      <c r="AC47" s="7">
        <f>IF($B47="","",$AC46+$E47+$F47)</f>
      </c>
      <c r="AD47" s="3">
        <f>IF($B47="","",IF(AND($AB46&lt;'Methodology &amp; Sources'!$C$3,$AB47&gt;='Methodology &amp; Sources'!$C$3),"★ Social Security maxed on this check — from the next check your net rises by about $"&amp;TEXT(ROUND('Methodology &amp; Sources'!$C$4*$N47,2),"#,##0.00")&amp;". ","")&amp;IF(AND($AC46&lt;Inputs!$C$34,$AC47&gt;=Inputs!$C$34),"★ 401(k) reaches the $"&amp;TEXT(Inputs!$C$34,"#,##0")&amp;" cap on this check — deferrals stop and net pay rises. ","")&amp;IF(AND($AG46&lt;'Methodology &amp; Sources'!$C$7,$AG47&gt;='Methodology &amp; Sources'!$C$7),"★ Wages pass $200,000 — the 0.9% Additional Medicare Tax starts here. ","")&amp;IF(AND($BJ47&gt;0,$H47&gt;0,$BG46&lt;MIN($BJ47,'Methodology &amp; Sources'!$C$13),$BG46+$H47&gt;=MIN($BJ47,'Methodology &amp; Sources'!$C$13)),"★ Health FSA election is now fully deferred for the year. ",""))</f>
      </c>
      <c r="AE47" s="41" t="n"/>
      <c r="AF47" s="7">
        <f>IF(OR($B47="",$AE47=""),"",$AE47-$Y47)</f>
      </c>
      <c r="AG47" s="7">
        <f>IF($B47="","",$AG46+$N47)</f>
      </c>
      <c r="AH47" s="7">
        <f>IF($B47="","",MAX(0,($M47-$D47)*Inputs!$C$8+$AP47-$AQ47-IF(Inputs!$C$13,0,IF(Inputs!$C$12="MFJ",'Methodology &amp; Sources'!$C$8,'Methodology &amp; Sources'!$C$9))))</f>
      </c>
      <c r="AI47" s="7">
        <f>IF($B47="","",$O47*Inputs!$C$8)</f>
      </c>
      <c r="AJ47" s="7">
        <f>IF($B47="","",MAX(0,$AI47-VLOOKUP($AN47,StateTables!$A$6:$AB$56,12,FALSE)*$AT47-IF(($AS47+$AT47)&gt;=2,VLOOKUP($AN47,StateTables!$A$6:$AB$56,8,FALSE),VLOOKUP($AN47,StateTables!$A$6:$AB$56,7,FALSE))))</f>
      </c>
      <c r="AK47" s="7">
        <f>IF($B47="","",IFERROR(LOOKUP(2,1/((Events!$C$6:$C$17="Salary change")*(Events!$B$6:$B$17&lt;=$B47)*(Events!$B$6:$B$17&lt;&gt;"")),Events!$D$6:$D$17),IF(Inputs!$C$4="Annual salary",Inputs!$C$5,Inputs!$C$6)))</f>
      </c>
      <c r="AL47">
        <f>IF($B47="","",IFERROR(LOOKUP(2,1/((Events!$C$6:$C$17="401(k) change")*(Events!$B$6:$B$17&lt;=$B47)*(Events!$B$6:$B$17&lt;&gt;"")),Events!$D$6:$D$17),Inputs!$C$30))</f>
      </c>
      <c r="AM47" s="7">
        <f>IF($B47="","",IFERROR(LOOKUP(2,1/((Events!$C$6:$C$17="401(k) change")*(Events!$B$6:$B$17&lt;=$B47)*(Events!$B$6:$B$17&lt;&gt;"")),Events!$E$6:$E$17),Inputs!$D$30))</f>
      </c>
      <c r="AN47">
        <f>IF($B47="","",IFERROR(LOOKUP(2,1/((Events!$C$6:$C$17="State move")*(Events!$B$6:$B$17&lt;=$B47)*(Events!$B$6:$B$17&lt;&gt;"")),Events!$D$6:$D$17),Inputs!$C$21))</f>
      </c>
      <c r="AO47" s="7">
        <f>IF($B47="","",IFERROR(LOOKUP(2,1/((Events!$C$6:$C$17="W-4 change")*(Events!$B$6:$B$17&lt;=$B47)*(Events!$B$6:$B$17&lt;&gt;"")),Events!$D$6:$D$17),Inputs!$C$14))</f>
      </c>
      <c r="AP47" s="7">
        <f>IF($B47="","",IFERROR(LOOKUP(2,1/((Events!$C$6:$C$17="W-4 change")*(Events!$B$6:$B$17&lt;=$B47)*(Events!$B$6:$B$17&lt;&gt;"")),Events!$E$6:$E$17),Inputs!$C$15))</f>
      </c>
      <c r="AQ47" s="7">
        <f>IF($B47="","",IFERROR(LOOKUP(2,1/((Events!$C$6:$C$17="W-4 change")*(Events!$B$6:$B$17&lt;=$B47)*(Events!$B$6:$B$17&lt;&gt;"")),Events!$F$6:$F$17),Inputs!$C$16))</f>
      </c>
      <c r="AR47" s="7">
        <f>IF($B47="","",IFERROR(LOOKUP(2,1/((Events!$C$6:$C$17="W-4 change")*(Events!$B$6:$B$17&lt;=$B47)*(Events!$B$6:$B$17&lt;&gt;"")),Events!$G$6:$G$17),Inputs!$C$17))</f>
      </c>
      <c r="AS47" s="6">
        <f>IF($B47="","",IFERROR(LOOKUP(2,1/(((Events!$C$6:$C$17="State move")+(Events!$C$6:$C$17="State cert change"))*(Events!$B$6:$B$17&lt;=$B47)*(Events!$B$6:$B$17&lt;&gt;"")),Events!$F$6:$F$17),Inputs!$C$23))</f>
      </c>
      <c r="AT47" s="6">
        <f>IF($B47="","",IFERROR(LOOKUP(2,1/(((Events!$C$6:$C$17="State move")+(Events!$C$6:$C$17="State cert change"))*(Events!$B$6:$B$17&lt;=$B47)*(Events!$B$6:$B$17&lt;&gt;"")),Events!$G$6:$G$17),Inputs!$C$24))</f>
      </c>
      <c r="AU47">
        <f>IF($B47="","",IFERROR(LOOKUP(2,1/((Events!$C$6:$C$17="State move")*(Events!$B$6:$B$17&lt;=$B47)*(Events!$B$6:$B$17&lt;&gt;"")),Events!$E$6:$E$17),Inputs!$C$22))</f>
      </c>
      <c r="AV47" s="6">
        <f>IF($B47="","",1+COUNTIFS(Events!$C$6:$C$17,"Employer change",Events!$B$6:$B$17,"&lt;="&amp;$B47,Events!$B$6:$B$17,"&lt;&gt;"))</f>
      </c>
      <c r="AW47" s="7">
        <f>IF($B47="","",IF($AV47=1,Inputs!$C$94,IF(IFERROR(MATCH(IFERROR(LOOKUP(2,1/((Events!$C$6:$C$17="Employer change")*(Events!$B$6:$B$17&lt;=$B47)*(Events!$B$6:$B$17&lt;&gt;"")),Events!$B$6:$B$17),""),$B$6:$B$68,1),1)&lt;=1,Inputs!$C$94,INDEX($AB$6:$AB$68,MATCH(IFERROR(LOOKUP(2,1/((Events!$C$6:$C$17="Employer change")*(Events!$B$6:$B$17&lt;=$B47)*(Events!$B$6:$B$17&lt;&gt;"")),Events!$B$6:$B$17),""),$B$6:$B$68,1)-1))))</f>
      </c>
      <c r="AX47" s="7">
        <f>IF($B47="","",IF($AV47=1,Inputs!$C$94,IFERROR(LOOKUP(2,1/((Events!$C$6:$C$17="Employer change")*(Events!$B$6:$B$17&lt;=$B47)*(Events!$B$6:$B$17&lt;&gt;"")),Events!$D$6:$D$17),0)))</f>
      </c>
      <c r="AY47" s="7">
        <f>IF($B47="","",($O47-$D47)*Inputs!$C$8)</f>
      </c>
      <c r="AZ47" s="7">
        <f>IF($B47="","",IF($AN47="AL",MAX(0,$AY47-IF($AU47="Married",IF($AY47&lt;=25999,8500,MAX(5000,8500-175*CEILING(($AY47-25999)/500,1))),IF($AU47="Head of household",IF($AY47&lt;=25999,5200,MAX(2500,5200-135*CEILING(($AY47-25999)/500,1))),IF($AY47&lt;=25999,3000,MAX(2500,3000-25*CEILING(($AY47-25999)/500,1)))))-($P47-'Methodology &amp; Sources'!$C$10*$D47)*Inputs!$C$8-IF(OR($AU47="Married",$AU47="Head of household"),3000,1500)-$AT47*IF($AY47&lt;=50000,1000,IF($AY47&lt;=100000,500,300))),IF($AN47="AR",IF(MAX(0,$AY47-2470)&lt;97701,INT(MAX(0,$AY47-2470)/100)*100+50,MAX(0,$AY47-2470)),IF($AN47="DE",MAX(0,$AI47-3250),IF($AN47="HI",MAX(0,$AI47-1144*$AS47-4350),IF($AN47="KS",MAX(0,$AI47-(9160*IF($AU47="Married",2,1)+2320*$AT47+IF($AU47="Head of household",2320,0))),IF($AN47="MD",MAX(0,$AI47-3400-3200*$AS47),IF($AN47="MN",MAX(0,$AY47-5300*$AS47),IF($AN47="MO",MAX(0,$AI47-IF($AU47="Head of household",24150,IF($AU47="Married",IF(Inputs!$C$83,16100,32200),16100))),IF($AN47="MT",$AY47,IF($AN47="ND",($C47+$L47)*Inputs!$C$8,IF($AN47="NE",MAX(0,$AY47-2440*$AS47),IF($AN47="NJ",MAX(0,$AY47-1000*$AS47),IF($AN47="NY",MAX(0,$AY47-(IF($AU47="Married",7950,7400)+1000*$AS47)),IF($AN47="OH",MAX(0,$AY47-650*$AS47),IF($AN47="OK",MAX(0,$AY47-1000*$AS47),IF($AN47="RI",MAX(0,$AI47-1000*$AS47),IF($AN47="SC",MAX(0,$AI47-5000*$AS47-IF($AS47=0,0,MIN(0.1*$AI47,7500))),IF($AN47="VA",MAX(0,$AI47-IF($AU47="Married",17500,8750)-930*$AS47-800*$AT47),IF($AN47="VT",MAX(0,$AI47-5400*$AS47),IF($AN47="WI",MAX(0,$AI47-MAX(0,IF($AU47="Married",9461-0.2*MAX(0,$AI47-25727),6702-0.12*MAX(0,$AI47-17780)))-400*$AS47),IF($AN47="WV",MAX(0,$AI47-2000*$AS47),$AI47))))))))))))))))))))))</f>
      </c>
      <c r="BA47" s="7">
        <f>IF($B47="","",IF($BW47&lt;&gt;"",$BW47,IF($BX47&lt;&gt;"",$BX47,IF($BY47&lt;&gt;"",$BY47,0))))</f>
      </c>
      <c r="BB47" s="7">
        <f>IF($B47="","",IF($AN47="AR",-29*$AS47,IF($AN47="DE",-110*$AS47,IF($AN47="MD",$AZ47*Inputs!$C$74,IF($AN47="AZ",Inputs!$C$82*($M47-$D47)*Inputs!$C$8,IF($AN47="CO",0.044*MAX(0,$AY47-IF($AU47="Married",10000,5000)),IF($AN47="IA",MAX(0,0.038*MAX(0,$AY47-IF($AU47="Head of household",19500,IF($AU47="Married",26000,13000)))-40*$AS47),IF($AN47="ID",0.053*MAX(0,$AY47-IF($AU47="Married",32000,16094)),IF($AN47="IL",0.0495*MAX(0,$AY47-(2925*$AS47+1000*$AT47)),IF($AN47="IN",(0.0295+Inputs!$C$76)*MAX(0,$AY47-(1000*$AS47+1500*$AT47+3000*Inputs!$C$86)),IF($AN47="KY",0.035*MAX(0,$AI47-3360),IF($AN47="LA",IF(Inputs!$C$84="0",0.0309*$AI47,0.0309*MAX(0,$AI47-IF(Inputs!$C$84="2",25750,12875))),IF($AN47="MA",0.05*MIN(MAX(0,$AY47-MIN(($BD46+$Q47+$R47+$S47),2000)-IF($AS47=0,0,IF($AS47=1,4400,1000*$AS47+3400))),1107750)+0.09*MAX(0,MAX(0,$AY47-MIN(($BD46+$Q47+$R47+$S47),2000)-IF($AS47=0,0,IF($AS47=1,4400,1000*$AS47+3400)))-1107750)-IF($AU47="Head of household",120,0)-110*Inputs!$C$75,IF($AN47="MI",0.0425*MAX(0,$AY47-5900*$AS47),IF($AN47="MS",0.04*MAX(0,$AI47-IF($AU47="Head of household",3400,IF($AU47="Married",4600,2300))-Inputs!$C$85-10000),IF($AN47="OR",IF(OR($AU47="Married",AND($AU47="Single",$AS47&gt;=3)),SUMPRODUCT((MAX(0,$AY47-MIN(($P47-'Methodology &amp; Sources'!$C$10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Sources'!$B$211:$J$214,0,4))*(MAX(0,$AY47-MIN(($P47-'Methodology &amp; Sources'!$C$10*$D47)*Inputs!$C$8,IF(OR($AU47="Married",AND($AU47="Single",$AS47&gt;=3)),IF($AY47&lt;250000,8750,IF($AY47&lt;260000,7000,IF($AY47&lt;270000,5250,IF($AY47&lt;280000,3500,IF($AY47&lt;290000,1750,0))))),IF($AY47&lt;125000,8750,IF($AY47&lt;130000,7000,IF($AY47&lt;135000,5250,IF($AY47&lt;140000,3500,IF($AY47&lt;145000,1750,0)))))))-IF(OR($AU47="Married",AND($AU47="Single",$AS47&gt;=3)),5820,2910))-INDEX('Methodology &amp; Sources'!$B$211:$J$214,0,4))*INDEX('Methodology &amp; Sources'!$B$211:$J$214,0,4+2)),SUMPRODUCT((MAX(0,$AY47-MIN(($P47-'Methodology &amp; Sources'!$C$10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Sources'!$B$211:$J$214,0,1))*(MAX(0,$AY47-MIN(($P47-'Methodology &amp; Sources'!$C$10*$D47)*Inputs!$C$8,IF(OR($AU47="Married",AND($AU47="Single",$AS47&gt;=3)),IF($AY47&lt;250000,8750,IF($AY47&lt;260000,7000,IF($AY47&lt;270000,5250,IF($AY47&lt;280000,3500,IF($AY47&lt;290000,1750,0))))),IF($AY47&lt;125000,8750,IF($AY47&lt;130000,7000,IF($AY47&lt;135000,5250,IF($AY47&lt;140000,3500,IF($AY47&lt;145000,1750,0)))))))-IF(OR($AU47="Married",AND($AU47="Single",$AS47&gt;=3)),5820,2910))-INDEX('Methodology &amp; Sources'!$B$211:$J$214,0,1))*INDEX('Methodology &amp; Sources'!$B$211:$J$214,0,1+2)))+263-263*IF(IF($AU47="Married",$AY47&gt;200000,$AY47&gt;100000),0,$AS47),IF($AN47="PA",0.0307*(($O47+$E47+$G47)*Inputs!$C$8),IF($AN47="NY",IF($AU47="Married",IF($AZ47&gt;=2155350,0,IF($AZ47&gt;=1077550,0.48,IF($AZ47&gt;=373200,1.21,IF($AZ47&gt;=323200,0.21,IF($AZ47&gt;=211550,-0.19,IF($AZ47&gt;=157650,-2.8,IF($AZ47&gt;=107650,-0.8,IF($AZ47&gt;=96800,0.05,IF($AZ47&gt;=80650,-0.1,IF($AZ47&gt;=13900,0.4,IF($AZ47&gt;=11700,-0.3,IF($AZ47&gt;=8500,0.5,0)))))))))))),IF($AZ47&gt;=1077550,0,IF($AZ47&gt;=265400,4.29,IF($AZ47&gt;=215400,2.29,IF($AZ47&gt;=157650,2.29,IF($AZ47&gt;=107650,0.29,IF($AZ47&gt;=96800,0.05,IF($AZ47&gt;=80650,-0.1,IF($AZ47&gt;=13900,0.4,IF($AZ47&gt;=11700,-0.3,IF($AZ47&gt;=8500,0.5,0))))))))))),0))))))))))))))))))</f>
      </c>
      <c r="BC47" s="7">
        <f>IF($B47="","",IF($AN47="AL",0.05*$D47,IF($AN47="AR",0.039*$D47,IF($AN47="ID",0.053*$D47,IF($AN47="IN",(0.0295+Inputs!$C$76)*$D47,IF($AN47="KS",0.05*$D47,IF($AN47="MA",0.09*MIN($D47,MAX(0,MAX(0,$AY47-MIN(($BD46+$Q47+$R47+$S47),2000)-IF($AS47=0,0,IF($AS47=1,4400,1000*$AS47+3400)))+$D47-1107750))+0.05*($D47-MIN($D47,MAX(0,MAX(0,$AY47-MIN(($BD46+$Q47+$R47+$S47),2000)-IF($AS47=0,0,IF($AS47=1,4400,1000*$AS47+3400)))+$D47-1107750))),IF($AN47="MD",(0.065+Inputs!$C$74)*$D47,IF($AN47="MI",0.0425*$D47,IF($AN47="MN",0.0625*$D47,IF($AN47="MO",0.047*$D47,IF($AN47="MT",0.05*$D47,IF($AN47="ND",0.015*$D47,IF($AN47="NE",0.035*$D47,IF($AN47="NJ",IF(Inputs!$C$77="B",SUMPRODUCT(($D47*Inputs!$C$8&gt;INDEX('Methodology &amp; Sources'!$B$155:$J$162,0,4))*($D47*Inputs!$C$8-INDEX('Methodology &amp; Sources'!$B$155:$J$162,0,4))*INDEX('Methodology &amp; Sources'!$B$155:$J$162,0,4+2)),IF(Inputs!$C$77="C",SUMPRODUCT(($D47*Inputs!$C$8&gt;INDEX('Methodology &amp; Sources'!$B$155:$J$162,0,7))*($D47*Inputs!$C$8-INDEX('Methodology &amp; Sources'!$B$155:$J$162,0,7))*INDEX('Methodology &amp; Sources'!$B$155:$J$162,0,7+2)),IF(Inputs!$C$77="D",SUMPRODUCT(($D47*Inputs!$C$8&gt;INDEX('Methodology &amp; Sources'!$B$167:$J$179,0,1))*($D47*Inputs!$C$8-INDEX('Methodology &amp; Sources'!$B$167:$J$179,0,1))*INDEX('Methodology &amp; Sources'!$B$167:$J$179,0,1+2)),IF(Inputs!$C$77="E",SUMPRODUCT(($D47*Inputs!$C$8&gt;INDEX('Methodology &amp; Sources'!$B$167:$J$179,0,4))*($D47*Inputs!$C$8-INDEX('Methodology &amp; Sources'!$B$167:$J$179,0,4))*INDEX('Methodology &amp; Sources'!$B$167:$J$179,0,4+2)),SUMPRODUCT(($D47*Inputs!$C$8&gt;INDEX('Methodology &amp; Sources'!$B$155:$J$162,0,1))*($D47*Inputs!$C$8-INDEX('Methodology &amp; Sources'!$B$155:$J$162,0,1))*INDEX('Methodology &amp; Sources'!$B$155:$J$162,0,1+2))))))/Inputs!$C$8,IF($AN47="NY",0.117*$D47,IF($AN47="OH",0.0275*$D47,IF($AN47="OK",0.045*$D47,IF($AN47="OR",0.08*$D47,IF($AN47="WI",IF($AY47&lt;12760,0.0354,IF($AY47&lt;25520,0.0465,IF($AY47&lt;280950,0.053,0.0765)))*$D47,0))))))))))))))))))))</f>
      </c>
      <c r="BD47" s="7">
        <f>IF($B47="","",$BD46+$Q47+$R47+$S47)</f>
      </c>
      <c r="BE47" s="6">
        <f>IF($B47="",$BE46,$BE46+$BF47)</f>
      </c>
      <c r="BF47" s="6">
        <f>IF($B47="","",IF(AND(IF(YEAR(IF(Inputs!$C$7="Weekly",Inputs!$C$90+7*(($BE46+1)-1),IF(Inputs!$C$7="Biweekly",Inputs!$C$90+14*(($BE46+1)-1),IF(Inputs!$C$7="Semimonthly",DATE(YEAR(Inputs!$C$9),MONTH(Inputs!$C$9)+INT((($BE46+1)-1+'Rest of 2026'!$C$2)/2),MIN(DAY(Inputs!$C$9),DAY(EOMONTH(DATE(YEAR(Inputs!$C$9),MONTH(Inputs!$C$9)+INT((($BE46+1)-1+'Rest of 2026'!$C$2)/2),1),0))))+IF(MOD(($BE46+1)-1+'Rest of 2026'!$C$2,2)=1,15,0),EDATE(Inputs!$C$90,($BE46+1)-1)))))&lt;&gt;Inputs!$C$10,"",IF(Inputs!$C$7="Weekly",Inputs!$C$90+7*(($BE46+1)-1),IF(Inputs!$C$7="Biweekly",Inputs!$C$90+14*(($BE46+1)-1),IF(Inputs!$C$7="Semimonthly",DATE(YEAR(Inputs!$C$9),MONTH(Inputs!$C$9)+INT((($BE46+1)-1+'Rest of 2026'!$C$2)/2),MIN(DAY(Inputs!$C$9),DAY(EOMONTH(DATE(YEAR(Inputs!$C$9),MONTH(Inputs!$C$9)+INT((($BE46+1)-1+'Rest of 2026'!$C$2)/2),1),0))))+IF(MOD(($BE46+1)-1+'Rest of 2026'!$C$2,2)=1,15,0),EDATE(Inputs!$C$90,($BE46+1)-1)))))&lt;&gt;"",$B47=IF(YEAR(IF(Inputs!$C$7="Weekly",Inputs!$C$90+7*(($BE46+1)-1),IF(Inputs!$C$7="Biweekly",Inputs!$C$90+14*(($BE46+1)-1),IF(Inputs!$C$7="Semimonthly",DATE(YEAR(Inputs!$C$9),MONTH(Inputs!$C$9)+INT((($BE46+1)-1+'Rest of 2026'!$C$2)/2),MIN(DAY(Inputs!$C$9),DAY(EOMONTH(DATE(YEAR(Inputs!$C$9),MONTH(Inputs!$C$9)+INT((($BE46+1)-1+'Rest of 2026'!$C$2)/2),1),0))))+IF(MOD(($BE46+1)-1+'Rest of 2026'!$C$2,2)=1,15,0),EDATE(Inputs!$C$90,($BE46+1)-1)))))&lt;&gt;Inputs!$C$10,"",IF(Inputs!$C$7="Weekly",Inputs!$C$90+7*(($BE46+1)-1),IF(Inputs!$C$7="Biweekly",Inputs!$C$90+14*(($BE46+1)-1),IF(Inputs!$C$7="Semimonthly",DATE(YEAR(Inputs!$C$9),MONTH(Inputs!$C$9)+INT((($BE46+1)-1+'Rest of 2026'!$C$2)/2),MIN(DAY(Inputs!$C$9),DAY(EOMONTH(DATE(YEAR(Inputs!$C$9),MONTH(Inputs!$C$9)+INT((($BE46+1)-1+'Rest of 2026'!$C$2)/2),1),0))))+IF(MOD(($BE46+1)-1+'Rest of 2026'!$C$2,2)=1,15,0),EDATE(Inputs!$C$90,($BE46+1)-1)))))),1,0))</f>
      </c>
      <c r="BG47" s="7">
        <f>IF($B47="","",$BG46+$H47)</f>
      </c>
      <c r="BH47" s="7">
        <f>IF($B47="","",$BH46+$I47)</f>
      </c>
      <c r="BI47" s="7">
        <f>IF($B47="","",$BI46+$G47)</f>
      </c>
      <c r="BJ47" s="7">
        <f>IF($B47="","",IFERROR(LOOKUP(2,1/((((Events!$C$6:$C$17="Deduction start"))*(Events!$D$6:$D$17="Health FSA"))*(Events!$B$6:$B$17&lt;=$B47)*(Events!$B$6:$B$17&lt;&gt;"")),Events!$E$6:$E$17),Inputs!$D$38))</f>
      </c>
      <c r="BK47" s="7">
        <f>IF($B47="","",IFERROR(LOOKUP(2,1/((((Events!$C$6:$C$17="Deduction start"))*(Events!$D$6:$D$17="Dependent-care FSA"))*(Events!$B$6:$B$17&lt;=$B47)*(Events!$B$6:$B$17&lt;&gt;"")),Events!$E$6:$E$17),Inputs!$D$39))</f>
      </c>
      <c r="BL47" s="7">
        <f>IF($B47="","",IFERROR(LOOKUP(2,1/((((Events!$C$6:$C$17="Deduction start")+(Events!$C$6:$C$17="Deduction stop"))*(Events!$D$6:$D$17="HSA"))*(Events!$B$6:$B$17&lt;=$B47)*(Events!$B$6:$B$17&lt;&gt;"")),Events!$I$6:$I$17),Inputs!$D$35))</f>
      </c>
      <c r="BM47" s="7">
        <f>IF($B47="","",IFERROR(LOOKUP(2,1/((((Events!$C$6:$C$17="Deduction start")+(Events!$C$6:$C$17="Deduction stop"))*(Events!$D$6:$D$17="Premiums"))*(Events!$B$6:$B$17&lt;=$B47)*(Events!$B$6:$B$17&lt;&gt;"")),Events!$I$6:$I$17),Inputs!$D$40+Inputs!$D$41+Inputs!$D$42))</f>
      </c>
      <c r="BN47" s="7">
        <f>IF($B47="","",IFERROR(LOOKUP(2,1/((((Events!$C$6:$C$17="Deduction start")+(Events!$C$6:$C$17="Deduction stop"))*(Events!$D$6:$D$17="Commuter"))*(Events!$B$6:$B$17&lt;=$B47)*(Events!$B$6:$B$17&lt;&gt;"")),Events!$I$6:$I$17),Inputs!$D$43))</f>
      </c>
      <c r="BO47" s="7">
        <f>IF($B47="","",IFERROR(LOOKUP(2,1/((((Events!$C$6:$C$17="Deduction start")+(Events!$C$6:$C$17="Deduction stop"))*(Events!$D$6:$D$17="Other pre-tax"))*(Events!$B$6:$B$17&lt;=$B47)*(Events!$B$6:$B$17&lt;&gt;"")),Events!$I$6:$I$17),Inputs!$D$44))</f>
      </c>
      <c r="BP47" s="7">
        <f>IF($B47="","",IFERROR(LOOKUP(2,1/((((Events!$C$6:$C$17="Deduction start")+(Events!$C$6:$C$17="Deduction stop"))*(Events!$D$6:$D$17="Other post-tax"))*(Events!$B$6:$B$17&lt;=$B47)*(Events!$B$6:$B$17&lt;&gt;"")),Events!$I$6:$I$17),Inputs!$D$45))</f>
      </c>
      <c r="BQ47" s="6">
        <f>IF($B47="","",IFERROR(LOOKUP(2,1/((((Events!$C$6:$C$17="Deduction start")+(Events!$C$6:$C$17="Deduction stop"))*(Events!$D$6:$D$17="Health FSA"))*(Events!$B$6:$B$17&lt;=$B47)*(Events!$B$6:$B$17&lt;&gt;"")),Events!$J$6:$J$17),0))</f>
      </c>
      <c r="BR47" s="6">
        <f>IF($B47="","",IFERROR(LOOKUP(2,1/((((Events!$C$6:$C$17="Deduction start")+(Events!$C$6:$C$17="Deduction stop"))*(Events!$D$6:$D$17="Dependent-care FSA"))*(Events!$B$6:$B$17&lt;=$B47)*(Events!$B$6:$B$17&lt;&gt;"")),Events!$J$6:$J$17),0))</f>
      </c>
      <c r="BS47" s="6">
        <f>IF($B47="","",IF(SUMPRODUCT((Events!$C$6:$C$17="Deduction start")*(Events!$B$6:$B$17&lt;=$B47)*(Events!$B$6:$B$17&lt;&gt;"")*(Events!$D$6:$D$17="Health FSA"))&gt;0,1,0))</f>
      </c>
      <c r="BT47" s="6">
        <f>IF($B47="","",IF(SUMPRODUCT((Events!$C$6:$C$17="Deduction start")*(Events!$B$6:$B$17&lt;=$B47)*(Events!$B$6:$B$17&lt;&gt;"")*(Events!$D$6:$D$17="Dependent-care FSA"))&gt;0,1,0))</f>
      </c>
      <c r="BU47" s="24">
        <f>IF($B47="","",IF(Inputs!$C$13,SUMPRODUCT(($AH47&gt;=INDEX('Methodology &amp; Sources'!$B$29:$J$36,0,IF(Inputs!$C$12="MFJ",1,IF(Inputs!$C$12="HoH",7,4))))*INDEX('Methodology &amp; Sources'!$B$29:$J$36,0,IF(Inputs!$C$12="MFJ",1,IF(Inputs!$C$12="HoH",7,4))+2)),SUMPRODUCT(($AH47&gt;=INDEX('Methodology &amp; Sources'!$B$19:$J$26,0,IF(Inputs!$C$12="MFJ",1,IF(Inputs!$C$12="HoH",7,4))))*INDEX('Methodology &amp; Sources'!$B$19:$J$26,0,IF(Inputs!$C$12="MFJ",1,IF(Inputs!$C$12="HoH",7,4))+2))))</f>
      </c>
      <c r="BV47" s="24">
        <f>IF($B47="","",IF($BZ47&lt;&gt;"",$BZ47,IF($CA47&lt;&gt;"",$CA47,IF($CB47&lt;&gt;"",$CB47,IF($CC47&lt;&gt;"",$CC47,0)))))</f>
      </c>
      <c r="BW47" s="7">
        <f>IF($B47="","",IF($AN47="MD",IF(OR($AU47="Married",$AU47="Head of household"),SUMPRODUCT(($AZ47&gt;INDEX('Methodology &amp; Sources'!$B$114:$J$120,0,1))*($AZ47-INDEX('Methodology &amp; Sources'!$B$114:$J$120,0,1))*INDEX('Methodology &amp; Sources'!$B$114:$J$120,0,1+2)),SUMPRODUCT(($AZ47&gt;INDEX('Methodology &amp; Sources'!$B$103:$J$109,0,7))*($AZ47-INDEX('Methodology &amp; Sources'!$B$103:$J$109,0,7))*INDEX('Methodology &amp; Sources'!$B$103:$J$109,0,7+2))),IF($AN47="MO",SUMPRODUCT(($AZ47&gt;INDEX('Methodology &amp; Sources'!$B$125:$J$132,0,1))*($AZ47-INDEX('Methodology &amp; Sources'!$B$125:$J$132,0,1))*INDEX('Methodology &amp; Sources'!$B$125:$J$132,0,1+2)),IF($AN47="MT",IF($AU47="Head of household",SUMPRODUCT(($AZ47&gt;INDEX('Methodology &amp; Sources'!$B$137:$J$139,0,1))*($AZ47-INDEX('Methodology &amp; Sources'!$B$137:$J$139,0,1))*INDEX('Methodology &amp; Sources'!$B$137:$J$139,0,1+2)),IF($AU47="Married",SUMPRODUCT(($AZ47&gt;INDEX('Methodology &amp; Sources'!$B$125:$J$132,0,7))*($AZ47-INDEX('Methodology &amp; Sources'!$B$125:$J$132,0,7))*INDEX('Methodology &amp; Sources'!$B$125:$J$132,0,7+2)),SUMPRODUCT(($AZ47&gt;INDEX('Methodology &amp; Sources'!$B$125:$J$132,0,4))*($AZ47-INDEX('Methodology &amp; Sources'!$B$125:$J$132,0,4))*INDEX('Methodology &amp; Sources'!$B$125:$J$132,0,4+2)))),IF($AN47="ND",IF($AU47="Head of household",SUMPRODUCT(($AZ47&gt;INDEX('Methodology &amp; Sources'!$B$144:$J$150,0,1))*($AZ47-INDEX('Methodology &amp; Sources'!$B$144:$J$150,0,1))*INDEX('Methodology &amp; Sources'!$B$144:$J$150,0,1+2)),IF($AU47="Married",SUMPRODUCT(($AZ47&gt;INDEX('Methodology &amp; Sources'!$B$137:$J$139,0,7))*($AZ47-INDEX('Methodology &amp; Sources'!$B$137:$J$139,0,7))*INDEX('Methodology &amp; Sources'!$B$137:$J$139,0,7+2)),SUMPRODUCT(($AZ47&gt;INDEX('Methodology &amp; Sources'!$B$137:$J$139,0,4))*($AZ47-INDEX('Methodology &amp; Sources'!$B$137:$J$139,0,4))*INDEX('Methodology &amp; Sources'!$B$137:$J$139,0,4+2)))),IF($AN47="NJ",IF(Inputs!$C$77="B",SUMPRODUCT(($AZ47&gt;INDEX('Methodology &amp; Sources'!$B$155:$J$162,0,4))*($AZ47-INDEX('Methodology &amp; Sources'!$B$155:$J$162,0,4))*INDEX('Methodology &amp; Sources'!$B$155:$J$162,0,4+2)),IF(Inputs!$C$77="C",SUMPRODUCT(($AZ47&gt;INDEX('Methodology &amp; Sources'!$B$155:$J$162,0,7))*($AZ47-INDEX('Methodology &amp; Sources'!$B$155:$J$162,0,7))*INDEX('Methodology &amp; Sources'!$B$155:$J$162,0,7+2)),IF(Inputs!$C$77="D",SUMPRODUCT(($AZ47&gt;INDEX('Methodology &amp; Sources'!$B$167:$J$179,0,1))*($AZ47-INDEX('Methodology &amp; Sources'!$B$167:$J$179,0,1))*INDEX('Methodology &amp; Sources'!$B$167:$J$179,0,1+2)),IF(Inputs!$C$77="E",SUMPRODUCT(($AZ47&gt;INDEX('Methodology &amp; Sources'!$B$167:$J$179,0,4))*($AZ47-INDEX('Methodology &amp; Sources'!$B$167:$J$179,0,4))*INDEX('Methodology &amp; Sources'!$B$167:$J$179,0,4+2)),SUMPRODUCT(($AZ47&gt;INDEX('Methodology &amp; Sources'!$B$155:$J$162,0,1))*($AZ47-INDEX('Methodology &amp; Sources'!$B$155:$J$162,0,1))*INDEX('Methodology &amp; Sources'!$B$155:$J$162,0,1+2)))))),IF($AN47="NY",IF($AU47="Married",IF($AZ47&gt;=2155350,$AZ47*IF($AZ47&gt;25000000,0.117,IF($AZ47&gt;5000000,0.111,0.1045)),SUMPRODUCT(($AZ47&gt;INDEX('Methodology &amp; Sources'!$B$184:$J$198,0,1))*($AZ47-INDEX('Methodology &amp; Sources'!$B$184:$J$198,0,1))*INDEX('Methodology &amp; Sources'!$B$184:$J$198,0,1+2))),IF($AZ47&gt;=1077550,$AZ47*IF($AZ47&gt;25000000,0.117,IF($AZ47&gt;5000000,0.111,0.1045)),SUMPRODUCT(($AZ47&gt;INDEX('Methodology &amp; Sources'!$B$167:$J$179,0,7))*($AZ47-INDEX('Methodology &amp; Sources'!$B$167:$J$179,0,7))*INDEX('Methodology &amp; Sources'!$B$167:$J$179,0,7+2)))),"")))))))</f>
      </c>
      <c r="BX47" s="7">
        <f>IF($B47="","",IF($AN47="AL",IF(OR($AU47="Married",$AU47="Head of household"),SUMPRODUCT(($AZ47&gt;INDEX('Methodology &amp; Sources'!$B$82:$J$86,0,4))*($AZ47-INDEX('Methodology &amp; Sources'!$B$82:$J$86,0,4))*INDEX('Methodology &amp; Sources'!$B$82:$J$86,0,4+2)),SUMPRODUCT(($AZ47&gt;INDEX('Methodology &amp; Sources'!$B$82:$J$86,0,1))*($AZ47-INDEX('Methodology &amp; Sources'!$B$82:$J$86,0,1))*INDEX('Methodology &amp; Sources'!$B$82:$J$86,0,1+2))),IF($AN47="KS",IF($AU47="Married",SUMPRODUCT(($AZ47&gt;INDEX('Methodology &amp; Sources'!$B$103:$J$109,0,4))*($AZ47-INDEX('Methodology &amp; Sources'!$B$103:$J$109,0,4))*INDEX('Methodology &amp; Sources'!$B$103:$J$109,0,4+2)),SUMPRODUCT(($AZ47&gt;INDEX('Methodology &amp; Sources'!$B$103:$J$109,0,1))*($AZ47-INDEX('Methodology &amp; Sources'!$B$103:$J$109,0,1))*INDEX('Methodology &amp; Sources'!$B$103:$J$109,0,1+2))),IF($AN47="MN",IF($AU47="Married",SUMPRODUCT(($AZ47&gt;INDEX('Methodology &amp; Sources'!$B$114:$J$120,0,7))*($AZ47-INDEX('Methodology &amp; Sources'!$B$114:$J$120,0,7))*INDEX('Methodology &amp; Sources'!$B$114:$J$120,0,7+2)),SUMPRODUCT(($AZ47&gt;INDEX('Methodology &amp; Sources'!$B$114:$J$120,0,4))*($AZ47-INDEX('Methodology &amp; Sources'!$B$114:$J$120,0,4))*INDEX('Methodology &amp; Sources'!$B$114:$J$120,0,4+2))),IF($AN47="NE",MAX(IF($AU47="Married",SUMPRODUCT(($AZ47&gt;INDEX('Methodology &amp; Sources'!$B$144:$J$150,0,7))*($AZ47-INDEX('Methodology &amp; Sources'!$B$144:$J$150,0,7))*INDEX('Methodology &amp; Sources'!$B$144:$J$150,0,7+2)),SUMPRODUCT(($AZ47&gt;INDEX('Methodology &amp; Sources'!$B$144:$J$150,0,4))*($AZ47-INDEX('Methodology &amp; Sources'!$B$144:$J$150,0,4))*INDEX('Methodology &amp; Sources'!$B$144:$J$150,0,4+2))),0.015*$AZ47),IF($AN47="OH",IF($B47&gt;=DATE(2027,8,1),SUMPRODUCT(($AZ47&gt;INDEX('Methodology &amp; Sources'!$B$203:$J$206,0,1))*($AZ47-INDEX('Methodology &amp; Sources'!$B$203:$J$206,0,1))*INDEX('Methodology &amp; Sources'!$B$203:$J$206,0,1+2)),SUMPRODUCT(($AZ47&gt;INDEX('Methodology &amp; Sources'!$B$184:$J$198,0,7))*($AZ47-INDEX('Methodology &amp; Sources'!$B$184:$J$198,0,7))*INDEX('Methodology &amp; Sources'!$B$184:$J$198,0,7+2))),IF($AN47="OK",IF($AU47="Married",SUMPRODUCT(($AZ47&gt;INDEX('Methodology &amp; Sources'!$B$203:$J$206,0,7))*($AZ47-INDEX('Methodology &amp; Sources'!$B$203:$J$206,0,7))*INDEX('Methodology &amp; Sources'!$B$203:$J$206,0,7+2)),SUMPRODUCT(($AZ47&gt;INDEX('Methodology &amp; Sources'!$B$203:$J$206,0,4))*($AZ47-INDEX('Methodology &amp; Sources'!$B$203:$J$206,0,4))*INDEX('Methodology &amp; Sources'!$B$203:$J$206,0,4+2))),IF($AN47="RI",SUMPRODUCT(($AZ47&gt;INDEX('Methodology &amp; Sources'!$B$211:$J$214,0,7))*($AZ47-INDEX('Methodology &amp; Sources'!$B$211:$J$214,0,7))*INDEX('Methodology &amp; Sources'!$B$211:$J$214,0,7+2)),IF($AN47="VT",IF($AU47="Married",SUMPRODUCT(($AZ47&gt;INDEX('Methodology &amp; Sources'!$B$228:$J$232,0,1))*($AZ47-INDEX('Methodology &amp; Sources'!$B$228:$J$232,0,1))*INDEX('Methodology &amp; Sources'!$B$228:$J$232,0,1+2)),SUMPRODUCT(($AZ47&gt;INDEX('Methodology &amp; Sources'!$B$219:$J$223,0,7))*($AZ47-INDEX('Methodology &amp; Sources'!$B$219:$J$223,0,7))*INDEX('Methodology &amp; Sources'!$B$219:$J$223,0,7+2))),IF($AN47="WV",IF($AU47="Married",SUMPRODUCT(($AZ47&gt;INDEX('Methodology &amp; Sources'!$B$237:$J$241,0,7))*($AZ47-INDEX('Methodology &amp; Sources'!$B$237:$J$241,0,7))*INDEX('Methodology &amp; Sources'!$B$237:$J$241,0,7+2)),SUMPRODUCT(($AZ47&gt;INDEX('Methodology &amp; Sources'!$B$228:$J$232,0,7))*($AZ47-INDEX('Methodology &amp; Sources'!$B$228:$J$232,0,7))*INDEX('Methodology &amp; Sources'!$B$228:$J$232,0,7+2))),""))))))))))</f>
      </c>
      <c r="BY47" s="7">
        <f>IF($B47="","",IF($AN47="AR",SUMPRODUCT(($AZ47&gt;INDEX('Methodology &amp; Sources'!$B$82:$J$86,0,7))*($AZ47-INDEX('Methodology &amp; Sources'!$B$82:$J$86,0,7))*INDEX('Methodology &amp; Sources'!$B$82:$J$86,0,7+2)),IF($AN47="DE",SUMPRODUCT(($AZ47&gt;INDEX('Methodology &amp; Sources'!$B$91:$J$98,0,1))*($AZ47-INDEX('Methodology &amp; Sources'!$B$91:$J$98,0,1))*INDEX('Methodology &amp; Sources'!$B$91:$J$98,0,1+2)),IF($AN47="HI",IF($AU47="Married",SUMPRODUCT(($AZ47&gt;INDEX('Methodology &amp; Sources'!$B$91:$J$98,0,7))*($AZ47-INDEX('Methodology &amp; Sources'!$B$91:$J$98,0,7))*INDEX('Methodology &amp; Sources'!$B$91:$J$98,0,7+2)),SUMPRODUCT(($AZ47&gt;INDEX('Methodology &amp; Sources'!$B$91:$J$98,0,4))*($AZ47-INDEX('Methodology &amp; Sources'!$B$91:$J$98,0,4))*INDEX('Methodology &amp; Sources'!$B$91:$J$98,0,4+2))),IF($AN47="SC",SUMPRODUCT(($AZ47&gt;INDEX('Methodology &amp; Sources'!$B$219:$J$223,0,1))*($AZ47-INDEX('Methodology &amp; Sources'!$B$219:$J$223,0,1))*INDEX('Methodology &amp; Sources'!$B$219:$J$223,0,1+2)),IF($AN47="VA",SUMPRODUCT(($AZ47&gt;INDEX('Methodology &amp; Sources'!$B$219:$J$223,0,4))*($AZ47-INDEX('Methodology &amp; Sources'!$B$219:$J$223,0,4))*INDEX('Methodology &amp; Sources'!$B$219:$J$223,0,4+2)),IF($AN47="WI",SUMPRODUCT(($AZ47&gt;INDEX('Methodology &amp; Sources'!$B$228:$J$232,0,4))*($AZ47-INDEX('Methodology &amp; Sources'!$B$228:$J$232,0,4))*INDEX('Methodology &amp; Sources'!$B$228:$J$232,0,4+2)),"")))))))</f>
      </c>
      <c r="BZ47" s="24">
        <f>IF($B47="","",IF($AN47="NJ",IF(Inputs!$C$77="B",SUMPRODUCT(($AZ47&gt;=INDEX('Methodology &amp; Sources'!$B$155:$J$162,0,4))*INDEX('Methodology &amp; Sources'!$B$155:$J$162,0,4+2)),IF(Inputs!$C$77="C",SUMPRODUCT(($AZ47&gt;=INDEX('Methodology &amp; Sources'!$B$155:$J$162,0,7))*INDEX('Methodology &amp; Sources'!$B$155:$J$162,0,7+2)),IF(Inputs!$C$77="D",SUMPRODUCT(($AZ47&gt;=INDEX('Methodology &amp; Sources'!$B$167:$J$179,0,1))*INDEX('Methodology &amp; Sources'!$B$167:$J$179,0,1+2)),IF(Inputs!$C$77="E",SUMPRODUCT(($AZ47&gt;=INDEX('Methodology &amp; Sources'!$B$167:$J$179,0,4))*INDEX('Methodology &amp; Sources'!$B$167:$J$179,0,4+2)),SUMPRODUCT(($AZ47&gt;=INDEX('Methodology &amp; Sources'!$B$155:$J$162,0,1))*INDEX('Methodology &amp; Sources'!$B$155:$J$162,0,1+2)))))),IF($AN47="OR",IF(OR($AU47="Married",AND($AU47="Single",$AS47&gt;=3)),SUMPRODUCT((MAX(0,$AY47-MIN(($P47-'Methodology &amp; Sources'!$C$10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Sources'!$B$211:$J$214,0,4))*INDEX('Methodology &amp; Sources'!$B$211:$J$214,0,4+2)),SUMPRODUCT((MAX(0,$AY47-MIN(($P47-'Methodology &amp; Sources'!$C$10*$D47)*Inputs!$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Sources'!$B$211:$J$214,0,1))*INDEX('Methodology &amp; Sources'!$B$211:$J$214,0,1+2)))*IF(($P47-'Methodology &amp; Sources'!$C$10*$D47)*Inputs!$C$8&gt;=IF(OR($AU47="Married",AND($AU47="Single",$AS47&gt;=3)),IF($AY47&lt;250000,8750,IF($AY47&lt;260000,7000,IF($AY47&lt;270000,5250,IF($AY47&lt;280000,3500,IF($AY47&lt;290000,1750,0))))),IF($AY47&lt;125000,8750,IF($AY47&lt;130000,7000,IF($AY47&lt;135000,5250,IF($AY47&lt;140000,3500,IF($AY47&lt;145000,1750,0)))))),1,1-IF(Inputs!$C$13,SUMPRODUCT(($AH47&gt;=INDEX('Methodology &amp; Sources'!$B$29:$J$36,0,IF(Inputs!$C$12="MFJ",1,IF(Inputs!$C$12="HoH",7,4))))*INDEX('Methodology &amp; Sources'!$B$29:$J$36,0,IF(Inputs!$C$12="MFJ",1,IF(Inputs!$C$12="HoH",7,4))+2)),SUMPRODUCT(($AH47&gt;=INDEX('Methodology &amp; Sources'!$B$19:$J$26,0,IF(Inputs!$C$12="MFJ",1,IF(Inputs!$C$12="HoH",7,4))))*INDEX('Methodology &amp; Sources'!$B$19:$J$26,0,IF(Inputs!$C$12="MFJ",1,IF(Inputs!$C$12="HoH",7,4))+2)))),IF($AN47="MI",IF($AY47&gt;5900*$AS47,0.0425,0),""))))</f>
      </c>
      <c r="CA47" s="24">
        <f>IF($B47="","",IF($AN47="AL",IF(OR($AU47="Married",$AU47="Head of household"),SUMPRODUCT(($AZ47&gt;=INDEX('Methodology &amp; Sources'!$B$82:$J$86,0,4))*INDEX('Methodology &amp; Sources'!$B$82:$J$86,0,4+2)),SUMPRODUCT(($AZ47&gt;=INDEX('Methodology &amp; Sources'!$B$82:$J$86,0,1))*INDEX('Methodology &amp; Sources'!$B$82:$J$86,0,1+2)))*(1-IF(Inputs!$C$13,SUMPRODUCT(($AH47&gt;=INDEX('Methodology &amp; Sources'!$B$29:$J$36,0,IF(Inputs!$C$12="MFJ",1,IF(Inputs!$C$12="HoH",7,4))))*INDEX('Methodology &amp; Sources'!$B$29:$J$36,0,IF(Inputs!$C$12="MFJ",1,IF(Inputs!$C$12="HoH",7,4))+2)),SUMPRODUCT(($AH47&gt;=INDEX('Methodology &amp; Sources'!$B$19:$J$26,0,IF(Inputs!$C$12="MFJ",1,IF(Inputs!$C$12="HoH",7,4))))*INDEX('Methodology &amp; Sources'!$B$19:$J$26,0,IF(Inputs!$C$12="MFJ",1,IF(Inputs!$C$12="HoH",7,4))+2)))),IF($AN47="KS",IF($AU47="Married",SUMPRODUCT(($AZ47&gt;=INDEX('Methodology &amp; Sources'!$B$103:$J$109,0,4))*INDEX('Methodology &amp; Sources'!$B$103:$J$109,0,4+2)),SUMPRODUCT(($AZ47&gt;=INDEX('Methodology &amp; Sources'!$B$103:$J$109,0,1))*INDEX('Methodology &amp; Sources'!$B$103:$J$109,0,1+2))),IF($AN47="MD",IF(OR($AU47="Married",$AU47="Head of household"),SUMPRODUCT(($AZ47&gt;=INDEX('Methodology &amp; Sources'!$B$114:$J$120,0,1))*INDEX('Methodology &amp; Sources'!$B$114:$J$120,0,1+2)),SUMPRODUCT(($AZ47&gt;=INDEX('Methodology &amp; Sources'!$B$103:$J$109,0,7))*INDEX('Methodology &amp; Sources'!$B$103:$J$109,0,7+2)))+Inputs!$C$74,IF($AN47="MT",IF($AU47="Head of household",SUMPRODUCT(($AZ47&gt;=INDEX('Methodology &amp; Sources'!$B$137:$J$139,0,1))*INDEX('Methodology &amp; Sources'!$B$137:$J$139,0,1+2)),IF($AU47="Married",SUMPRODUCT(($AZ47&gt;=INDEX('Methodology &amp; Sources'!$B$125:$J$132,0,7))*INDEX('Methodology &amp; Sources'!$B$125:$J$132,0,7+2)),SUMPRODUCT(($AZ47&gt;=INDEX('Methodology &amp; Sources'!$B$125:$J$132,0,4))*INDEX('Methodology &amp; Sources'!$B$125:$J$132,0,4+2)))),IF($AN47="ND",IF($AU47="Head of household",SUMPRODUCT(($AZ47&gt;=INDEX('Methodology &amp; Sources'!$B$144:$J$150,0,1))*INDEX('Methodology &amp; Sources'!$B$144:$J$150,0,1+2)),IF($AU47="Married",SUMPRODUCT(($AZ47&gt;=INDEX('Methodology &amp; Sources'!$B$137:$J$139,0,7))*INDEX('Methodology &amp; Sources'!$B$137:$J$139,0,7+2)),SUMPRODUCT(($AZ47&gt;=INDEX('Methodology &amp; Sources'!$B$137:$J$139,0,4))*INDEX('Methodology &amp; Sources'!$B$137:$J$139,0,4+2)))),IF($AN47="NY",IF($AU47="Married",IF($AZ47&gt;=2155350,IF($AZ47&gt;25000000,0.117,IF($AZ47&gt;5000000,0.111,0.1045)),SUMPRODUCT(($AZ47&gt;=INDEX('Methodology &amp; Sources'!$B$184:$J$198,0,1))*INDEX('Methodology &amp; Sources'!$B$184:$J$198,0,1+2))),IF($AZ47&gt;=1077550,IF($AZ47&gt;25000000,0.117,IF($AZ47&gt;5000000,0.111,0.1045)),SUMPRODUCT(($AZ47&gt;=INDEX('Methodology &amp; Sources'!$B$167:$J$179,0,7))*INDEX('Methodology &amp; Sources'!$B$167:$J$179,0,7+2)))),"")))))))</f>
      </c>
      <c r="CB47" s="24">
        <f>IF($B47="","",IF($AN47="CA",SUMPRODUCT(($AJ47&gt;=INDEX('Methodology &amp; Sources'!$B$39:$J$48,0,IF($AU47="Married",4,IF($AU47="Head of household",7,1))))*INDEX('Methodology &amp; Sources'!$B$39:$J$48,0,IF($AU47="Married",4,IF($AU47="Head of household",7,1))+2)),IF($AN47="HI",IF($AU47="Married",SUMPRODUCT(($AZ47&gt;=INDEX('Methodology &amp; Sources'!$B$91:$J$98,0,7))*INDEX('Methodology &amp; Sources'!$B$91:$J$98,0,7+2)),SUMPRODUCT(($AZ47&gt;=INDEX('Methodology &amp; Sources'!$B$91:$J$98,0,4))*INDEX('Methodology &amp; Sources'!$B$91:$J$98,0,4+2))),IF($AN47="MN",IF($AU47="Married",SUMPRODUCT(($AZ47&gt;=INDEX('Methodology &amp; Sources'!$B$114:$J$120,0,7))*INDEX('Methodology &amp; Sources'!$B$114:$J$120,0,7+2)),SUMPRODUCT(($AZ47&gt;=INDEX('Methodology &amp; Sources'!$B$114:$J$120,0,4))*INDEX('Methodology &amp; Sources'!$B$114:$J$120,0,4+2))),IF($AN47="MO",SUMPRODUCT(($AZ47&gt;=INDEX('Methodology &amp; Sources'!$B$125:$J$132,0,1))*INDEX('Methodology &amp; Sources'!$B$125:$J$132,0,1+2)),IF($AN47="NE",MAX(IF($AU47="Married",SUMPRODUCT(($AZ47&gt;=INDEX('Methodology &amp; Sources'!$B$144:$J$150,0,7))*INDEX('Methodology &amp; Sources'!$B$144:$J$150,0,7+2)),SUMPRODUCT(($AZ47&gt;=INDEX('Methodology &amp; Sources'!$B$144:$J$150,0,4))*INDEX('Methodology &amp; Sources'!$B$144:$J$150,0,4+2))),0.015),IF($AN47="OH",IF($B47&gt;=DATE(2027,8,1),SUMPRODUCT(($AZ47&gt;=INDEX('Methodology &amp; Sources'!$B$203:$J$206,0,1))*INDEX('Methodology &amp; Sources'!$B$203:$J$206,0,1+2)),SUMPRODUCT(($AZ47&gt;=INDEX('Methodology &amp; Sources'!$B$184:$J$198,0,7))*INDEX('Methodology &amp; Sources'!$B$184:$J$198,0,7+2))),IF($AN47="OK",IF($AU47="Married",SUMPRODUCT(($AZ47&gt;=INDEX('Methodology &amp; Sources'!$B$203:$J$206,0,7))*INDEX('Methodology &amp; Sources'!$B$203:$J$206,0,7+2)),SUMPRODUCT(($AZ47&gt;=INDEX('Methodology &amp; Sources'!$B$203:$J$206,0,4))*INDEX('Methodology &amp; Sources'!$B$203:$J$206,0,4+2))),IF($AN47="RI",SUMPRODUCT(($AZ47&gt;=INDEX('Methodology &amp; Sources'!$B$211:$J$214,0,7))*INDEX('Methodology &amp; Sources'!$B$211:$J$214,0,7+2)),IF($AN47="SC",SUMPRODUCT(($AZ47&gt;=INDEX('Methodology &amp; Sources'!$B$219:$J$223,0,1))*INDEX('Methodology &amp; Sources'!$B$219:$J$223,0,1+2)),IF($AN47="VT",IF($AU47="Married",SUMPRODUCT(($AZ47&gt;=INDEX('Methodology &amp; Sources'!$B$228:$J$232,0,1))*INDEX('Methodology &amp; Sources'!$B$228:$J$232,0,1+2)),SUMPRODUCT(($AZ47&gt;=INDEX('Methodology &amp; Sources'!$B$219:$J$223,0,7))*INDEX('Methodology &amp; Sources'!$B$219:$J$223,0,7+2))),IF($AN47="WV",IF($AU47="Married",SUMPRODUCT(($AZ47&gt;=INDEX('Methodology &amp; Sources'!$B$237:$J$241,0,7))*INDEX('Methodology &amp; Sources'!$B$237:$J$241,0,7+2)),SUMPRODUCT(($AZ47&gt;=INDEX('Methodology &amp; Sources'!$B$228:$J$232,0,7))*INDEX('Methodology &amp; Sources'!$B$228:$J$232,0,7+2))),IF($AN47="IN",(0.0295+Inputs!$C$76),"")))))))))))))</f>
      </c>
      <c r="CC47" s="24">
        <f>IF($B47="","",IF($AN47="AR",SUMPRODUCT(($AZ47&gt;=INDEX('Methodology &amp; Sources'!$B$82:$J$86,0,7))*INDEX('Methodology &amp; Sources'!$B$82:$J$86,0,7+2)),IF($AN47="DE",SUMPRODUCT(($AZ47&gt;=INDEX('Methodology &amp; Sources'!$B$91:$J$98,0,1))*INDEX('Methodology &amp; Sources'!$B$91:$J$98,0,1+2)),IF($AN47="VA",SUMPRODUCT(($AZ47&gt;=INDEX('Methodology &amp; Sources'!$B$219:$J$223,0,4))*INDEX('Methodology &amp; Sources'!$B$219:$J$223,0,4+2)),IF($AN47="WI",SUMPRODUCT(($AZ47&gt;=INDEX('Methodology &amp; Sources'!$B$228:$J$232,0,4))*INDEX('Methodology &amp; Sources'!$B$228:$J$232,0,4+2)),IF($AN47="AZ",Inputs!$C$82,IF($AN47="CO",IF($AY47&gt;IF($AU47="Married",10000,5000),0.044,0),IF($AN47="IA",IF($AY47&gt;IF($AU47="Head of household",19500,IF($AU47="Married",26000,13000)),0.038,0),IF($AN47="ID",IF($AY47&gt;IF($AU47="Married",32000,16094),0.053,0),IF($AN47="IL",IF($AY47&gt;(2925*$AS47+1000*$AT47),0.0495,0),IF($AN47="KY",IF($AI47&gt;3360,0.035,0),IF($AN47="LA",0.0309,IF($AN47="MA",IF(MAX(0,$AY47-MIN(($BD46+$Q47+$R47+$S47),2000)-IF($AS47=0,0,IF($AS47=1,4400,1000*$AS47+3400)))&gt;=1107750,0.09,0.05),IF($AN47="MS",IF($AI47-IF($AU47="Head of household",3400,IF($AU47="Married",4600,2300))-Inputs!$C$85&gt;10000,0.04,0),IF($AN47="PA",0.0307,"")))))))))))))))</f>
      </c>
      <c r="CD47" s="21">
        <f>IF(YEAR(IF(Inputs!$C$7="Weekly",Inputs!$C$90+7*(($BE46+1)-1),IF(Inputs!$C$7="Biweekly",Inputs!$C$90+14*(($BE46+1)-1),IF(Inputs!$C$7="Semimonthly",DATE(YEAR(Inputs!$C$9),MONTH(Inputs!$C$9)+INT((($BE46+1)-1+'Rest of 2026'!$C$2)/2),MIN(DAY(Inputs!$C$9),DAY(EOMONTH(DATE(YEAR(Inputs!$C$9),MONTH(Inputs!$C$9)+INT((($BE46+1)-1+'Rest of 2026'!$C$2)/2),1),0))))+IF(MOD(($BE46+1)-1+'Rest of 2026'!$C$2,2)=1,15,0),EDATE(Inputs!$C$90,($BE46+1)-1)))))&lt;&gt;Inputs!$C$10,"",IF(Inputs!$C$7="Weekly",Inputs!$C$90+7*(($BE46+1)-1),IF(Inputs!$C$7="Biweekly",Inputs!$C$90+14*(($BE46+1)-1),IF(Inputs!$C$7="Semimonthly",DATE(YEAR(Inputs!$C$9),MONTH(Inputs!$C$9)+INT((($BE46+1)-1+'Rest of 2026'!$C$2)/2),MIN(DAY(Inputs!$C$9),DAY(EOMONTH(DATE(YEAR(Inputs!$C$9),MONTH(Inputs!$C$9)+INT((($BE46+1)-1+'Rest of 2026'!$C$2)/2),1),0))))+IF(MOD(($BE46+1)-1+'Rest of 2026'!$C$2,2)=1,15,0),EDATE(Inputs!$C$90,($BE46+1)-1)))))</f>
      </c>
      <c r="CE47" s="21">
        <f>IF(SUMPRODUCT(MIN(IF((Inputs!$C$58:$C$67&gt;MAX($B$6:$B46))*(Inputs!$C$58:$C$67&gt;=DATE(Inputs!$C$10,1,1))*(Inputs!$C$58:$C$67&lt;=DATE(Inputs!$C$10,12,31)),Inputs!$C$58:$C$67,999999)))=999999,"",SUMPRODUCT(MIN(IF((Inputs!$C$58:$C$67&gt;MAX($B$6:$B46))*(Inputs!$C$58:$C$67&gt;=DATE(Inputs!$C$10,1,1))*(Inputs!$C$58:$C$67&lt;=DATE(Inputs!$C$10,12,31)),Inputs!$C$58:$C$67,999999))))</f>
      </c>
    </row>
    <row r="48">
      <c r="A48" t="n">
        <v>43</v>
      </c>
      <c r="B48" s="21">
        <f>IF(AND($CD48="",$CE48=""),"",IF($CE48="",$CD48,IF($CD48="",$CE48,MIN($CD48,$CE48))))</f>
      </c>
      <c r="C48" s="7">
        <f>IF($B48="","",IF($BF48=0,0,IF(Inputs!$C$4="Annual salary",ROUND($AK48/IF(AND(Inputs!$C$88="Actual paydays",MONTH(Inputs!$C$90)=1),MAX(1,MAX($BE$6:$BE$68)),Inputs!$C$8),2),$AK48)))</f>
      </c>
      <c r="D48" s="7">
        <f>IF($B48="","",SUMIF(Inputs!$C$58:$C$67,$B48,Inputs!$D$58:$D$67))</f>
      </c>
      <c r="E48" s="7">
        <f>IF($B48="","",ROUND(MAX(0,MIN(IF($AL48="Percent",$AM48*($C48+$D48),$AM48),MAX(0,Inputs!$C$34-$AC47))),2))</f>
      </c>
      <c r="F48" s="7">
        <f>IF($B48="","",ROUND(MAX(0,MIN(IF(Inputs!$C$32="Percent",Inputs!$D$32*($C48+$D48),Inputs!$D$32),MAX(0,Inputs!$C$34-$AC47-$E48))),2))</f>
      </c>
      <c r="G48" s="7">
        <f>IF($B48="","",IF($BF48=0,0,ROUND(MAX(0,MIN($BL48,Inputs!$C$37-Inputs!$C$99-$BI47)),2)))</f>
      </c>
      <c r="H48" s="7">
        <f>IF($B48="","",IF(OR($BF48=0,$BQ48=1),0,ROUND(MAX(0,MIN(IF($BS48=1,ROUND(MAX(0,MIN($BJ48,'Methodology &amp; Sources'!$C$13)-$BG47)/MAX(1,MAX($BE$6:$BE$68)-($BE47)),2),ROUND(MIN($BJ48,'Methodology &amp; Sources'!$C$13)/Inputs!$C$8,2)),MIN($BJ48,'Methodology &amp; Sources'!$C$13)-$BG47)),2)))</f>
      </c>
      <c r="I48" s="7">
        <f>IF($B48="","",IF(OR($BF48=0,$BR48=1),0,ROUND(MAX(0,MIN(IF($BT48=1,ROUND(MAX(0,MIN($BK48,IF(Inputs!$C$12="MFJ",'Methodology &amp; Sources'!$C$14,'Methodology &amp; Sources'!$C$15))-$BH47)/MAX(1,MAX($BE$6:$BE$68)-($BE47)),2),ROUND(MIN($BK48,IF(Inputs!$C$12="MFJ",'Methodology &amp; Sources'!$C$14,'Methodology &amp; Sources'!$C$15))/Inputs!$C$8,2)),MIN($BK48,IF(Inputs!$C$12="MFJ",'Methodology &amp; Sources'!$C$14,'Methodology &amp; Sources'!$C$15))-$BH47)),2)))</f>
      </c>
      <c r="J48" s="7">
        <f>IF($B48="","",IF($BF48=0,0,$BM48))</f>
      </c>
      <c r="K48" s="7">
        <f>IF($B48="","",IF($BF48=0,0,$BN48+$BO48))</f>
      </c>
      <c r="L48" s="7">
        <f>IF($B48="","",IF($BF48=0,0,Inputs!$D$46))</f>
      </c>
      <c r="M48" s="7">
        <f>IF($B48="","",$C48+$D48+$L48-$E48-$G48-$H48-$I48-$J48-$K48)</f>
      </c>
      <c r="N48" s="7">
        <f>IF($B48="","",$C48+$D48+$L48-$G48-$H48-$I48-$J48-$K48)</f>
      </c>
      <c r="O48" s="7">
        <f>IF($B48="","",$C48+$D48+$L48-$E48-$H48-$I48-$J48-$K48-IF(OR($AN48="CA",$AN48="NJ"),0,$G48))</f>
      </c>
      <c r="P48" s="7">
        <f>IF($B48="","",IF(Inputs!$C$18,0,ROUND(MAX(0,IF(Inputs!$C$13,SUMPRODUCT(($AH48&gt;INDEX('Methodology &amp; Sources'!$B$29:$J$36,0,IF(Inputs!$C$12="MFJ",1,IF(Inputs!$C$12="HoH",7,4))))*($AH48-INDEX('Methodology &amp; Sources'!$B$29:$J$36,0,IF(Inputs!$C$12="MFJ",1,IF(Inputs!$C$12="HoH",7,4))))*INDEX('Methodology &amp; Sources'!$B$29:$J$36,0,IF(Inputs!$C$12="MFJ",1,IF(Inputs!$C$12="HoH",7,4))+2)),SUMPRODUCT(($AH48&gt;INDEX('Methodology &amp; Sources'!$B$19:$J$26,0,IF(Inputs!$C$12="MFJ",1,IF(Inputs!$C$12="HoH",7,4))))*($AH48-INDEX('Methodology &amp; Sources'!$B$19:$J$26,0,IF(Inputs!$C$12="MFJ",1,IF(Inputs!$C$12="HoH",7,4))))*INDEX('Methodology &amp; Sources'!$B$19:$J$26,0,IF(Inputs!$C$12="MFJ",1,IF(Inputs!$C$12="HoH",7,4))+2)))/Inputs!$C$8-$AO48/Inputs!$C$8)+$AR48+IF(Inputs!$C$89="Aggregate",MAX(0,IF(Inputs!$C$13,SUMPRODUCT((($AH48+$D48)&gt;INDEX('Methodology &amp; Sources'!$B$29:$J$36,0,IF(Inputs!$C$12="MFJ",1,IF(Inputs!$C$12="HoH",7,4))))*(($AH48+$D48)-INDEX('Methodology &amp; Sources'!$B$29:$J$36,0,IF(Inputs!$C$12="MFJ",1,IF(Inputs!$C$12="HoH",7,4))))*INDEX('Methodology &amp; Sources'!$B$29:$J$36,0,IF(Inputs!$C$12="MFJ",1,IF(Inputs!$C$12="HoH",7,4))+2)),SUMPRODUCT((($AH48+$D48)&gt;INDEX('Methodology &amp; Sources'!$B$19:$J$26,0,IF(Inputs!$C$12="MFJ",1,IF(Inputs!$C$12="HoH",7,4))))*(($AH48+$D48)-INDEX('Methodology &amp; Sources'!$B$19:$J$26,0,IF(Inputs!$C$12="MFJ",1,IF(Inputs!$C$12="HoH",7,4))))*INDEX('Methodology &amp; Sources'!$B$19:$J$26,0,IF(Inputs!$C$12="MFJ",1,IF(Inputs!$C$12="HoH",7,4))+2)))-IF(Inputs!$C$13,SUMPRODUCT(($AH48&gt;INDEX('Methodology &amp; Sources'!$B$29:$J$36,0,IF(Inputs!$C$12="MFJ",1,IF(Inputs!$C$12="HoH",7,4))))*($AH48-INDEX('Methodology &amp; Sources'!$B$29:$J$36,0,IF(Inputs!$C$12="MFJ",1,IF(Inputs!$C$12="HoH",7,4))))*INDEX('Methodology &amp; Sources'!$B$29:$J$36,0,IF(Inputs!$C$12="MFJ",1,IF(Inputs!$C$12="HoH",7,4))+2)),SUMPRODUCT(($AH48&gt;INDEX('Methodology &amp; Sources'!$B$19:$J$26,0,IF(Inputs!$C$12="MFJ",1,IF(Inputs!$C$12="HoH",7,4))))*($AH48-INDEX('Methodology &amp; Sources'!$B$19:$J$26,0,IF(Inputs!$C$12="MFJ",1,IF(Inputs!$C$12="HoH",7,4))))*INDEX('Methodology &amp; Sources'!$B$19:$J$26,0,IF(Inputs!$C$12="MFJ",1,IF(Inputs!$C$12="HoH",7,4))+2)))),'Methodology &amp; Sources'!$C$10*$D48),2)))</f>
      </c>
      <c r="Q48" s="7">
        <f>IF($B48="","",ROUND('Methodology &amp; Sources'!$C$4*MIN($N48,MAX(0,'Methodology &amp; Sources'!$C$3-($AX48+$AB47-$AW48))),2))</f>
      </c>
      <c r="R48" s="7">
        <f>IF($B48="","",ROUND('Methodology &amp; Sources'!$C$5*$N48,2))</f>
      </c>
      <c r="S48" s="7">
        <f>IF($B48="","",ROUND('Methodology &amp; Sources'!$C$6*MAX(0,MIN($N48,$AG47+$N48-'Methodology &amp; Sources'!$C$7)),2))</f>
      </c>
      <c r="T48" s="7">
        <f>IF($B48="","",IF(Inputs!$C$26,0,IF($AN48="CA",ROUND(IF($AI48&lt;=IF(($AS48+$AT48)&gt;=2,VLOOKUP($AN48,StateTables!$A$6:$AB$56,10,FALSE),VLOOKUP($AN48,StateTables!$A$6:$AB$56,9,FALSE)),0,MAX(0,SUMPRODUCT(($AJ48&gt;INDEX('Methodology &amp; Sources'!$B$39:$J$48,0,IF($AU48="Married",4,IF($AU48="Head of household",7,1))))*($AJ48-INDEX('Methodology &amp; Sources'!$B$39:$J$48,0,IF($AU48="Married",4,IF($AU48="Head of household",7,1))))*INDEX('Methodology &amp; Sources'!$B$39:$J$48,0,IF($AU48="Married",4,IF($AU48="Head of household",7,1))+2))-VLOOKUP($AN48,StateTables!$A$6:$AB$56,11,FALSE)*$AS48)/Inputs!$C$8)+Inputs!$C$25+VLOOKUP($AN48,StateTables!$A$6:$AB$56,13,FALSE)*$D48,2),IF(VLOOKUP($AN48,StateTables!$A$6:$AB$56,4,FALSE)="None",0,IF(ISNUMBER(SEARCH("MANUAL",VLOOKUP($AN48,StateTables!$A$6:$AB$56,5,FALSE))),Inputs!$C$28,ROUND(MAX(0,$BA48+$BB48)/Inputs!$C$8+Inputs!$C$25+$BC48,2))))))</f>
      </c>
      <c r="U48" s="7">
        <f>IF($B48="","",IF(VLOOKUP($AN48,StateTables!$A$6:$AB$56,24,FALSE)="flatq",IF(OR(MONTH($B48)=1,MONTH($B48)=4,MONTH($B48)=7,MONTH($B48)=10),VLOOKUP($AN48,StateTables!$A$6:$AB$56,25,FALSE),0),IF(VLOOKUP($AN48,StateTables!$A$6:$AB$56,24,FALSE)="dbl",MIN(ROUND(0.005*$N48,2),ROUND(0.6*52/Inputs!$C$8,2)),IF(OR(VLOOKUP($AN48,StateTables!$A$6:$AB$56,15,FALSE)="",VLOOKUP($AN48,StateTables!$A$6:$AB$56,15,FALSE)=0),0,ROUND(VLOOKUP($AN48,StateTables!$A$6:$AB$56,15,FALSE)*IF(OR(VLOOKUP($AN48,StateTables!$A$6:$AB$56,16,FALSE)="",VLOOKUP($AN48,StateTables!$A$6:$AB$56,16,FALSE)=0),$N48,MIN($N48,MAX(0,VLOOKUP($AN48,StateTables!$A$6:$AB$56,16,FALSE)-($AX48+$AB47-$AW48)))),2))))+IF(VLOOKUP($AN48,StateTables!$A$6:$AB$56,27,FALSE)="flatq",IF(OR(MONTH($B48)=1,MONTH($B48)=4,MONTH($B48)=7,MONTH($B48)=10),VLOOKUP($AN48,StateTables!$A$6:$AB$56,28,FALSE),0),IF(VLOOKUP($AN48,StateTables!$A$6:$AB$56,27,FALSE)="dbl",MIN(ROUND(0.005*$N48,2),ROUND(0.6*52/Inputs!$C$8,2)),IF(OR(VLOOKUP($AN48,StateTables!$A$6:$AB$56,18,FALSE)="",VLOOKUP($AN48,StateTables!$A$6:$AB$56,18,FALSE)=0),0,ROUND(VLOOKUP($AN48,StateTables!$A$6:$AB$56,18,FALSE)*IF(OR(VLOOKUP($AN48,StateTables!$A$6:$AB$56,19,FALSE)="",VLOOKUP($AN48,StateTables!$A$6:$AB$56,19,FALSE)=0),$N48,MIN($N48,MAX(0,VLOOKUP($AN48,StateTables!$A$6:$AB$56,19,FALSE)-($AX48+$AB47-$AW48)))),2)))))</f>
      </c>
      <c r="V48" s="7">
        <f>IF($B48="","",IF($AN48="NY",IF(Inputs!$C$78,ROUND(SUMPRODUCT((MAX(0,($O48-$D48)*Inputs!$C$8-(IF($AU48="Married",5500,5000)+1000*$AS48))&gt;INDEX('Methodology &amp; Sources'!$B$184:$J$198,0,4))*(MAX(0,($O48-$D48)*Inputs!$C$8-(IF($AU48="Married",5500,5000)+1000*$AS48))-INDEX('Methodology &amp; Sources'!$B$184:$J$198,0,4))*INDEX('Methodology &amp; Sources'!$B$184:$J$198,0,4+2))/Inputs!$C$8+0.0425*$D48,2),0)+IF(Inputs!$C$79="Resident",ROUND(0.1675*$T48,2),IF(Inputs!$C$79="Nonresident",ROUND(0.005*MAX(0,($O48-$D48)-(IF($AU48="Married",7950,7400)+1000*$AS48)/Inputs!$C$8),2),0)),IF($AN48="PA",IF(Inputs!$C$80="None",Inputs!$C$27+ROUND(Inputs!$C$81*($C48+$D48),2),ROUND(IF(Inputs!$C$80="Resident",IF($B48&lt;DATE(2027,7,1),0.03735,0.03735),IF($B48&lt;DATE(2027,7,1),0.03425,0.03425))*($C48+$D48),2)),IF($BF48=0,ROUND(Inputs!$C$81*($C48+$D48),2),Inputs!$C$27+ROUND(Inputs!$C$81*($C48+$D48),2)))))</f>
      </c>
      <c r="W48" s="7">
        <f>IF($B48="","",IF($BF48=0,0,$BP48))</f>
      </c>
      <c r="X48" s="7">
        <f>IF($B48="","",SUM($E48:$K48)+$P48+$Q48+$R48+$S48+$T48+$U48+$V48+$W48)</f>
      </c>
      <c r="Y48" s="22">
        <f>IF($B48="","",$C48+$D48-$X48)</f>
      </c>
      <c r="Z48" s="7">
        <f>IF($B48="","",$Z47+$C48+$D48)</f>
      </c>
      <c r="AA48" s="7">
        <f>IF($B48="","",$AA47+$Y48)</f>
      </c>
      <c r="AB48" s="7">
        <f>IF($B48="","",$AB47+MIN($N48,MAX(0,'Methodology &amp; Sources'!$C$3-($AX48+$AB47-$AW48))))</f>
      </c>
      <c r="AC48" s="7">
        <f>IF($B48="","",$AC47+$E48+$F48)</f>
      </c>
      <c r="AD48" s="3">
        <f>IF($B48="","",IF(AND($AB47&lt;'Methodology &amp; Sources'!$C$3,$AB48&gt;='Methodology &amp; Sources'!$C$3),"★ Social Security maxed on this check — from the next check your net rises by about $"&amp;TEXT(ROUND('Methodology &amp; Sources'!$C$4*$N48,2),"#,##0.00")&amp;". ","")&amp;IF(AND($AC47&lt;Inputs!$C$34,$AC48&gt;=Inputs!$C$34),"★ 401(k) reaches the $"&amp;TEXT(Inputs!$C$34,"#,##0")&amp;" cap on this check — deferrals stop and net pay rises. ","")&amp;IF(AND($AG47&lt;'Methodology &amp; Sources'!$C$7,$AG48&gt;='Methodology &amp; Sources'!$C$7),"★ Wages pass $200,000 — the 0.9% Additional Medicare Tax starts here. ","")&amp;IF(AND($BJ48&gt;0,$H48&gt;0,$BG47&lt;MIN($BJ48,'Methodology &amp; Sources'!$C$13),$BG47+$H48&gt;=MIN($BJ48,'Methodology &amp; Sources'!$C$13)),"★ Health FSA election is now fully deferred for the year. ",""))</f>
      </c>
      <c r="AE48" s="41" t="n"/>
      <c r="AF48" s="7">
        <f>IF(OR($B48="",$AE48=""),"",$AE48-$Y48)</f>
      </c>
      <c r="AG48" s="7">
        <f>IF($B48="","",$AG47+$N48)</f>
      </c>
      <c r="AH48" s="7">
        <f>IF($B48="","",MAX(0,($M48-$D48)*Inputs!$C$8+$AP48-$AQ48-IF(Inputs!$C$13,0,IF(Inputs!$C$12="MFJ",'Methodology &amp; Sources'!$C$8,'Methodology &amp; Sources'!$C$9))))</f>
      </c>
      <c r="AI48" s="7">
        <f>IF($B48="","",$O48*Inputs!$C$8)</f>
      </c>
      <c r="AJ48" s="7">
        <f>IF($B48="","",MAX(0,$AI48-VLOOKUP($AN48,StateTables!$A$6:$AB$56,12,FALSE)*$AT48-IF(($AS48+$AT48)&gt;=2,VLOOKUP($AN48,StateTables!$A$6:$AB$56,8,FALSE),VLOOKUP($AN48,StateTables!$A$6:$AB$56,7,FALSE))))</f>
      </c>
      <c r="AK48" s="7">
        <f>IF($B48="","",IFERROR(LOOKUP(2,1/((Events!$C$6:$C$17="Salary change")*(Events!$B$6:$B$17&lt;=$B48)*(Events!$B$6:$B$17&lt;&gt;"")),Events!$D$6:$D$17),IF(Inputs!$C$4="Annual salary",Inputs!$C$5,Inputs!$C$6)))</f>
      </c>
      <c r="AL48">
        <f>IF($B48="","",IFERROR(LOOKUP(2,1/((Events!$C$6:$C$17="401(k) change")*(Events!$B$6:$B$17&lt;=$B48)*(Events!$B$6:$B$17&lt;&gt;"")),Events!$D$6:$D$17),Inputs!$C$30))</f>
      </c>
      <c r="AM48" s="7">
        <f>IF($B48="","",IFERROR(LOOKUP(2,1/((Events!$C$6:$C$17="401(k) change")*(Events!$B$6:$B$17&lt;=$B48)*(Events!$B$6:$B$17&lt;&gt;"")),Events!$E$6:$E$17),Inputs!$D$30))</f>
      </c>
      <c r="AN48">
        <f>IF($B48="","",IFERROR(LOOKUP(2,1/((Events!$C$6:$C$17="State move")*(Events!$B$6:$B$17&lt;=$B48)*(Events!$B$6:$B$17&lt;&gt;"")),Events!$D$6:$D$17),Inputs!$C$21))</f>
      </c>
      <c r="AO48" s="7">
        <f>IF($B48="","",IFERROR(LOOKUP(2,1/((Events!$C$6:$C$17="W-4 change")*(Events!$B$6:$B$17&lt;=$B48)*(Events!$B$6:$B$17&lt;&gt;"")),Events!$D$6:$D$17),Inputs!$C$14))</f>
      </c>
      <c r="AP48" s="7">
        <f>IF($B48="","",IFERROR(LOOKUP(2,1/((Events!$C$6:$C$17="W-4 change")*(Events!$B$6:$B$17&lt;=$B48)*(Events!$B$6:$B$17&lt;&gt;"")),Events!$E$6:$E$17),Inputs!$C$15))</f>
      </c>
      <c r="AQ48" s="7">
        <f>IF($B48="","",IFERROR(LOOKUP(2,1/((Events!$C$6:$C$17="W-4 change")*(Events!$B$6:$B$17&lt;=$B48)*(Events!$B$6:$B$17&lt;&gt;"")),Events!$F$6:$F$17),Inputs!$C$16))</f>
      </c>
      <c r="AR48" s="7">
        <f>IF($B48="","",IFERROR(LOOKUP(2,1/((Events!$C$6:$C$17="W-4 change")*(Events!$B$6:$B$17&lt;=$B48)*(Events!$B$6:$B$17&lt;&gt;"")),Events!$G$6:$G$17),Inputs!$C$17))</f>
      </c>
      <c r="AS48" s="6">
        <f>IF($B48="","",IFERROR(LOOKUP(2,1/(((Events!$C$6:$C$17="State move")+(Events!$C$6:$C$17="State cert change"))*(Events!$B$6:$B$17&lt;=$B48)*(Events!$B$6:$B$17&lt;&gt;"")),Events!$F$6:$F$17),Inputs!$C$23))</f>
      </c>
      <c r="AT48" s="6">
        <f>IF($B48="","",IFERROR(LOOKUP(2,1/(((Events!$C$6:$C$17="State move")+(Events!$C$6:$C$17="State cert change"))*(Events!$B$6:$B$17&lt;=$B48)*(Events!$B$6:$B$17&lt;&gt;"")),Events!$G$6:$G$17),Inputs!$C$24))</f>
      </c>
      <c r="AU48">
        <f>IF($B48="","",IFERROR(LOOKUP(2,1/((Events!$C$6:$C$17="State move")*(Events!$B$6:$B$17&lt;=$B48)*(Events!$B$6:$B$17&lt;&gt;"")),Events!$E$6:$E$17),Inputs!$C$22))</f>
      </c>
      <c r="AV48" s="6">
        <f>IF($B48="","",1+COUNTIFS(Events!$C$6:$C$17,"Employer change",Events!$B$6:$B$17,"&lt;="&amp;$B48,Events!$B$6:$B$17,"&lt;&gt;"))</f>
      </c>
      <c r="AW48" s="7">
        <f>IF($B48="","",IF($AV48=1,Inputs!$C$94,IF(IFERROR(MATCH(IFERROR(LOOKUP(2,1/((Events!$C$6:$C$17="Employer change")*(Events!$B$6:$B$17&lt;=$B48)*(Events!$B$6:$B$17&lt;&gt;"")),Events!$B$6:$B$17),""),$B$6:$B$68,1),1)&lt;=1,Inputs!$C$94,INDEX($AB$6:$AB$68,MATCH(IFERROR(LOOKUP(2,1/((Events!$C$6:$C$17="Employer change")*(Events!$B$6:$B$17&lt;=$B48)*(Events!$B$6:$B$17&lt;&gt;"")),Events!$B$6:$B$17),""),$B$6:$B$68,1)-1))))</f>
      </c>
      <c r="AX48" s="7">
        <f>IF($B48="","",IF($AV48=1,Inputs!$C$94,IFERROR(LOOKUP(2,1/((Events!$C$6:$C$17="Employer change")*(Events!$B$6:$B$17&lt;=$B48)*(Events!$B$6:$B$17&lt;&gt;"")),Events!$D$6:$D$17),0)))</f>
      </c>
      <c r="AY48" s="7">
        <f>IF($B48="","",($O48-$D48)*Inputs!$C$8)</f>
      </c>
      <c r="AZ48" s="7">
        <f>IF($B48="","",IF($AN48="AL",MAX(0,$AY48-IF($AU48="Married",IF($AY48&lt;=25999,8500,MAX(5000,8500-175*CEILING(($AY48-25999)/500,1))),IF($AU48="Head of household",IF($AY48&lt;=25999,5200,MAX(2500,5200-135*CEILING(($AY48-25999)/500,1))),IF($AY48&lt;=25999,3000,MAX(2500,3000-25*CEILING(($AY48-25999)/500,1)))))-($P48-'Methodology &amp; Sources'!$C$10*$D48)*Inputs!$C$8-IF(OR($AU48="Married",$AU48="Head of household"),3000,1500)-$AT48*IF($AY48&lt;=50000,1000,IF($AY48&lt;=100000,500,300))),IF($AN48="AR",IF(MAX(0,$AY48-2470)&lt;97701,INT(MAX(0,$AY48-2470)/100)*100+50,MAX(0,$AY48-2470)),IF($AN48="DE",MAX(0,$AI48-3250),IF($AN48="HI",MAX(0,$AI48-1144*$AS48-4350),IF($AN48="KS",MAX(0,$AI48-(9160*IF($AU48="Married",2,1)+2320*$AT48+IF($AU48="Head of household",2320,0))),IF($AN48="MD",MAX(0,$AI48-3400-3200*$AS48),IF($AN48="MN",MAX(0,$AY48-5300*$AS48),IF($AN48="MO",MAX(0,$AI48-IF($AU48="Head of household",24150,IF($AU48="Married",IF(Inputs!$C$83,16100,32200),16100))),IF($AN48="MT",$AY48,IF($AN48="ND",($C48+$L48)*Inputs!$C$8,IF($AN48="NE",MAX(0,$AY48-2440*$AS48),IF($AN48="NJ",MAX(0,$AY48-1000*$AS48),IF($AN48="NY",MAX(0,$AY48-(IF($AU48="Married",7950,7400)+1000*$AS48)),IF($AN48="OH",MAX(0,$AY48-650*$AS48),IF($AN48="OK",MAX(0,$AY48-1000*$AS48),IF($AN48="RI",MAX(0,$AI48-1000*$AS48),IF($AN48="SC",MAX(0,$AI48-5000*$AS48-IF($AS48=0,0,MIN(0.1*$AI48,7500))),IF($AN48="VA",MAX(0,$AI48-IF($AU48="Married",17500,8750)-930*$AS48-800*$AT48),IF($AN48="VT",MAX(0,$AI48-5400*$AS48),IF($AN48="WI",MAX(0,$AI48-MAX(0,IF($AU48="Married",9461-0.2*MAX(0,$AI48-25727),6702-0.12*MAX(0,$AI48-17780)))-400*$AS48),IF($AN48="WV",MAX(0,$AI48-2000*$AS48),$AI48))))))))))))))))))))))</f>
      </c>
      <c r="BA48" s="7">
        <f>IF($B48="","",IF($BW48&lt;&gt;"",$BW48,IF($BX48&lt;&gt;"",$BX48,IF($BY48&lt;&gt;"",$BY48,0))))</f>
      </c>
      <c r="BB48" s="7">
        <f>IF($B48="","",IF($AN48="AR",-29*$AS48,IF($AN48="DE",-110*$AS48,IF($AN48="MD",$AZ48*Inputs!$C$74,IF($AN48="AZ",Inputs!$C$82*($M48-$D48)*Inputs!$C$8,IF($AN48="CO",0.044*MAX(0,$AY48-IF($AU48="Married",10000,5000)),IF($AN48="IA",MAX(0,0.038*MAX(0,$AY48-IF($AU48="Head of household",19500,IF($AU48="Married",26000,13000)))-40*$AS48),IF($AN48="ID",0.053*MAX(0,$AY48-IF($AU48="Married",32000,16094)),IF($AN48="IL",0.0495*MAX(0,$AY48-(2925*$AS48+1000*$AT48)),IF($AN48="IN",(0.0295+Inputs!$C$76)*MAX(0,$AY48-(1000*$AS48+1500*$AT48+3000*Inputs!$C$86)),IF($AN48="KY",0.035*MAX(0,$AI48-3360),IF($AN48="LA",IF(Inputs!$C$84="0",0.0309*$AI48,0.0309*MAX(0,$AI48-IF(Inputs!$C$84="2",25750,12875))),IF($AN48="MA",0.05*MIN(MAX(0,$AY48-MIN(($BD47+$Q48+$R48+$S48),2000)-IF($AS48=0,0,IF($AS48=1,4400,1000*$AS48+3400))),1107750)+0.09*MAX(0,MAX(0,$AY48-MIN(($BD47+$Q48+$R48+$S48),2000)-IF($AS48=0,0,IF($AS48=1,4400,1000*$AS48+3400)))-1107750)-IF($AU48="Head of household",120,0)-110*Inputs!$C$75,IF($AN48="MI",0.0425*MAX(0,$AY48-5900*$AS48),IF($AN48="MS",0.04*MAX(0,$AI48-IF($AU48="Head of household",3400,IF($AU48="Married",4600,2300))-Inputs!$C$85-10000),IF($AN48="OR",IF(OR($AU48="Married",AND($AU48="Single",$AS48&gt;=3)),SUMPRODUCT((MAX(0,$AY48-MIN(($P48-'Methodology &amp; Sources'!$C$10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Sources'!$B$211:$J$214,0,4))*(MAX(0,$AY48-MIN(($P48-'Methodology &amp; Sources'!$C$10*$D48)*Inputs!$C$8,IF(OR($AU48="Married",AND($AU48="Single",$AS48&gt;=3)),IF($AY48&lt;250000,8750,IF($AY48&lt;260000,7000,IF($AY48&lt;270000,5250,IF($AY48&lt;280000,3500,IF($AY48&lt;290000,1750,0))))),IF($AY48&lt;125000,8750,IF($AY48&lt;130000,7000,IF($AY48&lt;135000,5250,IF($AY48&lt;140000,3500,IF($AY48&lt;145000,1750,0)))))))-IF(OR($AU48="Married",AND($AU48="Single",$AS48&gt;=3)),5820,2910))-INDEX('Methodology &amp; Sources'!$B$211:$J$214,0,4))*INDEX('Methodology &amp; Sources'!$B$211:$J$214,0,4+2)),SUMPRODUCT((MAX(0,$AY48-MIN(($P48-'Methodology &amp; Sources'!$C$10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Sources'!$B$211:$J$214,0,1))*(MAX(0,$AY48-MIN(($P48-'Methodology &amp; Sources'!$C$10*$D48)*Inputs!$C$8,IF(OR($AU48="Married",AND($AU48="Single",$AS48&gt;=3)),IF($AY48&lt;250000,8750,IF($AY48&lt;260000,7000,IF($AY48&lt;270000,5250,IF($AY48&lt;280000,3500,IF($AY48&lt;290000,1750,0))))),IF($AY48&lt;125000,8750,IF($AY48&lt;130000,7000,IF($AY48&lt;135000,5250,IF($AY48&lt;140000,3500,IF($AY48&lt;145000,1750,0)))))))-IF(OR($AU48="Married",AND($AU48="Single",$AS48&gt;=3)),5820,2910))-INDEX('Methodology &amp; Sources'!$B$211:$J$214,0,1))*INDEX('Methodology &amp; Sources'!$B$211:$J$214,0,1+2)))+263-263*IF(IF($AU48="Married",$AY48&gt;200000,$AY48&gt;100000),0,$AS48),IF($AN48="PA",0.0307*(($O48+$E48+$G48)*Inputs!$C$8),IF($AN48="NY",IF($AU48="Married",IF($AZ48&gt;=2155350,0,IF($AZ48&gt;=1077550,0.48,IF($AZ48&gt;=373200,1.21,IF($AZ48&gt;=323200,0.21,IF($AZ48&gt;=211550,-0.19,IF($AZ48&gt;=157650,-2.8,IF($AZ48&gt;=107650,-0.8,IF($AZ48&gt;=96800,0.05,IF($AZ48&gt;=80650,-0.1,IF($AZ48&gt;=13900,0.4,IF($AZ48&gt;=11700,-0.3,IF($AZ48&gt;=8500,0.5,0)))))))))))),IF($AZ48&gt;=1077550,0,IF($AZ48&gt;=265400,4.29,IF($AZ48&gt;=215400,2.29,IF($AZ48&gt;=157650,2.29,IF($AZ48&gt;=107650,0.29,IF($AZ48&gt;=96800,0.05,IF($AZ48&gt;=80650,-0.1,IF($AZ48&gt;=13900,0.4,IF($AZ48&gt;=11700,-0.3,IF($AZ48&gt;=8500,0.5,0))))))))))),0))))))))))))))))))</f>
      </c>
      <c r="BC48" s="7">
        <f>IF($B48="","",IF($AN48="AL",0.05*$D48,IF($AN48="AR",0.039*$D48,IF($AN48="ID",0.053*$D48,IF($AN48="IN",(0.0295+Inputs!$C$76)*$D48,IF($AN48="KS",0.05*$D48,IF($AN48="MA",0.09*MIN($D48,MAX(0,MAX(0,$AY48-MIN(($BD47+$Q48+$R48+$S48),2000)-IF($AS48=0,0,IF($AS48=1,4400,1000*$AS48+3400)))+$D48-1107750))+0.05*($D48-MIN($D48,MAX(0,MAX(0,$AY48-MIN(($BD47+$Q48+$R48+$S48),2000)-IF($AS48=0,0,IF($AS48=1,4400,1000*$AS48+3400)))+$D48-1107750))),IF($AN48="MD",(0.065+Inputs!$C$74)*$D48,IF($AN48="MI",0.0425*$D48,IF($AN48="MN",0.0625*$D48,IF($AN48="MO",0.047*$D48,IF($AN48="MT",0.05*$D48,IF($AN48="ND",0.015*$D48,IF($AN48="NE",0.035*$D48,IF($AN48="NJ",IF(Inputs!$C$77="B",SUMPRODUCT(($D48*Inputs!$C$8&gt;INDEX('Methodology &amp; Sources'!$B$155:$J$162,0,4))*($D48*Inputs!$C$8-INDEX('Methodology &amp; Sources'!$B$155:$J$162,0,4))*INDEX('Methodology &amp; Sources'!$B$155:$J$162,0,4+2)),IF(Inputs!$C$77="C",SUMPRODUCT(($D48*Inputs!$C$8&gt;INDEX('Methodology &amp; Sources'!$B$155:$J$162,0,7))*($D48*Inputs!$C$8-INDEX('Methodology &amp; Sources'!$B$155:$J$162,0,7))*INDEX('Methodology &amp; Sources'!$B$155:$J$162,0,7+2)),IF(Inputs!$C$77="D",SUMPRODUCT(($D48*Inputs!$C$8&gt;INDEX('Methodology &amp; Sources'!$B$167:$J$179,0,1))*($D48*Inputs!$C$8-INDEX('Methodology &amp; Sources'!$B$167:$J$179,0,1))*INDEX('Methodology &amp; Sources'!$B$167:$J$179,0,1+2)),IF(Inputs!$C$77="E",SUMPRODUCT(($D48*Inputs!$C$8&gt;INDEX('Methodology &amp; Sources'!$B$167:$J$179,0,4))*($D48*Inputs!$C$8-INDEX('Methodology &amp; Sources'!$B$167:$J$179,0,4))*INDEX('Methodology &amp; Sources'!$B$167:$J$179,0,4+2)),SUMPRODUCT(($D48*Inputs!$C$8&gt;INDEX('Methodology &amp; Sources'!$B$155:$J$162,0,1))*($D48*Inputs!$C$8-INDEX('Methodology &amp; Sources'!$B$155:$J$162,0,1))*INDEX('Methodology &amp; Sources'!$B$155:$J$162,0,1+2))))))/Inputs!$C$8,IF($AN48="NY",0.117*$D48,IF($AN48="OH",0.0275*$D48,IF($AN48="OK",0.045*$D48,IF($AN48="OR",0.08*$D48,IF($AN48="WI",IF($AY48&lt;12760,0.0354,IF($AY48&lt;25520,0.0465,IF($AY48&lt;280950,0.053,0.0765)))*$D48,0))))))))))))))))))))</f>
      </c>
      <c r="BD48" s="7">
        <f>IF($B48="","",$BD47+$Q48+$R48+$S48)</f>
      </c>
      <c r="BE48" s="6">
        <f>IF($B48="",$BE47,$BE47+$BF48)</f>
      </c>
      <c r="BF48" s="6">
        <f>IF($B48="","",IF(AND(IF(YEAR(IF(Inputs!$C$7="Weekly",Inputs!$C$90+7*(($BE47+1)-1),IF(Inputs!$C$7="Biweekly",Inputs!$C$90+14*(($BE47+1)-1),IF(Inputs!$C$7="Semimonthly",DATE(YEAR(Inputs!$C$9),MONTH(Inputs!$C$9)+INT((($BE47+1)-1+'Rest of 2026'!$C$2)/2),MIN(DAY(Inputs!$C$9),DAY(EOMONTH(DATE(YEAR(Inputs!$C$9),MONTH(Inputs!$C$9)+INT((($BE47+1)-1+'Rest of 2026'!$C$2)/2),1),0))))+IF(MOD(($BE47+1)-1+'Rest of 2026'!$C$2,2)=1,15,0),EDATE(Inputs!$C$90,($BE47+1)-1)))))&lt;&gt;Inputs!$C$10,"",IF(Inputs!$C$7="Weekly",Inputs!$C$90+7*(($BE47+1)-1),IF(Inputs!$C$7="Biweekly",Inputs!$C$90+14*(($BE47+1)-1),IF(Inputs!$C$7="Semimonthly",DATE(YEAR(Inputs!$C$9),MONTH(Inputs!$C$9)+INT((($BE47+1)-1+'Rest of 2026'!$C$2)/2),MIN(DAY(Inputs!$C$9),DAY(EOMONTH(DATE(YEAR(Inputs!$C$9),MONTH(Inputs!$C$9)+INT((($BE47+1)-1+'Rest of 2026'!$C$2)/2),1),0))))+IF(MOD(($BE47+1)-1+'Rest of 2026'!$C$2,2)=1,15,0),EDATE(Inputs!$C$90,($BE47+1)-1)))))&lt;&gt;"",$B48=IF(YEAR(IF(Inputs!$C$7="Weekly",Inputs!$C$90+7*(($BE47+1)-1),IF(Inputs!$C$7="Biweekly",Inputs!$C$90+14*(($BE47+1)-1),IF(Inputs!$C$7="Semimonthly",DATE(YEAR(Inputs!$C$9),MONTH(Inputs!$C$9)+INT((($BE47+1)-1+'Rest of 2026'!$C$2)/2),MIN(DAY(Inputs!$C$9),DAY(EOMONTH(DATE(YEAR(Inputs!$C$9),MONTH(Inputs!$C$9)+INT((($BE47+1)-1+'Rest of 2026'!$C$2)/2),1),0))))+IF(MOD(($BE47+1)-1+'Rest of 2026'!$C$2,2)=1,15,0),EDATE(Inputs!$C$90,($BE47+1)-1)))))&lt;&gt;Inputs!$C$10,"",IF(Inputs!$C$7="Weekly",Inputs!$C$90+7*(($BE47+1)-1),IF(Inputs!$C$7="Biweekly",Inputs!$C$90+14*(($BE47+1)-1),IF(Inputs!$C$7="Semimonthly",DATE(YEAR(Inputs!$C$9),MONTH(Inputs!$C$9)+INT((($BE47+1)-1+'Rest of 2026'!$C$2)/2),MIN(DAY(Inputs!$C$9),DAY(EOMONTH(DATE(YEAR(Inputs!$C$9),MONTH(Inputs!$C$9)+INT((($BE47+1)-1+'Rest of 2026'!$C$2)/2),1),0))))+IF(MOD(($BE47+1)-1+'Rest of 2026'!$C$2,2)=1,15,0),EDATE(Inputs!$C$90,($BE47+1)-1)))))),1,0))</f>
      </c>
      <c r="BG48" s="7">
        <f>IF($B48="","",$BG47+$H48)</f>
      </c>
      <c r="BH48" s="7">
        <f>IF($B48="","",$BH47+$I48)</f>
      </c>
      <c r="BI48" s="7">
        <f>IF($B48="","",$BI47+$G48)</f>
      </c>
      <c r="BJ48" s="7">
        <f>IF($B48="","",IFERROR(LOOKUP(2,1/((((Events!$C$6:$C$17="Deduction start"))*(Events!$D$6:$D$17="Health FSA"))*(Events!$B$6:$B$17&lt;=$B48)*(Events!$B$6:$B$17&lt;&gt;"")),Events!$E$6:$E$17),Inputs!$D$38))</f>
      </c>
      <c r="BK48" s="7">
        <f>IF($B48="","",IFERROR(LOOKUP(2,1/((((Events!$C$6:$C$17="Deduction start"))*(Events!$D$6:$D$17="Dependent-care FSA"))*(Events!$B$6:$B$17&lt;=$B48)*(Events!$B$6:$B$17&lt;&gt;"")),Events!$E$6:$E$17),Inputs!$D$39))</f>
      </c>
      <c r="BL48" s="7">
        <f>IF($B48="","",IFERROR(LOOKUP(2,1/((((Events!$C$6:$C$17="Deduction start")+(Events!$C$6:$C$17="Deduction stop"))*(Events!$D$6:$D$17="HSA"))*(Events!$B$6:$B$17&lt;=$B48)*(Events!$B$6:$B$17&lt;&gt;"")),Events!$I$6:$I$17),Inputs!$D$35))</f>
      </c>
      <c r="BM48" s="7">
        <f>IF($B48="","",IFERROR(LOOKUP(2,1/((((Events!$C$6:$C$17="Deduction start")+(Events!$C$6:$C$17="Deduction stop"))*(Events!$D$6:$D$17="Premiums"))*(Events!$B$6:$B$17&lt;=$B48)*(Events!$B$6:$B$17&lt;&gt;"")),Events!$I$6:$I$17),Inputs!$D$40+Inputs!$D$41+Inputs!$D$42))</f>
      </c>
      <c r="BN48" s="7">
        <f>IF($B48="","",IFERROR(LOOKUP(2,1/((((Events!$C$6:$C$17="Deduction start")+(Events!$C$6:$C$17="Deduction stop"))*(Events!$D$6:$D$17="Commuter"))*(Events!$B$6:$B$17&lt;=$B48)*(Events!$B$6:$B$17&lt;&gt;"")),Events!$I$6:$I$17),Inputs!$D$43))</f>
      </c>
      <c r="BO48" s="7">
        <f>IF($B48="","",IFERROR(LOOKUP(2,1/((((Events!$C$6:$C$17="Deduction start")+(Events!$C$6:$C$17="Deduction stop"))*(Events!$D$6:$D$17="Other pre-tax"))*(Events!$B$6:$B$17&lt;=$B48)*(Events!$B$6:$B$17&lt;&gt;"")),Events!$I$6:$I$17),Inputs!$D$44))</f>
      </c>
      <c r="BP48" s="7">
        <f>IF($B48="","",IFERROR(LOOKUP(2,1/((((Events!$C$6:$C$17="Deduction start")+(Events!$C$6:$C$17="Deduction stop"))*(Events!$D$6:$D$17="Other post-tax"))*(Events!$B$6:$B$17&lt;=$B48)*(Events!$B$6:$B$17&lt;&gt;"")),Events!$I$6:$I$17),Inputs!$D$45))</f>
      </c>
      <c r="BQ48" s="6">
        <f>IF($B48="","",IFERROR(LOOKUP(2,1/((((Events!$C$6:$C$17="Deduction start")+(Events!$C$6:$C$17="Deduction stop"))*(Events!$D$6:$D$17="Health FSA"))*(Events!$B$6:$B$17&lt;=$B48)*(Events!$B$6:$B$17&lt;&gt;"")),Events!$J$6:$J$17),0))</f>
      </c>
      <c r="BR48" s="6">
        <f>IF($B48="","",IFERROR(LOOKUP(2,1/((((Events!$C$6:$C$17="Deduction start")+(Events!$C$6:$C$17="Deduction stop"))*(Events!$D$6:$D$17="Dependent-care FSA"))*(Events!$B$6:$B$17&lt;=$B48)*(Events!$B$6:$B$17&lt;&gt;"")),Events!$J$6:$J$17),0))</f>
      </c>
      <c r="BS48" s="6">
        <f>IF($B48="","",IF(SUMPRODUCT((Events!$C$6:$C$17="Deduction start")*(Events!$B$6:$B$17&lt;=$B48)*(Events!$B$6:$B$17&lt;&gt;"")*(Events!$D$6:$D$17="Health FSA"))&gt;0,1,0))</f>
      </c>
      <c r="BT48" s="6">
        <f>IF($B48="","",IF(SUMPRODUCT((Events!$C$6:$C$17="Deduction start")*(Events!$B$6:$B$17&lt;=$B48)*(Events!$B$6:$B$17&lt;&gt;"")*(Events!$D$6:$D$17="Dependent-care FSA"))&gt;0,1,0))</f>
      </c>
      <c r="BU48" s="24">
        <f>IF($B48="","",IF(Inputs!$C$13,SUMPRODUCT(($AH48&gt;=INDEX('Methodology &amp; Sources'!$B$29:$J$36,0,IF(Inputs!$C$12="MFJ",1,IF(Inputs!$C$12="HoH",7,4))))*INDEX('Methodology &amp; Sources'!$B$29:$J$36,0,IF(Inputs!$C$12="MFJ",1,IF(Inputs!$C$12="HoH",7,4))+2)),SUMPRODUCT(($AH48&gt;=INDEX('Methodology &amp; Sources'!$B$19:$J$26,0,IF(Inputs!$C$12="MFJ",1,IF(Inputs!$C$12="HoH",7,4))))*INDEX('Methodology &amp; Sources'!$B$19:$J$26,0,IF(Inputs!$C$12="MFJ",1,IF(Inputs!$C$12="HoH",7,4))+2))))</f>
      </c>
      <c r="BV48" s="24">
        <f>IF($B48="","",IF($BZ48&lt;&gt;"",$BZ48,IF($CA48&lt;&gt;"",$CA48,IF($CB48&lt;&gt;"",$CB48,IF($CC48&lt;&gt;"",$CC48,0)))))</f>
      </c>
      <c r="BW48" s="7">
        <f>IF($B48="","",IF($AN48="MD",IF(OR($AU48="Married",$AU48="Head of household"),SUMPRODUCT(($AZ48&gt;INDEX('Methodology &amp; Sources'!$B$114:$J$120,0,1))*($AZ48-INDEX('Methodology &amp; Sources'!$B$114:$J$120,0,1))*INDEX('Methodology &amp; Sources'!$B$114:$J$120,0,1+2)),SUMPRODUCT(($AZ48&gt;INDEX('Methodology &amp; Sources'!$B$103:$J$109,0,7))*($AZ48-INDEX('Methodology &amp; Sources'!$B$103:$J$109,0,7))*INDEX('Methodology &amp; Sources'!$B$103:$J$109,0,7+2))),IF($AN48="MO",SUMPRODUCT(($AZ48&gt;INDEX('Methodology &amp; Sources'!$B$125:$J$132,0,1))*($AZ48-INDEX('Methodology &amp; Sources'!$B$125:$J$132,0,1))*INDEX('Methodology &amp; Sources'!$B$125:$J$132,0,1+2)),IF($AN48="MT",IF($AU48="Head of household",SUMPRODUCT(($AZ48&gt;INDEX('Methodology &amp; Sources'!$B$137:$J$139,0,1))*($AZ48-INDEX('Methodology &amp; Sources'!$B$137:$J$139,0,1))*INDEX('Methodology &amp; Sources'!$B$137:$J$139,0,1+2)),IF($AU48="Married",SUMPRODUCT(($AZ48&gt;INDEX('Methodology &amp; Sources'!$B$125:$J$132,0,7))*($AZ48-INDEX('Methodology &amp; Sources'!$B$125:$J$132,0,7))*INDEX('Methodology &amp; Sources'!$B$125:$J$132,0,7+2)),SUMPRODUCT(($AZ48&gt;INDEX('Methodology &amp; Sources'!$B$125:$J$132,0,4))*($AZ48-INDEX('Methodology &amp; Sources'!$B$125:$J$132,0,4))*INDEX('Methodology &amp; Sources'!$B$125:$J$132,0,4+2)))),IF($AN48="ND",IF($AU48="Head of household",SUMPRODUCT(($AZ48&gt;INDEX('Methodology &amp; Sources'!$B$144:$J$150,0,1))*($AZ48-INDEX('Methodology &amp; Sources'!$B$144:$J$150,0,1))*INDEX('Methodology &amp; Sources'!$B$144:$J$150,0,1+2)),IF($AU48="Married",SUMPRODUCT(($AZ48&gt;INDEX('Methodology &amp; Sources'!$B$137:$J$139,0,7))*($AZ48-INDEX('Methodology &amp; Sources'!$B$137:$J$139,0,7))*INDEX('Methodology &amp; Sources'!$B$137:$J$139,0,7+2)),SUMPRODUCT(($AZ48&gt;INDEX('Methodology &amp; Sources'!$B$137:$J$139,0,4))*($AZ48-INDEX('Methodology &amp; Sources'!$B$137:$J$139,0,4))*INDEX('Methodology &amp; Sources'!$B$137:$J$139,0,4+2)))),IF($AN48="NJ",IF(Inputs!$C$77="B",SUMPRODUCT(($AZ48&gt;INDEX('Methodology &amp; Sources'!$B$155:$J$162,0,4))*($AZ48-INDEX('Methodology &amp; Sources'!$B$155:$J$162,0,4))*INDEX('Methodology &amp; Sources'!$B$155:$J$162,0,4+2)),IF(Inputs!$C$77="C",SUMPRODUCT(($AZ48&gt;INDEX('Methodology &amp; Sources'!$B$155:$J$162,0,7))*($AZ48-INDEX('Methodology &amp; Sources'!$B$155:$J$162,0,7))*INDEX('Methodology &amp; Sources'!$B$155:$J$162,0,7+2)),IF(Inputs!$C$77="D",SUMPRODUCT(($AZ48&gt;INDEX('Methodology &amp; Sources'!$B$167:$J$179,0,1))*($AZ48-INDEX('Methodology &amp; Sources'!$B$167:$J$179,0,1))*INDEX('Methodology &amp; Sources'!$B$167:$J$179,0,1+2)),IF(Inputs!$C$77="E",SUMPRODUCT(($AZ48&gt;INDEX('Methodology &amp; Sources'!$B$167:$J$179,0,4))*($AZ48-INDEX('Methodology &amp; Sources'!$B$167:$J$179,0,4))*INDEX('Methodology &amp; Sources'!$B$167:$J$179,0,4+2)),SUMPRODUCT(($AZ48&gt;INDEX('Methodology &amp; Sources'!$B$155:$J$162,0,1))*($AZ48-INDEX('Methodology &amp; Sources'!$B$155:$J$162,0,1))*INDEX('Methodology &amp; Sources'!$B$155:$J$162,0,1+2)))))),IF($AN48="NY",IF($AU48="Married",IF($AZ48&gt;=2155350,$AZ48*IF($AZ48&gt;25000000,0.117,IF($AZ48&gt;5000000,0.111,0.1045)),SUMPRODUCT(($AZ48&gt;INDEX('Methodology &amp; Sources'!$B$184:$J$198,0,1))*($AZ48-INDEX('Methodology &amp; Sources'!$B$184:$J$198,0,1))*INDEX('Methodology &amp; Sources'!$B$184:$J$198,0,1+2))),IF($AZ48&gt;=1077550,$AZ48*IF($AZ48&gt;25000000,0.117,IF($AZ48&gt;5000000,0.111,0.1045)),SUMPRODUCT(($AZ48&gt;INDEX('Methodology &amp; Sources'!$B$167:$J$179,0,7))*($AZ48-INDEX('Methodology &amp; Sources'!$B$167:$J$179,0,7))*INDEX('Methodology &amp; Sources'!$B$167:$J$179,0,7+2)))),"")))))))</f>
      </c>
      <c r="BX48" s="7">
        <f>IF($B48="","",IF($AN48="AL",IF(OR($AU48="Married",$AU48="Head of household"),SUMPRODUCT(($AZ48&gt;INDEX('Methodology &amp; Sources'!$B$82:$J$86,0,4))*($AZ48-INDEX('Methodology &amp; Sources'!$B$82:$J$86,0,4))*INDEX('Methodology &amp; Sources'!$B$82:$J$86,0,4+2)),SUMPRODUCT(($AZ48&gt;INDEX('Methodology &amp; Sources'!$B$82:$J$86,0,1))*($AZ48-INDEX('Methodology &amp; Sources'!$B$82:$J$86,0,1))*INDEX('Methodology &amp; Sources'!$B$82:$J$86,0,1+2))),IF($AN48="KS",IF($AU48="Married",SUMPRODUCT(($AZ48&gt;INDEX('Methodology &amp; Sources'!$B$103:$J$109,0,4))*($AZ48-INDEX('Methodology &amp; Sources'!$B$103:$J$109,0,4))*INDEX('Methodology &amp; Sources'!$B$103:$J$109,0,4+2)),SUMPRODUCT(($AZ48&gt;INDEX('Methodology &amp; Sources'!$B$103:$J$109,0,1))*($AZ48-INDEX('Methodology &amp; Sources'!$B$103:$J$109,0,1))*INDEX('Methodology &amp; Sources'!$B$103:$J$109,0,1+2))),IF($AN48="MN",IF($AU48="Married",SUMPRODUCT(($AZ48&gt;INDEX('Methodology &amp; Sources'!$B$114:$J$120,0,7))*($AZ48-INDEX('Methodology &amp; Sources'!$B$114:$J$120,0,7))*INDEX('Methodology &amp; Sources'!$B$114:$J$120,0,7+2)),SUMPRODUCT(($AZ48&gt;INDEX('Methodology &amp; Sources'!$B$114:$J$120,0,4))*($AZ48-INDEX('Methodology &amp; Sources'!$B$114:$J$120,0,4))*INDEX('Methodology &amp; Sources'!$B$114:$J$120,0,4+2))),IF($AN48="NE",MAX(IF($AU48="Married",SUMPRODUCT(($AZ48&gt;INDEX('Methodology &amp; Sources'!$B$144:$J$150,0,7))*($AZ48-INDEX('Methodology &amp; Sources'!$B$144:$J$150,0,7))*INDEX('Methodology &amp; Sources'!$B$144:$J$150,0,7+2)),SUMPRODUCT(($AZ48&gt;INDEX('Methodology &amp; Sources'!$B$144:$J$150,0,4))*($AZ48-INDEX('Methodology &amp; Sources'!$B$144:$J$150,0,4))*INDEX('Methodology &amp; Sources'!$B$144:$J$150,0,4+2))),0.015*$AZ48),IF($AN48="OH",IF($B48&gt;=DATE(2027,8,1),SUMPRODUCT(($AZ48&gt;INDEX('Methodology &amp; Sources'!$B$203:$J$206,0,1))*($AZ48-INDEX('Methodology &amp; Sources'!$B$203:$J$206,0,1))*INDEX('Methodology &amp; Sources'!$B$203:$J$206,0,1+2)),SUMPRODUCT(($AZ48&gt;INDEX('Methodology &amp; Sources'!$B$184:$J$198,0,7))*($AZ48-INDEX('Methodology &amp; Sources'!$B$184:$J$198,0,7))*INDEX('Methodology &amp; Sources'!$B$184:$J$198,0,7+2))),IF($AN48="OK",IF($AU48="Married",SUMPRODUCT(($AZ48&gt;INDEX('Methodology &amp; Sources'!$B$203:$J$206,0,7))*($AZ48-INDEX('Methodology &amp; Sources'!$B$203:$J$206,0,7))*INDEX('Methodology &amp; Sources'!$B$203:$J$206,0,7+2)),SUMPRODUCT(($AZ48&gt;INDEX('Methodology &amp; Sources'!$B$203:$J$206,0,4))*($AZ48-INDEX('Methodology &amp; Sources'!$B$203:$J$206,0,4))*INDEX('Methodology &amp; Sources'!$B$203:$J$206,0,4+2))),IF($AN48="RI",SUMPRODUCT(($AZ48&gt;INDEX('Methodology &amp; Sources'!$B$211:$J$214,0,7))*($AZ48-INDEX('Methodology &amp; Sources'!$B$211:$J$214,0,7))*INDEX('Methodology &amp; Sources'!$B$211:$J$214,0,7+2)),IF($AN48="VT",IF($AU48="Married",SUMPRODUCT(($AZ48&gt;INDEX('Methodology &amp; Sources'!$B$228:$J$232,0,1))*($AZ48-INDEX('Methodology &amp; Sources'!$B$228:$J$232,0,1))*INDEX('Methodology &amp; Sources'!$B$228:$J$232,0,1+2)),SUMPRODUCT(($AZ48&gt;INDEX('Methodology &amp; Sources'!$B$219:$J$223,0,7))*($AZ48-INDEX('Methodology &amp; Sources'!$B$219:$J$223,0,7))*INDEX('Methodology &amp; Sources'!$B$219:$J$223,0,7+2))),IF($AN48="WV",IF($AU48="Married",SUMPRODUCT(($AZ48&gt;INDEX('Methodology &amp; Sources'!$B$237:$J$241,0,7))*($AZ48-INDEX('Methodology &amp; Sources'!$B$237:$J$241,0,7))*INDEX('Methodology &amp; Sources'!$B$237:$J$241,0,7+2)),SUMPRODUCT(($AZ48&gt;INDEX('Methodology &amp; Sources'!$B$228:$J$232,0,7))*($AZ48-INDEX('Methodology &amp; Sources'!$B$228:$J$232,0,7))*INDEX('Methodology &amp; Sources'!$B$228:$J$232,0,7+2))),""))))))))))</f>
      </c>
      <c r="BY48" s="7">
        <f>IF($B48="","",IF($AN48="AR",SUMPRODUCT(($AZ48&gt;INDEX('Methodology &amp; Sources'!$B$82:$J$86,0,7))*($AZ48-INDEX('Methodology &amp; Sources'!$B$82:$J$86,0,7))*INDEX('Methodology &amp; Sources'!$B$82:$J$86,0,7+2)),IF($AN48="DE",SUMPRODUCT(($AZ48&gt;INDEX('Methodology &amp; Sources'!$B$91:$J$98,0,1))*($AZ48-INDEX('Methodology &amp; Sources'!$B$91:$J$98,0,1))*INDEX('Methodology &amp; Sources'!$B$91:$J$98,0,1+2)),IF($AN48="HI",IF($AU48="Married",SUMPRODUCT(($AZ48&gt;INDEX('Methodology &amp; Sources'!$B$91:$J$98,0,7))*($AZ48-INDEX('Methodology &amp; Sources'!$B$91:$J$98,0,7))*INDEX('Methodology &amp; Sources'!$B$91:$J$98,0,7+2)),SUMPRODUCT(($AZ48&gt;INDEX('Methodology &amp; Sources'!$B$91:$J$98,0,4))*($AZ48-INDEX('Methodology &amp; Sources'!$B$91:$J$98,0,4))*INDEX('Methodology &amp; Sources'!$B$91:$J$98,0,4+2))),IF($AN48="SC",SUMPRODUCT(($AZ48&gt;INDEX('Methodology &amp; Sources'!$B$219:$J$223,0,1))*($AZ48-INDEX('Methodology &amp; Sources'!$B$219:$J$223,0,1))*INDEX('Methodology &amp; Sources'!$B$219:$J$223,0,1+2)),IF($AN48="VA",SUMPRODUCT(($AZ48&gt;INDEX('Methodology &amp; Sources'!$B$219:$J$223,0,4))*($AZ48-INDEX('Methodology &amp; Sources'!$B$219:$J$223,0,4))*INDEX('Methodology &amp; Sources'!$B$219:$J$223,0,4+2)),IF($AN48="WI",SUMPRODUCT(($AZ48&gt;INDEX('Methodology &amp; Sources'!$B$228:$J$232,0,4))*($AZ48-INDEX('Methodology &amp; Sources'!$B$228:$J$232,0,4))*INDEX('Methodology &amp; Sources'!$B$228:$J$232,0,4+2)),"")))))))</f>
      </c>
      <c r="BZ48" s="24">
        <f>IF($B48="","",IF($AN48="NJ",IF(Inputs!$C$77="B",SUMPRODUCT(($AZ48&gt;=INDEX('Methodology &amp; Sources'!$B$155:$J$162,0,4))*INDEX('Methodology &amp; Sources'!$B$155:$J$162,0,4+2)),IF(Inputs!$C$77="C",SUMPRODUCT(($AZ48&gt;=INDEX('Methodology &amp; Sources'!$B$155:$J$162,0,7))*INDEX('Methodology &amp; Sources'!$B$155:$J$162,0,7+2)),IF(Inputs!$C$77="D",SUMPRODUCT(($AZ48&gt;=INDEX('Methodology &amp; Sources'!$B$167:$J$179,0,1))*INDEX('Methodology &amp; Sources'!$B$167:$J$179,0,1+2)),IF(Inputs!$C$77="E",SUMPRODUCT(($AZ48&gt;=INDEX('Methodology &amp; Sources'!$B$167:$J$179,0,4))*INDEX('Methodology &amp; Sources'!$B$167:$J$179,0,4+2)),SUMPRODUCT(($AZ48&gt;=INDEX('Methodology &amp; Sources'!$B$155:$J$162,0,1))*INDEX('Methodology &amp; Sources'!$B$155:$J$162,0,1+2)))))),IF($AN48="OR",IF(OR($AU48="Married",AND($AU48="Single",$AS48&gt;=3)),SUMPRODUCT((MAX(0,$AY48-MIN(($P48-'Methodology &amp; Sources'!$C$10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Sources'!$B$211:$J$214,0,4))*INDEX('Methodology &amp; Sources'!$B$211:$J$214,0,4+2)),SUMPRODUCT((MAX(0,$AY48-MIN(($P48-'Methodology &amp; Sources'!$C$10*$D48)*Inputs!$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Sources'!$B$211:$J$214,0,1))*INDEX('Methodology &amp; Sources'!$B$211:$J$214,0,1+2)))*IF(($P48-'Methodology &amp; Sources'!$C$10*$D48)*Inputs!$C$8&gt;=IF(OR($AU48="Married",AND($AU48="Single",$AS48&gt;=3)),IF($AY48&lt;250000,8750,IF($AY48&lt;260000,7000,IF($AY48&lt;270000,5250,IF($AY48&lt;280000,3500,IF($AY48&lt;290000,1750,0))))),IF($AY48&lt;125000,8750,IF($AY48&lt;130000,7000,IF($AY48&lt;135000,5250,IF($AY48&lt;140000,3500,IF($AY48&lt;145000,1750,0)))))),1,1-IF(Inputs!$C$13,SUMPRODUCT(($AH48&gt;=INDEX('Methodology &amp; Sources'!$B$29:$J$36,0,IF(Inputs!$C$12="MFJ",1,IF(Inputs!$C$12="HoH",7,4))))*INDEX('Methodology &amp; Sources'!$B$29:$J$36,0,IF(Inputs!$C$12="MFJ",1,IF(Inputs!$C$12="HoH",7,4))+2)),SUMPRODUCT(($AH48&gt;=INDEX('Methodology &amp; Sources'!$B$19:$J$26,0,IF(Inputs!$C$12="MFJ",1,IF(Inputs!$C$12="HoH",7,4))))*INDEX('Methodology &amp; Sources'!$B$19:$J$26,0,IF(Inputs!$C$12="MFJ",1,IF(Inputs!$C$12="HoH",7,4))+2)))),IF($AN48="MI",IF($AY48&gt;5900*$AS48,0.0425,0),""))))</f>
      </c>
      <c r="CA48" s="24">
        <f>IF($B48="","",IF($AN48="AL",IF(OR($AU48="Married",$AU48="Head of household"),SUMPRODUCT(($AZ48&gt;=INDEX('Methodology &amp; Sources'!$B$82:$J$86,0,4))*INDEX('Methodology &amp; Sources'!$B$82:$J$86,0,4+2)),SUMPRODUCT(($AZ48&gt;=INDEX('Methodology &amp; Sources'!$B$82:$J$86,0,1))*INDEX('Methodology &amp; Sources'!$B$82:$J$86,0,1+2)))*(1-IF(Inputs!$C$13,SUMPRODUCT(($AH48&gt;=INDEX('Methodology &amp; Sources'!$B$29:$J$36,0,IF(Inputs!$C$12="MFJ",1,IF(Inputs!$C$12="HoH",7,4))))*INDEX('Methodology &amp; Sources'!$B$29:$J$36,0,IF(Inputs!$C$12="MFJ",1,IF(Inputs!$C$12="HoH",7,4))+2)),SUMPRODUCT(($AH48&gt;=INDEX('Methodology &amp; Sources'!$B$19:$J$26,0,IF(Inputs!$C$12="MFJ",1,IF(Inputs!$C$12="HoH",7,4))))*INDEX('Methodology &amp; Sources'!$B$19:$J$26,0,IF(Inputs!$C$12="MFJ",1,IF(Inputs!$C$12="HoH",7,4))+2)))),IF($AN48="KS",IF($AU48="Married",SUMPRODUCT(($AZ48&gt;=INDEX('Methodology &amp; Sources'!$B$103:$J$109,0,4))*INDEX('Methodology &amp; Sources'!$B$103:$J$109,0,4+2)),SUMPRODUCT(($AZ48&gt;=INDEX('Methodology &amp; Sources'!$B$103:$J$109,0,1))*INDEX('Methodology &amp; Sources'!$B$103:$J$109,0,1+2))),IF($AN48="MD",IF(OR($AU48="Married",$AU48="Head of household"),SUMPRODUCT(($AZ48&gt;=INDEX('Methodology &amp; Sources'!$B$114:$J$120,0,1))*INDEX('Methodology &amp; Sources'!$B$114:$J$120,0,1+2)),SUMPRODUCT(($AZ48&gt;=INDEX('Methodology &amp; Sources'!$B$103:$J$109,0,7))*INDEX('Methodology &amp; Sources'!$B$103:$J$109,0,7+2)))+Inputs!$C$74,IF($AN48="MT",IF($AU48="Head of household",SUMPRODUCT(($AZ48&gt;=INDEX('Methodology &amp; Sources'!$B$137:$J$139,0,1))*INDEX('Methodology &amp; Sources'!$B$137:$J$139,0,1+2)),IF($AU48="Married",SUMPRODUCT(($AZ48&gt;=INDEX('Methodology &amp; Sources'!$B$125:$J$132,0,7))*INDEX('Methodology &amp; Sources'!$B$125:$J$132,0,7+2)),SUMPRODUCT(($AZ48&gt;=INDEX('Methodology &amp; Sources'!$B$125:$J$132,0,4))*INDEX('Methodology &amp; Sources'!$B$125:$J$132,0,4+2)))),IF($AN48="ND",IF($AU48="Head of household",SUMPRODUCT(($AZ48&gt;=INDEX('Methodology &amp; Sources'!$B$144:$J$150,0,1))*INDEX('Methodology &amp; Sources'!$B$144:$J$150,0,1+2)),IF($AU48="Married",SUMPRODUCT(($AZ48&gt;=INDEX('Methodology &amp; Sources'!$B$137:$J$139,0,7))*INDEX('Methodology &amp; Sources'!$B$137:$J$139,0,7+2)),SUMPRODUCT(($AZ48&gt;=INDEX('Methodology &amp; Sources'!$B$137:$J$139,0,4))*INDEX('Methodology &amp; Sources'!$B$137:$J$139,0,4+2)))),IF($AN48="NY",IF($AU48="Married",IF($AZ48&gt;=2155350,IF($AZ48&gt;25000000,0.117,IF($AZ48&gt;5000000,0.111,0.1045)),SUMPRODUCT(($AZ48&gt;=INDEX('Methodology &amp; Sources'!$B$184:$J$198,0,1))*INDEX('Methodology &amp; Sources'!$B$184:$J$198,0,1+2))),IF($AZ48&gt;=1077550,IF($AZ48&gt;25000000,0.117,IF($AZ48&gt;5000000,0.111,0.1045)),SUMPRODUCT(($AZ48&gt;=INDEX('Methodology &amp; Sources'!$B$167:$J$179,0,7))*INDEX('Methodology &amp; Sources'!$B$167:$J$179,0,7+2)))),"")))))))</f>
      </c>
      <c r="CB48" s="24">
        <f>IF($B48="","",IF($AN48="CA",SUMPRODUCT(($AJ48&gt;=INDEX('Methodology &amp; Sources'!$B$39:$J$48,0,IF($AU48="Married",4,IF($AU48="Head of household",7,1))))*INDEX('Methodology &amp; Sources'!$B$39:$J$48,0,IF($AU48="Married",4,IF($AU48="Head of household",7,1))+2)),IF($AN48="HI",IF($AU48="Married",SUMPRODUCT(($AZ48&gt;=INDEX('Methodology &amp; Sources'!$B$91:$J$98,0,7))*INDEX('Methodology &amp; Sources'!$B$91:$J$98,0,7+2)),SUMPRODUCT(($AZ48&gt;=INDEX('Methodology &amp; Sources'!$B$91:$J$98,0,4))*INDEX('Methodology &amp; Sources'!$B$91:$J$98,0,4+2))),IF($AN48="MN",IF($AU48="Married",SUMPRODUCT(($AZ48&gt;=INDEX('Methodology &amp; Sources'!$B$114:$J$120,0,7))*INDEX('Methodology &amp; Sources'!$B$114:$J$120,0,7+2)),SUMPRODUCT(($AZ48&gt;=INDEX('Methodology &amp; Sources'!$B$114:$J$120,0,4))*INDEX('Methodology &amp; Sources'!$B$114:$J$120,0,4+2))),IF($AN48="MO",SUMPRODUCT(($AZ48&gt;=INDEX('Methodology &amp; Sources'!$B$125:$J$132,0,1))*INDEX('Methodology &amp; Sources'!$B$125:$J$132,0,1+2)),IF($AN48="NE",MAX(IF($AU48="Married",SUMPRODUCT(($AZ48&gt;=INDEX('Methodology &amp; Sources'!$B$144:$J$150,0,7))*INDEX('Methodology &amp; Sources'!$B$144:$J$150,0,7+2)),SUMPRODUCT(($AZ48&gt;=INDEX('Methodology &amp; Sources'!$B$144:$J$150,0,4))*INDEX('Methodology &amp; Sources'!$B$144:$J$150,0,4+2))),0.015),IF($AN48="OH",IF($B48&gt;=DATE(2027,8,1),SUMPRODUCT(($AZ48&gt;=INDEX('Methodology &amp; Sources'!$B$203:$J$206,0,1))*INDEX('Methodology &amp; Sources'!$B$203:$J$206,0,1+2)),SUMPRODUCT(($AZ48&gt;=INDEX('Methodology &amp; Sources'!$B$184:$J$198,0,7))*INDEX('Methodology &amp; Sources'!$B$184:$J$198,0,7+2))),IF($AN48="OK",IF($AU48="Married",SUMPRODUCT(($AZ48&gt;=INDEX('Methodology &amp; Sources'!$B$203:$J$206,0,7))*INDEX('Methodology &amp; Sources'!$B$203:$J$206,0,7+2)),SUMPRODUCT(($AZ48&gt;=INDEX('Methodology &amp; Sources'!$B$203:$J$206,0,4))*INDEX('Methodology &amp; Sources'!$B$203:$J$206,0,4+2))),IF($AN48="RI",SUMPRODUCT(($AZ48&gt;=INDEX('Methodology &amp; Sources'!$B$211:$J$214,0,7))*INDEX('Methodology &amp; Sources'!$B$211:$J$214,0,7+2)),IF($AN48="SC",SUMPRODUCT(($AZ48&gt;=INDEX('Methodology &amp; Sources'!$B$219:$J$223,0,1))*INDEX('Methodology &amp; Sources'!$B$219:$J$223,0,1+2)),IF($AN48="VT",IF($AU48="Married",SUMPRODUCT(($AZ48&gt;=INDEX('Methodology &amp; Sources'!$B$228:$J$232,0,1))*INDEX('Methodology &amp; Sources'!$B$228:$J$232,0,1+2)),SUMPRODUCT(($AZ48&gt;=INDEX('Methodology &amp; Sources'!$B$219:$J$223,0,7))*INDEX('Methodology &amp; Sources'!$B$219:$J$223,0,7+2))),IF($AN48="WV",IF($AU48="Married",SUMPRODUCT(($AZ48&gt;=INDEX('Methodology &amp; Sources'!$B$237:$J$241,0,7))*INDEX('Methodology &amp; Sources'!$B$237:$J$241,0,7+2)),SUMPRODUCT(($AZ48&gt;=INDEX('Methodology &amp; Sources'!$B$228:$J$232,0,7))*INDEX('Methodology &amp; Sources'!$B$228:$J$232,0,7+2))),IF($AN48="IN",(0.0295+Inputs!$C$76),"")))))))))))))</f>
      </c>
      <c r="CC48" s="24">
        <f>IF($B48="","",IF($AN48="AR",SUMPRODUCT(($AZ48&gt;=INDEX('Methodology &amp; Sources'!$B$82:$J$86,0,7))*INDEX('Methodology &amp; Sources'!$B$82:$J$86,0,7+2)),IF($AN48="DE",SUMPRODUCT(($AZ48&gt;=INDEX('Methodology &amp; Sources'!$B$91:$J$98,0,1))*INDEX('Methodology &amp; Sources'!$B$91:$J$98,0,1+2)),IF($AN48="VA",SUMPRODUCT(($AZ48&gt;=INDEX('Methodology &amp; Sources'!$B$219:$J$223,0,4))*INDEX('Methodology &amp; Sources'!$B$219:$J$223,0,4+2)),IF($AN48="WI",SUMPRODUCT(($AZ48&gt;=INDEX('Methodology &amp; Sources'!$B$228:$J$232,0,4))*INDEX('Methodology &amp; Sources'!$B$228:$J$232,0,4+2)),IF($AN48="AZ",Inputs!$C$82,IF($AN48="CO",IF($AY48&gt;IF($AU48="Married",10000,5000),0.044,0),IF($AN48="IA",IF($AY48&gt;IF($AU48="Head of household",19500,IF($AU48="Married",26000,13000)),0.038,0),IF($AN48="ID",IF($AY48&gt;IF($AU48="Married",32000,16094),0.053,0),IF($AN48="IL",IF($AY48&gt;(2925*$AS48+1000*$AT48),0.0495,0),IF($AN48="KY",IF($AI48&gt;3360,0.035,0),IF($AN48="LA",0.0309,IF($AN48="MA",IF(MAX(0,$AY48-MIN(($BD47+$Q48+$R48+$S48),2000)-IF($AS48=0,0,IF($AS48=1,4400,1000*$AS48+3400)))&gt;=1107750,0.09,0.05),IF($AN48="MS",IF($AI48-IF($AU48="Head of household",3400,IF($AU48="Married",4600,2300))-Inputs!$C$85&gt;10000,0.04,0),IF($AN48="PA",0.0307,"")))))))))))))))</f>
      </c>
      <c r="CD48" s="21">
        <f>IF(YEAR(IF(Inputs!$C$7="Weekly",Inputs!$C$90+7*(($BE47+1)-1),IF(Inputs!$C$7="Biweekly",Inputs!$C$90+14*(($BE47+1)-1),IF(Inputs!$C$7="Semimonthly",DATE(YEAR(Inputs!$C$9),MONTH(Inputs!$C$9)+INT((($BE47+1)-1+'Rest of 2026'!$C$2)/2),MIN(DAY(Inputs!$C$9),DAY(EOMONTH(DATE(YEAR(Inputs!$C$9),MONTH(Inputs!$C$9)+INT((($BE47+1)-1+'Rest of 2026'!$C$2)/2),1),0))))+IF(MOD(($BE47+1)-1+'Rest of 2026'!$C$2,2)=1,15,0),EDATE(Inputs!$C$90,($BE47+1)-1)))))&lt;&gt;Inputs!$C$10,"",IF(Inputs!$C$7="Weekly",Inputs!$C$90+7*(($BE47+1)-1),IF(Inputs!$C$7="Biweekly",Inputs!$C$90+14*(($BE47+1)-1),IF(Inputs!$C$7="Semimonthly",DATE(YEAR(Inputs!$C$9),MONTH(Inputs!$C$9)+INT((($BE47+1)-1+'Rest of 2026'!$C$2)/2),MIN(DAY(Inputs!$C$9),DAY(EOMONTH(DATE(YEAR(Inputs!$C$9),MONTH(Inputs!$C$9)+INT((($BE47+1)-1+'Rest of 2026'!$C$2)/2),1),0))))+IF(MOD(($BE47+1)-1+'Rest of 2026'!$C$2,2)=1,15,0),EDATE(Inputs!$C$90,($BE47+1)-1)))))</f>
      </c>
      <c r="CE48" s="21">
        <f>IF(SUMPRODUCT(MIN(IF((Inputs!$C$58:$C$67&gt;MAX($B$6:$B47))*(Inputs!$C$58:$C$67&gt;=DATE(Inputs!$C$10,1,1))*(Inputs!$C$58:$C$67&lt;=DATE(Inputs!$C$10,12,31)),Inputs!$C$58:$C$67,999999)))=999999,"",SUMPRODUCT(MIN(IF((Inputs!$C$58:$C$67&gt;MAX($B$6:$B47))*(Inputs!$C$58:$C$67&gt;=DATE(Inputs!$C$10,1,1))*(Inputs!$C$58:$C$67&lt;=DATE(Inputs!$C$10,12,31)),Inputs!$C$58:$C$67,999999))))</f>
      </c>
    </row>
    <row r="49">
      <c r="A49" t="n">
        <v>44</v>
      </c>
      <c r="B49" s="21">
        <f>IF(AND($CD49="",$CE49=""),"",IF($CE49="",$CD49,IF($CD49="",$CE49,MIN($CD49,$CE49))))</f>
      </c>
      <c r="C49" s="7">
        <f>IF($B49="","",IF($BF49=0,0,IF(Inputs!$C$4="Annual salary",ROUND($AK49/IF(AND(Inputs!$C$88="Actual paydays",MONTH(Inputs!$C$90)=1),MAX(1,MAX($BE$6:$BE$68)),Inputs!$C$8),2),$AK49)))</f>
      </c>
      <c r="D49" s="7">
        <f>IF($B49="","",SUMIF(Inputs!$C$58:$C$67,$B49,Inputs!$D$58:$D$67))</f>
      </c>
      <c r="E49" s="7">
        <f>IF($B49="","",ROUND(MAX(0,MIN(IF($AL49="Percent",$AM49*($C49+$D49),$AM49),MAX(0,Inputs!$C$34-$AC48))),2))</f>
      </c>
      <c r="F49" s="7">
        <f>IF($B49="","",ROUND(MAX(0,MIN(IF(Inputs!$C$32="Percent",Inputs!$D$32*($C49+$D49),Inputs!$D$32),MAX(0,Inputs!$C$34-$AC48-$E49))),2))</f>
      </c>
      <c r="G49" s="7">
        <f>IF($B49="","",IF($BF49=0,0,ROUND(MAX(0,MIN($BL49,Inputs!$C$37-Inputs!$C$99-$BI48)),2)))</f>
      </c>
      <c r="H49" s="7">
        <f>IF($B49="","",IF(OR($BF49=0,$BQ49=1),0,ROUND(MAX(0,MIN(IF($BS49=1,ROUND(MAX(0,MIN($BJ49,'Methodology &amp; Sources'!$C$13)-$BG48)/MAX(1,MAX($BE$6:$BE$68)-($BE48)),2),ROUND(MIN($BJ49,'Methodology &amp; Sources'!$C$13)/Inputs!$C$8,2)),MIN($BJ49,'Methodology &amp; Sources'!$C$13)-$BG48)),2)))</f>
      </c>
      <c r="I49" s="7">
        <f>IF($B49="","",IF(OR($BF49=0,$BR49=1),0,ROUND(MAX(0,MIN(IF($BT49=1,ROUND(MAX(0,MIN($BK49,IF(Inputs!$C$12="MFJ",'Methodology &amp; Sources'!$C$14,'Methodology &amp; Sources'!$C$15))-$BH48)/MAX(1,MAX($BE$6:$BE$68)-($BE48)),2),ROUND(MIN($BK49,IF(Inputs!$C$12="MFJ",'Methodology &amp; Sources'!$C$14,'Methodology &amp; Sources'!$C$15))/Inputs!$C$8,2)),MIN($BK49,IF(Inputs!$C$12="MFJ",'Methodology &amp; Sources'!$C$14,'Methodology &amp; Sources'!$C$15))-$BH48)),2)))</f>
      </c>
      <c r="J49" s="7">
        <f>IF($B49="","",IF($BF49=0,0,$BM49))</f>
      </c>
      <c r="K49" s="7">
        <f>IF($B49="","",IF($BF49=0,0,$BN49+$BO49))</f>
      </c>
      <c r="L49" s="7">
        <f>IF($B49="","",IF($BF49=0,0,Inputs!$D$46))</f>
      </c>
      <c r="M49" s="7">
        <f>IF($B49="","",$C49+$D49+$L49-$E49-$G49-$H49-$I49-$J49-$K49)</f>
      </c>
      <c r="N49" s="7">
        <f>IF($B49="","",$C49+$D49+$L49-$G49-$H49-$I49-$J49-$K49)</f>
      </c>
      <c r="O49" s="7">
        <f>IF($B49="","",$C49+$D49+$L49-$E49-$H49-$I49-$J49-$K49-IF(OR($AN49="CA",$AN49="NJ"),0,$G49))</f>
      </c>
      <c r="P49" s="7">
        <f>IF($B49="","",IF(Inputs!$C$18,0,ROUND(MAX(0,IF(Inputs!$C$13,SUMPRODUCT(($AH49&gt;INDEX('Methodology &amp; Sources'!$B$29:$J$36,0,IF(Inputs!$C$12="MFJ",1,IF(Inputs!$C$12="HoH",7,4))))*($AH49-INDEX('Methodology &amp; Sources'!$B$29:$J$36,0,IF(Inputs!$C$12="MFJ",1,IF(Inputs!$C$12="HoH",7,4))))*INDEX('Methodology &amp; Sources'!$B$29:$J$36,0,IF(Inputs!$C$12="MFJ",1,IF(Inputs!$C$12="HoH",7,4))+2)),SUMPRODUCT(($AH49&gt;INDEX('Methodology &amp; Sources'!$B$19:$J$26,0,IF(Inputs!$C$12="MFJ",1,IF(Inputs!$C$12="HoH",7,4))))*($AH49-INDEX('Methodology &amp; Sources'!$B$19:$J$26,0,IF(Inputs!$C$12="MFJ",1,IF(Inputs!$C$12="HoH",7,4))))*INDEX('Methodology &amp; Sources'!$B$19:$J$26,0,IF(Inputs!$C$12="MFJ",1,IF(Inputs!$C$12="HoH",7,4))+2)))/Inputs!$C$8-$AO49/Inputs!$C$8)+$AR49+IF(Inputs!$C$89="Aggregate",MAX(0,IF(Inputs!$C$13,SUMPRODUCT((($AH49+$D49)&gt;INDEX('Methodology &amp; Sources'!$B$29:$J$36,0,IF(Inputs!$C$12="MFJ",1,IF(Inputs!$C$12="HoH",7,4))))*(($AH49+$D49)-INDEX('Methodology &amp; Sources'!$B$29:$J$36,0,IF(Inputs!$C$12="MFJ",1,IF(Inputs!$C$12="HoH",7,4))))*INDEX('Methodology &amp; Sources'!$B$29:$J$36,0,IF(Inputs!$C$12="MFJ",1,IF(Inputs!$C$12="HoH",7,4))+2)),SUMPRODUCT((($AH49+$D49)&gt;INDEX('Methodology &amp; Sources'!$B$19:$J$26,0,IF(Inputs!$C$12="MFJ",1,IF(Inputs!$C$12="HoH",7,4))))*(($AH49+$D49)-INDEX('Methodology &amp; Sources'!$B$19:$J$26,0,IF(Inputs!$C$12="MFJ",1,IF(Inputs!$C$12="HoH",7,4))))*INDEX('Methodology &amp; Sources'!$B$19:$J$26,0,IF(Inputs!$C$12="MFJ",1,IF(Inputs!$C$12="HoH",7,4))+2)))-IF(Inputs!$C$13,SUMPRODUCT(($AH49&gt;INDEX('Methodology &amp; Sources'!$B$29:$J$36,0,IF(Inputs!$C$12="MFJ",1,IF(Inputs!$C$12="HoH",7,4))))*($AH49-INDEX('Methodology &amp; Sources'!$B$29:$J$36,0,IF(Inputs!$C$12="MFJ",1,IF(Inputs!$C$12="HoH",7,4))))*INDEX('Methodology &amp; Sources'!$B$29:$J$36,0,IF(Inputs!$C$12="MFJ",1,IF(Inputs!$C$12="HoH",7,4))+2)),SUMPRODUCT(($AH49&gt;INDEX('Methodology &amp; Sources'!$B$19:$J$26,0,IF(Inputs!$C$12="MFJ",1,IF(Inputs!$C$12="HoH",7,4))))*($AH49-INDEX('Methodology &amp; Sources'!$B$19:$J$26,0,IF(Inputs!$C$12="MFJ",1,IF(Inputs!$C$12="HoH",7,4))))*INDEX('Methodology &amp; Sources'!$B$19:$J$26,0,IF(Inputs!$C$12="MFJ",1,IF(Inputs!$C$12="HoH",7,4))+2)))),'Methodology &amp; Sources'!$C$10*$D49),2)))</f>
      </c>
      <c r="Q49" s="7">
        <f>IF($B49="","",ROUND('Methodology &amp; Sources'!$C$4*MIN($N49,MAX(0,'Methodology &amp; Sources'!$C$3-($AX49+$AB48-$AW49))),2))</f>
      </c>
      <c r="R49" s="7">
        <f>IF($B49="","",ROUND('Methodology &amp; Sources'!$C$5*$N49,2))</f>
      </c>
      <c r="S49" s="7">
        <f>IF($B49="","",ROUND('Methodology &amp; Sources'!$C$6*MAX(0,MIN($N49,$AG48+$N49-'Methodology &amp; Sources'!$C$7)),2))</f>
      </c>
      <c r="T49" s="7">
        <f>IF($B49="","",IF(Inputs!$C$26,0,IF($AN49="CA",ROUND(IF($AI49&lt;=IF(($AS49+$AT49)&gt;=2,VLOOKUP($AN49,StateTables!$A$6:$AB$56,10,FALSE),VLOOKUP($AN49,StateTables!$A$6:$AB$56,9,FALSE)),0,MAX(0,SUMPRODUCT(($AJ49&gt;INDEX('Methodology &amp; Sources'!$B$39:$J$48,0,IF($AU49="Married",4,IF($AU49="Head of household",7,1))))*($AJ49-INDEX('Methodology &amp; Sources'!$B$39:$J$48,0,IF($AU49="Married",4,IF($AU49="Head of household",7,1))))*INDEX('Methodology &amp; Sources'!$B$39:$J$48,0,IF($AU49="Married",4,IF($AU49="Head of household",7,1))+2))-VLOOKUP($AN49,StateTables!$A$6:$AB$56,11,FALSE)*$AS49)/Inputs!$C$8)+Inputs!$C$25+VLOOKUP($AN49,StateTables!$A$6:$AB$56,13,FALSE)*$D49,2),IF(VLOOKUP($AN49,StateTables!$A$6:$AB$56,4,FALSE)="None",0,IF(ISNUMBER(SEARCH("MANUAL",VLOOKUP($AN49,StateTables!$A$6:$AB$56,5,FALSE))),Inputs!$C$28,ROUND(MAX(0,$BA49+$BB49)/Inputs!$C$8+Inputs!$C$25+$BC49,2))))))</f>
      </c>
      <c r="U49" s="7">
        <f>IF($B49="","",IF(VLOOKUP($AN49,StateTables!$A$6:$AB$56,24,FALSE)="flatq",IF(OR(MONTH($B49)=1,MONTH($B49)=4,MONTH($B49)=7,MONTH($B49)=10),VLOOKUP($AN49,StateTables!$A$6:$AB$56,25,FALSE),0),IF(VLOOKUP($AN49,StateTables!$A$6:$AB$56,24,FALSE)="dbl",MIN(ROUND(0.005*$N49,2),ROUND(0.6*52/Inputs!$C$8,2)),IF(OR(VLOOKUP($AN49,StateTables!$A$6:$AB$56,15,FALSE)="",VLOOKUP($AN49,StateTables!$A$6:$AB$56,15,FALSE)=0),0,ROUND(VLOOKUP($AN49,StateTables!$A$6:$AB$56,15,FALSE)*IF(OR(VLOOKUP($AN49,StateTables!$A$6:$AB$56,16,FALSE)="",VLOOKUP($AN49,StateTables!$A$6:$AB$56,16,FALSE)=0),$N49,MIN($N49,MAX(0,VLOOKUP($AN49,StateTables!$A$6:$AB$56,16,FALSE)-($AX49+$AB48-$AW49)))),2))))+IF(VLOOKUP($AN49,StateTables!$A$6:$AB$56,27,FALSE)="flatq",IF(OR(MONTH($B49)=1,MONTH($B49)=4,MONTH($B49)=7,MONTH($B49)=10),VLOOKUP($AN49,StateTables!$A$6:$AB$56,28,FALSE),0),IF(VLOOKUP($AN49,StateTables!$A$6:$AB$56,27,FALSE)="dbl",MIN(ROUND(0.005*$N49,2),ROUND(0.6*52/Inputs!$C$8,2)),IF(OR(VLOOKUP($AN49,StateTables!$A$6:$AB$56,18,FALSE)="",VLOOKUP($AN49,StateTables!$A$6:$AB$56,18,FALSE)=0),0,ROUND(VLOOKUP($AN49,StateTables!$A$6:$AB$56,18,FALSE)*IF(OR(VLOOKUP($AN49,StateTables!$A$6:$AB$56,19,FALSE)="",VLOOKUP($AN49,StateTables!$A$6:$AB$56,19,FALSE)=0),$N49,MIN($N49,MAX(0,VLOOKUP($AN49,StateTables!$A$6:$AB$56,19,FALSE)-($AX49+$AB48-$AW49)))),2)))))</f>
      </c>
      <c r="V49" s="7">
        <f>IF($B49="","",IF($AN49="NY",IF(Inputs!$C$78,ROUND(SUMPRODUCT((MAX(0,($O49-$D49)*Inputs!$C$8-(IF($AU49="Married",5500,5000)+1000*$AS49))&gt;INDEX('Methodology &amp; Sources'!$B$184:$J$198,0,4))*(MAX(0,($O49-$D49)*Inputs!$C$8-(IF($AU49="Married",5500,5000)+1000*$AS49))-INDEX('Methodology &amp; Sources'!$B$184:$J$198,0,4))*INDEX('Methodology &amp; Sources'!$B$184:$J$198,0,4+2))/Inputs!$C$8+0.0425*$D49,2),0)+IF(Inputs!$C$79="Resident",ROUND(0.1675*$T49,2),IF(Inputs!$C$79="Nonresident",ROUND(0.005*MAX(0,($O49-$D49)-(IF($AU49="Married",7950,7400)+1000*$AS49)/Inputs!$C$8),2),0)),IF($AN49="PA",IF(Inputs!$C$80="None",Inputs!$C$27+ROUND(Inputs!$C$81*($C49+$D49),2),ROUND(IF(Inputs!$C$80="Resident",IF($B49&lt;DATE(2027,7,1),0.03735,0.03735),IF($B49&lt;DATE(2027,7,1),0.03425,0.03425))*($C49+$D49),2)),IF($BF49=0,ROUND(Inputs!$C$81*($C49+$D49),2),Inputs!$C$27+ROUND(Inputs!$C$81*($C49+$D49),2)))))</f>
      </c>
      <c r="W49" s="7">
        <f>IF($B49="","",IF($BF49=0,0,$BP49))</f>
      </c>
      <c r="X49" s="7">
        <f>IF($B49="","",SUM($E49:$K49)+$P49+$Q49+$R49+$S49+$T49+$U49+$V49+$W49)</f>
      </c>
      <c r="Y49" s="22">
        <f>IF($B49="","",$C49+$D49-$X49)</f>
      </c>
      <c r="Z49" s="7">
        <f>IF($B49="","",$Z48+$C49+$D49)</f>
      </c>
      <c r="AA49" s="7">
        <f>IF($B49="","",$AA48+$Y49)</f>
      </c>
      <c r="AB49" s="7">
        <f>IF($B49="","",$AB48+MIN($N49,MAX(0,'Methodology &amp; Sources'!$C$3-($AX49+$AB48-$AW49))))</f>
      </c>
      <c r="AC49" s="7">
        <f>IF($B49="","",$AC48+$E49+$F49)</f>
      </c>
      <c r="AD49" s="3">
        <f>IF($B49="","",IF(AND($AB48&lt;'Methodology &amp; Sources'!$C$3,$AB49&gt;='Methodology &amp; Sources'!$C$3),"★ Social Security maxed on this check — from the next check your net rises by about $"&amp;TEXT(ROUND('Methodology &amp; Sources'!$C$4*$N49,2),"#,##0.00")&amp;". ","")&amp;IF(AND($AC48&lt;Inputs!$C$34,$AC49&gt;=Inputs!$C$34),"★ 401(k) reaches the $"&amp;TEXT(Inputs!$C$34,"#,##0")&amp;" cap on this check — deferrals stop and net pay rises. ","")&amp;IF(AND($AG48&lt;'Methodology &amp; Sources'!$C$7,$AG49&gt;='Methodology &amp; Sources'!$C$7),"★ Wages pass $200,000 — the 0.9% Additional Medicare Tax starts here. ","")&amp;IF(AND($BJ49&gt;0,$H49&gt;0,$BG48&lt;MIN($BJ49,'Methodology &amp; Sources'!$C$13),$BG48+$H49&gt;=MIN($BJ49,'Methodology &amp; Sources'!$C$13)),"★ Health FSA election is now fully deferred for the year. ",""))</f>
      </c>
      <c r="AE49" s="41" t="n"/>
      <c r="AF49" s="7">
        <f>IF(OR($B49="",$AE49=""),"",$AE49-$Y49)</f>
      </c>
      <c r="AG49" s="7">
        <f>IF($B49="","",$AG48+$N49)</f>
      </c>
      <c r="AH49" s="7">
        <f>IF($B49="","",MAX(0,($M49-$D49)*Inputs!$C$8+$AP49-$AQ49-IF(Inputs!$C$13,0,IF(Inputs!$C$12="MFJ",'Methodology &amp; Sources'!$C$8,'Methodology &amp; Sources'!$C$9))))</f>
      </c>
      <c r="AI49" s="7">
        <f>IF($B49="","",$O49*Inputs!$C$8)</f>
      </c>
      <c r="AJ49" s="7">
        <f>IF($B49="","",MAX(0,$AI49-VLOOKUP($AN49,StateTables!$A$6:$AB$56,12,FALSE)*$AT49-IF(($AS49+$AT49)&gt;=2,VLOOKUP($AN49,StateTables!$A$6:$AB$56,8,FALSE),VLOOKUP($AN49,StateTables!$A$6:$AB$56,7,FALSE))))</f>
      </c>
      <c r="AK49" s="7">
        <f>IF($B49="","",IFERROR(LOOKUP(2,1/((Events!$C$6:$C$17="Salary change")*(Events!$B$6:$B$17&lt;=$B49)*(Events!$B$6:$B$17&lt;&gt;"")),Events!$D$6:$D$17),IF(Inputs!$C$4="Annual salary",Inputs!$C$5,Inputs!$C$6)))</f>
      </c>
      <c r="AL49">
        <f>IF($B49="","",IFERROR(LOOKUP(2,1/((Events!$C$6:$C$17="401(k) change")*(Events!$B$6:$B$17&lt;=$B49)*(Events!$B$6:$B$17&lt;&gt;"")),Events!$D$6:$D$17),Inputs!$C$30))</f>
      </c>
      <c r="AM49" s="7">
        <f>IF($B49="","",IFERROR(LOOKUP(2,1/((Events!$C$6:$C$17="401(k) change")*(Events!$B$6:$B$17&lt;=$B49)*(Events!$B$6:$B$17&lt;&gt;"")),Events!$E$6:$E$17),Inputs!$D$30))</f>
      </c>
      <c r="AN49">
        <f>IF($B49="","",IFERROR(LOOKUP(2,1/((Events!$C$6:$C$17="State move")*(Events!$B$6:$B$17&lt;=$B49)*(Events!$B$6:$B$17&lt;&gt;"")),Events!$D$6:$D$17),Inputs!$C$21))</f>
      </c>
      <c r="AO49" s="7">
        <f>IF($B49="","",IFERROR(LOOKUP(2,1/((Events!$C$6:$C$17="W-4 change")*(Events!$B$6:$B$17&lt;=$B49)*(Events!$B$6:$B$17&lt;&gt;"")),Events!$D$6:$D$17),Inputs!$C$14))</f>
      </c>
      <c r="AP49" s="7">
        <f>IF($B49="","",IFERROR(LOOKUP(2,1/((Events!$C$6:$C$17="W-4 change")*(Events!$B$6:$B$17&lt;=$B49)*(Events!$B$6:$B$17&lt;&gt;"")),Events!$E$6:$E$17),Inputs!$C$15))</f>
      </c>
      <c r="AQ49" s="7">
        <f>IF($B49="","",IFERROR(LOOKUP(2,1/((Events!$C$6:$C$17="W-4 change")*(Events!$B$6:$B$17&lt;=$B49)*(Events!$B$6:$B$17&lt;&gt;"")),Events!$F$6:$F$17),Inputs!$C$16))</f>
      </c>
      <c r="AR49" s="7">
        <f>IF($B49="","",IFERROR(LOOKUP(2,1/((Events!$C$6:$C$17="W-4 change")*(Events!$B$6:$B$17&lt;=$B49)*(Events!$B$6:$B$17&lt;&gt;"")),Events!$G$6:$G$17),Inputs!$C$17))</f>
      </c>
      <c r="AS49" s="6">
        <f>IF($B49="","",IFERROR(LOOKUP(2,1/(((Events!$C$6:$C$17="State move")+(Events!$C$6:$C$17="State cert change"))*(Events!$B$6:$B$17&lt;=$B49)*(Events!$B$6:$B$17&lt;&gt;"")),Events!$F$6:$F$17),Inputs!$C$23))</f>
      </c>
      <c r="AT49" s="6">
        <f>IF($B49="","",IFERROR(LOOKUP(2,1/(((Events!$C$6:$C$17="State move")+(Events!$C$6:$C$17="State cert change"))*(Events!$B$6:$B$17&lt;=$B49)*(Events!$B$6:$B$17&lt;&gt;"")),Events!$G$6:$G$17),Inputs!$C$24))</f>
      </c>
      <c r="AU49">
        <f>IF($B49="","",IFERROR(LOOKUP(2,1/((Events!$C$6:$C$17="State move")*(Events!$B$6:$B$17&lt;=$B49)*(Events!$B$6:$B$17&lt;&gt;"")),Events!$E$6:$E$17),Inputs!$C$22))</f>
      </c>
      <c r="AV49" s="6">
        <f>IF($B49="","",1+COUNTIFS(Events!$C$6:$C$17,"Employer change",Events!$B$6:$B$17,"&lt;="&amp;$B49,Events!$B$6:$B$17,"&lt;&gt;"))</f>
      </c>
      <c r="AW49" s="7">
        <f>IF($B49="","",IF($AV49=1,Inputs!$C$94,IF(IFERROR(MATCH(IFERROR(LOOKUP(2,1/((Events!$C$6:$C$17="Employer change")*(Events!$B$6:$B$17&lt;=$B49)*(Events!$B$6:$B$17&lt;&gt;"")),Events!$B$6:$B$17),""),$B$6:$B$68,1),1)&lt;=1,Inputs!$C$94,INDEX($AB$6:$AB$68,MATCH(IFERROR(LOOKUP(2,1/((Events!$C$6:$C$17="Employer change")*(Events!$B$6:$B$17&lt;=$B49)*(Events!$B$6:$B$17&lt;&gt;"")),Events!$B$6:$B$17),""),$B$6:$B$68,1)-1))))</f>
      </c>
      <c r="AX49" s="7">
        <f>IF($B49="","",IF($AV49=1,Inputs!$C$94,IFERROR(LOOKUP(2,1/((Events!$C$6:$C$17="Employer change")*(Events!$B$6:$B$17&lt;=$B49)*(Events!$B$6:$B$17&lt;&gt;"")),Events!$D$6:$D$17),0)))</f>
      </c>
      <c r="AY49" s="7">
        <f>IF($B49="","",($O49-$D49)*Inputs!$C$8)</f>
      </c>
      <c r="AZ49" s="7">
        <f>IF($B49="","",IF($AN49="AL",MAX(0,$AY49-IF($AU49="Married",IF($AY49&lt;=25999,8500,MAX(5000,8500-175*CEILING(($AY49-25999)/500,1))),IF($AU49="Head of household",IF($AY49&lt;=25999,5200,MAX(2500,5200-135*CEILING(($AY49-25999)/500,1))),IF($AY49&lt;=25999,3000,MAX(2500,3000-25*CEILING(($AY49-25999)/500,1)))))-($P49-'Methodology &amp; Sources'!$C$10*$D49)*Inputs!$C$8-IF(OR($AU49="Married",$AU49="Head of household"),3000,1500)-$AT49*IF($AY49&lt;=50000,1000,IF($AY49&lt;=100000,500,300))),IF($AN49="AR",IF(MAX(0,$AY49-2470)&lt;97701,INT(MAX(0,$AY49-2470)/100)*100+50,MAX(0,$AY49-2470)),IF($AN49="DE",MAX(0,$AI49-3250),IF($AN49="HI",MAX(0,$AI49-1144*$AS49-4350),IF($AN49="KS",MAX(0,$AI49-(9160*IF($AU49="Married",2,1)+2320*$AT49+IF($AU49="Head of household",2320,0))),IF($AN49="MD",MAX(0,$AI49-3400-3200*$AS49),IF($AN49="MN",MAX(0,$AY49-5300*$AS49),IF($AN49="MO",MAX(0,$AI49-IF($AU49="Head of household",24150,IF($AU49="Married",IF(Inputs!$C$83,16100,32200),16100))),IF($AN49="MT",$AY49,IF($AN49="ND",($C49+$L49)*Inputs!$C$8,IF($AN49="NE",MAX(0,$AY49-2440*$AS49),IF($AN49="NJ",MAX(0,$AY49-1000*$AS49),IF($AN49="NY",MAX(0,$AY49-(IF($AU49="Married",7950,7400)+1000*$AS49)),IF($AN49="OH",MAX(0,$AY49-650*$AS49),IF($AN49="OK",MAX(0,$AY49-1000*$AS49),IF($AN49="RI",MAX(0,$AI49-1000*$AS49),IF($AN49="SC",MAX(0,$AI49-5000*$AS49-IF($AS49=0,0,MIN(0.1*$AI49,7500))),IF($AN49="VA",MAX(0,$AI49-IF($AU49="Married",17500,8750)-930*$AS49-800*$AT49),IF($AN49="VT",MAX(0,$AI49-5400*$AS49),IF($AN49="WI",MAX(0,$AI49-MAX(0,IF($AU49="Married",9461-0.2*MAX(0,$AI49-25727),6702-0.12*MAX(0,$AI49-17780)))-400*$AS49),IF($AN49="WV",MAX(0,$AI49-2000*$AS49),$AI49))))))))))))))))))))))</f>
      </c>
      <c r="BA49" s="7">
        <f>IF($B49="","",IF($BW49&lt;&gt;"",$BW49,IF($BX49&lt;&gt;"",$BX49,IF($BY49&lt;&gt;"",$BY49,0))))</f>
      </c>
      <c r="BB49" s="7">
        <f>IF($B49="","",IF($AN49="AR",-29*$AS49,IF($AN49="DE",-110*$AS49,IF($AN49="MD",$AZ49*Inputs!$C$74,IF($AN49="AZ",Inputs!$C$82*($M49-$D49)*Inputs!$C$8,IF($AN49="CO",0.044*MAX(0,$AY49-IF($AU49="Married",10000,5000)),IF($AN49="IA",MAX(0,0.038*MAX(0,$AY49-IF($AU49="Head of household",19500,IF($AU49="Married",26000,13000)))-40*$AS49),IF($AN49="ID",0.053*MAX(0,$AY49-IF($AU49="Married",32000,16094)),IF($AN49="IL",0.0495*MAX(0,$AY49-(2925*$AS49+1000*$AT49)),IF($AN49="IN",(0.0295+Inputs!$C$76)*MAX(0,$AY49-(1000*$AS49+1500*$AT49+3000*Inputs!$C$86)),IF($AN49="KY",0.035*MAX(0,$AI49-3360),IF($AN49="LA",IF(Inputs!$C$84="0",0.0309*$AI49,0.0309*MAX(0,$AI49-IF(Inputs!$C$84="2",25750,12875))),IF($AN49="MA",0.05*MIN(MAX(0,$AY49-MIN(($BD48+$Q49+$R49+$S49),2000)-IF($AS49=0,0,IF($AS49=1,4400,1000*$AS49+3400))),1107750)+0.09*MAX(0,MAX(0,$AY49-MIN(($BD48+$Q49+$R49+$S49),2000)-IF($AS49=0,0,IF($AS49=1,4400,1000*$AS49+3400)))-1107750)-IF($AU49="Head of household",120,0)-110*Inputs!$C$75,IF($AN49="MI",0.0425*MAX(0,$AY49-5900*$AS49),IF($AN49="MS",0.04*MAX(0,$AI49-IF($AU49="Head of household",3400,IF($AU49="Married",4600,2300))-Inputs!$C$85-10000),IF($AN49="OR",IF(OR($AU49="Married",AND($AU49="Single",$AS49&gt;=3)),SUMPRODUCT((MAX(0,$AY49-MIN(($P49-'Methodology &amp; Sources'!$C$10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Sources'!$B$211:$J$214,0,4))*(MAX(0,$AY49-MIN(($P49-'Methodology &amp; Sources'!$C$10*$D49)*Inputs!$C$8,IF(OR($AU49="Married",AND($AU49="Single",$AS49&gt;=3)),IF($AY49&lt;250000,8750,IF($AY49&lt;260000,7000,IF($AY49&lt;270000,5250,IF($AY49&lt;280000,3500,IF($AY49&lt;290000,1750,0))))),IF($AY49&lt;125000,8750,IF($AY49&lt;130000,7000,IF($AY49&lt;135000,5250,IF($AY49&lt;140000,3500,IF($AY49&lt;145000,1750,0)))))))-IF(OR($AU49="Married",AND($AU49="Single",$AS49&gt;=3)),5820,2910))-INDEX('Methodology &amp; Sources'!$B$211:$J$214,0,4))*INDEX('Methodology &amp; Sources'!$B$211:$J$214,0,4+2)),SUMPRODUCT((MAX(0,$AY49-MIN(($P49-'Methodology &amp; Sources'!$C$10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Sources'!$B$211:$J$214,0,1))*(MAX(0,$AY49-MIN(($P49-'Methodology &amp; Sources'!$C$10*$D49)*Inputs!$C$8,IF(OR($AU49="Married",AND($AU49="Single",$AS49&gt;=3)),IF($AY49&lt;250000,8750,IF($AY49&lt;260000,7000,IF($AY49&lt;270000,5250,IF($AY49&lt;280000,3500,IF($AY49&lt;290000,1750,0))))),IF($AY49&lt;125000,8750,IF($AY49&lt;130000,7000,IF($AY49&lt;135000,5250,IF($AY49&lt;140000,3500,IF($AY49&lt;145000,1750,0)))))))-IF(OR($AU49="Married",AND($AU49="Single",$AS49&gt;=3)),5820,2910))-INDEX('Methodology &amp; Sources'!$B$211:$J$214,0,1))*INDEX('Methodology &amp; Sources'!$B$211:$J$214,0,1+2)))+263-263*IF(IF($AU49="Married",$AY49&gt;200000,$AY49&gt;100000),0,$AS49),IF($AN49="PA",0.0307*(($O49+$E49+$G49)*Inputs!$C$8),IF($AN49="NY",IF($AU49="Married",IF($AZ49&gt;=2155350,0,IF($AZ49&gt;=1077550,0.48,IF($AZ49&gt;=373200,1.21,IF($AZ49&gt;=323200,0.21,IF($AZ49&gt;=211550,-0.19,IF($AZ49&gt;=157650,-2.8,IF($AZ49&gt;=107650,-0.8,IF($AZ49&gt;=96800,0.05,IF($AZ49&gt;=80650,-0.1,IF($AZ49&gt;=13900,0.4,IF($AZ49&gt;=11700,-0.3,IF($AZ49&gt;=8500,0.5,0)))))))))))),IF($AZ49&gt;=1077550,0,IF($AZ49&gt;=265400,4.29,IF($AZ49&gt;=215400,2.29,IF($AZ49&gt;=157650,2.29,IF($AZ49&gt;=107650,0.29,IF($AZ49&gt;=96800,0.05,IF($AZ49&gt;=80650,-0.1,IF($AZ49&gt;=13900,0.4,IF($AZ49&gt;=11700,-0.3,IF($AZ49&gt;=8500,0.5,0))))))))))),0))))))))))))))))))</f>
      </c>
      <c r="BC49" s="7">
        <f>IF($B49="","",IF($AN49="AL",0.05*$D49,IF($AN49="AR",0.039*$D49,IF($AN49="ID",0.053*$D49,IF($AN49="IN",(0.0295+Inputs!$C$76)*$D49,IF($AN49="KS",0.05*$D49,IF($AN49="MA",0.09*MIN($D49,MAX(0,MAX(0,$AY49-MIN(($BD48+$Q49+$R49+$S49),2000)-IF($AS49=0,0,IF($AS49=1,4400,1000*$AS49+3400)))+$D49-1107750))+0.05*($D49-MIN($D49,MAX(0,MAX(0,$AY49-MIN(($BD48+$Q49+$R49+$S49),2000)-IF($AS49=0,0,IF($AS49=1,4400,1000*$AS49+3400)))+$D49-1107750))),IF($AN49="MD",(0.065+Inputs!$C$74)*$D49,IF($AN49="MI",0.0425*$D49,IF($AN49="MN",0.0625*$D49,IF($AN49="MO",0.047*$D49,IF($AN49="MT",0.05*$D49,IF($AN49="ND",0.015*$D49,IF($AN49="NE",0.035*$D49,IF($AN49="NJ",IF(Inputs!$C$77="B",SUMPRODUCT(($D49*Inputs!$C$8&gt;INDEX('Methodology &amp; Sources'!$B$155:$J$162,0,4))*($D49*Inputs!$C$8-INDEX('Methodology &amp; Sources'!$B$155:$J$162,0,4))*INDEX('Methodology &amp; Sources'!$B$155:$J$162,0,4+2)),IF(Inputs!$C$77="C",SUMPRODUCT(($D49*Inputs!$C$8&gt;INDEX('Methodology &amp; Sources'!$B$155:$J$162,0,7))*($D49*Inputs!$C$8-INDEX('Methodology &amp; Sources'!$B$155:$J$162,0,7))*INDEX('Methodology &amp; Sources'!$B$155:$J$162,0,7+2)),IF(Inputs!$C$77="D",SUMPRODUCT(($D49*Inputs!$C$8&gt;INDEX('Methodology &amp; Sources'!$B$167:$J$179,0,1))*($D49*Inputs!$C$8-INDEX('Methodology &amp; Sources'!$B$167:$J$179,0,1))*INDEX('Methodology &amp; Sources'!$B$167:$J$179,0,1+2)),IF(Inputs!$C$77="E",SUMPRODUCT(($D49*Inputs!$C$8&gt;INDEX('Methodology &amp; Sources'!$B$167:$J$179,0,4))*($D49*Inputs!$C$8-INDEX('Methodology &amp; Sources'!$B$167:$J$179,0,4))*INDEX('Methodology &amp; Sources'!$B$167:$J$179,0,4+2)),SUMPRODUCT(($D49*Inputs!$C$8&gt;INDEX('Methodology &amp; Sources'!$B$155:$J$162,0,1))*($D49*Inputs!$C$8-INDEX('Methodology &amp; Sources'!$B$155:$J$162,0,1))*INDEX('Methodology &amp; Sources'!$B$155:$J$162,0,1+2))))))/Inputs!$C$8,IF($AN49="NY",0.117*$D49,IF($AN49="OH",0.0275*$D49,IF($AN49="OK",0.045*$D49,IF($AN49="OR",0.08*$D49,IF($AN49="WI",IF($AY49&lt;12760,0.0354,IF($AY49&lt;25520,0.0465,IF($AY49&lt;280950,0.053,0.0765)))*$D49,0))))))))))))))))))))</f>
      </c>
      <c r="BD49" s="7">
        <f>IF($B49="","",$BD48+$Q49+$R49+$S49)</f>
      </c>
      <c r="BE49" s="6">
        <f>IF($B49="",$BE48,$BE48+$BF49)</f>
      </c>
      <c r="BF49" s="6">
        <f>IF($B49="","",IF(AND(IF(YEAR(IF(Inputs!$C$7="Weekly",Inputs!$C$90+7*(($BE48+1)-1),IF(Inputs!$C$7="Biweekly",Inputs!$C$90+14*(($BE48+1)-1),IF(Inputs!$C$7="Semimonthly",DATE(YEAR(Inputs!$C$9),MONTH(Inputs!$C$9)+INT((($BE48+1)-1+'Rest of 2026'!$C$2)/2),MIN(DAY(Inputs!$C$9),DAY(EOMONTH(DATE(YEAR(Inputs!$C$9),MONTH(Inputs!$C$9)+INT((($BE48+1)-1+'Rest of 2026'!$C$2)/2),1),0))))+IF(MOD(($BE48+1)-1+'Rest of 2026'!$C$2,2)=1,15,0),EDATE(Inputs!$C$90,($BE48+1)-1)))))&lt;&gt;Inputs!$C$10,"",IF(Inputs!$C$7="Weekly",Inputs!$C$90+7*(($BE48+1)-1),IF(Inputs!$C$7="Biweekly",Inputs!$C$90+14*(($BE48+1)-1),IF(Inputs!$C$7="Semimonthly",DATE(YEAR(Inputs!$C$9),MONTH(Inputs!$C$9)+INT((($BE48+1)-1+'Rest of 2026'!$C$2)/2),MIN(DAY(Inputs!$C$9),DAY(EOMONTH(DATE(YEAR(Inputs!$C$9),MONTH(Inputs!$C$9)+INT((($BE48+1)-1+'Rest of 2026'!$C$2)/2),1),0))))+IF(MOD(($BE48+1)-1+'Rest of 2026'!$C$2,2)=1,15,0),EDATE(Inputs!$C$90,($BE48+1)-1)))))&lt;&gt;"",$B49=IF(YEAR(IF(Inputs!$C$7="Weekly",Inputs!$C$90+7*(($BE48+1)-1),IF(Inputs!$C$7="Biweekly",Inputs!$C$90+14*(($BE48+1)-1),IF(Inputs!$C$7="Semimonthly",DATE(YEAR(Inputs!$C$9),MONTH(Inputs!$C$9)+INT((($BE48+1)-1+'Rest of 2026'!$C$2)/2),MIN(DAY(Inputs!$C$9),DAY(EOMONTH(DATE(YEAR(Inputs!$C$9),MONTH(Inputs!$C$9)+INT((($BE48+1)-1+'Rest of 2026'!$C$2)/2),1),0))))+IF(MOD(($BE48+1)-1+'Rest of 2026'!$C$2,2)=1,15,0),EDATE(Inputs!$C$90,($BE48+1)-1)))))&lt;&gt;Inputs!$C$10,"",IF(Inputs!$C$7="Weekly",Inputs!$C$90+7*(($BE48+1)-1),IF(Inputs!$C$7="Biweekly",Inputs!$C$90+14*(($BE48+1)-1),IF(Inputs!$C$7="Semimonthly",DATE(YEAR(Inputs!$C$9),MONTH(Inputs!$C$9)+INT((($BE48+1)-1+'Rest of 2026'!$C$2)/2),MIN(DAY(Inputs!$C$9),DAY(EOMONTH(DATE(YEAR(Inputs!$C$9),MONTH(Inputs!$C$9)+INT((($BE48+1)-1+'Rest of 2026'!$C$2)/2),1),0))))+IF(MOD(($BE48+1)-1+'Rest of 2026'!$C$2,2)=1,15,0),EDATE(Inputs!$C$90,($BE48+1)-1)))))),1,0))</f>
      </c>
      <c r="BG49" s="7">
        <f>IF($B49="","",$BG48+$H49)</f>
      </c>
      <c r="BH49" s="7">
        <f>IF($B49="","",$BH48+$I49)</f>
      </c>
      <c r="BI49" s="7">
        <f>IF($B49="","",$BI48+$G49)</f>
      </c>
      <c r="BJ49" s="7">
        <f>IF($B49="","",IFERROR(LOOKUP(2,1/((((Events!$C$6:$C$17="Deduction start"))*(Events!$D$6:$D$17="Health FSA"))*(Events!$B$6:$B$17&lt;=$B49)*(Events!$B$6:$B$17&lt;&gt;"")),Events!$E$6:$E$17),Inputs!$D$38))</f>
      </c>
      <c r="BK49" s="7">
        <f>IF($B49="","",IFERROR(LOOKUP(2,1/((((Events!$C$6:$C$17="Deduction start"))*(Events!$D$6:$D$17="Dependent-care FSA"))*(Events!$B$6:$B$17&lt;=$B49)*(Events!$B$6:$B$17&lt;&gt;"")),Events!$E$6:$E$17),Inputs!$D$39))</f>
      </c>
      <c r="BL49" s="7">
        <f>IF($B49="","",IFERROR(LOOKUP(2,1/((((Events!$C$6:$C$17="Deduction start")+(Events!$C$6:$C$17="Deduction stop"))*(Events!$D$6:$D$17="HSA"))*(Events!$B$6:$B$17&lt;=$B49)*(Events!$B$6:$B$17&lt;&gt;"")),Events!$I$6:$I$17),Inputs!$D$35))</f>
      </c>
      <c r="BM49" s="7">
        <f>IF($B49="","",IFERROR(LOOKUP(2,1/((((Events!$C$6:$C$17="Deduction start")+(Events!$C$6:$C$17="Deduction stop"))*(Events!$D$6:$D$17="Premiums"))*(Events!$B$6:$B$17&lt;=$B49)*(Events!$B$6:$B$17&lt;&gt;"")),Events!$I$6:$I$17),Inputs!$D$40+Inputs!$D$41+Inputs!$D$42))</f>
      </c>
      <c r="BN49" s="7">
        <f>IF($B49="","",IFERROR(LOOKUP(2,1/((((Events!$C$6:$C$17="Deduction start")+(Events!$C$6:$C$17="Deduction stop"))*(Events!$D$6:$D$17="Commuter"))*(Events!$B$6:$B$17&lt;=$B49)*(Events!$B$6:$B$17&lt;&gt;"")),Events!$I$6:$I$17),Inputs!$D$43))</f>
      </c>
      <c r="BO49" s="7">
        <f>IF($B49="","",IFERROR(LOOKUP(2,1/((((Events!$C$6:$C$17="Deduction start")+(Events!$C$6:$C$17="Deduction stop"))*(Events!$D$6:$D$17="Other pre-tax"))*(Events!$B$6:$B$17&lt;=$B49)*(Events!$B$6:$B$17&lt;&gt;"")),Events!$I$6:$I$17),Inputs!$D$44))</f>
      </c>
      <c r="BP49" s="7">
        <f>IF($B49="","",IFERROR(LOOKUP(2,1/((((Events!$C$6:$C$17="Deduction start")+(Events!$C$6:$C$17="Deduction stop"))*(Events!$D$6:$D$17="Other post-tax"))*(Events!$B$6:$B$17&lt;=$B49)*(Events!$B$6:$B$17&lt;&gt;"")),Events!$I$6:$I$17),Inputs!$D$45))</f>
      </c>
      <c r="BQ49" s="6">
        <f>IF($B49="","",IFERROR(LOOKUP(2,1/((((Events!$C$6:$C$17="Deduction start")+(Events!$C$6:$C$17="Deduction stop"))*(Events!$D$6:$D$17="Health FSA"))*(Events!$B$6:$B$17&lt;=$B49)*(Events!$B$6:$B$17&lt;&gt;"")),Events!$J$6:$J$17),0))</f>
      </c>
      <c r="BR49" s="6">
        <f>IF($B49="","",IFERROR(LOOKUP(2,1/((((Events!$C$6:$C$17="Deduction start")+(Events!$C$6:$C$17="Deduction stop"))*(Events!$D$6:$D$17="Dependent-care FSA"))*(Events!$B$6:$B$17&lt;=$B49)*(Events!$B$6:$B$17&lt;&gt;"")),Events!$J$6:$J$17),0))</f>
      </c>
      <c r="BS49" s="6">
        <f>IF($B49="","",IF(SUMPRODUCT((Events!$C$6:$C$17="Deduction start")*(Events!$B$6:$B$17&lt;=$B49)*(Events!$B$6:$B$17&lt;&gt;"")*(Events!$D$6:$D$17="Health FSA"))&gt;0,1,0))</f>
      </c>
      <c r="BT49" s="6">
        <f>IF($B49="","",IF(SUMPRODUCT((Events!$C$6:$C$17="Deduction start")*(Events!$B$6:$B$17&lt;=$B49)*(Events!$B$6:$B$17&lt;&gt;"")*(Events!$D$6:$D$17="Dependent-care FSA"))&gt;0,1,0))</f>
      </c>
      <c r="BU49" s="24">
        <f>IF($B49="","",IF(Inputs!$C$13,SUMPRODUCT(($AH49&gt;=INDEX('Methodology &amp; Sources'!$B$29:$J$36,0,IF(Inputs!$C$12="MFJ",1,IF(Inputs!$C$12="HoH",7,4))))*INDEX('Methodology &amp; Sources'!$B$29:$J$36,0,IF(Inputs!$C$12="MFJ",1,IF(Inputs!$C$12="HoH",7,4))+2)),SUMPRODUCT(($AH49&gt;=INDEX('Methodology &amp; Sources'!$B$19:$J$26,0,IF(Inputs!$C$12="MFJ",1,IF(Inputs!$C$12="HoH",7,4))))*INDEX('Methodology &amp; Sources'!$B$19:$J$26,0,IF(Inputs!$C$12="MFJ",1,IF(Inputs!$C$12="HoH",7,4))+2))))</f>
      </c>
      <c r="BV49" s="24">
        <f>IF($B49="","",IF($BZ49&lt;&gt;"",$BZ49,IF($CA49&lt;&gt;"",$CA49,IF($CB49&lt;&gt;"",$CB49,IF($CC49&lt;&gt;"",$CC49,0)))))</f>
      </c>
      <c r="BW49" s="7">
        <f>IF($B49="","",IF($AN49="MD",IF(OR($AU49="Married",$AU49="Head of household"),SUMPRODUCT(($AZ49&gt;INDEX('Methodology &amp; Sources'!$B$114:$J$120,0,1))*($AZ49-INDEX('Methodology &amp; Sources'!$B$114:$J$120,0,1))*INDEX('Methodology &amp; Sources'!$B$114:$J$120,0,1+2)),SUMPRODUCT(($AZ49&gt;INDEX('Methodology &amp; Sources'!$B$103:$J$109,0,7))*($AZ49-INDEX('Methodology &amp; Sources'!$B$103:$J$109,0,7))*INDEX('Methodology &amp; Sources'!$B$103:$J$109,0,7+2))),IF($AN49="MO",SUMPRODUCT(($AZ49&gt;INDEX('Methodology &amp; Sources'!$B$125:$J$132,0,1))*($AZ49-INDEX('Methodology &amp; Sources'!$B$125:$J$132,0,1))*INDEX('Methodology &amp; Sources'!$B$125:$J$132,0,1+2)),IF($AN49="MT",IF($AU49="Head of household",SUMPRODUCT(($AZ49&gt;INDEX('Methodology &amp; Sources'!$B$137:$J$139,0,1))*($AZ49-INDEX('Methodology &amp; Sources'!$B$137:$J$139,0,1))*INDEX('Methodology &amp; Sources'!$B$137:$J$139,0,1+2)),IF($AU49="Married",SUMPRODUCT(($AZ49&gt;INDEX('Methodology &amp; Sources'!$B$125:$J$132,0,7))*($AZ49-INDEX('Methodology &amp; Sources'!$B$125:$J$132,0,7))*INDEX('Methodology &amp; Sources'!$B$125:$J$132,0,7+2)),SUMPRODUCT(($AZ49&gt;INDEX('Methodology &amp; Sources'!$B$125:$J$132,0,4))*($AZ49-INDEX('Methodology &amp; Sources'!$B$125:$J$132,0,4))*INDEX('Methodology &amp; Sources'!$B$125:$J$132,0,4+2)))),IF($AN49="ND",IF($AU49="Head of household",SUMPRODUCT(($AZ49&gt;INDEX('Methodology &amp; Sources'!$B$144:$J$150,0,1))*($AZ49-INDEX('Methodology &amp; Sources'!$B$144:$J$150,0,1))*INDEX('Methodology &amp; Sources'!$B$144:$J$150,0,1+2)),IF($AU49="Married",SUMPRODUCT(($AZ49&gt;INDEX('Methodology &amp; Sources'!$B$137:$J$139,0,7))*($AZ49-INDEX('Methodology &amp; Sources'!$B$137:$J$139,0,7))*INDEX('Methodology &amp; Sources'!$B$137:$J$139,0,7+2)),SUMPRODUCT(($AZ49&gt;INDEX('Methodology &amp; Sources'!$B$137:$J$139,0,4))*($AZ49-INDEX('Methodology &amp; Sources'!$B$137:$J$139,0,4))*INDEX('Methodology &amp; Sources'!$B$137:$J$139,0,4+2)))),IF($AN49="NJ",IF(Inputs!$C$77="B",SUMPRODUCT(($AZ49&gt;INDEX('Methodology &amp; Sources'!$B$155:$J$162,0,4))*($AZ49-INDEX('Methodology &amp; Sources'!$B$155:$J$162,0,4))*INDEX('Methodology &amp; Sources'!$B$155:$J$162,0,4+2)),IF(Inputs!$C$77="C",SUMPRODUCT(($AZ49&gt;INDEX('Methodology &amp; Sources'!$B$155:$J$162,0,7))*($AZ49-INDEX('Methodology &amp; Sources'!$B$155:$J$162,0,7))*INDEX('Methodology &amp; Sources'!$B$155:$J$162,0,7+2)),IF(Inputs!$C$77="D",SUMPRODUCT(($AZ49&gt;INDEX('Methodology &amp; Sources'!$B$167:$J$179,0,1))*($AZ49-INDEX('Methodology &amp; Sources'!$B$167:$J$179,0,1))*INDEX('Methodology &amp; Sources'!$B$167:$J$179,0,1+2)),IF(Inputs!$C$77="E",SUMPRODUCT(($AZ49&gt;INDEX('Methodology &amp; Sources'!$B$167:$J$179,0,4))*($AZ49-INDEX('Methodology &amp; Sources'!$B$167:$J$179,0,4))*INDEX('Methodology &amp; Sources'!$B$167:$J$179,0,4+2)),SUMPRODUCT(($AZ49&gt;INDEX('Methodology &amp; Sources'!$B$155:$J$162,0,1))*($AZ49-INDEX('Methodology &amp; Sources'!$B$155:$J$162,0,1))*INDEX('Methodology &amp; Sources'!$B$155:$J$162,0,1+2)))))),IF($AN49="NY",IF($AU49="Married",IF($AZ49&gt;=2155350,$AZ49*IF($AZ49&gt;25000000,0.117,IF($AZ49&gt;5000000,0.111,0.1045)),SUMPRODUCT(($AZ49&gt;INDEX('Methodology &amp; Sources'!$B$184:$J$198,0,1))*($AZ49-INDEX('Methodology &amp; Sources'!$B$184:$J$198,0,1))*INDEX('Methodology &amp; Sources'!$B$184:$J$198,0,1+2))),IF($AZ49&gt;=1077550,$AZ49*IF($AZ49&gt;25000000,0.117,IF($AZ49&gt;5000000,0.111,0.1045)),SUMPRODUCT(($AZ49&gt;INDEX('Methodology &amp; Sources'!$B$167:$J$179,0,7))*($AZ49-INDEX('Methodology &amp; Sources'!$B$167:$J$179,0,7))*INDEX('Methodology &amp; Sources'!$B$167:$J$179,0,7+2)))),"")))))))</f>
      </c>
      <c r="BX49" s="7">
        <f>IF($B49="","",IF($AN49="AL",IF(OR($AU49="Married",$AU49="Head of household"),SUMPRODUCT(($AZ49&gt;INDEX('Methodology &amp; Sources'!$B$82:$J$86,0,4))*($AZ49-INDEX('Methodology &amp; Sources'!$B$82:$J$86,0,4))*INDEX('Methodology &amp; Sources'!$B$82:$J$86,0,4+2)),SUMPRODUCT(($AZ49&gt;INDEX('Methodology &amp; Sources'!$B$82:$J$86,0,1))*($AZ49-INDEX('Methodology &amp; Sources'!$B$82:$J$86,0,1))*INDEX('Methodology &amp; Sources'!$B$82:$J$86,0,1+2))),IF($AN49="KS",IF($AU49="Married",SUMPRODUCT(($AZ49&gt;INDEX('Methodology &amp; Sources'!$B$103:$J$109,0,4))*($AZ49-INDEX('Methodology &amp; Sources'!$B$103:$J$109,0,4))*INDEX('Methodology &amp; Sources'!$B$103:$J$109,0,4+2)),SUMPRODUCT(($AZ49&gt;INDEX('Methodology &amp; Sources'!$B$103:$J$109,0,1))*($AZ49-INDEX('Methodology &amp; Sources'!$B$103:$J$109,0,1))*INDEX('Methodology &amp; Sources'!$B$103:$J$109,0,1+2))),IF($AN49="MN",IF($AU49="Married",SUMPRODUCT(($AZ49&gt;INDEX('Methodology &amp; Sources'!$B$114:$J$120,0,7))*($AZ49-INDEX('Methodology &amp; Sources'!$B$114:$J$120,0,7))*INDEX('Methodology &amp; Sources'!$B$114:$J$120,0,7+2)),SUMPRODUCT(($AZ49&gt;INDEX('Methodology &amp; Sources'!$B$114:$J$120,0,4))*($AZ49-INDEX('Methodology &amp; Sources'!$B$114:$J$120,0,4))*INDEX('Methodology &amp; Sources'!$B$114:$J$120,0,4+2))),IF($AN49="NE",MAX(IF($AU49="Married",SUMPRODUCT(($AZ49&gt;INDEX('Methodology &amp; Sources'!$B$144:$J$150,0,7))*($AZ49-INDEX('Methodology &amp; Sources'!$B$144:$J$150,0,7))*INDEX('Methodology &amp; Sources'!$B$144:$J$150,0,7+2)),SUMPRODUCT(($AZ49&gt;INDEX('Methodology &amp; Sources'!$B$144:$J$150,0,4))*($AZ49-INDEX('Methodology &amp; Sources'!$B$144:$J$150,0,4))*INDEX('Methodology &amp; Sources'!$B$144:$J$150,0,4+2))),0.015*$AZ49),IF($AN49="OH",IF($B49&gt;=DATE(2027,8,1),SUMPRODUCT(($AZ49&gt;INDEX('Methodology &amp; Sources'!$B$203:$J$206,0,1))*($AZ49-INDEX('Methodology &amp; Sources'!$B$203:$J$206,0,1))*INDEX('Methodology &amp; Sources'!$B$203:$J$206,0,1+2)),SUMPRODUCT(($AZ49&gt;INDEX('Methodology &amp; Sources'!$B$184:$J$198,0,7))*($AZ49-INDEX('Methodology &amp; Sources'!$B$184:$J$198,0,7))*INDEX('Methodology &amp; Sources'!$B$184:$J$198,0,7+2))),IF($AN49="OK",IF($AU49="Married",SUMPRODUCT(($AZ49&gt;INDEX('Methodology &amp; Sources'!$B$203:$J$206,0,7))*($AZ49-INDEX('Methodology &amp; Sources'!$B$203:$J$206,0,7))*INDEX('Methodology &amp; Sources'!$B$203:$J$206,0,7+2)),SUMPRODUCT(($AZ49&gt;INDEX('Methodology &amp; Sources'!$B$203:$J$206,0,4))*($AZ49-INDEX('Methodology &amp; Sources'!$B$203:$J$206,0,4))*INDEX('Methodology &amp; Sources'!$B$203:$J$206,0,4+2))),IF($AN49="RI",SUMPRODUCT(($AZ49&gt;INDEX('Methodology &amp; Sources'!$B$211:$J$214,0,7))*($AZ49-INDEX('Methodology &amp; Sources'!$B$211:$J$214,0,7))*INDEX('Methodology &amp; Sources'!$B$211:$J$214,0,7+2)),IF($AN49="VT",IF($AU49="Married",SUMPRODUCT(($AZ49&gt;INDEX('Methodology &amp; Sources'!$B$228:$J$232,0,1))*($AZ49-INDEX('Methodology &amp; Sources'!$B$228:$J$232,0,1))*INDEX('Methodology &amp; Sources'!$B$228:$J$232,0,1+2)),SUMPRODUCT(($AZ49&gt;INDEX('Methodology &amp; Sources'!$B$219:$J$223,0,7))*($AZ49-INDEX('Methodology &amp; Sources'!$B$219:$J$223,0,7))*INDEX('Methodology &amp; Sources'!$B$219:$J$223,0,7+2))),IF($AN49="WV",IF($AU49="Married",SUMPRODUCT(($AZ49&gt;INDEX('Methodology &amp; Sources'!$B$237:$J$241,0,7))*($AZ49-INDEX('Methodology &amp; Sources'!$B$237:$J$241,0,7))*INDEX('Methodology &amp; Sources'!$B$237:$J$241,0,7+2)),SUMPRODUCT(($AZ49&gt;INDEX('Methodology &amp; Sources'!$B$228:$J$232,0,7))*($AZ49-INDEX('Methodology &amp; Sources'!$B$228:$J$232,0,7))*INDEX('Methodology &amp; Sources'!$B$228:$J$232,0,7+2))),""))))))))))</f>
      </c>
      <c r="BY49" s="7">
        <f>IF($B49="","",IF($AN49="AR",SUMPRODUCT(($AZ49&gt;INDEX('Methodology &amp; Sources'!$B$82:$J$86,0,7))*($AZ49-INDEX('Methodology &amp; Sources'!$B$82:$J$86,0,7))*INDEX('Methodology &amp; Sources'!$B$82:$J$86,0,7+2)),IF($AN49="DE",SUMPRODUCT(($AZ49&gt;INDEX('Methodology &amp; Sources'!$B$91:$J$98,0,1))*($AZ49-INDEX('Methodology &amp; Sources'!$B$91:$J$98,0,1))*INDEX('Methodology &amp; Sources'!$B$91:$J$98,0,1+2)),IF($AN49="HI",IF($AU49="Married",SUMPRODUCT(($AZ49&gt;INDEX('Methodology &amp; Sources'!$B$91:$J$98,0,7))*($AZ49-INDEX('Methodology &amp; Sources'!$B$91:$J$98,0,7))*INDEX('Methodology &amp; Sources'!$B$91:$J$98,0,7+2)),SUMPRODUCT(($AZ49&gt;INDEX('Methodology &amp; Sources'!$B$91:$J$98,0,4))*($AZ49-INDEX('Methodology &amp; Sources'!$B$91:$J$98,0,4))*INDEX('Methodology &amp; Sources'!$B$91:$J$98,0,4+2))),IF($AN49="SC",SUMPRODUCT(($AZ49&gt;INDEX('Methodology &amp; Sources'!$B$219:$J$223,0,1))*($AZ49-INDEX('Methodology &amp; Sources'!$B$219:$J$223,0,1))*INDEX('Methodology &amp; Sources'!$B$219:$J$223,0,1+2)),IF($AN49="VA",SUMPRODUCT(($AZ49&gt;INDEX('Methodology &amp; Sources'!$B$219:$J$223,0,4))*($AZ49-INDEX('Methodology &amp; Sources'!$B$219:$J$223,0,4))*INDEX('Methodology &amp; Sources'!$B$219:$J$223,0,4+2)),IF($AN49="WI",SUMPRODUCT(($AZ49&gt;INDEX('Methodology &amp; Sources'!$B$228:$J$232,0,4))*($AZ49-INDEX('Methodology &amp; Sources'!$B$228:$J$232,0,4))*INDEX('Methodology &amp; Sources'!$B$228:$J$232,0,4+2)),"")))))))</f>
      </c>
      <c r="BZ49" s="24">
        <f>IF($B49="","",IF($AN49="NJ",IF(Inputs!$C$77="B",SUMPRODUCT(($AZ49&gt;=INDEX('Methodology &amp; Sources'!$B$155:$J$162,0,4))*INDEX('Methodology &amp; Sources'!$B$155:$J$162,0,4+2)),IF(Inputs!$C$77="C",SUMPRODUCT(($AZ49&gt;=INDEX('Methodology &amp; Sources'!$B$155:$J$162,0,7))*INDEX('Methodology &amp; Sources'!$B$155:$J$162,0,7+2)),IF(Inputs!$C$77="D",SUMPRODUCT(($AZ49&gt;=INDEX('Methodology &amp; Sources'!$B$167:$J$179,0,1))*INDEX('Methodology &amp; Sources'!$B$167:$J$179,0,1+2)),IF(Inputs!$C$77="E",SUMPRODUCT(($AZ49&gt;=INDEX('Methodology &amp; Sources'!$B$167:$J$179,0,4))*INDEX('Methodology &amp; Sources'!$B$167:$J$179,0,4+2)),SUMPRODUCT(($AZ49&gt;=INDEX('Methodology &amp; Sources'!$B$155:$J$162,0,1))*INDEX('Methodology &amp; Sources'!$B$155:$J$162,0,1+2)))))),IF($AN49="OR",IF(OR($AU49="Married",AND($AU49="Single",$AS49&gt;=3)),SUMPRODUCT((MAX(0,$AY49-MIN(($P49-'Methodology &amp; Sources'!$C$10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Sources'!$B$211:$J$214,0,4))*INDEX('Methodology &amp; Sources'!$B$211:$J$214,0,4+2)),SUMPRODUCT((MAX(0,$AY49-MIN(($P49-'Methodology &amp; Sources'!$C$10*$D49)*Inputs!$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Sources'!$B$211:$J$214,0,1))*INDEX('Methodology &amp; Sources'!$B$211:$J$214,0,1+2)))*IF(($P49-'Methodology &amp; Sources'!$C$10*$D49)*Inputs!$C$8&gt;=IF(OR($AU49="Married",AND($AU49="Single",$AS49&gt;=3)),IF($AY49&lt;250000,8750,IF($AY49&lt;260000,7000,IF($AY49&lt;270000,5250,IF($AY49&lt;280000,3500,IF($AY49&lt;290000,1750,0))))),IF($AY49&lt;125000,8750,IF($AY49&lt;130000,7000,IF($AY49&lt;135000,5250,IF($AY49&lt;140000,3500,IF($AY49&lt;145000,1750,0)))))),1,1-IF(Inputs!$C$13,SUMPRODUCT(($AH49&gt;=INDEX('Methodology &amp; Sources'!$B$29:$J$36,0,IF(Inputs!$C$12="MFJ",1,IF(Inputs!$C$12="HoH",7,4))))*INDEX('Methodology &amp; Sources'!$B$29:$J$36,0,IF(Inputs!$C$12="MFJ",1,IF(Inputs!$C$12="HoH",7,4))+2)),SUMPRODUCT(($AH49&gt;=INDEX('Methodology &amp; Sources'!$B$19:$J$26,0,IF(Inputs!$C$12="MFJ",1,IF(Inputs!$C$12="HoH",7,4))))*INDEX('Methodology &amp; Sources'!$B$19:$J$26,0,IF(Inputs!$C$12="MFJ",1,IF(Inputs!$C$12="HoH",7,4))+2)))),IF($AN49="MI",IF($AY49&gt;5900*$AS49,0.0425,0),""))))</f>
      </c>
      <c r="CA49" s="24">
        <f>IF($B49="","",IF($AN49="AL",IF(OR($AU49="Married",$AU49="Head of household"),SUMPRODUCT(($AZ49&gt;=INDEX('Methodology &amp; Sources'!$B$82:$J$86,0,4))*INDEX('Methodology &amp; Sources'!$B$82:$J$86,0,4+2)),SUMPRODUCT(($AZ49&gt;=INDEX('Methodology &amp; Sources'!$B$82:$J$86,0,1))*INDEX('Methodology &amp; Sources'!$B$82:$J$86,0,1+2)))*(1-IF(Inputs!$C$13,SUMPRODUCT(($AH49&gt;=INDEX('Methodology &amp; Sources'!$B$29:$J$36,0,IF(Inputs!$C$12="MFJ",1,IF(Inputs!$C$12="HoH",7,4))))*INDEX('Methodology &amp; Sources'!$B$29:$J$36,0,IF(Inputs!$C$12="MFJ",1,IF(Inputs!$C$12="HoH",7,4))+2)),SUMPRODUCT(($AH49&gt;=INDEX('Methodology &amp; Sources'!$B$19:$J$26,0,IF(Inputs!$C$12="MFJ",1,IF(Inputs!$C$12="HoH",7,4))))*INDEX('Methodology &amp; Sources'!$B$19:$J$26,0,IF(Inputs!$C$12="MFJ",1,IF(Inputs!$C$12="HoH",7,4))+2)))),IF($AN49="KS",IF($AU49="Married",SUMPRODUCT(($AZ49&gt;=INDEX('Methodology &amp; Sources'!$B$103:$J$109,0,4))*INDEX('Methodology &amp; Sources'!$B$103:$J$109,0,4+2)),SUMPRODUCT(($AZ49&gt;=INDEX('Methodology &amp; Sources'!$B$103:$J$109,0,1))*INDEX('Methodology &amp; Sources'!$B$103:$J$109,0,1+2))),IF($AN49="MD",IF(OR($AU49="Married",$AU49="Head of household"),SUMPRODUCT(($AZ49&gt;=INDEX('Methodology &amp; Sources'!$B$114:$J$120,0,1))*INDEX('Methodology &amp; Sources'!$B$114:$J$120,0,1+2)),SUMPRODUCT(($AZ49&gt;=INDEX('Methodology &amp; Sources'!$B$103:$J$109,0,7))*INDEX('Methodology &amp; Sources'!$B$103:$J$109,0,7+2)))+Inputs!$C$74,IF($AN49="MT",IF($AU49="Head of household",SUMPRODUCT(($AZ49&gt;=INDEX('Methodology &amp; Sources'!$B$137:$J$139,0,1))*INDEX('Methodology &amp; Sources'!$B$137:$J$139,0,1+2)),IF($AU49="Married",SUMPRODUCT(($AZ49&gt;=INDEX('Methodology &amp; Sources'!$B$125:$J$132,0,7))*INDEX('Methodology &amp; Sources'!$B$125:$J$132,0,7+2)),SUMPRODUCT(($AZ49&gt;=INDEX('Methodology &amp; Sources'!$B$125:$J$132,0,4))*INDEX('Methodology &amp; Sources'!$B$125:$J$132,0,4+2)))),IF($AN49="ND",IF($AU49="Head of household",SUMPRODUCT(($AZ49&gt;=INDEX('Methodology &amp; Sources'!$B$144:$J$150,0,1))*INDEX('Methodology &amp; Sources'!$B$144:$J$150,0,1+2)),IF($AU49="Married",SUMPRODUCT(($AZ49&gt;=INDEX('Methodology &amp; Sources'!$B$137:$J$139,0,7))*INDEX('Methodology &amp; Sources'!$B$137:$J$139,0,7+2)),SUMPRODUCT(($AZ49&gt;=INDEX('Methodology &amp; Sources'!$B$137:$J$139,0,4))*INDEX('Methodology &amp; Sources'!$B$137:$J$139,0,4+2)))),IF($AN49="NY",IF($AU49="Married",IF($AZ49&gt;=2155350,IF($AZ49&gt;25000000,0.117,IF($AZ49&gt;5000000,0.111,0.1045)),SUMPRODUCT(($AZ49&gt;=INDEX('Methodology &amp; Sources'!$B$184:$J$198,0,1))*INDEX('Methodology &amp; Sources'!$B$184:$J$198,0,1+2))),IF($AZ49&gt;=1077550,IF($AZ49&gt;25000000,0.117,IF($AZ49&gt;5000000,0.111,0.1045)),SUMPRODUCT(($AZ49&gt;=INDEX('Methodology &amp; Sources'!$B$167:$J$179,0,7))*INDEX('Methodology &amp; Sources'!$B$167:$J$179,0,7+2)))),"")))))))</f>
      </c>
      <c r="CB49" s="24">
        <f>IF($B49="","",IF($AN49="CA",SUMPRODUCT(($AJ49&gt;=INDEX('Methodology &amp; Sources'!$B$39:$J$48,0,IF($AU49="Married",4,IF($AU49="Head of household",7,1))))*INDEX('Methodology &amp; Sources'!$B$39:$J$48,0,IF($AU49="Married",4,IF($AU49="Head of household",7,1))+2)),IF($AN49="HI",IF($AU49="Married",SUMPRODUCT(($AZ49&gt;=INDEX('Methodology &amp; Sources'!$B$91:$J$98,0,7))*INDEX('Methodology &amp; Sources'!$B$91:$J$98,0,7+2)),SUMPRODUCT(($AZ49&gt;=INDEX('Methodology &amp; Sources'!$B$91:$J$98,0,4))*INDEX('Methodology &amp; Sources'!$B$91:$J$98,0,4+2))),IF($AN49="MN",IF($AU49="Married",SUMPRODUCT(($AZ49&gt;=INDEX('Methodology &amp; Sources'!$B$114:$J$120,0,7))*INDEX('Methodology &amp; Sources'!$B$114:$J$120,0,7+2)),SUMPRODUCT(($AZ49&gt;=INDEX('Methodology &amp; Sources'!$B$114:$J$120,0,4))*INDEX('Methodology &amp; Sources'!$B$114:$J$120,0,4+2))),IF($AN49="MO",SUMPRODUCT(($AZ49&gt;=INDEX('Methodology &amp; Sources'!$B$125:$J$132,0,1))*INDEX('Methodology &amp; Sources'!$B$125:$J$132,0,1+2)),IF($AN49="NE",MAX(IF($AU49="Married",SUMPRODUCT(($AZ49&gt;=INDEX('Methodology &amp; Sources'!$B$144:$J$150,0,7))*INDEX('Methodology &amp; Sources'!$B$144:$J$150,0,7+2)),SUMPRODUCT(($AZ49&gt;=INDEX('Methodology &amp; Sources'!$B$144:$J$150,0,4))*INDEX('Methodology &amp; Sources'!$B$144:$J$150,0,4+2))),0.015),IF($AN49="OH",IF($B49&gt;=DATE(2027,8,1),SUMPRODUCT(($AZ49&gt;=INDEX('Methodology &amp; Sources'!$B$203:$J$206,0,1))*INDEX('Methodology &amp; Sources'!$B$203:$J$206,0,1+2)),SUMPRODUCT(($AZ49&gt;=INDEX('Methodology &amp; Sources'!$B$184:$J$198,0,7))*INDEX('Methodology &amp; Sources'!$B$184:$J$198,0,7+2))),IF($AN49="OK",IF($AU49="Married",SUMPRODUCT(($AZ49&gt;=INDEX('Methodology &amp; Sources'!$B$203:$J$206,0,7))*INDEX('Methodology &amp; Sources'!$B$203:$J$206,0,7+2)),SUMPRODUCT(($AZ49&gt;=INDEX('Methodology &amp; Sources'!$B$203:$J$206,0,4))*INDEX('Methodology &amp; Sources'!$B$203:$J$206,0,4+2))),IF($AN49="RI",SUMPRODUCT(($AZ49&gt;=INDEX('Methodology &amp; Sources'!$B$211:$J$214,0,7))*INDEX('Methodology &amp; Sources'!$B$211:$J$214,0,7+2)),IF($AN49="SC",SUMPRODUCT(($AZ49&gt;=INDEX('Methodology &amp; Sources'!$B$219:$J$223,0,1))*INDEX('Methodology &amp; Sources'!$B$219:$J$223,0,1+2)),IF($AN49="VT",IF($AU49="Married",SUMPRODUCT(($AZ49&gt;=INDEX('Methodology &amp; Sources'!$B$228:$J$232,0,1))*INDEX('Methodology &amp; Sources'!$B$228:$J$232,0,1+2)),SUMPRODUCT(($AZ49&gt;=INDEX('Methodology &amp; Sources'!$B$219:$J$223,0,7))*INDEX('Methodology &amp; Sources'!$B$219:$J$223,0,7+2))),IF($AN49="WV",IF($AU49="Married",SUMPRODUCT(($AZ49&gt;=INDEX('Methodology &amp; Sources'!$B$237:$J$241,0,7))*INDEX('Methodology &amp; Sources'!$B$237:$J$241,0,7+2)),SUMPRODUCT(($AZ49&gt;=INDEX('Methodology &amp; Sources'!$B$228:$J$232,0,7))*INDEX('Methodology &amp; Sources'!$B$228:$J$232,0,7+2))),IF($AN49="IN",(0.0295+Inputs!$C$76),"")))))))))))))</f>
      </c>
      <c r="CC49" s="24">
        <f>IF($B49="","",IF($AN49="AR",SUMPRODUCT(($AZ49&gt;=INDEX('Methodology &amp; Sources'!$B$82:$J$86,0,7))*INDEX('Methodology &amp; Sources'!$B$82:$J$86,0,7+2)),IF($AN49="DE",SUMPRODUCT(($AZ49&gt;=INDEX('Methodology &amp; Sources'!$B$91:$J$98,0,1))*INDEX('Methodology &amp; Sources'!$B$91:$J$98,0,1+2)),IF($AN49="VA",SUMPRODUCT(($AZ49&gt;=INDEX('Methodology &amp; Sources'!$B$219:$J$223,0,4))*INDEX('Methodology &amp; Sources'!$B$219:$J$223,0,4+2)),IF($AN49="WI",SUMPRODUCT(($AZ49&gt;=INDEX('Methodology &amp; Sources'!$B$228:$J$232,0,4))*INDEX('Methodology &amp; Sources'!$B$228:$J$232,0,4+2)),IF($AN49="AZ",Inputs!$C$82,IF($AN49="CO",IF($AY49&gt;IF($AU49="Married",10000,5000),0.044,0),IF($AN49="IA",IF($AY49&gt;IF($AU49="Head of household",19500,IF($AU49="Married",26000,13000)),0.038,0),IF($AN49="ID",IF($AY49&gt;IF($AU49="Married",32000,16094),0.053,0),IF($AN49="IL",IF($AY49&gt;(2925*$AS49+1000*$AT49),0.0495,0),IF($AN49="KY",IF($AI49&gt;3360,0.035,0),IF($AN49="LA",0.0309,IF($AN49="MA",IF(MAX(0,$AY49-MIN(($BD48+$Q49+$R49+$S49),2000)-IF($AS49=0,0,IF($AS49=1,4400,1000*$AS49+3400)))&gt;=1107750,0.09,0.05),IF($AN49="MS",IF($AI49-IF($AU49="Head of household",3400,IF($AU49="Married",4600,2300))-Inputs!$C$85&gt;10000,0.04,0),IF($AN49="PA",0.0307,"")))))))))))))))</f>
      </c>
      <c r="CD49" s="21">
        <f>IF(YEAR(IF(Inputs!$C$7="Weekly",Inputs!$C$90+7*(($BE48+1)-1),IF(Inputs!$C$7="Biweekly",Inputs!$C$90+14*(($BE48+1)-1),IF(Inputs!$C$7="Semimonthly",DATE(YEAR(Inputs!$C$9),MONTH(Inputs!$C$9)+INT((($BE48+1)-1+'Rest of 2026'!$C$2)/2),MIN(DAY(Inputs!$C$9),DAY(EOMONTH(DATE(YEAR(Inputs!$C$9),MONTH(Inputs!$C$9)+INT((($BE48+1)-1+'Rest of 2026'!$C$2)/2),1),0))))+IF(MOD(($BE48+1)-1+'Rest of 2026'!$C$2,2)=1,15,0),EDATE(Inputs!$C$90,($BE48+1)-1)))))&lt;&gt;Inputs!$C$10,"",IF(Inputs!$C$7="Weekly",Inputs!$C$90+7*(($BE48+1)-1),IF(Inputs!$C$7="Biweekly",Inputs!$C$90+14*(($BE48+1)-1),IF(Inputs!$C$7="Semimonthly",DATE(YEAR(Inputs!$C$9),MONTH(Inputs!$C$9)+INT((($BE48+1)-1+'Rest of 2026'!$C$2)/2),MIN(DAY(Inputs!$C$9),DAY(EOMONTH(DATE(YEAR(Inputs!$C$9),MONTH(Inputs!$C$9)+INT((($BE48+1)-1+'Rest of 2026'!$C$2)/2),1),0))))+IF(MOD(($BE48+1)-1+'Rest of 2026'!$C$2,2)=1,15,0),EDATE(Inputs!$C$90,($BE48+1)-1)))))</f>
      </c>
      <c r="CE49" s="21">
        <f>IF(SUMPRODUCT(MIN(IF((Inputs!$C$58:$C$67&gt;MAX($B$6:$B48))*(Inputs!$C$58:$C$67&gt;=DATE(Inputs!$C$10,1,1))*(Inputs!$C$58:$C$67&lt;=DATE(Inputs!$C$10,12,31)),Inputs!$C$58:$C$67,999999)))=999999,"",SUMPRODUCT(MIN(IF((Inputs!$C$58:$C$67&gt;MAX($B$6:$B48))*(Inputs!$C$58:$C$67&gt;=DATE(Inputs!$C$10,1,1))*(Inputs!$C$58:$C$67&lt;=DATE(Inputs!$C$10,12,31)),Inputs!$C$58:$C$67,999999))))</f>
      </c>
    </row>
    <row r="50">
      <c r="A50" t="n">
        <v>45</v>
      </c>
      <c r="B50" s="21">
        <f>IF(AND($CD50="",$CE50=""),"",IF($CE50="",$CD50,IF($CD50="",$CE50,MIN($CD50,$CE50))))</f>
      </c>
      <c r="C50" s="7">
        <f>IF($B50="","",IF($BF50=0,0,IF(Inputs!$C$4="Annual salary",ROUND($AK50/IF(AND(Inputs!$C$88="Actual paydays",MONTH(Inputs!$C$90)=1),MAX(1,MAX($BE$6:$BE$68)),Inputs!$C$8),2),$AK50)))</f>
      </c>
      <c r="D50" s="7">
        <f>IF($B50="","",SUMIF(Inputs!$C$58:$C$67,$B50,Inputs!$D$58:$D$67))</f>
      </c>
      <c r="E50" s="7">
        <f>IF($B50="","",ROUND(MAX(0,MIN(IF($AL50="Percent",$AM50*($C50+$D50),$AM50),MAX(0,Inputs!$C$34-$AC49))),2))</f>
      </c>
      <c r="F50" s="7">
        <f>IF($B50="","",ROUND(MAX(0,MIN(IF(Inputs!$C$32="Percent",Inputs!$D$32*($C50+$D50),Inputs!$D$32),MAX(0,Inputs!$C$34-$AC49-$E50))),2))</f>
      </c>
      <c r="G50" s="7">
        <f>IF($B50="","",IF($BF50=0,0,ROUND(MAX(0,MIN($BL50,Inputs!$C$37-Inputs!$C$99-$BI49)),2)))</f>
      </c>
      <c r="H50" s="7">
        <f>IF($B50="","",IF(OR($BF50=0,$BQ50=1),0,ROUND(MAX(0,MIN(IF($BS50=1,ROUND(MAX(0,MIN($BJ50,'Methodology &amp; Sources'!$C$13)-$BG49)/MAX(1,MAX($BE$6:$BE$68)-($BE49)),2),ROUND(MIN($BJ50,'Methodology &amp; Sources'!$C$13)/Inputs!$C$8,2)),MIN($BJ50,'Methodology &amp; Sources'!$C$13)-$BG49)),2)))</f>
      </c>
      <c r="I50" s="7">
        <f>IF($B50="","",IF(OR($BF50=0,$BR50=1),0,ROUND(MAX(0,MIN(IF($BT50=1,ROUND(MAX(0,MIN($BK50,IF(Inputs!$C$12="MFJ",'Methodology &amp; Sources'!$C$14,'Methodology &amp; Sources'!$C$15))-$BH49)/MAX(1,MAX($BE$6:$BE$68)-($BE49)),2),ROUND(MIN($BK50,IF(Inputs!$C$12="MFJ",'Methodology &amp; Sources'!$C$14,'Methodology &amp; Sources'!$C$15))/Inputs!$C$8,2)),MIN($BK50,IF(Inputs!$C$12="MFJ",'Methodology &amp; Sources'!$C$14,'Methodology &amp; Sources'!$C$15))-$BH49)),2)))</f>
      </c>
      <c r="J50" s="7">
        <f>IF($B50="","",IF($BF50=0,0,$BM50))</f>
      </c>
      <c r="K50" s="7">
        <f>IF($B50="","",IF($BF50=0,0,$BN50+$BO50))</f>
      </c>
      <c r="L50" s="7">
        <f>IF($B50="","",IF($BF50=0,0,Inputs!$D$46))</f>
      </c>
      <c r="M50" s="7">
        <f>IF($B50="","",$C50+$D50+$L50-$E50-$G50-$H50-$I50-$J50-$K50)</f>
      </c>
      <c r="N50" s="7">
        <f>IF($B50="","",$C50+$D50+$L50-$G50-$H50-$I50-$J50-$K50)</f>
      </c>
      <c r="O50" s="7">
        <f>IF($B50="","",$C50+$D50+$L50-$E50-$H50-$I50-$J50-$K50-IF(OR($AN50="CA",$AN50="NJ"),0,$G50))</f>
      </c>
      <c r="P50" s="7">
        <f>IF($B50="","",IF(Inputs!$C$18,0,ROUND(MAX(0,IF(Inputs!$C$13,SUMPRODUCT(($AH50&gt;INDEX('Methodology &amp; Sources'!$B$29:$J$36,0,IF(Inputs!$C$12="MFJ",1,IF(Inputs!$C$12="HoH",7,4))))*($AH50-INDEX('Methodology &amp; Sources'!$B$29:$J$36,0,IF(Inputs!$C$12="MFJ",1,IF(Inputs!$C$12="HoH",7,4))))*INDEX('Methodology &amp; Sources'!$B$29:$J$36,0,IF(Inputs!$C$12="MFJ",1,IF(Inputs!$C$12="HoH",7,4))+2)),SUMPRODUCT(($AH50&gt;INDEX('Methodology &amp; Sources'!$B$19:$J$26,0,IF(Inputs!$C$12="MFJ",1,IF(Inputs!$C$12="HoH",7,4))))*($AH50-INDEX('Methodology &amp; Sources'!$B$19:$J$26,0,IF(Inputs!$C$12="MFJ",1,IF(Inputs!$C$12="HoH",7,4))))*INDEX('Methodology &amp; Sources'!$B$19:$J$26,0,IF(Inputs!$C$12="MFJ",1,IF(Inputs!$C$12="HoH",7,4))+2)))/Inputs!$C$8-$AO50/Inputs!$C$8)+$AR50+IF(Inputs!$C$89="Aggregate",MAX(0,IF(Inputs!$C$13,SUMPRODUCT((($AH50+$D50)&gt;INDEX('Methodology &amp; Sources'!$B$29:$J$36,0,IF(Inputs!$C$12="MFJ",1,IF(Inputs!$C$12="HoH",7,4))))*(($AH50+$D50)-INDEX('Methodology &amp; Sources'!$B$29:$J$36,0,IF(Inputs!$C$12="MFJ",1,IF(Inputs!$C$12="HoH",7,4))))*INDEX('Methodology &amp; Sources'!$B$29:$J$36,0,IF(Inputs!$C$12="MFJ",1,IF(Inputs!$C$12="HoH",7,4))+2)),SUMPRODUCT((($AH50+$D50)&gt;INDEX('Methodology &amp; Sources'!$B$19:$J$26,0,IF(Inputs!$C$12="MFJ",1,IF(Inputs!$C$12="HoH",7,4))))*(($AH50+$D50)-INDEX('Methodology &amp; Sources'!$B$19:$J$26,0,IF(Inputs!$C$12="MFJ",1,IF(Inputs!$C$12="HoH",7,4))))*INDEX('Methodology &amp; Sources'!$B$19:$J$26,0,IF(Inputs!$C$12="MFJ",1,IF(Inputs!$C$12="HoH",7,4))+2)))-IF(Inputs!$C$13,SUMPRODUCT(($AH50&gt;INDEX('Methodology &amp; Sources'!$B$29:$J$36,0,IF(Inputs!$C$12="MFJ",1,IF(Inputs!$C$12="HoH",7,4))))*($AH50-INDEX('Methodology &amp; Sources'!$B$29:$J$36,0,IF(Inputs!$C$12="MFJ",1,IF(Inputs!$C$12="HoH",7,4))))*INDEX('Methodology &amp; Sources'!$B$29:$J$36,0,IF(Inputs!$C$12="MFJ",1,IF(Inputs!$C$12="HoH",7,4))+2)),SUMPRODUCT(($AH50&gt;INDEX('Methodology &amp; Sources'!$B$19:$J$26,0,IF(Inputs!$C$12="MFJ",1,IF(Inputs!$C$12="HoH",7,4))))*($AH50-INDEX('Methodology &amp; Sources'!$B$19:$J$26,0,IF(Inputs!$C$12="MFJ",1,IF(Inputs!$C$12="HoH",7,4))))*INDEX('Methodology &amp; Sources'!$B$19:$J$26,0,IF(Inputs!$C$12="MFJ",1,IF(Inputs!$C$12="HoH",7,4))+2)))),'Methodology &amp; Sources'!$C$10*$D50),2)))</f>
      </c>
      <c r="Q50" s="7">
        <f>IF($B50="","",ROUND('Methodology &amp; Sources'!$C$4*MIN($N50,MAX(0,'Methodology &amp; Sources'!$C$3-($AX50+$AB49-$AW50))),2))</f>
      </c>
      <c r="R50" s="7">
        <f>IF($B50="","",ROUND('Methodology &amp; Sources'!$C$5*$N50,2))</f>
      </c>
      <c r="S50" s="7">
        <f>IF($B50="","",ROUND('Methodology &amp; Sources'!$C$6*MAX(0,MIN($N50,$AG49+$N50-'Methodology &amp; Sources'!$C$7)),2))</f>
      </c>
      <c r="T50" s="7">
        <f>IF($B50="","",IF(Inputs!$C$26,0,IF($AN50="CA",ROUND(IF($AI50&lt;=IF(($AS50+$AT50)&gt;=2,VLOOKUP($AN50,StateTables!$A$6:$AB$56,10,FALSE),VLOOKUP($AN50,StateTables!$A$6:$AB$56,9,FALSE)),0,MAX(0,SUMPRODUCT(($AJ50&gt;INDEX('Methodology &amp; Sources'!$B$39:$J$48,0,IF($AU50="Married",4,IF($AU50="Head of household",7,1))))*($AJ50-INDEX('Methodology &amp; Sources'!$B$39:$J$48,0,IF($AU50="Married",4,IF($AU50="Head of household",7,1))))*INDEX('Methodology &amp; Sources'!$B$39:$J$48,0,IF($AU50="Married",4,IF($AU50="Head of household",7,1))+2))-VLOOKUP($AN50,StateTables!$A$6:$AB$56,11,FALSE)*$AS50)/Inputs!$C$8)+Inputs!$C$25+VLOOKUP($AN50,StateTables!$A$6:$AB$56,13,FALSE)*$D50,2),IF(VLOOKUP($AN50,StateTables!$A$6:$AB$56,4,FALSE)="None",0,IF(ISNUMBER(SEARCH("MANUAL",VLOOKUP($AN50,StateTables!$A$6:$AB$56,5,FALSE))),Inputs!$C$28,ROUND(MAX(0,$BA50+$BB50)/Inputs!$C$8+Inputs!$C$25+$BC50,2))))))</f>
      </c>
      <c r="U50" s="7">
        <f>IF($B50="","",IF(VLOOKUP($AN50,StateTables!$A$6:$AB$56,24,FALSE)="flatq",IF(OR(MONTH($B50)=1,MONTH($B50)=4,MONTH($B50)=7,MONTH($B50)=10),VLOOKUP($AN50,StateTables!$A$6:$AB$56,25,FALSE),0),IF(VLOOKUP($AN50,StateTables!$A$6:$AB$56,24,FALSE)="dbl",MIN(ROUND(0.005*$N50,2),ROUND(0.6*52/Inputs!$C$8,2)),IF(OR(VLOOKUP($AN50,StateTables!$A$6:$AB$56,15,FALSE)="",VLOOKUP($AN50,StateTables!$A$6:$AB$56,15,FALSE)=0),0,ROUND(VLOOKUP($AN50,StateTables!$A$6:$AB$56,15,FALSE)*IF(OR(VLOOKUP($AN50,StateTables!$A$6:$AB$56,16,FALSE)="",VLOOKUP($AN50,StateTables!$A$6:$AB$56,16,FALSE)=0),$N50,MIN($N50,MAX(0,VLOOKUP($AN50,StateTables!$A$6:$AB$56,16,FALSE)-($AX50+$AB49-$AW50)))),2))))+IF(VLOOKUP($AN50,StateTables!$A$6:$AB$56,27,FALSE)="flatq",IF(OR(MONTH($B50)=1,MONTH($B50)=4,MONTH($B50)=7,MONTH($B50)=10),VLOOKUP($AN50,StateTables!$A$6:$AB$56,28,FALSE),0),IF(VLOOKUP($AN50,StateTables!$A$6:$AB$56,27,FALSE)="dbl",MIN(ROUND(0.005*$N50,2),ROUND(0.6*52/Inputs!$C$8,2)),IF(OR(VLOOKUP($AN50,StateTables!$A$6:$AB$56,18,FALSE)="",VLOOKUP($AN50,StateTables!$A$6:$AB$56,18,FALSE)=0),0,ROUND(VLOOKUP($AN50,StateTables!$A$6:$AB$56,18,FALSE)*IF(OR(VLOOKUP($AN50,StateTables!$A$6:$AB$56,19,FALSE)="",VLOOKUP($AN50,StateTables!$A$6:$AB$56,19,FALSE)=0),$N50,MIN($N50,MAX(0,VLOOKUP($AN50,StateTables!$A$6:$AB$56,19,FALSE)-($AX50+$AB49-$AW50)))),2)))))</f>
      </c>
      <c r="V50" s="7">
        <f>IF($B50="","",IF($AN50="NY",IF(Inputs!$C$78,ROUND(SUMPRODUCT((MAX(0,($O50-$D50)*Inputs!$C$8-(IF($AU50="Married",5500,5000)+1000*$AS50))&gt;INDEX('Methodology &amp; Sources'!$B$184:$J$198,0,4))*(MAX(0,($O50-$D50)*Inputs!$C$8-(IF($AU50="Married",5500,5000)+1000*$AS50))-INDEX('Methodology &amp; Sources'!$B$184:$J$198,0,4))*INDEX('Methodology &amp; Sources'!$B$184:$J$198,0,4+2))/Inputs!$C$8+0.0425*$D50,2),0)+IF(Inputs!$C$79="Resident",ROUND(0.1675*$T50,2),IF(Inputs!$C$79="Nonresident",ROUND(0.005*MAX(0,($O50-$D50)-(IF($AU50="Married",7950,7400)+1000*$AS50)/Inputs!$C$8),2),0)),IF($AN50="PA",IF(Inputs!$C$80="None",Inputs!$C$27+ROUND(Inputs!$C$81*($C50+$D50),2),ROUND(IF(Inputs!$C$80="Resident",IF($B50&lt;DATE(2027,7,1),0.03735,0.03735),IF($B50&lt;DATE(2027,7,1),0.03425,0.03425))*($C50+$D50),2)),IF($BF50=0,ROUND(Inputs!$C$81*($C50+$D50),2),Inputs!$C$27+ROUND(Inputs!$C$81*($C50+$D50),2)))))</f>
      </c>
      <c r="W50" s="7">
        <f>IF($B50="","",IF($BF50=0,0,$BP50))</f>
      </c>
      <c r="X50" s="7">
        <f>IF($B50="","",SUM($E50:$K50)+$P50+$Q50+$R50+$S50+$T50+$U50+$V50+$W50)</f>
      </c>
      <c r="Y50" s="22">
        <f>IF($B50="","",$C50+$D50-$X50)</f>
      </c>
      <c r="Z50" s="7">
        <f>IF($B50="","",$Z49+$C50+$D50)</f>
      </c>
      <c r="AA50" s="7">
        <f>IF($B50="","",$AA49+$Y50)</f>
      </c>
      <c r="AB50" s="7">
        <f>IF($B50="","",$AB49+MIN($N50,MAX(0,'Methodology &amp; Sources'!$C$3-($AX50+$AB49-$AW50))))</f>
      </c>
      <c r="AC50" s="7">
        <f>IF($B50="","",$AC49+$E50+$F50)</f>
      </c>
      <c r="AD50" s="3">
        <f>IF($B50="","",IF(AND($AB49&lt;'Methodology &amp; Sources'!$C$3,$AB50&gt;='Methodology &amp; Sources'!$C$3),"★ Social Security maxed on this check — from the next check your net rises by about $"&amp;TEXT(ROUND('Methodology &amp; Sources'!$C$4*$N50,2),"#,##0.00")&amp;". ","")&amp;IF(AND($AC49&lt;Inputs!$C$34,$AC50&gt;=Inputs!$C$34),"★ 401(k) reaches the $"&amp;TEXT(Inputs!$C$34,"#,##0")&amp;" cap on this check — deferrals stop and net pay rises. ","")&amp;IF(AND($AG49&lt;'Methodology &amp; Sources'!$C$7,$AG50&gt;='Methodology &amp; Sources'!$C$7),"★ Wages pass $200,000 — the 0.9% Additional Medicare Tax starts here. ","")&amp;IF(AND($BJ50&gt;0,$H50&gt;0,$BG49&lt;MIN($BJ50,'Methodology &amp; Sources'!$C$13),$BG49+$H50&gt;=MIN($BJ50,'Methodology &amp; Sources'!$C$13)),"★ Health FSA election is now fully deferred for the year. ",""))</f>
      </c>
      <c r="AE50" s="41" t="n"/>
      <c r="AF50" s="7">
        <f>IF(OR($B50="",$AE50=""),"",$AE50-$Y50)</f>
      </c>
      <c r="AG50" s="7">
        <f>IF($B50="","",$AG49+$N50)</f>
      </c>
      <c r="AH50" s="7">
        <f>IF($B50="","",MAX(0,($M50-$D50)*Inputs!$C$8+$AP50-$AQ50-IF(Inputs!$C$13,0,IF(Inputs!$C$12="MFJ",'Methodology &amp; Sources'!$C$8,'Methodology &amp; Sources'!$C$9))))</f>
      </c>
      <c r="AI50" s="7">
        <f>IF($B50="","",$O50*Inputs!$C$8)</f>
      </c>
      <c r="AJ50" s="7">
        <f>IF($B50="","",MAX(0,$AI50-VLOOKUP($AN50,StateTables!$A$6:$AB$56,12,FALSE)*$AT50-IF(($AS50+$AT50)&gt;=2,VLOOKUP($AN50,StateTables!$A$6:$AB$56,8,FALSE),VLOOKUP($AN50,StateTables!$A$6:$AB$56,7,FALSE))))</f>
      </c>
      <c r="AK50" s="7">
        <f>IF($B50="","",IFERROR(LOOKUP(2,1/((Events!$C$6:$C$17="Salary change")*(Events!$B$6:$B$17&lt;=$B50)*(Events!$B$6:$B$17&lt;&gt;"")),Events!$D$6:$D$17),IF(Inputs!$C$4="Annual salary",Inputs!$C$5,Inputs!$C$6)))</f>
      </c>
      <c r="AL50">
        <f>IF($B50="","",IFERROR(LOOKUP(2,1/((Events!$C$6:$C$17="401(k) change")*(Events!$B$6:$B$17&lt;=$B50)*(Events!$B$6:$B$17&lt;&gt;"")),Events!$D$6:$D$17),Inputs!$C$30))</f>
      </c>
      <c r="AM50" s="7">
        <f>IF($B50="","",IFERROR(LOOKUP(2,1/((Events!$C$6:$C$17="401(k) change")*(Events!$B$6:$B$17&lt;=$B50)*(Events!$B$6:$B$17&lt;&gt;"")),Events!$E$6:$E$17),Inputs!$D$30))</f>
      </c>
      <c r="AN50">
        <f>IF($B50="","",IFERROR(LOOKUP(2,1/((Events!$C$6:$C$17="State move")*(Events!$B$6:$B$17&lt;=$B50)*(Events!$B$6:$B$17&lt;&gt;"")),Events!$D$6:$D$17),Inputs!$C$21))</f>
      </c>
      <c r="AO50" s="7">
        <f>IF($B50="","",IFERROR(LOOKUP(2,1/((Events!$C$6:$C$17="W-4 change")*(Events!$B$6:$B$17&lt;=$B50)*(Events!$B$6:$B$17&lt;&gt;"")),Events!$D$6:$D$17),Inputs!$C$14))</f>
      </c>
      <c r="AP50" s="7">
        <f>IF($B50="","",IFERROR(LOOKUP(2,1/((Events!$C$6:$C$17="W-4 change")*(Events!$B$6:$B$17&lt;=$B50)*(Events!$B$6:$B$17&lt;&gt;"")),Events!$E$6:$E$17),Inputs!$C$15))</f>
      </c>
      <c r="AQ50" s="7">
        <f>IF($B50="","",IFERROR(LOOKUP(2,1/((Events!$C$6:$C$17="W-4 change")*(Events!$B$6:$B$17&lt;=$B50)*(Events!$B$6:$B$17&lt;&gt;"")),Events!$F$6:$F$17),Inputs!$C$16))</f>
      </c>
      <c r="AR50" s="7">
        <f>IF($B50="","",IFERROR(LOOKUP(2,1/((Events!$C$6:$C$17="W-4 change")*(Events!$B$6:$B$17&lt;=$B50)*(Events!$B$6:$B$17&lt;&gt;"")),Events!$G$6:$G$17),Inputs!$C$17))</f>
      </c>
      <c r="AS50" s="6">
        <f>IF($B50="","",IFERROR(LOOKUP(2,1/(((Events!$C$6:$C$17="State move")+(Events!$C$6:$C$17="State cert change"))*(Events!$B$6:$B$17&lt;=$B50)*(Events!$B$6:$B$17&lt;&gt;"")),Events!$F$6:$F$17),Inputs!$C$23))</f>
      </c>
      <c r="AT50" s="6">
        <f>IF($B50="","",IFERROR(LOOKUP(2,1/(((Events!$C$6:$C$17="State move")+(Events!$C$6:$C$17="State cert change"))*(Events!$B$6:$B$17&lt;=$B50)*(Events!$B$6:$B$17&lt;&gt;"")),Events!$G$6:$G$17),Inputs!$C$24))</f>
      </c>
      <c r="AU50">
        <f>IF($B50="","",IFERROR(LOOKUP(2,1/((Events!$C$6:$C$17="State move")*(Events!$B$6:$B$17&lt;=$B50)*(Events!$B$6:$B$17&lt;&gt;"")),Events!$E$6:$E$17),Inputs!$C$22))</f>
      </c>
      <c r="AV50" s="6">
        <f>IF($B50="","",1+COUNTIFS(Events!$C$6:$C$17,"Employer change",Events!$B$6:$B$17,"&lt;="&amp;$B50,Events!$B$6:$B$17,"&lt;&gt;"))</f>
      </c>
      <c r="AW50" s="7">
        <f>IF($B50="","",IF($AV50=1,Inputs!$C$94,IF(IFERROR(MATCH(IFERROR(LOOKUP(2,1/((Events!$C$6:$C$17="Employer change")*(Events!$B$6:$B$17&lt;=$B50)*(Events!$B$6:$B$17&lt;&gt;"")),Events!$B$6:$B$17),""),$B$6:$B$68,1),1)&lt;=1,Inputs!$C$94,INDEX($AB$6:$AB$68,MATCH(IFERROR(LOOKUP(2,1/((Events!$C$6:$C$17="Employer change")*(Events!$B$6:$B$17&lt;=$B50)*(Events!$B$6:$B$17&lt;&gt;"")),Events!$B$6:$B$17),""),$B$6:$B$68,1)-1))))</f>
      </c>
      <c r="AX50" s="7">
        <f>IF($B50="","",IF($AV50=1,Inputs!$C$94,IFERROR(LOOKUP(2,1/((Events!$C$6:$C$17="Employer change")*(Events!$B$6:$B$17&lt;=$B50)*(Events!$B$6:$B$17&lt;&gt;"")),Events!$D$6:$D$17),0)))</f>
      </c>
      <c r="AY50" s="7">
        <f>IF($B50="","",($O50-$D50)*Inputs!$C$8)</f>
      </c>
      <c r="AZ50" s="7">
        <f>IF($B50="","",IF($AN50="AL",MAX(0,$AY50-IF($AU50="Married",IF($AY50&lt;=25999,8500,MAX(5000,8500-175*CEILING(($AY50-25999)/500,1))),IF($AU50="Head of household",IF($AY50&lt;=25999,5200,MAX(2500,5200-135*CEILING(($AY50-25999)/500,1))),IF($AY50&lt;=25999,3000,MAX(2500,3000-25*CEILING(($AY50-25999)/500,1)))))-($P50-'Methodology &amp; Sources'!$C$10*$D50)*Inputs!$C$8-IF(OR($AU50="Married",$AU50="Head of household"),3000,1500)-$AT50*IF($AY50&lt;=50000,1000,IF($AY50&lt;=100000,500,300))),IF($AN50="AR",IF(MAX(0,$AY50-2470)&lt;97701,INT(MAX(0,$AY50-2470)/100)*100+50,MAX(0,$AY50-2470)),IF($AN50="DE",MAX(0,$AI50-3250),IF($AN50="HI",MAX(0,$AI50-1144*$AS50-4350),IF($AN50="KS",MAX(0,$AI50-(9160*IF($AU50="Married",2,1)+2320*$AT50+IF($AU50="Head of household",2320,0))),IF($AN50="MD",MAX(0,$AI50-3400-3200*$AS50),IF($AN50="MN",MAX(0,$AY50-5300*$AS50),IF($AN50="MO",MAX(0,$AI50-IF($AU50="Head of household",24150,IF($AU50="Married",IF(Inputs!$C$83,16100,32200),16100))),IF($AN50="MT",$AY50,IF($AN50="ND",($C50+$L50)*Inputs!$C$8,IF($AN50="NE",MAX(0,$AY50-2440*$AS50),IF($AN50="NJ",MAX(0,$AY50-1000*$AS50),IF($AN50="NY",MAX(0,$AY50-(IF($AU50="Married",7950,7400)+1000*$AS50)),IF($AN50="OH",MAX(0,$AY50-650*$AS50),IF($AN50="OK",MAX(0,$AY50-1000*$AS50),IF($AN50="RI",MAX(0,$AI50-1000*$AS50),IF($AN50="SC",MAX(0,$AI50-5000*$AS50-IF($AS50=0,0,MIN(0.1*$AI50,7500))),IF($AN50="VA",MAX(0,$AI50-IF($AU50="Married",17500,8750)-930*$AS50-800*$AT50),IF($AN50="VT",MAX(0,$AI50-5400*$AS50),IF($AN50="WI",MAX(0,$AI50-MAX(0,IF($AU50="Married",9461-0.2*MAX(0,$AI50-25727),6702-0.12*MAX(0,$AI50-17780)))-400*$AS50),IF($AN50="WV",MAX(0,$AI50-2000*$AS50),$AI50))))))))))))))))))))))</f>
      </c>
      <c r="BA50" s="7">
        <f>IF($B50="","",IF($BW50&lt;&gt;"",$BW50,IF($BX50&lt;&gt;"",$BX50,IF($BY50&lt;&gt;"",$BY50,0))))</f>
      </c>
      <c r="BB50" s="7">
        <f>IF($B50="","",IF($AN50="AR",-29*$AS50,IF($AN50="DE",-110*$AS50,IF($AN50="MD",$AZ50*Inputs!$C$74,IF($AN50="AZ",Inputs!$C$82*($M50-$D50)*Inputs!$C$8,IF($AN50="CO",0.044*MAX(0,$AY50-IF($AU50="Married",10000,5000)),IF($AN50="IA",MAX(0,0.038*MAX(0,$AY50-IF($AU50="Head of household",19500,IF($AU50="Married",26000,13000)))-40*$AS50),IF($AN50="ID",0.053*MAX(0,$AY50-IF($AU50="Married",32000,16094)),IF($AN50="IL",0.0495*MAX(0,$AY50-(2925*$AS50+1000*$AT50)),IF($AN50="IN",(0.0295+Inputs!$C$76)*MAX(0,$AY50-(1000*$AS50+1500*$AT50+3000*Inputs!$C$86)),IF($AN50="KY",0.035*MAX(0,$AI50-3360),IF($AN50="LA",IF(Inputs!$C$84="0",0.0309*$AI50,0.0309*MAX(0,$AI50-IF(Inputs!$C$84="2",25750,12875))),IF($AN50="MA",0.05*MIN(MAX(0,$AY50-MIN(($BD49+$Q50+$R50+$S50),2000)-IF($AS50=0,0,IF($AS50=1,4400,1000*$AS50+3400))),1107750)+0.09*MAX(0,MAX(0,$AY50-MIN(($BD49+$Q50+$R50+$S50),2000)-IF($AS50=0,0,IF($AS50=1,4400,1000*$AS50+3400)))-1107750)-IF($AU50="Head of household",120,0)-110*Inputs!$C$75,IF($AN50="MI",0.0425*MAX(0,$AY50-5900*$AS50),IF($AN50="MS",0.04*MAX(0,$AI50-IF($AU50="Head of household",3400,IF($AU50="Married",4600,2300))-Inputs!$C$85-10000),IF($AN50="OR",IF(OR($AU50="Married",AND($AU50="Single",$AS50&gt;=3)),SUMPRODUCT((MAX(0,$AY50-MIN(($P50-'Methodology &amp; Sources'!$C$10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Sources'!$B$211:$J$214,0,4))*(MAX(0,$AY50-MIN(($P50-'Methodology &amp; Sources'!$C$10*$D50)*Inputs!$C$8,IF(OR($AU50="Married",AND($AU50="Single",$AS50&gt;=3)),IF($AY50&lt;250000,8750,IF($AY50&lt;260000,7000,IF($AY50&lt;270000,5250,IF($AY50&lt;280000,3500,IF($AY50&lt;290000,1750,0))))),IF($AY50&lt;125000,8750,IF($AY50&lt;130000,7000,IF($AY50&lt;135000,5250,IF($AY50&lt;140000,3500,IF($AY50&lt;145000,1750,0)))))))-IF(OR($AU50="Married",AND($AU50="Single",$AS50&gt;=3)),5820,2910))-INDEX('Methodology &amp; Sources'!$B$211:$J$214,0,4))*INDEX('Methodology &amp; Sources'!$B$211:$J$214,0,4+2)),SUMPRODUCT((MAX(0,$AY50-MIN(($P50-'Methodology &amp; Sources'!$C$10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Sources'!$B$211:$J$214,0,1))*(MAX(0,$AY50-MIN(($P50-'Methodology &amp; Sources'!$C$10*$D50)*Inputs!$C$8,IF(OR($AU50="Married",AND($AU50="Single",$AS50&gt;=3)),IF($AY50&lt;250000,8750,IF($AY50&lt;260000,7000,IF($AY50&lt;270000,5250,IF($AY50&lt;280000,3500,IF($AY50&lt;290000,1750,0))))),IF($AY50&lt;125000,8750,IF($AY50&lt;130000,7000,IF($AY50&lt;135000,5250,IF($AY50&lt;140000,3500,IF($AY50&lt;145000,1750,0)))))))-IF(OR($AU50="Married",AND($AU50="Single",$AS50&gt;=3)),5820,2910))-INDEX('Methodology &amp; Sources'!$B$211:$J$214,0,1))*INDEX('Methodology &amp; Sources'!$B$211:$J$214,0,1+2)))+263-263*IF(IF($AU50="Married",$AY50&gt;200000,$AY50&gt;100000),0,$AS50),IF($AN50="PA",0.0307*(($O50+$E50+$G50)*Inputs!$C$8),IF($AN50="NY",IF($AU50="Married",IF($AZ50&gt;=2155350,0,IF($AZ50&gt;=1077550,0.48,IF($AZ50&gt;=373200,1.21,IF($AZ50&gt;=323200,0.21,IF($AZ50&gt;=211550,-0.19,IF($AZ50&gt;=157650,-2.8,IF($AZ50&gt;=107650,-0.8,IF($AZ50&gt;=96800,0.05,IF($AZ50&gt;=80650,-0.1,IF($AZ50&gt;=13900,0.4,IF($AZ50&gt;=11700,-0.3,IF($AZ50&gt;=8500,0.5,0)))))))))))),IF($AZ50&gt;=1077550,0,IF($AZ50&gt;=265400,4.29,IF($AZ50&gt;=215400,2.29,IF($AZ50&gt;=157650,2.29,IF($AZ50&gt;=107650,0.29,IF($AZ50&gt;=96800,0.05,IF($AZ50&gt;=80650,-0.1,IF($AZ50&gt;=13900,0.4,IF($AZ50&gt;=11700,-0.3,IF($AZ50&gt;=8500,0.5,0))))))))))),0))))))))))))))))))</f>
      </c>
      <c r="BC50" s="7">
        <f>IF($B50="","",IF($AN50="AL",0.05*$D50,IF($AN50="AR",0.039*$D50,IF($AN50="ID",0.053*$D50,IF($AN50="IN",(0.0295+Inputs!$C$76)*$D50,IF($AN50="KS",0.05*$D50,IF($AN50="MA",0.09*MIN($D50,MAX(0,MAX(0,$AY50-MIN(($BD49+$Q50+$R50+$S50),2000)-IF($AS50=0,0,IF($AS50=1,4400,1000*$AS50+3400)))+$D50-1107750))+0.05*($D50-MIN($D50,MAX(0,MAX(0,$AY50-MIN(($BD49+$Q50+$R50+$S50),2000)-IF($AS50=0,0,IF($AS50=1,4400,1000*$AS50+3400)))+$D50-1107750))),IF($AN50="MD",(0.065+Inputs!$C$74)*$D50,IF($AN50="MI",0.0425*$D50,IF($AN50="MN",0.0625*$D50,IF($AN50="MO",0.047*$D50,IF($AN50="MT",0.05*$D50,IF($AN50="ND",0.015*$D50,IF($AN50="NE",0.035*$D50,IF($AN50="NJ",IF(Inputs!$C$77="B",SUMPRODUCT(($D50*Inputs!$C$8&gt;INDEX('Methodology &amp; Sources'!$B$155:$J$162,0,4))*($D50*Inputs!$C$8-INDEX('Methodology &amp; Sources'!$B$155:$J$162,0,4))*INDEX('Methodology &amp; Sources'!$B$155:$J$162,0,4+2)),IF(Inputs!$C$77="C",SUMPRODUCT(($D50*Inputs!$C$8&gt;INDEX('Methodology &amp; Sources'!$B$155:$J$162,0,7))*($D50*Inputs!$C$8-INDEX('Methodology &amp; Sources'!$B$155:$J$162,0,7))*INDEX('Methodology &amp; Sources'!$B$155:$J$162,0,7+2)),IF(Inputs!$C$77="D",SUMPRODUCT(($D50*Inputs!$C$8&gt;INDEX('Methodology &amp; Sources'!$B$167:$J$179,0,1))*($D50*Inputs!$C$8-INDEX('Methodology &amp; Sources'!$B$167:$J$179,0,1))*INDEX('Methodology &amp; Sources'!$B$167:$J$179,0,1+2)),IF(Inputs!$C$77="E",SUMPRODUCT(($D50*Inputs!$C$8&gt;INDEX('Methodology &amp; Sources'!$B$167:$J$179,0,4))*($D50*Inputs!$C$8-INDEX('Methodology &amp; Sources'!$B$167:$J$179,0,4))*INDEX('Methodology &amp; Sources'!$B$167:$J$179,0,4+2)),SUMPRODUCT(($D50*Inputs!$C$8&gt;INDEX('Methodology &amp; Sources'!$B$155:$J$162,0,1))*($D50*Inputs!$C$8-INDEX('Methodology &amp; Sources'!$B$155:$J$162,0,1))*INDEX('Methodology &amp; Sources'!$B$155:$J$162,0,1+2))))))/Inputs!$C$8,IF($AN50="NY",0.117*$D50,IF($AN50="OH",0.0275*$D50,IF($AN50="OK",0.045*$D50,IF($AN50="OR",0.08*$D50,IF($AN50="WI",IF($AY50&lt;12760,0.0354,IF($AY50&lt;25520,0.0465,IF($AY50&lt;280950,0.053,0.0765)))*$D50,0))))))))))))))))))))</f>
      </c>
      <c r="BD50" s="7">
        <f>IF($B50="","",$BD49+$Q50+$R50+$S50)</f>
      </c>
      <c r="BE50" s="6">
        <f>IF($B50="",$BE49,$BE49+$BF50)</f>
      </c>
      <c r="BF50" s="6">
        <f>IF($B50="","",IF(AND(IF(YEAR(IF(Inputs!$C$7="Weekly",Inputs!$C$90+7*(($BE49+1)-1),IF(Inputs!$C$7="Biweekly",Inputs!$C$90+14*(($BE49+1)-1),IF(Inputs!$C$7="Semimonthly",DATE(YEAR(Inputs!$C$9),MONTH(Inputs!$C$9)+INT((($BE49+1)-1+'Rest of 2026'!$C$2)/2),MIN(DAY(Inputs!$C$9),DAY(EOMONTH(DATE(YEAR(Inputs!$C$9),MONTH(Inputs!$C$9)+INT((($BE49+1)-1+'Rest of 2026'!$C$2)/2),1),0))))+IF(MOD(($BE49+1)-1+'Rest of 2026'!$C$2,2)=1,15,0),EDATE(Inputs!$C$90,($BE49+1)-1)))))&lt;&gt;Inputs!$C$10,"",IF(Inputs!$C$7="Weekly",Inputs!$C$90+7*(($BE49+1)-1),IF(Inputs!$C$7="Biweekly",Inputs!$C$90+14*(($BE49+1)-1),IF(Inputs!$C$7="Semimonthly",DATE(YEAR(Inputs!$C$9),MONTH(Inputs!$C$9)+INT((($BE49+1)-1+'Rest of 2026'!$C$2)/2),MIN(DAY(Inputs!$C$9),DAY(EOMONTH(DATE(YEAR(Inputs!$C$9),MONTH(Inputs!$C$9)+INT((($BE49+1)-1+'Rest of 2026'!$C$2)/2),1),0))))+IF(MOD(($BE49+1)-1+'Rest of 2026'!$C$2,2)=1,15,0),EDATE(Inputs!$C$90,($BE49+1)-1)))))&lt;&gt;"",$B50=IF(YEAR(IF(Inputs!$C$7="Weekly",Inputs!$C$90+7*(($BE49+1)-1),IF(Inputs!$C$7="Biweekly",Inputs!$C$90+14*(($BE49+1)-1),IF(Inputs!$C$7="Semimonthly",DATE(YEAR(Inputs!$C$9),MONTH(Inputs!$C$9)+INT((($BE49+1)-1+'Rest of 2026'!$C$2)/2),MIN(DAY(Inputs!$C$9),DAY(EOMONTH(DATE(YEAR(Inputs!$C$9),MONTH(Inputs!$C$9)+INT((($BE49+1)-1+'Rest of 2026'!$C$2)/2),1),0))))+IF(MOD(($BE49+1)-1+'Rest of 2026'!$C$2,2)=1,15,0),EDATE(Inputs!$C$90,($BE49+1)-1)))))&lt;&gt;Inputs!$C$10,"",IF(Inputs!$C$7="Weekly",Inputs!$C$90+7*(($BE49+1)-1),IF(Inputs!$C$7="Biweekly",Inputs!$C$90+14*(($BE49+1)-1),IF(Inputs!$C$7="Semimonthly",DATE(YEAR(Inputs!$C$9),MONTH(Inputs!$C$9)+INT((($BE49+1)-1+'Rest of 2026'!$C$2)/2),MIN(DAY(Inputs!$C$9),DAY(EOMONTH(DATE(YEAR(Inputs!$C$9),MONTH(Inputs!$C$9)+INT((($BE49+1)-1+'Rest of 2026'!$C$2)/2),1),0))))+IF(MOD(($BE49+1)-1+'Rest of 2026'!$C$2,2)=1,15,0),EDATE(Inputs!$C$90,($BE49+1)-1)))))),1,0))</f>
      </c>
      <c r="BG50" s="7">
        <f>IF($B50="","",$BG49+$H50)</f>
      </c>
      <c r="BH50" s="7">
        <f>IF($B50="","",$BH49+$I50)</f>
      </c>
      <c r="BI50" s="7">
        <f>IF($B50="","",$BI49+$G50)</f>
      </c>
      <c r="BJ50" s="7">
        <f>IF($B50="","",IFERROR(LOOKUP(2,1/((((Events!$C$6:$C$17="Deduction start"))*(Events!$D$6:$D$17="Health FSA"))*(Events!$B$6:$B$17&lt;=$B50)*(Events!$B$6:$B$17&lt;&gt;"")),Events!$E$6:$E$17),Inputs!$D$38))</f>
      </c>
      <c r="BK50" s="7">
        <f>IF($B50="","",IFERROR(LOOKUP(2,1/((((Events!$C$6:$C$17="Deduction start"))*(Events!$D$6:$D$17="Dependent-care FSA"))*(Events!$B$6:$B$17&lt;=$B50)*(Events!$B$6:$B$17&lt;&gt;"")),Events!$E$6:$E$17),Inputs!$D$39))</f>
      </c>
      <c r="BL50" s="7">
        <f>IF($B50="","",IFERROR(LOOKUP(2,1/((((Events!$C$6:$C$17="Deduction start")+(Events!$C$6:$C$17="Deduction stop"))*(Events!$D$6:$D$17="HSA"))*(Events!$B$6:$B$17&lt;=$B50)*(Events!$B$6:$B$17&lt;&gt;"")),Events!$I$6:$I$17),Inputs!$D$35))</f>
      </c>
      <c r="BM50" s="7">
        <f>IF($B50="","",IFERROR(LOOKUP(2,1/((((Events!$C$6:$C$17="Deduction start")+(Events!$C$6:$C$17="Deduction stop"))*(Events!$D$6:$D$17="Premiums"))*(Events!$B$6:$B$17&lt;=$B50)*(Events!$B$6:$B$17&lt;&gt;"")),Events!$I$6:$I$17),Inputs!$D$40+Inputs!$D$41+Inputs!$D$42))</f>
      </c>
      <c r="BN50" s="7">
        <f>IF($B50="","",IFERROR(LOOKUP(2,1/((((Events!$C$6:$C$17="Deduction start")+(Events!$C$6:$C$17="Deduction stop"))*(Events!$D$6:$D$17="Commuter"))*(Events!$B$6:$B$17&lt;=$B50)*(Events!$B$6:$B$17&lt;&gt;"")),Events!$I$6:$I$17),Inputs!$D$43))</f>
      </c>
      <c r="BO50" s="7">
        <f>IF($B50="","",IFERROR(LOOKUP(2,1/((((Events!$C$6:$C$17="Deduction start")+(Events!$C$6:$C$17="Deduction stop"))*(Events!$D$6:$D$17="Other pre-tax"))*(Events!$B$6:$B$17&lt;=$B50)*(Events!$B$6:$B$17&lt;&gt;"")),Events!$I$6:$I$17),Inputs!$D$44))</f>
      </c>
      <c r="BP50" s="7">
        <f>IF($B50="","",IFERROR(LOOKUP(2,1/((((Events!$C$6:$C$17="Deduction start")+(Events!$C$6:$C$17="Deduction stop"))*(Events!$D$6:$D$17="Other post-tax"))*(Events!$B$6:$B$17&lt;=$B50)*(Events!$B$6:$B$17&lt;&gt;"")),Events!$I$6:$I$17),Inputs!$D$45))</f>
      </c>
      <c r="BQ50" s="6">
        <f>IF($B50="","",IFERROR(LOOKUP(2,1/((((Events!$C$6:$C$17="Deduction start")+(Events!$C$6:$C$17="Deduction stop"))*(Events!$D$6:$D$17="Health FSA"))*(Events!$B$6:$B$17&lt;=$B50)*(Events!$B$6:$B$17&lt;&gt;"")),Events!$J$6:$J$17),0))</f>
      </c>
      <c r="BR50" s="6">
        <f>IF($B50="","",IFERROR(LOOKUP(2,1/((((Events!$C$6:$C$17="Deduction start")+(Events!$C$6:$C$17="Deduction stop"))*(Events!$D$6:$D$17="Dependent-care FSA"))*(Events!$B$6:$B$17&lt;=$B50)*(Events!$B$6:$B$17&lt;&gt;"")),Events!$J$6:$J$17),0))</f>
      </c>
      <c r="BS50" s="6">
        <f>IF($B50="","",IF(SUMPRODUCT((Events!$C$6:$C$17="Deduction start")*(Events!$B$6:$B$17&lt;=$B50)*(Events!$B$6:$B$17&lt;&gt;"")*(Events!$D$6:$D$17="Health FSA"))&gt;0,1,0))</f>
      </c>
      <c r="BT50" s="6">
        <f>IF($B50="","",IF(SUMPRODUCT((Events!$C$6:$C$17="Deduction start")*(Events!$B$6:$B$17&lt;=$B50)*(Events!$B$6:$B$17&lt;&gt;"")*(Events!$D$6:$D$17="Dependent-care FSA"))&gt;0,1,0))</f>
      </c>
      <c r="BU50" s="24">
        <f>IF($B50="","",IF(Inputs!$C$13,SUMPRODUCT(($AH50&gt;=INDEX('Methodology &amp; Sources'!$B$29:$J$36,0,IF(Inputs!$C$12="MFJ",1,IF(Inputs!$C$12="HoH",7,4))))*INDEX('Methodology &amp; Sources'!$B$29:$J$36,0,IF(Inputs!$C$12="MFJ",1,IF(Inputs!$C$12="HoH",7,4))+2)),SUMPRODUCT(($AH50&gt;=INDEX('Methodology &amp; Sources'!$B$19:$J$26,0,IF(Inputs!$C$12="MFJ",1,IF(Inputs!$C$12="HoH",7,4))))*INDEX('Methodology &amp; Sources'!$B$19:$J$26,0,IF(Inputs!$C$12="MFJ",1,IF(Inputs!$C$12="HoH",7,4))+2))))</f>
      </c>
      <c r="BV50" s="24">
        <f>IF($B50="","",IF($BZ50&lt;&gt;"",$BZ50,IF($CA50&lt;&gt;"",$CA50,IF($CB50&lt;&gt;"",$CB50,IF($CC50&lt;&gt;"",$CC50,0)))))</f>
      </c>
      <c r="BW50" s="7">
        <f>IF($B50="","",IF($AN50="MD",IF(OR($AU50="Married",$AU50="Head of household"),SUMPRODUCT(($AZ50&gt;INDEX('Methodology &amp; Sources'!$B$114:$J$120,0,1))*($AZ50-INDEX('Methodology &amp; Sources'!$B$114:$J$120,0,1))*INDEX('Methodology &amp; Sources'!$B$114:$J$120,0,1+2)),SUMPRODUCT(($AZ50&gt;INDEX('Methodology &amp; Sources'!$B$103:$J$109,0,7))*($AZ50-INDEX('Methodology &amp; Sources'!$B$103:$J$109,0,7))*INDEX('Methodology &amp; Sources'!$B$103:$J$109,0,7+2))),IF($AN50="MO",SUMPRODUCT(($AZ50&gt;INDEX('Methodology &amp; Sources'!$B$125:$J$132,0,1))*($AZ50-INDEX('Methodology &amp; Sources'!$B$125:$J$132,0,1))*INDEX('Methodology &amp; Sources'!$B$125:$J$132,0,1+2)),IF($AN50="MT",IF($AU50="Head of household",SUMPRODUCT(($AZ50&gt;INDEX('Methodology &amp; Sources'!$B$137:$J$139,0,1))*($AZ50-INDEX('Methodology &amp; Sources'!$B$137:$J$139,0,1))*INDEX('Methodology &amp; Sources'!$B$137:$J$139,0,1+2)),IF($AU50="Married",SUMPRODUCT(($AZ50&gt;INDEX('Methodology &amp; Sources'!$B$125:$J$132,0,7))*($AZ50-INDEX('Methodology &amp; Sources'!$B$125:$J$132,0,7))*INDEX('Methodology &amp; Sources'!$B$125:$J$132,0,7+2)),SUMPRODUCT(($AZ50&gt;INDEX('Methodology &amp; Sources'!$B$125:$J$132,0,4))*($AZ50-INDEX('Methodology &amp; Sources'!$B$125:$J$132,0,4))*INDEX('Methodology &amp; Sources'!$B$125:$J$132,0,4+2)))),IF($AN50="ND",IF($AU50="Head of household",SUMPRODUCT(($AZ50&gt;INDEX('Methodology &amp; Sources'!$B$144:$J$150,0,1))*($AZ50-INDEX('Methodology &amp; Sources'!$B$144:$J$150,0,1))*INDEX('Methodology &amp; Sources'!$B$144:$J$150,0,1+2)),IF($AU50="Married",SUMPRODUCT(($AZ50&gt;INDEX('Methodology &amp; Sources'!$B$137:$J$139,0,7))*($AZ50-INDEX('Methodology &amp; Sources'!$B$137:$J$139,0,7))*INDEX('Methodology &amp; Sources'!$B$137:$J$139,0,7+2)),SUMPRODUCT(($AZ50&gt;INDEX('Methodology &amp; Sources'!$B$137:$J$139,0,4))*($AZ50-INDEX('Methodology &amp; Sources'!$B$137:$J$139,0,4))*INDEX('Methodology &amp; Sources'!$B$137:$J$139,0,4+2)))),IF($AN50="NJ",IF(Inputs!$C$77="B",SUMPRODUCT(($AZ50&gt;INDEX('Methodology &amp; Sources'!$B$155:$J$162,0,4))*($AZ50-INDEX('Methodology &amp; Sources'!$B$155:$J$162,0,4))*INDEX('Methodology &amp; Sources'!$B$155:$J$162,0,4+2)),IF(Inputs!$C$77="C",SUMPRODUCT(($AZ50&gt;INDEX('Methodology &amp; Sources'!$B$155:$J$162,0,7))*($AZ50-INDEX('Methodology &amp; Sources'!$B$155:$J$162,0,7))*INDEX('Methodology &amp; Sources'!$B$155:$J$162,0,7+2)),IF(Inputs!$C$77="D",SUMPRODUCT(($AZ50&gt;INDEX('Methodology &amp; Sources'!$B$167:$J$179,0,1))*($AZ50-INDEX('Methodology &amp; Sources'!$B$167:$J$179,0,1))*INDEX('Methodology &amp; Sources'!$B$167:$J$179,0,1+2)),IF(Inputs!$C$77="E",SUMPRODUCT(($AZ50&gt;INDEX('Methodology &amp; Sources'!$B$167:$J$179,0,4))*($AZ50-INDEX('Methodology &amp; Sources'!$B$167:$J$179,0,4))*INDEX('Methodology &amp; Sources'!$B$167:$J$179,0,4+2)),SUMPRODUCT(($AZ50&gt;INDEX('Methodology &amp; Sources'!$B$155:$J$162,0,1))*($AZ50-INDEX('Methodology &amp; Sources'!$B$155:$J$162,0,1))*INDEX('Methodology &amp; Sources'!$B$155:$J$162,0,1+2)))))),IF($AN50="NY",IF($AU50="Married",IF($AZ50&gt;=2155350,$AZ50*IF($AZ50&gt;25000000,0.117,IF($AZ50&gt;5000000,0.111,0.1045)),SUMPRODUCT(($AZ50&gt;INDEX('Methodology &amp; Sources'!$B$184:$J$198,0,1))*($AZ50-INDEX('Methodology &amp; Sources'!$B$184:$J$198,0,1))*INDEX('Methodology &amp; Sources'!$B$184:$J$198,0,1+2))),IF($AZ50&gt;=1077550,$AZ50*IF($AZ50&gt;25000000,0.117,IF($AZ50&gt;5000000,0.111,0.1045)),SUMPRODUCT(($AZ50&gt;INDEX('Methodology &amp; Sources'!$B$167:$J$179,0,7))*($AZ50-INDEX('Methodology &amp; Sources'!$B$167:$J$179,0,7))*INDEX('Methodology &amp; Sources'!$B$167:$J$179,0,7+2)))),"")))))))</f>
      </c>
      <c r="BX50" s="7">
        <f>IF($B50="","",IF($AN50="AL",IF(OR($AU50="Married",$AU50="Head of household"),SUMPRODUCT(($AZ50&gt;INDEX('Methodology &amp; Sources'!$B$82:$J$86,0,4))*($AZ50-INDEX('Methodology &amp; Sources'!$B$82:$J$86,0,4))*INDEX('Methodology &amp; Sources'!$B$82:$J$86,0,4+2)),SUMPRODUCT(($AZ50&gt;INDEX('Methodology &amp; Sources'!$B$82:$J$86,0,1))*($AZ50-INDEX('Methodology &amp; Sources'!$B$82:$J$86,0,1))*INDEX('Methodology &amp; Sources'!$B$82:$J$86,0,1+2))),IF($AN50="KS",IF($AU50="Married",SUMPRODUCT(($AZ50&gt;INDEX('Methodology &amp; Sources'!$B$103:$J$109,0,4))*($AZ50-INDEX('Methodology &amp; Sources'!$B$103:$J$109,0,4))*INDEX('Methodology &amp; Sources'!$B$103:$J$109,0,4+2)),SUMPRODUCT(($AZ50&gt;INDEX('Methodology &amp; Sources'!$B$103:$J$109,0,1))*($AZ50-INDEX('Methodology &amp; Sources'!$B$103:$J$109,0,1))*INDEX('Methodology &amp; Sources'!$B$103:$J$109,0,1+2))),IF($AN50="MN",IF($AU50="Married",SUMPRODUCT(($AZ50&gt;INDEX('Methodology &amp; Sources'!$B$114:$J$120,0,7))*($AZ50-INDEX('Methodology &amp; Sources'!$B$114:$J$120,0,7))*INDEX('Methodology &amp; Sources'!$B$114:$J$120,0,7+2)),SUMPRODUCT(($AZ50&gt;INDEX('Methodology &amp; Sources'!$B$114:$J$120,0,4))*($AZ50-INDEX('Methodology &amp; Sources'!$B$114:$J$120,0,4))*INDEX('Methodology &amp; Sources'!$B$114:$J$120,0,4+2))),IF($AN50="NE",MAX(IF($AU50="Married",SUMPRODUCT(($AZ50&gt;INDEX('Methodology &amp; Sources'!$B$144:$J$150,0,7))*($AZ50-INDEX('Methodology &amp; Sources'!$B$144:$J$150,0,7))*INDEX('Methodology &amp; Sources'!$B$144:$J$150,0,7+2)),SUMPRODUCT(($AZ50&gt;INDEX('Methodology &amp; Sources'!$B$144:$J$150,0,4))*($AZ50-INDEX('Methodology &amp; Sources'!$B$144:$J$150,0,4))*INDEX('Methodology &amp; Sources'!$B$144:$J$150,0,4+2))),0.015*$AZ50),IF($AN50="OH",IF($B50&gt;=DATE(2027,8,1),SUMPRODUCT(($AZ50&gt;INDEX('Methodology &amp; Sources'!$B$203:$J$206,0,1))*($AZ50-INDEX('Methodology &amp; Sources'!$B$203:$J$206,0,1))*INDEX('Methodology &amp; Sources'!$B$203:$J$206,0,1+2)),SUMPRODUCT(($AZ50&gt;INDEX('Methodology &amp; Sources'!$B$184:$J$198,0,7))*($AZ50-INDEX('Methodology &amp; Sources'!$B$184:$J$198,0,7))*INDEX('Methodology &amp; Sources'!$B$184:$J$198,0,7+2))),IF($AN50="OK",IF($AU50="Married",SUMPRODUCT(($AZ50&gt;INDEX('Methodology &amp; Sources'!$B$203:$J$206,0,7))*($AZ50-INDEX('Methodology &amp; Sources'!$B$203:$J$206,0,7))*INDEX('Methodology &amp; Sources'!$B$203:$J$206,0,7+2)),SUMPRODUCT(($AZ50&gt;INDEX('Methodology &amp; Sources'!$B$203:$J$206,0,4))*($AZ50-INDEX('Methodology &amp; Sources'!$B$203:$J$206,0,4))*INDEX('Methodology &amp; Sources'!$B$203:$J$206,0,4+2))),IF($AN50="RI",SUMPRODUCT(($AZ50&gt;INDEX('Methodology &amp; Sources'!$B$211:$J$214,0,7))*($AZ50-INDEX('Methodology &amp; Sources'!$B$211:$J$214,0,7))*INDEX('Methodology &amp; Sources'!$B$211:$J$214,0,7+2)),IF($AN50="VT",IF($AU50="Married",SUMPRODUCT(($AZ50&gt;INDEX('Methodology &amp; Sources'!$B$228:$J$232,0,1))*($AZ50-INDEX('Methodology &amp; Sources'!$B$228:$J$232,0,1))*INDEX('Methodology &amp; Sources'!$B$228:$J$232,0,1+2)),SUMPRODUCT(($AZ50&gt;INDEX('Methodology &amp; Sources'!$B$219:$J$223,0,7))*($AZ50-INDEX('Methodology &amp; Sources'!$B$219:$J$223,0,7))*INDEX('Methodology &amp; Sources'!$B$219:$J$223,0,7+2))),IF($AN50="WV",IF($AU50="Married",SUMPRODUCT(($AZ50&gt;INDEX('Methodology &amp; Sources'!$B$237:$J$241,0,7))*($AZ50-INDEX('Methodology &amp; Sources'!$B$237:$J$241,0,7))*INDEX('Methodology &amp; Sources'!$B$237:$J$241,0,7+2)),SUMPRODUCT(($AZ50&gt;INDEX('Methodology &amp; Sources'!$B$228:$J$232,0,7))*($AZ50-INDEX('Methodology &amp; Sources'!$B$228:$J$232,0,7))*INDEX('Methodology &amp; Sources'!$B$228:$J$232,0,7+2))),""))))))))))</f>
      </c>
      <c r="BY50" s="7">
        <f>IF($B50="","",IF($AN50="AR",SUMPRODUCT(($AZ50&gt;INDEX('Methodology &amp; Sources'!$B$82:$J$86,0,7))*($AZ50-INDEX('Methodology &amp; Sources'!$B$82:$J$86,0,7))*INDEX('Methodology &amp; Sources'!$B$82:$J$86,0,7+2)),IF($AN50="DE",SUMPRODUCT(($AZ50&gt;INDEX('Methodology &amp; Sources'!$B$91:$J$98,0,1))*($AZ50-INDEX('Methodology &amp; Sources'!$B$91:$J$98,0,1))*INDEX('Methodology &amp; Sources'!$B$91:$J$98,0,1+2)),IF($AN50="HI",IF($AU50="Married",SUMPRODUCT(($AZ50&gt;INDEX('Methodology &amp; Sources'!$B$91:$J$98,0,7))*($AZ50-INDEX('Methodology &amp; Sources'!$B$91:$J$98,0,7))*INDEX('Methodology &amp; Sources'!$B$91:$J$98,0,7+2)),SUMPRODUCT(($AZ50&gt;INDEX('Methodology &amp; Sources'!$B$91:$J$98,0,4))*($AZ50-INDEX('Methodology &amp; Sources'!$B$91:$J$98,0,4))*INDEX('Methodology &amp; Sources'!$B$91:$J$98,0,4+2))),IF($AN50="SC",SUMPRODUCT(($AZ50&gt;INDEX('Methodology &amp; Sources'!$B$219:$J$223,0,1))*($AZ50-INDEX('Methodology &amp; Sources'!$B$219:$J$223,0,1))*INDEX('Methodology &amp; Sources'!$B$219:$J$223,0,1+2)),IF($AN50="VA",SUMPRODUCT(($AZ50&gt;INDEX('Methodology &amp; Sources'!$B$219:$J$223,0,4))*($AZ50-INDEX('Methodology &amp; Sources'!$B$219:$J$223,0,4))*INDEX('Methodology &amp; Sources'!$B$219:$J$223,0,4+2)),IF($AN50="WI",SUMPRODUCT(($AZ50&gt;INDEX('Methodology &amp; Sources'!$B$228:$J$232,0,4))*($AZ50-INDEX('Methodology &amp; Sources'!$B$228:$J$232,0,4))*INDEX('Methodology &amp; Sources'!$B$228:$J$232,0,4+2)),"")))))))</f>
      </c>
      <c r="BZ50" s="24">
        <f>IF($B50="","",IF($AN50="NJ",IF(Inputs!$C$77="B",SUMPRODUCT(($AZ50&gt;=INDEX('Methodology &amp; Sources'!$B$155:$J$162,0,4))*INDEX('Methodology &amp; Sources'!$B$155:$J$162,0,4+2)),IF(Inputs!$C$77="C",SUMPRODUCT(($AZ50&gt;=INDEX('Methodology &amp; Sources'!$B$155:$J$162,0,7))*INDEX('Methodology &amp; Sources'!$B$155:$J$162,0,7+2)),IF(Inputs!$C$77="D",SUMPRODUCT(($AZ50&gt;=INDEX('Methodology &amp; Sources'!$B$167:$J$179,0,1))*INDEX('Methodology &amp; Sources'!$B$167:$J$179,0,1+2)),IF(Inputs!$C$77="E",SUMPRODUCT(($AZ50&gt;=INDEX('Methodology &amp; Sources'!$B$167:$J$179,0,4))*INDEX('Methodology &amp; Sources'!$B$167:$J$179,0,4+2)),SUMPRODUCT(($AZ50&gt;=INDEX('Methodology &amp; Sources'!$B$155:$J$162,0,1))*INDEX('Methodology &amp; Sources'!$B$155:$J$162,0,1+2)))))),IF($AN50="OR",IF(OR($AU50="Married",AND($AU50="Single",$AS50&gt;=3)),SUMPRODUCT((MAX(0,$AY50-MIN(($P50-'Methodology &amp; Sources'!$C$10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Sources'!$B$211:$J$214,0,4))*INDEX('Methodology &amp; Sources'!$B$211:$J$214,0,4+2)),SUMPRODUCT((MAX(0,$AY50-MIN(($P50-'Methodology &amp; Sources'!$C$10*$D50)*Inputs!$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Sources'!$B$211:$J$214,0,1))*INDEX('Methodology &amp; Sources'!$B$211:$J$214,0,1+2)))*IF(($P50-'Methodology &amp; Sources'!$C$10*$D50)*Inputs!$C$8&gt;=IF(OR($AU50="Married",AND($AU50="Single",$AS50&gt;=3)),IF($AY50&lt;250000,8750,IF($AY50&lt;260000,7000,IF($AY50&lt;270000,5250,IF($AY50&lt;280000,3500,IF($AY50&lt;290000,1750,0))))),IF($AY50&lt;125000,8750,IF($AY50&lt;130000,7000,IF($AY50&lt;135000,5250,IF($AY50&lt;140000,3500,IF($AY50&lt;145000,1750,0)))))),1,1-IF(Inputs!$C$13,SUMPRODUCT(($AH50&gt;=INDEX('Methodology &amp; Sources'!$B$29:$J$36,0,IF(Inputs!$C$12="MFJ",1,IF(Inputs!$C$12="HoH",7,4))))*INDEX('Methodology &amp; Sources'!$B$29:$J$36,0,IF(Inputs!$C$12="MFJ",1,IF(Inputs!$C$12="HoH",7,4))+2)),SUMPRODUCT(($AH50&gt;=INDEX('Methodology &amp; Sources'!$B$19:$J$26,0,IF(Inputs!$C$12="MFJ",1,IF(Inputs!$C$12="HoH",7,4))))*INDEX('Methodology &amp; Sources'!$B$19:$J$26,0,IF(Inputs!$C$12="MFJ",1,IF(Inputs!$C$12="HoH",7,4))+2)))),IF($AN50="MI",IF($AY50&gt;5900*$AS50,0.0425,0),""))))</f>
      </c>
      <c r="CA50" s="24">
        <f>IF($B50="","",IF($AN50="AL",IF(OR($AU50="Married",$AU50="Head of household"),SUMPRODUCT(($AZ50&gt;=INDEX('Methodology &amp; Sources'!$B$82:$J$86,0,4))*INDEX('Methodology &amp; Sources'!$B$82:$J$86,0,4+2)),SUMPRODUCT(($AZ50&gt;=INDEX('Methodology &amp; Sources'!$B$82:$J$86,0,1))*INDEX('Methodology &amp; Sources'!$B$82:$J$86,0,1+2)))*(1-IF(Inputs!$C$13,SUMPRODUCT(($AH50&gt;=INDEX('Methodology &amp; Sources'!$B$29:$J$36,0,IF(Inputs!$C$12="MFJ",1,IF(Inputs!$C$12="HoH",7,4))))*INDEX('Methodology &amp; Sources'!$B$29:$J$36,0,IF(Inputs!$C$12="MFJ",1,IF(Inputs!$C$12="HoH",7,4))+2)),SUMPRODUCT(($AH50&gt;=INDEX('Methodology &amp; Sources'!$B$19:$J$26,0,IF(Inputs!$C$12="MFJ",1,IF(Inputs!$C$12="HoH",7,4))))*INDEX('Methodology &amp; Sources'!$B$19:$J$26,0,IF(Inputs!$C$12="MFJ",1,IF(Inputs!$C$12="HoH",7,4))+2)))),IF($AN50="KS",IF($AU50="Married",SUMPRODUCT(($AZ50&gt;=INDEX('Methodology &amp; Sources'!$B$103:$J$109,0,4))*INDEX('Methodology &amp; Sources'!$B$103:$J$109,0,4+2)),SUMPRODUCT(($AZ50&gt;=INDEX('Methodology &amp; Sources'!$B$103:$J$109,0,1))*INDEX('Methodology &amp; Sources'!$B$103:$J$109,0,1+2))),IF($AN50="MD",IF(OR($AU50="Married",$AU50="Head of household"),SUMPRODUCT(($AZ50&gt;=INDEX('Methodology &amp; Sources'!$B$114:$J$120,0,1))*INDEX('Methodology &amp; Sources'!$B$114:$J$120,0,1+2)),SUMPRODUCT(($AZ50&gt;=INDEX('Methodology &amp; Sources'!$B$103:$J$109,0,7))*INDEX('Methodology &amp; Sources'!$B$103:$J$109,0,7+2)))+Inputs!$C$74,IF($AN50="MT",IF($AU50="Head of household",SUMPRODUCT(($AZ50&gt;=INDEX('Methodology &amp; Sources'!$B$137:$J$139,0,1))*INDEX('Methodology &amp; Sources'!$B$137:$J$139,0,1+2)),IF($AU50="Married",SUMPRODUCT(($AZ50&gt;=INDEX('Methodology &amp; Sources'!$B$125:$J$132,0,7))*INDEX('Methodology &amp; Sources'!$B$125:$J$132,0,7+2)),SUMPRODUCT(($AZ50&gt;=INDEX('Methodology &amp; Sources'!$B$125:$J$132,0,4))*INDEX('Methodology &amp; Sources'!$B$125:$J$132,0,4+2)))),IF($AN50="ND",IF($AU50="Head of household",SUMPRODUCT(($AZ50&gt;=INDEX('Methodology &amp; Sources'!$B$144:$J$150,0,1))*INDEX('Methodology &amp; Sources'!$B$144:$J$150,0,1+2)),IF($AU50="Married",SUMPRODUCT(($AZ50&gt;=INDEX('Methodology &amp; Sources'!$B$137:$J$139,0,7))*INDEX('Methodology &amp; Sources'!$B$137:$J$139,0,7+2)),SUMPRODUCT(($AZ50&gt;=INDEX('Methodology &amp; Sources'!$B$137:$J$139,0,4))*INDEX('Methodology &amp; Sources'!$B$137:$J$139,0,4+2)))),IF($AN50="NY",IF($AU50="Married",IF($AZ50&gt;=2155350,IF($AZ50&gt;25000000,0.117,IF($AZ50&gt;5000000,0.111,0.1045)),SUMPRODUCT(($AZ50&gt;=INDEX('Methodology &amp; Sources'!$B$184:$J$198,0,1))*INDEX('Methodology &amp; Sources'!$B$184:$J$198,0,1+2))),IF($AZ50&gt;=1077550,IF($AZ50&gt;25000000,0.117,IF($AZ50&gt;5000000,0.111,0.1045)),SUMPRODUCT(($AZ50&gt;=INDEX('Methodology &amp; Sources'!$B$167:$J$179,0,7))*INDEX('Methodology &amp; Sources'!$B$167:$J$179,0,7+2)))),"")))))))</f>
      </c>
      <c r="CB50" s="24">
        <f>IF($B50="","",IF($AN50="CA",SUMPRODUCT(($AJ50&gt;=INDEX('Methodology &amp; Sources'!$B$39:$J$48,0,IF($AU50="Married",4,IF($AU50="Head of household",7,1))))*INDEX('Methodology &amp; Sources'!$B$39:$J$48,0,IF($AU50="Married",4,IF($AU50="Head of household",7,1))+2)),IF($AN50="HI",IF($AU50="Married",SUMPRODUCT(($AZ50&gt;=INDEX('Methodology &amp; Sources'!$B$91:$J$98,0,7))*INDEX('Methodology &amp; Sources'!$B$91:$J$98,0,7+2)),SUMPRODUCT(($AZ50&gt;=INDEX('Methodology &amp; Sources'!$B$91:$J$98,0,4))*INDEX('Methodology &amp; Sources'!$B$91:$J$98,0,4+2))),IF($AN50="MN",IF($AU50="Married",SUMPRODUCT(($AZ50&gt;=INDEX('Methodology &amp; Sources'!$B$114:$J$120,0,7))*INDEX('Methodology &amp; Sources'!$B$114:$J$120,0,7+2)),SUMPRODUCT(($AZ50&gt;=INDEX('Methodology &amp; Sources'!$B$114:$J$120,0,4))*INDEX('Methodology &amp; Sources'!$B$114:$J$120,0,4+2))),IF($AN50="MO",SUMPRODUCT(($AZ50&gt;=INDEX('Methodology &amp; Sources'!$B$125:$J$132,0,1))*INDEX('Methodology &amp; Sources'!$B$125:$J$132,0,1+2)),IF($AN50="NE",MAX(IF($AU50="Married",SUMPRODUCT(($AZ50&gt;=INDEX('Methodology &amp; Sources'!$B$144:$J$150,0,7))*INDEX('Methodology &amp; Sources'!$B$144:$J$150,0,7+2)),SUMPRODUCT(($AZ50&gt;=INDEX('Methodology &amp; Sources'!$B$144:$J$150,0,4))*INDEX('Methodology &amp; Sources'!$B$144:$J$150,0,4+2))),0.015),IF($AN50="OH",IF($B50&gt;=DATE(2027,8,1),SUMPRODUCT(($AZ50&gt;=INDEX('Methodology &amp; Sources'!$B$203:$J$206,0,1))*INDEX('Methodology &amp; Sources'!$B$203:$J$206,0,1+2)),SUMPRODUCT(($AZ50&gt;=INDEX('Methodology &amp; Sources'!$B$184:$J$198,0,7))*INDEX('Methodology &amp; Sources'!$B$184:$J$198,0,7+2))),IF($AN50="OK",IF($AU50="Married",SUMPRODUCT(($AZ50&gt;=INDEX('Methodology &amp; Sources'!$B$203:$J$206,0,7))*INDEX('Methodology &amp; Sources'!$B$203:$J$206,0,7+2)),SUMPRODUCT(($AZ50&gt;=INDEX('Methodology &amp; Sources'!$B$203:$J$206,0,4))*INDEX('Methodology &amp; Sources'!$B$203:$J$206,0,4+2))),IF($AN50="RI",SUMPRODUCT(($AZ50&gt;=INDEX('Methodology &amp; Sources'!$B$211:$J$214,0,7))*INDEX('Methodology &amp; Sources'!$B$211:$J$214,0,7+2)),IF($AN50="SC",SUMPRODUCT(($AZ50&gt;=INDEX('Methodology &amp; Sources'!$B$219:$J$223,0,1))*INDEX('Methodology &amp; Sources'!$B$219:$J$223,0,1+2)),IF($AN50="VT",IF($AU50="Married",SUMPRODUCT(($AZ50&gt;=INDEX('Methodology &amp; Sources'!$B$228:$J$232,0,1))*INDEX('Methodology &amp; Sources'!$B$228:$J$232,0,1+2)),SUMPRODUCT(($AZ50&gt;=INDEX('Methodology &amp; Sources'!$B$219:$J$223,0,7))*INDEX('Methodology &amp; Sources'!$B$219:$J$223,0,7+2))),IF($AN50="WV",IF($AU50="Married",SUMPRODUCT(($AZ50&gt;=INDEX('Methodology &amp; Sources'!$B$237:$J$241,0,7))*INDEX('Methodology &amp; Sources'!$B$237:$J$241,0,7+2)),SUMPRODUCT(($AZ50&gt;=INDEX('Methodology &amp; Sources'!$B$228:$J$232,0,7))*INDEX('Methodology &amp; Sources'!$B$228:$J$232,0,7+2))),IF($AN50="IN",(0.0295+Inputs!$C$76),"")))))))))))))</f>
      </c>
      <c r="CC50" s="24">
        <f>IF($B50="","",IF($AN50="AR",SUMPRODUCT(($AZ50&gt;=INDEX('Methodology &amp; Sources'!$B$82:$J$86,0,7))*INDEX('Methodology &amp; Sources'!$B$82:$J$86,0,7+2)),IF($AN50="DE",SUMPRODUCT(($AZ50&gt;=INDEX('Methodology &amp; Sources'!$B$91:$J$98,0,1))*INDEX('Methodology &amp; Sources'!$B$91:$J$98,0,1+2)),IF($AN50="VA",SUMPRODUCT(($AZ50&gt;=INDEX('Methodology &amp; Sources'!$B$219:$J$223,0,4))*INDEX('Methodology &amp; Sources'!$B$219:$J$223,0,4+2)),IF($AN50="WI",SUMPRODUCT(($AZ50&gt;=INDEX('Methodology &amp; Sources'!$B$228:$J$232,0,4))*INDEX('Methodology &amp; Sources'!$B$228:$J$232,0,4+2)),IF($AN50="AZ",Inputs!$C$82,IF($AN50="CO",IF($AY50&gt;IF($AU50="Married",10000,5000),0.044,0),IF($AN50="IA",IF($AY50&gt;IF($AU50="Head of household",19500,IF($AU50="Married",26000,13000)),0.038,0),IF($AN50="ID",IF($AY50&gt;IF($AU50="Married",32000,16094),0.053,0),IF($AN50="IL",IF($AY50&gt;(2925*$AS50+1000*$AT50),0.0495,0),IF($AN50="KY",IF($AI50&gt;3360,0.035,0),IF($AN50="LA",0.0309,IF($AN50="MA",IF(MAX(0,$AY50-MIN(($BD49+$Q50+$R50+$S50),2000)-IF($AS50=0,0,IF($AS50=1,4400,1000*$AS50+3400)))&gt;=1107750,0.09,0.05),IF($AN50="MS",IF($AI50-IF($AU50="Head of household",3400,IF($AU50="Married",4600,2300))-Inputs!$C$85&gt;10000,0.04,0),IF($AN50="PA",0.0307,"")))))))))))))))</f>
      </c>
      <c r="CD50" s="21">
        <f>IF(YEAR(IF(Inputs!$C$7="Weekly",Inputs!$C$90+7*(($BE49+1)-1),IF(Inputs!$C$7="Biweekly",Inputs!$C$90+14*(($BE49+1)-1),IF(Inputs!$C$7="Semimonthly",DATE(YEAR(Inputs!$C$9),MONTH(Inputs!$C$9)+INT((($BE49+1)-1+'Rest of 2026'!$C$2)/2),MIN(DAY(Inputs!$C$9),DAY(EOMONTH(DATE(YEAR(Inputs!$C$9),MONTH(Inputs!$C$9)+INT((($BE49+1)-1+'Rest of 2026'!$C$2)/2),1),0))))+IF(MOD(($BE49+1)-1+'Rest of 2026'!$C$2,2)=1,15,0),EDATE(Inputs!$C$90,($BE49+1)-1)))))&lt;&gt;Inputs!$C$10,"",IF(Inputs!$C$7="Weekly",Inputs!$C$90+7*(($BE49+1)-1),IF(Inputs!$C$7="Biweekly",Inputs!$C$90+14*(($BE49+1)-1),IF(Inputs!$C$7="Semimonthly",DATE(YEAR(Inputs!$C$9),MONTH(Inputs!$C$9)+INT((($BE49+1)-1+'Rest of 2026'!$C$2)/2),MIN(DAY(Inputs!$C$9),DAY(EOMONTH(DATE(YEAR(Inputs!$C$9),MONTH(Inputs!$C$9)+INT((($BE49+1)-1+'Rest of 2026'!$C$2)/2),1),0))))+IF(MOD(($BE49+1)-1+'Rest of 2026'!$C$2,2)=1,15,0),EDATE(Inputs!$C$90,($BE49+1)-1)))))</f>
      </c>
      <c r="CE50" s="21">
        <f>IF(SUMPRODUCT(MIN(IF((Inputs!$C$58:$C$67&gt;MAX($B$6:$B49))*(Inputs!$C$58:$C$67&gt;=DATE(Inputs!$C$10,1,1))*(Inputs!$C$58:$C$67&lt;=DATE(Inputs!$C$10,12,31)),Inputs!$C$58:$C$67,999999)))=999999,"",SUMPRODUCT(MIN(IF((Inputs!$C$58:$C$67&gt;MAX($B$6:$B49))*(Inputs!$C$58:$C$67&gt;=DATE(Inputs!$C$10,1,1))*(Inputs!$C$58:$C$67&lt;=DATE(Inputs!$C$10,12,31)),Inputs!$C$58:$C$67,999999))))</f>
      </c>
    </row>
    <row r="51">
      <c r="A51" t="n">
        <v>46</v>
      </c>
      <c r="B51" s="21">
        <f>IF(AND($CD51="",$CE51=""),"",IF($CE51="",$CD51,IF($CD51="",$CE51,MIN($CD51,$CE51))))</f>
      </c>
      <c r="C51" s="7">
        <f>IF($B51="","",IF($BF51=0,0,IF(Inputs!$C$4="Annual salary",ROUND($AK51/IF(AND(Inputs!$C$88="Actual paydays",MONTH(Inputs!$C$90)=1),MAX(1,MAX($BE$6:$BE$68)),Inputs!$C$8),2),$AK51)))</f>
      </c>
      <c r="D51" s="7">
        <f>IF($B51="","",SUMIF(Inputs!$C$58:$C$67,$B51,Inputs!$D$58:$D$67))</f>
      </c>
      <c r="E51" s="7">
        <f>IF($B51="","",ROUND(MAX(0,MIN(IF($AL51="Percent",$AM51*($C51+$D51),$AM51),MAX(0,Inputs!$C$34-$AC50))),2))</f>
      </c>
      <c r="F51" s="7">
        <f>IF($B51="","",ROUND(MAX(0,MIN(IF(Inputs!$C$32="Percent",Inputs!$D$32*($C51+$D51),Inputs!$D$32),MAX(0,Inputs!$C$34-$AC50-$E51))),2))</f>
      </c>
      <c r="G51" s="7">
        <f>IF($B51="","",IF($BF51=0,0,ROUND(MAX(0,MIN($BL51,Inputs!$C$37-Inputs!$C$99-$BI50)),2)))</f>
      </c>
      <c r="H51" s="7">
        <f>IF($B51="","",IF(OR($BF51=0,$BQ51=1),0,ROUND(MAX(0,MIN(IF($BS51=1,ROUND(MAX(0,MIN($BJ51,'Methodology &amp; Sources'!$C$13)-$BG50)/MAX(1,MAX($BE$6:$BE$68)-($BE50)),2),ROUND(MIN($BJ51,'Methodology &amp; Sources'!$C$13)/Inputs!$C$8,2)),MIN($BJ51,'Methodology &amp; Sources'!$C$13)-$BG50)),2)))</f>
      </c>
      <c r="I51" s="7">
        <f>IF($B51="","",IF(OR($BF51=0,$BR51=1),0,ROUND(MAX(0,MIN(IF($BT51=1,ROUND(MAX(0,MIN($BK51,IF(Inputs!$C$12="MFJ",'Methodology &amp; Sources'!$C$14,'Methodology &amp; Sources'!$C$15))-$BH50)/MAX(1,MAX($BE$6:$BE$68)-($BE50)),2),ROUND(MIN($BK51,IF(Inputs!$C$12="MFJ",'Methodology &amp; Sources'!$C$14,'Methodology &amp; Sources'!$C$15))/Inputs!$C$8,2)),MIN($BK51,IF(Inputs!$C$12="MFJ",'Methodology &amp; Sources'!$C$14,'Methodology &amp; Sources'!$C$15))-$BH50)),2)))</f>
      </c>
      <c r="J51" s="7">
        <f>IF($B51="","",IF($BF51=0,0,$BM51))</f>
      </c>
      <c r="K51" s="7">
        <f>IF($B51="","",IF($BF51=0,0,$BN51+$BO51))</f>
      </c>
      <c r="L51" s="7">
        <f>IF($B51="","",IF($BF51=0,0,Inputs!$D$46))</f>
      </c>
      <c r="M51" s="7">
        <f>IF($B51="","",$C51+$D51+$L51-$E51-$G51-$H51-$I51-$J51-$K51)</f>
      </c>
      <c r="N51" s="7">
        <f>IF($B51="","",$C51+$D51+$L51-$G51-$H51-$I51-$J51-$K51)</f>
      </c>
      <c r="O51" s="7">
        <f>IF($B51="","",$C51+$D51+$L51-$E51-$H51-$I51-$J51-$K51-IF(OR($AN51="CA",$AN51="NJ"),0,$G51))</f>
      </c>
      <c r="P51" s="7">
        <f>IF($B51="","",IF(Inputs!$C$18,0,ROUND(MAX(0,IF(Inputs!$C$13,SUMPRODUCT(($AH51&gt;INDEX('Methodology &amp; Sources'!$B$29:$J$36,0,IF(Inputs!$C$12="MFJ",1,IF(Inputs!$C$12="HoH",7,4))))*($AH51-INDEX('Methodology &amp; Sources'!$B$29:$J$36,0,IF(Inputs!$C$12="MFJ",1,IF(Inputs!$C$12="HoH",7,4))))*INDEX('Methodology &amp; Sources'!$B$29:$J$36,0,IF(Inputs!$C$12="MFJ",1,IF(Inputs!$C$12="HoH",7,4))+2)),SUMPRODUCT(($AH51&gt;INDEX('Methodology &amp; Sources'!$B$19:$J$26,0,IF(Inputs!$C$12="MFJ",1,IF(Inputs!$C$12="HoH",7,4))))*($AH51-INDEX('Methodology &amp; Sources'!$B$19:$J$26,0,IF(Inputs!$C$12="MFJ",1,IF(Inputs!$C$12="HoH",7,4))))*INDEX('Methodology &amp; Sources'!$B$19:$J$26,0,IF(Inputs!$C$12="MFJ",1,IF(Inputs!$C$12="HoH",7,4))+2)))/Inputs!$C$8-$AO51/Inputs!$C$8)+$AR51+IF(Inputs!$C$89="Aggregate",MAX(0,IF(Inputs!$C$13,SUMPRODUCT((($AH51+$D51)&gt;INDEX('Methodology &amp; Sources'!$B$29:$J$36,0,IF(Inputs!$C$12="MFJ",1,IF(Inputs!$C$12="HoH",7,4))))*(($AH51+$D51)-INDEX('Methodology &amp; Sources'!$B$29:$J$36,0,IF(Inputs!$C$12="MFJ",1,IF(Inputs!$C$12="HoH",7,4))))*INDEX('Methodology &amp; Sources'!$B$29:$J$36,0,IF(Inputs!$C$12="MFJ",1,IF(Inputs!$C$12="HoH",7,4))+2)),SUMPRODUCT((($AH51+$D51)&gt;INDEX('Methodology &amp; Sources'!$B$19:$J$26,0,IF(Inputs!$C$12="MFJ",1,IF(Inputs!$C$12="HoH",7,4))))*(($AH51+$D51)-INDEX('Methodology &amp; Sources'!$B$19:$J$26,0,IF(Inputs!$C$12="MFJ",1,IF(Inputs!$C$12="HoH",7,4))))*INDEX('Methodology &amp; Sources'!$B$19:$J$26,0,IF(Inputs!$C$12="MFJ",1,IF(Inputs!$C$12="HoH",7,4))+2)))-IF(Inputs!$C$13,SUMPRODUCT(($AH51&gt;INDEX('Methodology &amp; Sources'!$B$29:$J$36,0,IF(Inputs!$C$12="MFJ",1,IF(Inputs!$C$12="HoH",7,4))))*($AH51-INDEX('Methodology &amp; Sources'!$B$29:$J$36,0,IF(Inputs!$C$12="MFJ",1,IF(Inputs!$C$12="HoH",7,4))))*INDEX('Methodology &amp; Sources'!$B$29:$J$36,0,IF(Inputs!$C$12="MFJ",1,IF(Inputs!$C$12="HoH",7,4))+2)),SUMPRODUCT(($AH51&gt;INDEX('Methodology &amp; Sources'!$B$19:$J$26,0,IF(Inputs!$C$12="MFJ",1,IF(Inputs!$C$12="HoH",7,4))))*($AH51-INDEX('Methodology &amp; Sources'!$B$19:$J$26,0,IF(Inputs!$C$12="MFJ",1,IF(Inputs!$C$12="HoH",7,4))))*INDEX('Methodology &amp; Sources'!$B$19:$J$26,0,IF(Inputs!$C$12="MFJ",1,IF(Inputs!$C$12="HoH",7,4))+2)))),'Methodology &amp; Sources'!$C$10*$D51),2)))</f>
      </c>
      <c r="Q51" s="7">
        <f>IF($B51="","",ROUND('Methodology &amp; Sources'!$C$4*MIN($N51,MAX(0,'Methodology &amp; Sources'!$C$3-($AX51+$AB50-$AW51))),2))</f>
      </c>
      <c r="R51" s="7">
        <f>IF($B51="","",ROUND('Methodology &amp; Sources'!$C$5*$N51,2))</f>
      </c>
      <c r="S51" s="7">
        <f>IF($B51="","",ROUND('Methodology &amp; Sources'!$C$6*MAX(0,MIN($N51,$AG50+$N51-'Methodology &amp; Sources'!$C$7)),2))</f>
      </c>
      <c r="T51" s="7">
        <f>IF($B51="","",IF(Inputs!$C$26,0,IF($AN51="CA",ROUND(IF($AI51&lt;=IF(($AS51+$AT51)&gt;=2,VLOOKUP($AN51,StateTables!$A$6:$AB$56,10,FALSE),VLOOKUP($AN51,StateTables!$A$6:$AB$56,9,FALSE)),0,MAX(0,SUMPRODUCT(($AJ51&gt;INDEX('Methodology &amp; Sources'!$B$39:$J$48,0,IF($AU51="Married",4,IF($AU51="Head of household",7,1))))*($AJ51-INDEX('Methodology &amp; Sources'!$B$39:$J$48,0,IF($AU51="Married",4,IF($AU51="Head of household",7,1))))*INDEX('Methodology &amp; Sources'!$B$39:$J$48,0,IF($AU51="Married",4,IF($AU51="Head of household",7,1))+2))-VLOOKUP($AN51,StateTables!$A$6:$AB$56,11,FALSE)*$AS51)/Inputs!$C$8)+Inputs!$C$25+VLOOKUP($AN51,StateTables!$A$6:$AB$56,13,FALSE)*$D51,2),IF(VLOOKUP($AN51,StateTables!$A$6:$AB$56,4,FALSE)="None",0,IF(ISNUMBER(SEARCH("MANUAL",VLOOKUP($AN51,StateTables!$A$6:$AB$56,5,FALSE))),Inputs!$C$28,ROUND(MAX(0,$BA51+$BB51)/Inputs!$C$8+Inputs!$C$25+$BC51,2))))))</f>
      </c>
      <c r="U51" s="7">
        <f>IF($B51="","",IF(VLOOKUP($AN51,StateTables!$A$6:$AB$56,24,FALSE)="flatq",IF(OR(MONTH($B51)=1,MONTH($B51)=4,MONTH($B51)=7,MONTH($B51)=10),VLOOKUP($AN51,StateTables!$A$6:$AB$56,25,FALSE),0),IF(VLOOKUP($AN51,StateTables!$A$6:$AB$56,24,FALSE)="dbl",MIN(ROUND(0.005*$N51,2),ROUND(0.6*52/Inputs!$C$8,2)),IF(OR(VLOOKUP($AN51,StateTables!$A$6:$AB$56,15,FALSE)="",VLOOKUP($AN51,StateTables!$A$6:$AB$56,15,FALSE)=0),0,ROUND(VLOOKUP($AN51,StateTables!$A$6:$AB$56,15,FALSE)*IF(OR(VLOOKUP($AN51,StateTables!$A$6:$AB$56,16,FALSE)="",VLOOKUP($AN51,StateTables!$A$6:$AB$56,16,FALSE)=0),$N51,MIN($N51,MAX(0,VLOOKUP($AN51,StateTables!$A$6:$AB$56,16,FALSE)-($AX51+$AB50-$AW51)))),2))))+IF(VLOOKUP($AN51,StateTables!$A$6:$AB$56,27,FALSE)="flatq",IF(OR(MONTH($B51)=1,MONTH($B51)=4,MONTH($B51)=7,MONTH($B51)=10),VLOOKUP($AN51,StateTables!$A$6:$AB$56,28,FALSE),0),IF(VLOOKUP($AN51,StateTables!$A$6:$AB$56,27,FALSE)="dbl",MIN(ROUND(0.005*$N51,2),ROUND(0.6*52/Inputs!$C$8,2)),IF(OR(VLOOKUP($AN51,StateTables!$A$6:$AB$56,18,FALSE)="",VLOOKUP($AN51,StateTables!$A$6:$AB$56,18,FALSE)=0),0,ROUND(VLOOKUP($AN51,StateTables!$A$6:$AB$56,18,FALSE)*IF(OR(VLOOKUP($AN51,StateTables!$A$6:$AB$56,19,FALSE)="",VLOOKUP($AN51,StateTables!$A$6:$AB$56,19,FALSE)=0),$N51,MIN($N51,MAX(0,VLOOKUP($AN51,StateTables!$A$6:$AB$56,19,FALSE)-($AX51+$AB50-$AW51)))),2)))))</f>
      </c>
      <c r="V51" s="7">
        <f>IF($B51="","",IF($AN51="NY",IF(Inputs!$C$78,ROUND(SUMPRODUCT((MAX(0,($O51-$D51)*Inputs!$C$8-(IF($AU51="Married",5500,5000)+1000*$AS51))&gt;INDEX('Methodology &amp; Sources'!$B$184:$J$198,0,4))*(MAX(0,($O51-$D51)*Inputs!$C$8-(IF($AU51="Married",5500,5000)+1000*$AS51))-INDEX('Methodology &amp; Sources'!$B$184:$J$198,0,4))*INDEX('Methodology &amp; Sources'!$B$184:$J$198,0,4+2))/Inputs!$C$8+0.0425*$D51,2),0)+IF(Inputs!$C$79="Resident",ROUND(0.1675*$T51,2),IF(Inputs!$C$79="Nonresident",ROUND(0.005*MAX(0,($O51-$D51)-(IF($AU51="Married",7950,7400)+1000*$AS51)/Inputs!$C$8),2),0)),IF($AN51="PA",IF(Inputs!$C$80="None",Inputs!$C$27+ROUND(Inputs!$C$81*($C51+$D51),2),ROUND(IF(Inputs!$C$80="Resident",IF($B51&lt;DATE(2027,7,1),0.03735,0.03735),IF($B51&lt;DATE(2027,7,1),0.03425,0.03425))*($C51+$D51),2)),IF($BF51=0,ROUND(Inputs!$C$81*($C51+$D51),2),Inputs!$C$27+ROUND(Inputs!$C$81*($C51+$D51),2)))))</f>
      </c>
      <c r="W51" s="7">
        <f>IF($B51="","",IF($BF51=0,0,$BP51))</f>
      </c>
      <c r="X51" s="7">
        <f>IF($B51="","",SUM($E51:$K51)+$P51+$Q51+$R51+$S51+$T51+$U51+$V51+$W51)</f>
      </c>
      <c r="Y51" s="22">
        <f>IF($B51="","",$C51+$D51-$X51)</f>
      </c>
      <c r="Z51" s="7">
        <f>IF($B51="","",$Z50+$C51+$D51)</f>
      </c>
      <c r="AA51" s="7">
        <f>IF($B51="","",$AA50+$Y51)</f>
      </c>
      <c r="AB51" s="7">
        <f>IF($B51="","",$AB50+MIN($N51,MAX(0,'Methodology &amp; Sources'!$C$3-($AX51+$AB50-$AW51))))</f>
      </c>
      <c r="AC51" s="7">
        <f>IF($B51="","",$AC50+$E51+$F51)</f>
      </c>
      <c r="AD51" s="3">
        <f>IF($B51="","",IF(AND($AB50&lt;'Methodology &amp; Sources'!$C$3,$AB51&gt;='Methodology &amp; Sources'!$C$3),"★ Social Security maxed on this check — from the next check your net rises by about $"&amp;TEXT(ROUND('Methodology &amp; Sources'!$C$4*$N51,2),"#,##0.00")&amp;". ","")&amp;IF(AND($AC50&lt;Inputs!$C$34,$AC51&gt;=Inputs!$C$34),"★ 401(k) reaches the $"&amp;TEXT(Inputs!$C$34,"#,##0")&amp;" cap on this check — deferrals stop and net pay rises. ","")&amp;IF(AND($AG50&lt;'Methodology &amp; Sources'!$C$7,$AG51&gt;='Methodology &amp; Sources'!$C$7),"★ Wages pass $200,000 — the 0.9% Additional Medicare Tax starts here. ","")&amp;IF(AND($BJ51&gt;0,$H51&gt;0,$BG50&lt;MIN($BJ51,'Methodology &amp; Sources'!$C$13),$BG50+$H51&gt;=MIN($BJ51,'Methodology &amp; Sources'!$C$13)),"★ Health FSA election is now fully deferred for the year. ",""))</f>
      </c>
      <c r="AE51" s="41" t="n"/>
      <c r="AF51" s="7">
        <f>IF(OR($B51="",$AE51=""),"",$AE51-$Y51)</f>
      </c>
      <c r="AG51" s="7">
        <f>IF($B51="","",$AG50+$N51)</f>
      </c>
      <c r="AH51" s="7">
        <f>IF($B51="","",MAX(0,($M51-$D51)*Inputs!$C$8+$AP51-$AQ51-IF(Inputs!$C$13,0,IF(Inputs!$C$12="MFJ",'Methodology &amp; Sources'!$C$8,'Methodology &amp; Sources'!$C$9))))</f>
      </c>
      <c r="AI51" s="7">
        <f>IF($B51="","",$O51*Inputs!$C$8)</f>
      </c>
      <c r="AJ51" s="7">
        <f>IF($B51="","",MAX(0,$AI51-VLOOKUP($AN51,StateTables!$A$6:$AB$56,12,FALSE)*$AT51-IF(($AS51+$AT51)&gt;=2,VLOOKUP($AN51,StateTables!$A$6:$AB$56,8,FALSE),VLOOKUP($AN51,StateTables!$A$6:$AB$56,7,FALSE))))</f>
      </c>
      <c r="AK51" s="7">
        <f>IF($B51="","",IFERROR(LOOKUP(2,1/((Events!$C$6:$C$17="Salary change")*(Events!$B$6:$B$17&lt;=$B51)*(Events!$B$6:$B$17&lt;&gt;"")),Events!$D$6:$D$17),IF(Inputs!$C$4="Annual salary",Inputs!$C$5,Inputs!$C$6)))</f>
      </c>
      <c r="AL51">
        <f>IF($B51="","",IFERROR(LOOKUP(2,1/((Events!$C$6:$C$17="401(k) change")*(Events!$B$6:$B$17&lt;=$B51)*(Events!$B$6:$B$17&lt;&gt;"")),Events!$D$6:$D$17),Inputs!$C$30))</f>
      </c>
      <c r="AM51" s="7">
        <f>IF($B51="","",IFERROR(LOOKUP(2,1/((Events!$C$6:$C$17="401(k) change")*(Events!$B$6:$B$17&lt;=$B51)*(Events!$B$6:$B$17&lt;&gt;"")),Events!$E$6:$E$17),Inputs!$D$30))</f>
      </c>
      <c r="AN51">
        <f>IF($B51="","",IFERROR(LOOKUP(2,1/((Events!$C$6:$C$17="State move")*(Events!$B$6:$B$17&lt;=$B51)*(Events!$B$6:$B$17&lt;&gt;"")),Events!$D$6:$D$17),Inputs!$C$21))</f>
      </c>
      <c r="AO51" s="7">
        <f>IF($B51="","",IFERROR(LOOKUP(2,1/((Events!$C$6:$C$17="W-4 change")*(Events!$B$6:$B$17&lt;=$B51)*(Events!$B$6:$B$17&lt;&gt;"")),Events!$D$6:$D$17),Inputs!$C$14))</f>
      </c>
      <c r="AP51" s="7">
        <f>IF($B51="","",IFERROR(LOOKUP(2,1/((Events!$C$6:$C$17="W-4 change")*(Events!$B$6:$B$17&lt;=$B51)*(Events!$B$6:$B$17&lt;&gt;"")),Events!$E$6:$E$17),Inputs!$C$15))</f>
      </c>
      <c r="AQ51" s="7">
        <f>IF($B51="","",IFERROR(LOOKUP(2,1/((Events!$C$6:$C$17="W-4 change")*(Events!$B$6:$B$17&lt;=$B51)*(Events!$B$6:$B$17&lt;&gt;"")),Events!$F$6:$F$17),Inputs!$C$16))</f>
      </c>
      <c r="AR51" s="7">
        <f>IF($B51="","",IFERROR(LOOKUP(2,1/((Events!$C$6:$C$17="W-4 change")*(Events!$B$6:$B$17&lt;=$B51)*(Events!$B$6:$B$17&lt;&gt;"")),Events!$G$6:$G$17),Inputs!$C$17))</f>
      </c>
      <c r="AS51" s="6">
        <f>IF($B51="","",IFERROR(LOOKUP(2,1/(((Events!$C$6:$C$17="State move")+(Events!$C$6:$C$17="State cert change"))*(Events!$B$6:$B$17&lt;=$B51)*(Events!$B$6:$B$17&lt;&gt;"")),Events!$F$6:$F$17),Inputs!$C$23))</f>
      </c>
      <c r="AT51" s="6">
        <f>IF($B51="","",IFERROR(LOOKUP(2,1/(((Events!$C$6:$C$17="State move")+(Events!$C$6:$C$17="State cert change"))*(Events!$B$6:$B$17&lt;=$B51)*(Events!$B$6:$B$17&lt;&gt;"")),Events!$G$6:$G$17),Inputs!$C$24))</f>
      </c>
      <c r="AU51">
        <f>IF($B51="","",IFERROR(LOOKUP(2,1/((Events!$C$6:$C$17="State move")*(Events!$B$6:$B$17&lt;=$B51)*(Events!$B$6:$B$17&lt;&gt;"")),Events!$E$6:$E$17),Inputs!$C$22))</f>
      </c>
      <c r="AV51" s="6">
        <f>IF($B51="","",1+COUNTIFS(Events!$C$6:$C$17,"Employer change",Events!$B$6:$B$17,"&lt;="&amp;$B51,Events!$B$6:$B$17,"&lt;&gt;"))</f>
      </c>
      <c r="AW51" s="7">
        <f>IF($B51="","",IF($AV51=1,Inputs!$C$94,IF(IFERROR(MATCH(IFERROR(LOOKUP(2,1/((Events!$C$6:$C$17="Employer change")*(Events!$B$6:$B$17&lt;=$B51)*(Events!$B$6:$B$17&lt;&gt;"")),Events!$B$6:$B$17),""),$B$6:$B$68,1),1)&lt;=1,Inputs!$C$94,INDEX($AB$6:$AB$68,MATCH(IFERROR(LOOKUP(2,1/((Events!$C$6:$C$17="Employer change")*(Events!$B$6:$B$17&lt;=$B51)*(Events!$B$6:$B$17&lt;&gt;"")),Events!$B$6:$B$17),""),$B$6:$B$68,1)-1))))</f>
      </c>
      <c r="AX51" s="7">
        <f>IF($B51="","",IF($AV51=1,Inputs!$C$94,IFERROR(LOOKUP(2,1/((Events!$C$6:$C$17="Employer change")*(Events!$B$6:$B$17&lt;=$B51)*(Events!$B$6:$B$17&lt;&gt;"")),Events!$D$6:$D$17),0)))</f>
      </c>
      <c r="AY51" s="7">
        <f>IF($B51="","",($O51-$D51)*Inputs!$C$8)</f>
      </c>
      <c r="AZ51" s="7">
        <f>IF($B51="","",IF($AN51="AL",MAX(0,$AY51-IF($AU51="Married",IF($AY51&lt;=25999,8500,MAX(5000,8500-175*CEILING(($AY51-25999)/500,1))),IF($AU51="Head of household",IF($AY51&lt;=25999,5200,MAX(2500,5200-135*CEILING(($AY51-25999)/500,1))),IF($AY51&lt;=25999,3000,MAX(2500,3000-25*CEILING(($AY51-25999)/500,1)))))-($P51-'Methodology &amp; Sources'!$C$10*$D51)*Inputs!$C$8-IF(OR($AU51="Married",$AU51="Head of household"),3000,1500)-$AT51*IF($AY51&lt;=50000,1000,IF($AY51&lt;=100000,500,300))),IF($AN51="AR",IF(MAX(0,$AY51-2470)&lt;97701,INT(MAX(0,$AY51-2470)/100)*100+50,MAX(0,$AY51-2470)),IF($AN51="DE",MAX(0,$AI51-3250),IF($AN51="HI",MAX(0,$AI51-1144*$AS51-4350),IF($AN51="KS",MAX(0,$AI51-(9160*IF($AU51="Married",2,1)+2320*$AT51+IF($AU51="Head of household",2320,0))),IF($AN51="MD",MAX(0,$AI51-3400-3200*$AS51),IF($AN51="MN",MAX(0,$AY51-5300*$AS51),IF($AN51="MO",MAX(0,$AI51-IF($AU51="Head of household",24150,IF($AU51="Married",IF(Inputs!$C$83,16100,32200),16100))),IF($AN51="MT",$AY51,IF($AN51="ND",($C51+$L51)*Inputs!$C$8,IF($AN51="NE",MAX(0,$AY51-2440*$AS51),IF($AN51="NJ",MAX(0,$AY51-1000*$AS51),IF($AN51="NY",MAX(0,$AY51-(IF($AU51="Married",7950,7400)+1000*$AS51)),IF($AN51="OH",MAX(0,$AY51-650*$AS51),IF($AN51="OK",MAX(0,$AY51-1000*$AS51),IF($AN51="RI",MAX(0,$AI51-1000*$AS51),IF($AN51="SC",MAX(0,$AI51-5000*$AS51-IF($AS51=0,0,MIN(0.1*$AI51,7500))),IF($AN51="VA",MAX(0,$AI51-IF($AU51="Married",17500,8750)-930*$AS51-800*$AT51),IF($AN51="VT",MAX(0,$AI51-5400*$AS51),IF($AN51="WI",MAX(0,$AI51-MAX(0,IF($AU51="Married",9461-0.2*MAX(0,$AI51-25727),6702-0.12*MAX(0,$AI51-17780)))-400*$AS51),IF($AN51="WV",MAX(0,$AI51-2000*$AS51),$AI51))))))))))))))))))))))</f>
      </c>
      <c r="BA51" s="7">
        <f>IF($B51="","",IF($BW51&lt;&gt;"",$BW51,IF($BX51&lt;&gt;"",$BX51,IF($BY51&lt;&gt;"",$BY51,0))))</f>
      </c>
      <c r="BB51" s="7">
        <f>IF($B51="","",IF($AN51="AR",-29*$AS51,IF($AN51="DE",-110*$AS51,IF($AN51="MD",$AZ51*Inputs!$C$74,IF($AN51="AZ",Inputs!$C$82*($M51-$D51)*Inputs!$C$8,IF($AN51="CO",0.044*MAX(0,$AY51-IF($AU51="Married",10000,5000)),IF($AN51="IA",MAX(0,0.038*MAX(0,$AY51-IF($AU51="Head of household",19500,IF($AU51="Married",26000,13000)))-40*$AS51),IF($AN51="ID",0.053*MAX(0,$AY51-IF($AU51="Married",32000,16094)),IF($AN51="IL",0.0495*MAX(0,$AY51-(2925*$AS51+1000*$AT51)),IF($AN51="IN",(0.0295+Inputs!$C$76)*MAX(0,$AY51-(1000*$AS51+1500*$AT51+3000*Inputs!$C$86)),IF($AN51="KY",0.035*MAX(0,$AI51-3360),IF($AN51="LA",IF(Inputs!$C$84="0",0.0309*$AI51,0.0309*MAX(0,$AI51-IF(Inputs!$C$84="2",25750,12875))),IF($AN51="MA",0.05*MIN(MAX(0,$AY51-MIN(($BD50+$Q51+$R51+$S51),2000)-IF($AS51=0,0,IF($AS51=1,4400,1000*$AS51+3400))),1107750)+0.09*MAX(0,MAX(0,$AY51-MIN(($BD50+$Q51+$R51+$S51),2000)-IF($AS51=0,0,IF($AS51=1,4400,1000*$AS51+3400)))-1107750)-IF($AU51="Head of household",120,0)-110*Inputs!$C$75,IF($AN51="MI",0.0425*MAX(0,$AY51-5900*$AS51),IF($AN51="MS",0.04*MAX(0,$AI51-IF($AU51="Head of household",3400,IF($AU51="Married",4600,2300))-Inputs!$C$85-10000),IF($AN51="OR",IF(OR($AU51="Married",AND($AU51="Single",$AS51&gt;=3)),SUMPRODUCT((MAX(0,$AY51-MIN(($P51-'Methodology &amp; Sources'!$C$10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Sources'!$B$211:$J$214,0,4))*(MAX(0,$AY51-MIN(($P51-'Methodology &amp; Sources'!$C$10*$D51)*Inputs!$C$8,IF(OR($AU51="Married",AND($AU51="Single",$AS51&gt;=3)),IF($AY51&lt;250000,8750,IF($AY51&lt;260000,7000,IF($AY51&lt;270000,5250,IF($AY51&lt;280000,3500,IF($AY51&lt;290000,1750,0))))),IF($AY51&lt;125000,8750,IF($AY51&lt;130000,7000,IF($AY51&lt;135000,5250,IF($AY51&lt;140000,3500,IF($AY51&lt;145000,1750,0)))))))-IF(OR($AU51="Married",AND($AU51="Single",$AS51&gt;=3)),5820,2910))-INDEX('Methodology &amp; Sources'!$B$211:$J$214,0,4))*INDEX('Methodology &amp; Sources'!$B$211:$J$214,0,4+2)),SUMPRODUCT((MAX(0,$AY51-MIN(($P51-'Methodology &amp; Sources'!$C$10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Sources'!$B$211:$J$214,0,1))*(MAX(0,$AY51-MIN(($P51-'Methodology &amp; Sources'!$C$10*$D51)*Inputs!$C$8,IF(OR($AU51="Married",AND($AU51="Single",$AS51&gt;=3)),IF($AY51&lt;250000,8750,IF($AY51&lt;260000,7000,IF($AY51&lt;270000,5250,IF($AY51&lt;280000,3500,IF($AY51&lt;290000,1750,0))))),IF($AY51&lt;125000,8750,IF($AY51&lt;130000,7000,IF($AY51&lt;135000,5250,IF($AY51&lt;140000,3500,IF($AY51&lt;145000,1750,0)))))))-IF(OR($AU51="Married",AND($AU51="Single",$AS51&gt;=3)),5820,2910))-INDEX('Methodology &amp; Sources'!$B$211:$J$214,0,1))*INDEX('Methodology &amp; Sources'!$B$211:$J$214,0,1+2)))+263-263*IF(IF($AU51="Married",$AY51&gt;200000,$AY51&gt;100000),0,$AS51),IF($AN51="PA",0.0307*(($O51+$E51+$G51)*Inputs!$C$8),IF($AN51="NY",IF($AU51="Married",IF($AZ51&gt;=2155350,0,IF($AZ51&gt;=1077550,0.48,IF($AZ51&gt;=373200,1.21,IF($AZ51&gt;=323200,0.21,IF($AZ51&gt;=211550,-0.19,IF($AZ51&gt;=157650,-2.8,IF($AZ51&gt;=107650,-0.8,IF($AZ51&gt;=96800,0.05,IF($AZ51&gt;=80650,-0.1,IF($AZ51&gt;=13900,0.4,IF($AZ51&gt;=11700,-0.3,IF($AZ51&gt;=8500,0.5,0)))))))))))),IF($AZ51&gt;=1077550,0,IF($AZ51&gt;=265400,4.29,IF($AZ51&gt;=215400,2.29,IF($AZ51&gt;=157650,2.29,IF($AZ51&gt;=107650,0.29,IF($AZ51&gt;=96800,0.05,IF($AZ51&gt;=80650,-0.1,IF($AZ51&gt;=13900,0.4,IF($AZ51&gt;=11700,-0.3,IF($AZ51&gt;=8500,0.5,0))))))))))),0))))))))))))))))))</f>
      </c>
      <c r="BC51" s="7">
        <f>IF($B51="","",IF($AN51="AL",0.05*$D51,IF($AN51="AR",0.039*$D51,IF($AN51="ID",0.053*$D51,IF($AN51="IN",(0.0295+Inputs!$C$76)*$D51,IF($AN51="KS",0.05*$D51,IF($AN51="MA",0.09*MIN($D51,MAX(0,MAX(0,$AY51-MIN(($BD50+$Q51+$R51+$S51),2000)-IF($AS51=0,0,IF($AS51=1,4400,1000*$AS51+3400)))+$D51-1107750))+0.05*($D51-MIN($D51,MAX(0,MAX(0,$AY51-MIN(($BD50+$Q51+$R51+$S51),2000)-IF($AS51=0,0,IF($AS51=1,4400,1000*$AS51+3400)))+$D51-1107750))),IF($AN51="MD",(0.065+Inputs!$C$74)*$D51,IF($AN51="MI",0.0425*$D51,IF($AN51="MN",0.0625*$D51,IF($AN51="MO",0.047*$D51,IF($AN51="MT",0.05*$D51,IF($AN51="ND",0.015*$D51,IF($AN51="NE",0.035*$D51,IF($AN51="NJ",IF(Inputs!$C$77="B",SUMPRODUCT(($D51*Inputs!$C$8&gt;INDEX('Methodology &amp; Sources'!$B$155:$J$162,0,4))*($D51*Inputs!$C$8-INDEX('Methodology &amp; Sources'!$B$155:$J$162,0,4))*INDEX('Methodology &amp; Sources'!$B$155:$J$162,0,4+2)),IF(Inputs!$C$77="C",SUMPRODUCT(($D51*Inputs!$C$8&gt;INDEX('Methodology &amp; Sources'!$B$155:$J$162,0,7))*($D51*Inputs!$C$8-INDEX('Methodology &amp; Sources'!$B$155:$J$162,0,7))*INDEX('Methodology &amp; Sources'!$B$155:$J$162,0,7+2)),IF(Inputs!$C$77="D",SUMPRODUCT(($D51*Inputs!$C$8&gt;INDEX('Methodology &amp; Sources'!$B$167:$J$179,0,1))*($D51*Inputs!$C$8-INDEX('Methodology &amp; Sources'!$B$167:$J$179,0,1))*INDEX('Methodology &amp; Sources'!$B$167:$J$179,0,1+2)),IF(Inputs!$C$77="E",SUMPRODUCT(($D51*Inputs!$C$8&gt;INDEX('Methodology &amp; Sources'!$B$167:$J$179,0,4))*($D51*Inputs!$C$8-INDEX('Methodology &amp; Sources'!$B$167:$J$179,0,4))*INDEX('Methodology &amp; Sources'!$B$167:$J$179,0,4+2)),SUMPRODUCT(($D51*Inputs!$C$8&gt;INDEX('Methodology &amp; Sources'!$B$155:$J$162,0,1))*($D51*Inputs!$C$8-INDEX('Methodology &amp; Sources'!$B$155:$J$162,0,1))*INDEX('Methodology &amp; Sources'!$B$155:$J$162,0,1+2))))))/Inputs!$C$8,IF($AN51="NY",0.117*$D51,IF($AN51="OH",0.0275*$D51,IF($AN51="OK",0.045*$D51,IF($AN51="OR",0.08*$D51,IF($AN51="WI",IF($AY51&lt;12760,0.0354,IF($AY51&lt;25520,0.0465,IF($AY51&lt;280950,0.053,0.0765)))*$D51,0))))))))))))))))))))</f>
      </c>
      <c r="BD51" s="7">
        <f>IF($B51="","",$BD50+$Q51+$R51+$S51)</f>
      </c>
      <c r="BE51" s="6">
        <f>IF($B51="",$BE50,$BE50+$BF51)</f>
      </c>
      <c r="BF51" s="6">
        <f>IF($B51="","",IF(AND(IF(YEAR(IF(Inputs!$C$7="Weekly",Inputs!$C$90+7*(($BE50+1)-1),IF(Inputs!$C$7="Biweekly",Inputs!$C$90+14*(($BE50+1)-1),IF(Inputs!$C$7="Semimonthly",DATE(YEAR(Inputs!$C$9),MONTH(Inputs!$C$9)+INT((($BE50+1)-1+'Rest of 2026'!$C$2)/2),MIN(DAY(Inputs!$C$9),DAY(EOMONTH(DATE(YEAR(Inputs!$C$9),MONTH(Inputs!$C$9)+INT((($BE50+1)-1+'Rest of 2026'!$C$2)/2),1),0))))+IF(MOD(($BE50+1)-1+'Rest of 2026'!$C$2,2)=1,15,0),EDATE(Inputs!$C$90,($BE50+1)-1)))))&lt;&gt;Inputs!$C$10,"",IF(Inputs!$C$7="Weekly",Inputs!$C$90+7*(($BE50+1)-1),IF(Inputs!$C$7="Biweekly",Inputs!$C$90+14*(($BE50+1)-1),IF(Inputs!$C$7="Semimonthly",DATE(YEAR(Inputs!$C$9),MONTH(Inputs!$C$9)+INT((($BE50+1)-1+'Rest of 2026'!$C$2)/2),MIN(DAY(Inputs!$C$9),DAY(EOMONTH(DATE(YEAR(Inputs!$C$9),MONTH(Inputs!$C$9)+INT((($BE50+1)-1+'Rest of 2026'!$C$2)/2),1),0))))+IF(MOD(($BE50+1)-1+'Rest of 2026'!$C$2,2)=1,15,0),EDATE(Inputs!$C$90,($BE50+1)-1)))))&lt;&gt;"",$B51=IF(YEAR(IF(Inputs!$C$7="Weekly",Inputs!$C$90+7*(($BE50+1)-1),IF(Inputs!$C$7="Biweekly",Inputs!$C$90+14*(($BE50+1)-1),IF(Inputs!$C$7="Semimonthly",DATE(YEAR(Inputs!$C$9),MONTH(Inputs!$C$9)+INT((($BE50+1)-1+'Rest of 2026'!$C$2)/2),MIN(DAY(Inputs!$C$9),DAY(EOMONTH(DATE(YEAR(Inputs!$C$9),MONTH(Inputs!$C$9)+INT((($BE50+1)-1+'Rest of 2026'!$C$2)/2),1),0))))+IF(MOD(($BE50+1)-1+'Rest of 2026'!$C$2,2)=1,15,0),EDATE(Inputs!$C$90,($BE50+1)-1)))))&lt;&gt;Inputs!$C$10,"",IF(Inputs!$C$7="Weekly",Inputs!$C$90+7*(($BE50+1)-1),IF(Inputs!$C$7="Biweekly",Inputs!$C$90+14*(($BE50+1)-1),IF(Inputs!$C$7="Semimonthly",DATE(YEAR(Inputs!$C$9),MONTH(Inputs!$C$9)+INT((($BE50+1)-1+'Rest of 2026'!$C$2)/2),MIN(DAY(Inputs!$C$9),DAY(EOMONTH(DATE(YEAR(Inputs!$C$9),MONTH(Inputs!$C$9)+INT((($BE50+1)-1+'Rest of 2026'!$C$2)/2),1),0))))+IF(MOD(($BE50+1)-1+'Rest of 2026'!$C$2,2)=1,15,0),EDATE(Inputs!$C$90,($BE50+1)-1)))))),1,0))</f>
      </c>
      <c r="BG51" s="7">
        <f>IF($B51="","",$BG50+$H51)</f>
      </c>
      <c r="BH51" s="7">
        <f>IF($B51="","",$BH50+$I51)</f>
      </c>
      <c r="BI51" s="7">
        <f>IF($B51="","",$BI50+$G51)</f>
      </c>
      <c r="BJ51" s="7">
        <f>IF($B51="","",IFERROR(LOOKUP(2,1/((((Events!$C$6:$C$17="Deduction start"))*(Events!$D$6:$D$17="Health FSA"))*(Events!$B$6:$B$17&lt;=$B51)*(Events!$B$6:$B$17&lt;&gt;"")),Events!$E$6:$E$17),Inputs!$D$38))</f>
      </c>
      <c r="BK51" s="7">
        <f>IF($B51="","",IFERROR(LOOKUP(2,1/((((Events!$C$6:$C$17="Deduction start"))*(Events!$D$6:$D$17="Dependent-care FSA"))*(Events!$B$6:$B$17&lt;=$B51)*(Events!$B$6:$B$17&lt;&gt;"")),Events!$E$6:$E$17),Inputs!$D$39))</f>
      </c>
      <c r="BL51" s="7">
        <f>IF($B51="","",IFERROR(LOOKUP(2,1/((((Events!$C$6:$C$17="Deduction start")+(Events!$C$6:$C$17="Deduction stop"))*(Events!$D$6:$D$17="HSA"))*(Events!$B$6:$B$17&lt;=$B51)*(Events!$B$6:$B$17&lt;&gt;"")),Events!$I$6:$I$17),Inputs!$D$35))</f>
      </c>
      <c r="BM51" s="7">
        <f>IF($B51="","",IFERROR(LOOKUP(2,1/((((Events!$C$6:$C$17="Deduction start")+(Events!$C$6:$C$17="Deduction stop"))*(Events!$D$6:$D$17="Premiums"))*(Events!$B$6:$B$17&lt;=$B51)*(Events!$B$6:$B$17&lt;&gt;"")),Events!$I$6:$I$17),Inputs!$D$40+Inputs!$D$41+Inputs!$D$42))</f>
      </c>
      <c r="BN51" s="7">
        <f>IF($B51="","",IFERROR(LOOKUP(2,1/((((Events!$C$6:$C$17="Deduction start")+(Events!$C$6:$C$17="Deduction stop"))*(Events!$D$6:$D$17="Commuter"))*(Events!$B$6:$B$17&lt;=$B51)*(Events!$B$6:$B$17&lt;&gt;"")),Events!$I$6:$I$17),Inputs!$D$43))</f>
      </c>
      <c r="BO51" s="7">
        <f>IF($B51="","",IFERROR(LOOKUP(2,1/((((Events!$C$6:$C$17="Deduction start")+(Events!$C$6:$C$17="Deduction stop"))*(Events!$D$6:$D$17="Other pre-tax"))*(Events!$B$6:$B$17&lt;=$B51)*(Events!$B$6:$B$17&lt;&gt;"")),Events!$I$6:$I$17),Inputs!$D$44))</f>
      </c>
      <c r="BP51" s="7">
        <f>IF($B51="","",IFERROR(LOOKUP(2,1/((((Events!$C$6:$C$17="Deduction start")+(Events!$C$6:$C$17="Deduction stop"))*(Events!$D$6:$D$17="Other post-tax"))*(Events!$B$6:$B$17&lt;=$B51)*(Events!$B$6:$B$17&lt;&gt;"")),Events!$I$6:$I$17),Inputs!$D$45))</f>
      </c>
      <c r="BQ51" s="6">
        <f>IF($B51="","",IFERROR(LOOKUP(2,1/((((Events!$C$6:$C$17="Deduction start")+(Events!$C$6:$C$17="Deduction stop"))*(Events!$D$6:$D$17="Health FSA"))*(Events!$B$6:$B$17&lt;=$B51)*(Events!$B$6:$B$17&lt;&gt;"")),Events!$J$6:$J$17),0))</f>
      </c>
      <c r="BR51" s="6">
        <f>IF($B51="","",IFERROR(LOOKUP(2,1/((((Events!$C$6:$C$17="Deduction start")+(Events!$C$6:$C$17="Deduction stop"))*(Events!$D$6:$D$17="Dependent-care FSA"))*(Events!$B$6:$B$17&lt;=$B51)*(Events!$B$6:$B$17&lt;&gt;"")),Events!$J$6:$J$17),0))</f>
      </c>
      <c r="BS51" s="6">
        <f>IF($B51="","",IF(SUMPRODUCT((Events!$C$6:$C$17="Deduction start")*(Events!$B$6:$B$17&lt;=$B51)*(Events!$B$6:$B$17&lt;&gt;"")*(Events!$D$6:$D$17="Health FSA"))&gt;0,1,0))</f>
      </c>
      <c r="BT51" s="6">
        <f>IF($B51="","",IF(SUMPRODUCT((Events!$C$6:$C$17="Deduction start")*(Events!$B$6:$B$17&lt;=$B51)*(Events!$B$6:$B$17&lt;&gt;"")*(Events!$D$6:$D$17="Dependent-care FSA"))&gt;0,1,0))</f>
      </c>
      <c r="BU51" s="24">
        <f>IF($B51="","",IF(Inputs!$C$13,SUMPRODUCT(($AH51&gt;=INDEX('Methodology &amp; Sources'!$B$29:$J$36,0,IF(Inputs!$C$12="MFJ",1,IF(Inputs!$C$12="HoH",7,4))))*INDEX('Methodology &amp; Sources'!$B$29:$J$36,0,IF(Inputs!$C$12="MFJ",1,IF(Inputs!$C$12="HoH",7,4))+2)),SUMPRODUCT(($AH51&gt;=INDEX('Methodology &amp; Sources'!$B$19:$J$26,0,IF(Inputs!$C$12="MFJ",1,IF(Inputs!$C$12="HoH",7,4))))*INDEX('Methodology &amp; Sources'!$B$19:$J$26,0,IF(Inputs!$C$12="MFJ",1,IF(Inputs!$C$12="HoH",7,4))+2))))</f>
      </c>
      <c r="BV51" s="24">
        <f>IF($B51="","",IF($BZ51&lt;&gt;"",$BZ51,IF($CA51&lt;&gt;"",$CA51,IF($CB51&lt;&gt;"",$CB51,IF($CC51&lt;&gt;"",$CC51,0)))))</f>
      </c>
      <c r="BW51" s="7">
        <f>IF($B51="","",IF($AN51="MD",IF(OR($AU51="Married",$AU51="Head of household"),SUMPRODUCT(($AZ51&gt;INDEX('Methodology &amp; Sources'!$B$114:$J$120,0,1))*($AZ51-INDEX('Methodology &amp; Sources'!$B$114:$J$120,0,1))*INDEX('Methodology &amp; Sources'!$B$114:$J$120,0,1+2)),SUMPRODUCT(($AZ51&gt;INDEX('Methodology &amp; Sources'!$B$103:$J$109,0,7))*($AZ51-INDEX('Methodology &amp; Sources'!$B$103:$J$109,0,7))*INDEX('Methodology &amp; Sources'!$B$103:$J$109,0,7+2))),IF($AN51="MO",SUMPRODUCT(($AZ51&gt;INDEX('Methodology &amp; Sources'!$B$125:$J$132,0,1))*($AZ51-INDEX('Methodology &amp; Sources'!$B$125:$J$132,0,1))*INDEX('Methodology &amp; Sources'!$B$125:$J$132,0,1+2)),IF($AN51="MT",IF($AU51="Head of household",SUMPRODUCT(($AZ51&gt;INDEX('Methodology &amp; Sources'!$B$137:$J$139,0,1))*($AZ51-INDEX('Methodology &amp; Sources'!$B$137:$J$139,0,1))*INDEX('Methodology &amp; Sources'!$B$137:$J$139,0,1+2)),IF($AU51="Married",SUMPRODUCT(($AZ51&gt;INDEX('Methodology &amp; Sources'!$B$125:$J$132,0,7))*($AZ51-INDEX('Methodology &amp; Sources'!$B$125:$J$132,0,7))*INDEX('Methodology &amp; Sources'!$B$125:$J$132,0,7+2)),SUMPRODUCT(($AZ51&gt;INDEX('Methodology &amp; Sources'!$B$125:$J$132,0,4))*($AZ51-INDEX('Methodology &amp; Sources'!$B$125:$J$132,0,4))*INDEX('Methodology &amp; Sources'!$B$125:$J$132,0,4+2)))),IF($AN51="ND",IF($AU51="Head of household",SUMPRODUCT(($AZ51&gt;INDEX('Methodology &amp; Sources'!$B$144:$J$150,0,1))*($AZ51-INDEX('Methodology &amp; Sources'!$B$144:$J$150,0,1))*INDEX('Methodology &amp; Sources'!$B$144:$J$150,0,1+2)),IF($AU51="Married",SUMPRODUCT(($AZ51&gt;INDEX('Methodology &amp; Sources'!$B$137:$J$139,0,7))*($AZ51-INDEX('Methodology &amp; Sources'!$B$137:$J$139,0,7))*INDEX('Methodology &amp; Sources'!$B$137:$J$139,0,7+2)),SUMPRODUCT(($AZ51&gt;INDEX('Methodology &amp; Sources'!$B$137:$J$139,0,4))*($AZ51-INDEX('Methodology &amp; Sources'!$B$137:$J$139,0,4))*INDEX('Methodology &amp; Sources'!$B$137:$J$139,0,4+2)))),IF($AN51="NJ",IF(Inputs!$C$77="B",SUMPRODUCT(($AZ51&gt;INDEX('Methodology &amp; Sources'!$B$155:$J$162,0,4))*($AZ51-INDEX('Methodology &amp; Sources'!$B$155:$J$162,0,4))*INDEX('Methodology &amp; Sources'!$B$155:$J$162,0,4+2)),IF(Inputs!$C$77="C",SUMPRODUCT(($AZ51&gt;INDEX('Methodology &amp; Sources'!$B$155:$J$162,0,7))*($AZ51-INDEX('Methodology &amp; Sources'!$B$155:$J$162,0,7))*INDEX('Methodology &amp; Sources'!$B$155:$J$162,0,7+2)),IF(Inputs!$C$77="D",SUMPRODUCT(($AZ51&gt;INDEX('Methodology &amp; Sources'!$B$167:$J$179,0,1))*($AZ51-INDEX('Methodology &amp; Sources'!$B$167:$J$179,0,1))*INDEX('Methodology &amp; Sources'!$B$167:$J$179,0,1+2)),IF(Inputs!$C$77="E",SUMPRODUCT(($AZ51&gt;INDEX('Methodology &amp; Sources'!$B$167:$J$179,0,4))*($AZ51-INDEX('Methodology &amp; Sources'!$B$167:$J$179,0,4))*INDEX('Methodology &amp; Sources'!$B$167:$J$179,0,4+2)),SUMPRODUCT(($AZ51&gt;INDEX('Methodology &amp; Sources'!$B$155:$J$162,0,1))*($AZ51-INDEX('Methodology &amp; Sources'!$B$155:$J$162,0,1))*INDEX('Methodology &amp; Sources'!$B$155:$J$162,0,1+2)))))),IF($AN51="NY",IF($AU51="Married",IF($AZ51&gt;=2155350,$AZ51*IF($AZ51&gt;25000000,0.117,IF($AZ51&gt;5000000,0.111,0.1045)),SUMPRODUCT(($AZ51&gt;INDEX('Methodology &amp; Sources'!$B$184:$J$198,0,1))*($AZ51-INDEX('Methodology &amp; Sources'!$B$184:$J$198,0,1))*INDEX('Methodology &amp; Sources'!$B$184:$J$198,0,1+2))),IF($AZ51&gt;=1077550,$AZ51*IF($AZ51&gt;25000000,0.117,IF($AZ51&gt;5000000,0.111,0.1045)),SUMPRODUCT(($AZ51&gt;INDEX('Methodology &amp; Sources'!$B$167:$J$179,0,7))*($AZ51-INDEX('Methodology &amp; Sources'!$B$167:$J$179,0,7))*INDEX('Methodology &amp; Sources'!$B$167:$J$179,0,7+2)))),"")))))))</f>
      </c>
      <c r="BX51" s="7">
        <f>IF($B51="","",IF($AN51="AL",IF(OR($AU51="Married",$AU51="Head of household"),SUMPRODUCT(($AZ51&gt;INDEX('Methodology &amp; Sources'!$B$82:$J$86,0,4))*($AZ51-INDEX('Methodology &amp; Sources'!$B$82:$J$86,0,4))*INDEX('Methodology &amp; Sources'!$B$82:$J$86,0,4+2)),SUMPRODUCT(($AZ51&gt;INDEX('Methodology &amp; Sources'!$B$82:$J$86,0,1))*($AZ51-INDEX('Methodology &amp; Sources'!$B$82:$J$86,0,1))*INDEX('Methodology &amp; Sources'!$B$82:$J$86,0,1+2))),IF($AN51="KS",IF($AU51="Married",SUMPRODUCT(($AZ51&gt;INDEX('Methodology &amp; Sources'!$B$103:$J$109,0,4))*($AZ51-INDEX('Methodology &amp; Sources'!$B$103:$J$109,0,4))*INDEX('Methodology &amp; Sources'!$B$103:$J$109,0,4+2)),SUMPRODUCT(($AZ51&gt;INDEX('Methodology &amp; Sources'!$B$103:$J$109,0,1))*($AZ51-INDEX('Methodology &amp; Sources'!$B$103:$J$109,0,1))*INDEX('Methodology &amp; Sources'!$B$103:$J$109,0,1+2))),IF($AN51="MN",IF($AU51="Married",SUMPRODUCT(($AZ51&gt;INDEX('Methodology &amp; Sources'!$B$114:$J$120,0,7))*($AZ51-INDEX('Methodology &amp; Sources'!$B$114:$J$120,0,7))*INDEX('Methodology &amp; Sources'!$B$114:$J$120,0,7+2)),SUMPRODUCT(($AZ51&gt;INDEX('Methodology &amp; Sources'!$B$114:$J$120,0,4))*($AZ51-INDEX('Methodology &amp; Sources'!$B$114:$J$120,0,4))*INDEX('Methodology &amp; Sources'!$B$114:$J$120,0,4+2))),IF($AN51="NE",MAX(IF($AU51="Married",SUMPRODUCT(($AZ51&gt;INDEX('Methodology &amp; Sources'!$B$144:$J$150,0,7))*($AZ51-INDEX('Methodology &amp; Sources'!$B$144:$J$150,0,7))*INDEX('Methodology &amp; Sources'!$B$144:$J$150,0,7+2)),SUMPRODUCT(($AZ51&gt;INDEX('Methodology &amp; Sources'!$B$144:$J$150,0,4))*($AZ51-INDEX('Methodology &amp; Sources'!$B$144:$J$150,0,4))*INDEX('Methodology &amp; Sources'!$B$144:$J$150,0,4+2))),0.015*$AZ51),IF($AN51="OH",IF($B51&gt;=DATE(2027,8,1),SUMPRODUCT(($AZ51&gt;INDEX('Methodology &amp; Sources'!$B$203:$J$206,0,1))*($AZ51-INDEX('Methodology &amp; Sources'!$B$203:$J$206,0,1))*INDEX('Methodology &amp; Sources'!$B$203:$J$206,0,1+2)),SUMPRODUCT(($AZ51&gt;INDEX('Methodology &amp; Sources'!$B$184:$J$198,0,7))*($AZ51-INDEX('Methodology &amp; Sources'!$B$184:$J$198,0,7))*INDEX('Methodology &amp; Sources'!$B$184:$J$198,0,7+2))),IF($AN51="OK",IF($AU51="Married",SUMPRODUCT(($AZ51&gt;INDEX('Methodology &amp; Sources'!$B$203:$J$206,0,7))*($AZ51-INDEX('Methodology &amp; Sources'!$B$203:$J$206,0,7))*INDEX('Methodology &amp; Sources'!$B$203:$J$206,0,7+2)),SUMPRODUCT(($AZ51&gt;INDEX('Methodology &amp; Sources'!$B$203:$J$206,0,4))*($AZ51-INDEX('Methodology &amp; Sources'!$B$203:$J$206,0,4))*INDEX('Methodology &amp; Sources'!$B$203:$J$206,0,4+2))),IF($AN51="RI",SUMPRODUCT(($AZ51&gt;INDEX('Methodology &amp; Sources'!$B$211:$J$214,0,7))*($AZ51-INDEX('Methodology &amp; Sources'!$B$211:$J$214,0,7))*INDEX('Methodology &amp; Sources'!$B$211:$J$214,0,7+2)),IF($AN51="VT",IF($AU51="Married",SUMPRODUCT(($AZ51&gt;INDEX('Methodology &amp; Sources'!$B$228:$J$232,0,1))*($AZ51-INDEX('Methodology &amp; Sources'!$B$228:$J$232,0,1))*INDEX('Methodology &amp; Sources'!$B$228:$J$232,0,1+2)),SUMPRODUCT(($AZ51&gt;INDEX('Methodology &amp; Sources'!$B$219:$J$223,0,7))*($AZ51-INDEX('Methodology &amp; Sources'!$B$219:$J$223,0,7))*INDEX('Methodology &amp; Sources'!$B$219:$J$223,0,7+2))),IF($AN51="WV",IF($AU51="Married",SUMPRODUCT(($AZ51&gt;INDEX('Methodology &amp; Sources'!$B$237:$J$241,0,7))*($AZ51-INDEX('Methodology &amp; Sources'!$B$237:$J$241,0,7))*INDEX('Methodology &amp; Sources'!$B$237:$J$241,0,7+2)),SUMPRODUCT(($AZ51&gt;INDEX('Methodology &amp; Sources'!$B$228:$J$232,0,7))*($AZ51-INDEX('Methodology &amp; Sources'!$B$228:$J$232,0,7))*INDEX('Methodology &amp; Sources'!$B$228:$J$232,0,7+2))),""))))))))))</f>
      </c>
      <c r="BY51" s="7">
        <f>IF($B51="","",IF($AN51="AR",SUMPRODUCT(($AZ51&gt;INDEX('Methodology &amp; Sources'!$B$82:$J$86,0,7))*($AZ51-INDEX('Methodology &amp; Sources'!$B$82:$J$86,0,7))*INDEX('Methodology &amp; Sources'!$B$82:$J$86,0,7+2)),IF($AN51="DE",SUMPRODUCT(($AZ51&gt;INDEX('Methodology &amp; Sources'!$B$91:$J$98,0,1))*($AZ51-INDEX('Methodology &amp; Sources'!$B$91:$J$98,0,1))*INDEX('Methodology &amp; Sources'!$B$91:$J$98,0,1+2)),IF($AN51="HI",IF($AU51="Married",SUMPRODUCT(($AZ51&gt;INDEX('Methodology &amp; Sources'!$B$91:$J$98,0,7))*($AZ51-INDEX('Methodology &amp; Sources'!$B$91:$J$98,0,7))*INDEX('Methodology &amp; Sources'!$B$91:$J$98,0,7+2)),SUMPRODUCT(($AZ51&gt;INDEX('Methodology &amp; Sources'!$B$91:$J$98,0,4))*($AZ51-INDEX('Methodology &amp; Sources'!$B$91:$J$98,0,4))*INDEX('Methodology &amp; Sources'!$B$91:$J$98,0,4+2))),IF($AN51="SC",SUMPRODUCT(($AZ51&gt;INDEX('Methodology &amp; Sources'!$B$219:$J$223,0,1))*($AZ51-INDEX('Methodology &amp; Sources'!$B$219:$J$223,0,1))*INDEX('Methodology &amp; Sources'!$B$219:$J$223,0,1+2)),IF($AN51="VA",SUMPRODUCT(($AZ51&gt;INDEX('Methodology &amp; Sources'!$B$219:$J$223,0,4))*($AZ51-INDEX('Methodology &amp; Sources'!$B$219:$J$223,0,4))*INDEX('Methodology &amp; Sources'!$B$219:$J$223,0,4+2)),IF($AN51="WI",SUMPRODUCT(($AZ51&gt;INDEX('Methodology &amp; Sources'!$B$228:$J$232,0,4))*($AZ51-INDEX('Methodology &amp; Sources'!$B$228:$J$232,0,4))*INDEX('Methodology &amp; Sources'!$B$228:$J$232,0,4+2)),"")))))))</f>
      </c>
      <c r="BZ51" s="24">
        <f>IF($B51="","",IF($AN51="NJ",IF(Inputs!$C$77="B",SUMPRODUCT(($AZ51&gt;=INDEX('Methodology &amp; Sources'!$B$155:$J$162,0,4))*INDEX('Methodology &amp; Sources'!$B$155:$J$162,0,4+2)),IF(Inputs!$C$77="C",SUMPRODUCT(($AZ51&gt;=INDEX('Methodology &amp; Sources'!$B$155:$J$162,0,7))*INDEX('Methodology &amp; Sources'!$B$155:$J$162,0,7+2)),IF(Inputs!$C$77="D",SUMPRODUCT(($AZ51&gt;=INDEX('Methodology &amp; Sources'!$B$167:$J$179,0,1))*INDEX('Methodology &amp; Sources'!$B$167:$J$179,0,1+2)),IF(Inputs!$C$77="E",SUMPRODUCT(($AZ51&gt;=INDEX('Methodology &amp; Sources'!$B$167:$J$179,0,4))*INDEX('Methodology &amp; Sources'!$B$167:$J$179,0,4+2)),SUMPRODUCT(($AZ51&gt;=INDEX('Methodology &amp; Sources'!$B$155:$J$162,0,1))*INDEX('Methodology &amp; Sources'!$B$155:$J$162,0,1+2)))))),IF($AN51="OR",IF(OR($AU51="Married",AND($AU51="Single",$AS51&gt;=3)),SUMPRODUCT((MAX(0,$AY51-MIN(($P51-'Methodology &amp; Sources'!$C$10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Sources'!$B$211:$J$214,0,4))*INDEX('Methodology &amp; Sources'!$B$211:$J$214,0,4+2)),SUMPRODUCT((MAX(0,$AY51-MIN(($P51-'Methodology &amp; Sources'!$C$10*$D51)*Inputs!$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Sources'!$B$211:$J$214,0,1))*INDEX('Methodology &amp; Sources'!$B$211:$J$214,0,1+2)))*IF(($P51-'Methodology &amp; Sources'!$C$10*$D51)*Inputs!$C$8&gt;=IF(OR($AU51="Married",AND($AU51="Single",$AS51&gt;=3)),IF($AY51&lt;250000,8750,IF($AY51&lt;260000,7000,IF($AY51&lt;270000,5250,IF($AY51&lt;280000,3500,IF($AY51&lt;290000,1750,0))))),IF($AY51&lt;125000,8750,IF($AY51&lt;130000,7000,IF($AY51&lt;135000,5250,IF($AY51&lt;140000,3500,IF($AY51&lt;145000,1750,0)))))),1,1-IF(Inputs!$C$13,SUMPRODUCT(($AH51&gt;=INDEX('Methodology &amp; Sources'!$B$29:$J$36,0,IF(Inputs!$C$12="MFJ",1,IF(Inputs!$C$12="HoH",7,4))))*INDEX('Methodology &amp; Sources'!$B$29:$J$36,0,IF(Inputs!$C$12="MFJ",1,IF(Inputs!$C$12="HoH",7,4))+2)),SUMPRODUCT(($AH51&gt;=INDEX('Methodology &amp; Sources'!$B$19:$J$26,0,IF(Inputs!$C$12="MFJ",1,IF(Inputs!$C$12="HoH",7,4))))*INDEX('Methodology &amp; Sources'!$B$19:$J$26,0,IF(Inputs!$C$12="MFJ",1,IF(Inputs!$C$12="HoH",7,4))+2)))),IF($AN51="MI",IF($AY51&gt;5900*$AS51,0.0425,0),""))))</f>
      </c>
      <c r="CA51" s="24">
        <f>IF($B51="","",IF($AN51="AL",IF(OR($AU51="Married",$AU51="Head of household"),SUMPRODUCT(($AZ51&gt;=INDEX('Methodology &amp; Sources'!$B$82:$J$86,0,4))*INDEX('Methodology &amp; Sources'!$B$82:$J$86,0,4+2)),SUMPRODUCT(($AZ51&gt;=INDEX('Methodology &amp; Sources'!$B$82:$J$86,0,1))*INDEX('Methodology &amp; Sources'!$B$82:$J$86,0,1+2)))*(1-IF(Inputs!$C$13,SUMPRODUCT(($AH51&gt;=INDEX('Methodology &amp; Sources'!$B$29:$J$36,0,IF(Inputs!$C$12="MFJ",1,IF(Inputs!$C$12="HoH",7,4))))*INDEX('Methodology &amp; Sources'!$B$29:$J$36,0,IF(Inputs!$C$12="MFJ",1,IF(Inputs!$C$12="HoH",7,4))+2)),SUMPRODUCT(($AH51&gt;=INDEX('Methodology &amp; Sources'!$B$19:$J$26,0,IF(Inputs!$C$12="MFJ",1,IF(Inputs!$C$12="HoH",7,4))))*INDEX('Methodology &amp; Sources'!$B$19:$J$26,0,IF(Inputs!$C$12="MFJ",1,IF(Inputs!$C$12="HoH",7,4))+2)))),IF($AN51="KS",IF($AU51="Married",SUMPRODUCT(($AZ51&gt;=INDEX('Methodology &amp; Sources'!$B$103:$J$109,0,4))*INDEX('Methodology &amp; Sources'!$B$103:$J$109,0,4+2)),SUMPRODUCT(($AZ51&gt;=INDEX('Methodology &amp; Sources'!$B$103:$J$109,0,1))*INDEX('Methodology &amp; Sources'!$B$103:$J$109,0,1+2))),IF($AN51="MD",IF(OR($AU51="Married",$AU51="Head of household"),SUMPRODUCT(($AZ51&gt;=INDEX('Methodology &amp; Sources'!$B$114:$J$120,0,1))*INDEX('Methodology &amp; Sources'!$B$114:$J$120,0,1+2)),SUMPRODUCT(($AZ51&gt;=INDEX('Methodology &amp; Sources'!$B$103:$J$109,0,7))*INDEX('Methodology &amp; Sources'!$B$103:$J$109,0,7+2)))+Inputs!$C$74,IF($AN51="MT",IF($AU51="Head of household",SUMPRODUCT(($AZ51&gt;=INDEX('Methodology &amp; Sources'!$B$137:$J$139,0,1))*INDEX('Methodology &amp; Sources'!$B$137:$J$139,0,1+2)),IF($AU51="Married",SUMPRODUCT(($AZ51&gt;=INDEX('Methodology &amp; Sources'!$B$125:$J$132,0,7))*INDEX('Methodology &amp; Sources'!$B$125:$J$132,0,7+2)),SUMPRODUCT(($AZ51&gt;=INDEX('Methodology &amp; Sources'!$B$125:$J$132,0,4))*INDEX('Methodology &amp; Sources'!$B$125:$J$132,0,4+2)))),IF($AN51="ND",IF($AU51="Head of household",SUMPRODUCT(($AZ51&gt;=INDEX('Methodology &amp; Sources'!$B$144:$J$150,0,1))*INDEX('Methodology &amp; Sources'!$B$144:$J$150,0,1+2)),IF($AU51="Married",SUMPRODUCT(($AZ51&gt;=INDEX('Methodology &amp; Sources'!$B$137:$J$139,0,7))*INDEX('Methodology &amp; Sources'!$B$137:$J$139,0,7+2)),SUMPRODUCT(($AZ51&gt;=INDEX('Methodology &amp; Sources'!$B$137:$J$139,0,4))*INDEX('Methodology &amp; Sources'!$B$137:$J$139,0,4+2)))),IF($AN51="NY",IF($AU51="Married",IF($AZ51&gt;=2155350,IF($AZ51&gt;25000000,0.117,IF($AZ51&gt;5000000,0.111,0.1045)),SUMPRODUCT(($AZ51&gt;=INDEX('Methodology &amp; Sources'!$B$184:$J$198,0,1))*INDEX('Methodology &amp; Sources'!$B$184:$J$198,0,1+2))),IF($AZ51&gt;=1077550,IF($AZ51&gt;25000000,0.117,IF($AZ51&gt;5000000,0.111,0.1045)),SUMPRODUCT(($AZ51&gt;=INDEX('Methodology &amp; Sources'!$B$167:$J$179,0,7))*INDEX('Methodology &amp; Sources'!$B$167:$J$179,0,7+2)))),"")))))))</f>
      </c>
      <c r="CB51" s="24">
        <f>IF($B51="","",IF($AN51="CA",SUMPRODUCT(($AJ51&gt;=INDEX('Methodology &amp; Sources'!$B$39:$J$48,0,IF($AU51="Married",4,IF($AU51="Head of household",7,1))))*INDEX('Methodology &amp; Sources'!$B$39:$J$48,0,IF($AU51="Married",4,IF($AU51="Head of household",7,1))+2)),IF($AN51="HI",IF($AU51="Married",SUMPRODUCT(($AZ51&gt;=INDEX('Methodology &amp; Sources'!$B$91:$J$98,0,7))*INDEX('Methodology &amp; Sources'!$B$91:$J$98,0,7+2)),SUMPRODUCT(($AZ51&gt;=INDEX('Methodology &amp; Sources'!$B$91:$J$98,0,4))*INDEX('Methodology &amp; Sources'!$B$91:$J$98,0,4+2))),IF($AN51="MN",IF($AU51="Married",SUMPRODUCT(($AZ51&gt;=INDEX('Methodology &amp; Sources'!$B$114:$J$120,0,7))*INDEX('Methodology &amp; Sources'!$B$114:$J$120,0,7+2)),SUMPRODUCT(($AZ51&gt;=INDEX('Methodology &amp; Sources'!$B$114:$J$120,0,4))*INDEX('Methodology &amp; Sources'!$B$114:$J$120,0,4+2))),IF($AN51="MO",SUMPRODUCT(($AZ51&gt;=INDEX('Methodology &amp; Sources'!$B$125:$J$132,0,1))*INDEX('Methodology &amp; Sources'!$B$125:$J$132,0,1+2)),IF($AN51="NE",MAX(IF($AU51="Married",SUMPRODUCT(($AZ51&gt;=INDEX('Methodology &amp; Sources'!$B$144:$J$150,0,7))*INDEX('Methodology &amp; Sources'!$B$144:$J$150,0,7+2)),SUMPRODUCT(($AZ51&gt;=INDEX('Methodology &amp; Sources'!$B$144:$J$150,0,4))*INDEX('Methodology &amp; Sources'!$B$144:$J$150,0,4+2))),0.015),IF($AN51="OH",IF($B51&gt;=DATE(2027,8,1),SUMPRODUCT(($AZ51&gt;=INDEX('Methodology &amp; Sources'!$B$203:$J$206,0,1))*INDEX('Methodology &amp; Sources'!$B$203:$J$206,0,1+2)),SUMPRODUCT(($AZ51&gt;=INDEX('Methodology &amp; Sources'!$B$184:$J$198,0,7))*INDEX('Methodology &amp; Sources'!$B$184:$J$198,0,7+2))),IF($AN51="OK",IF($AU51="Married",SUMPRODUCT(($AZ51&gt;=INDEX('Methodology &amp; Sources'!$B$203:$J$206,0,7))*INDEX('Methodology &amp; Sources'!$B$203:$J$206,0,7+2)),SUMPRODUCT(($AZ51&gt;=INDEX('Methodology &amp; Sources'!$B$203:$J$206,0,4))*INDEX('Methodology &amp; Sources'!$B$203:$J$206,0,4+2))),IF($AN51="RI",SUMPRODUCT(($AZ51&gt;=INDEX('Methodology &amp; Sources'!$B$211:$J$214,0,7))*INDEX('Methodology &amp; Sources'!$B$211:$J$214,0,7+2)),IF($AN51="SC",SUMPRODUCT(($AZ51&gt;=INDEX('Methodology &amp; Sources'!$B$219:$J$223,0,1))*INDEX('Methodology &amp; Sources'!$B$219:$J$223,0,1+2)),IF($AN51="VT",IF($AU51="Married",SUMPRODUCT(($AZ51&gt;=INDEX('Methodology &amp; Sources'!$B$228:$J$232,0,1))*INDEX('Methodology &amp; Sources'!$B$228:$J$232,0,1+2)),SUMPRODUCT(($AZ51&gt;=INDEX('Methodology &amp; Sources'!$B$219:$J$223,0,7))*INDEX('Methodology &amp; Sources'!$B$219:$J$223,0,7+2))),IF($AN51="WV",IF($AU51="Married",SUMPRODUCT(($AZ51&gt;=INDEX('Methodology &amp; Sources'!$B$237:$J$241,0,7))*INDEX('Methodology &amp; Sources'!$B$237:$J$241,0,7+2)),SUMPRODUCT(($AZ51&gt;=INDEX('Methodology &amp; Sources'!$B$228:$J$232,0,7))*INDEX('Methodology &amp; Sources'!$B$228:$J$232,0,7+2))),IF($AN51="IN",(0.0295+Inputs!$C$76),"")))))))))))))</f>
      </c>
      <c r="CC51" s="24">
        <f>IF($B51="","",IF($AN51="AR",SUMPRODUCT(($AZ51&gt;=INDEX('Methodology &amp; Sources'!$B$82:$J$86,0,7))*INDEX('Methodology &amp; Sources'!$B$82:$J$86,0,7+2)),IF($AN51="DE",SUMPRODUCT(($AZ51&gt;=INDEX('Methodology &amp; Sources'!$B$91:$J$98,0,1))*INDEX('Methodology &amp; Sources'!$B$91:$J$98,0,1+2)),IF($AN51="VA",SUMPRODUCT(($AZ51&gt;=INDEX('Methodology &amp; Sources'!$B$219:$J$223,0,4))*INDEX('Methodology &amp; Sources'!$B$219:$J$223,0,4+2)),IF($AN51="WI",SUMPRODUCT(($AZ51&gt;=INDEX('Methodology &amp; Sources'!$B$228:$J$232,0,4))*INDEX('Methodology &amp; Sources'!$B$228:$J$232,0,4+2)),IF($AN51="AZ",Inputs!$C$82,IF($AN51="CO",IF($AY51&gt;IF($AU51="Married",10000,5000),0.044,0),IF($AN51="IA",IF($AY51&gt;IF($AU51="Head of household",19500,IF($AU51="Married",26000,13000)),0.038,0),IF($AN51="ID",IF($AY51&gt;IF($AU51="Married",32000,16094),0.053,0),IF($AN51="IL",IF($AY51&gt;(2925*$AS51+1000*$AT51),0.0495,0),IF($AN51="KY",IF($AI51&gt;3360,0.035,0),IF($AN51="LA",0.0309,IF($AN51="MA",IF(MAX(0,$AY51-MIN(($BD50+$Q51+$R51+$S51),2000)-IF($AS51=0,0,IF($AS51=1,4400,1000*$AS51+3400)))&gt;=1107750,0.09,0.05),IF($AN51="MS",IF($AI51-IF($AU51="Head of household",3400,IF($AU51="Married",4600,2300))-Inputs!$C$85&gt;10000,0.04,0),IF($AN51="PA",0.0307,"")))))))))))))))</f>
      </c>
      <c r="CD51" s="21">
        <f>IF(YEAR(IF(Inputs!$C$7="Weekly",Inputs!$C$90+7*(($BE50+1)-1),IF(Inputs!$C$7="Biweekly",Inputs!$C$90+14*(($BE50+1)-1),IF(Inputs!$C$7="Semimonthly",DATE(YEAR(Inputs!$C$9),MONTH(Inputs!$C$9)+INT((($BE50+1)-1+'Rest of 2026'!$C$2)/2),MIN(DAY(Inputs!$C$9),DAY(EOMONTH(DATE(YEAR(Inputs!$C$9),MONTH(Inputs!$C$9)+INT((($BE50+1)-1+'Rest of 2026'!$C$2)/2),1),0))))+IF(MOD(($BE50+1)-1+'Rest of 2026'!$C$2,2)=1,15,0),EDATE(Inputs!$C$90,($BE50+1)-1)))))&lt;&gt;Inputs!$C$10,"",IF(Inputs!$C$7="Weekly",Inputs!$C$90+7*(($BE50+1)-1),IF(Inputs!$C$7="Biweekly",Inputs!$C$90+14*(($BE50+1)-1),IF(Inputs!$C$7="Semimonthly",DATE(YEAR(Inputs!$C$9),MONTH(Inputs!$C$9)+INT((($BE50+1)-1+'Rest of 2026'!$C$2)/2),MIN(DAY(Inputs!$C$9),DAY(EOMONTH(DATE(YEAR(Inputs!$C$9),MONTH(Inputs!$C$9)+INT((($BE50+1)-1+'Rest of 2026'!$C$2)/2),1),0))))+IF(MOD(($BE50+1)-1+'Rest of 2026'!$C$2,2)=1,15,0),EDATE(Inputs!$C$90,($BE50+1)-1)))))</f>
      </c>
      <c r="CE51" s="21">
        <f>IF(SUMPRODUCT(MIN(IF((Inputs!$C$58:$C$67&gt;MAX($B$6:$B50))*(Inputs!$C$58:$C$67&gt;=DATE(Inputs!$C$10,1,1))*(Inputs!$C$58:$C$67&lt;=DATE(Inputs!$C$10,12,31)),Inputs!$C$58:$C$67,999999)))=999999,"",SUMPRODUCT(MIN(IF((Inputs!$C$58:$C$67&gt;MAX($B$6:$B50))*(Inputs!$C$58:$C$67&gt;=DATE(Inputs!$C$10,1,1))*(Inputs!$C$58:$C$67&lt;=DATE(Inputs!$C$10,12,31)),Inputs!$C$58:$C$67,999999))))</f>
      </c>
    </row>
    <row r="52">
      <c r="A52" t="n">
        <v>47</v>
      </c>
      <c r="B52" s="21">
        <f>IF(AND($CD52="",$CE52=""),"",IF($CE52="",$CD52,IF($CD52="",$CE52,MIN($CD52,$CE52))))</f>
      </c>
      <c r="C52" s="7">
        <f>IF($B52="","",IF($BF52=0,0,IF(Inputs!$C$4="Annual salary",ROUND($AK52/IF(AND(Inputs!$C$88="Actual paydays",MONTH(Inputs!$C$90)=1),MAX(1,MAX($BE$6:$BE$68)),Inputs!$C$8),2),$AK52)))</f>
      </c>
      <c r="D52" s="7">
        <f>IF($B52="","",SUMIF(Inputs!$C$58:$C$67,$B52,Inputs!$D$58:$D$67))</f>
      </c>
      <c r="E52" s="7">
        <f>IF($B52="","",ROUND(MAX(0,MIN(IF($AL52="Percent",$AM52*($C52+$D52),$AM52),MAX(0,Inputs!$C$34-$AC51))),2))</f>
      </c>
      <c r="F52" s="7">
        <f>IF($B52="","",ROUND(MAX(0,MIN(IF(Inputs!$C$32="Percent",Inputs!$D$32*($C52+$D52),Inputs!$D$32),MAX(0,Inputs!$C$34-$AC51-$E52))),2))</f>
      </c>
      <c r="G52" s="7">
        <f>IF($B52="","",IF($BF52=0,0,ROUND(MAX(0,MIN($BL52,Inputs!$C$37-Inputs!$C$99-$BI51)),2)))</f>
      </c>
      <c r="H52" s="7">
        <f>IF($B52="","",IF(OR($BF52=0,$BQ52=1),0,ROUND(MAX(0,MIN(IF($BS52=1,ROUND(MAX(0,MIN($BJ52,'Methodology &amp; Sources'!$C$13)-$BG51)/MAX(1,MAX($BE$6:$BE$68)-($BE51)),2),ROUND(MIN($BJ52,'Methodology &amp; Sources'!$C$13)/Inputs!$C$8,2)),MIN($BJ52,'Methodology &amp; Sources'!$C$13)-$BG51)),2)))</f>
      </c>
      <c r="I52" s="7">
        <f>IF($B52="","",IF(OR($BF52=0,$BR52=1),0,ROUND(MAX(0,MIN(IF($BT52=1,ROUND(MAX(0,MIN($BK52,IF(Inputs!$C$12="MFJ",'Methodology &amp; Sources'!$C$14,'Methodology &amp; Sources'!$C$15))-$BH51)/MAX(1,MAX($BE$6:$BE$68)-($BE51)),2),ROUND(MIN($BK52,IF(Inputs!$C$12="MFJ",'Methodology &amp; Sources'!$C$14,'Methodology &amp; Sources'!$C$15))/Inputs!$C$8,2)),MIN($BK52,IF(Inputs!$C$12="MFJ",'Methodology &amp; Sources'!$C$14,'Methodology &amp; Sources'!$C$15))-$BH51)),2)))</f>
      </c>
      <c r="J52" s="7">
        <f>IF($B52="","",IF($BF52=0,0,$BM52))</f>
      </c>
      <c r="K52" s="7">
        <f>IF($B52="","",IF($BF52=0,0,$BN52+$BO52))</f>
      </c>
      <c r="L52" s="7">
        <f>IF($B52="","",IF($BF52=0,0,Inputs!$D$46))</f>
      </c>
      <c r="M52" s="7">
        <f>IF($B52="","",$C52+$D52+$L52-$E52-$G52-$H52-$I52-$J52-$K52)</f>
      </c>
      <c r="N52" s="7">
        <f>IF($B52="","",$C52+$D52+$L52-$G52-$H52-$I52-$J52-$K52)</f>
      </c>
      <c r="O52" s="7">
        <f>IF($B52="","",$C52+$D52+$L52-$E52-$H52-$I52-$J52-$K52-IF(OR($AN52="CA",$AN52="NJ"),0,$G52))</f>
      </c>
      <c r="P52" s="7">
        <f>IF($B52="","",IF(Inputs!$C$18,0,ROUND(MAX(0,IF(Inputs!$C$13,SUMPRODUCT(($AH52&gt;INDEX('Methodology &amp; Sources'!$B$29:$J$36,0,IF(Inputs!$C$12="MFJ",1,IF(Inputs!$C$12="HoH",7,4))))*($AH52-INDEX('Methodology &amp; Sources'!$B$29:$J$36,0,IF(Inputs!$C$12="MFJ",1,IF(Inputs!$C$12="HoH",7,4))))*INDEX('Methodology &amp; Sources'!$B$29:$J$36,0,IF(Inputs!$C$12="MFJ",1,IF(Inputs!$C$12="HoH",7,4))+2)),SUMPRODUCT(($AH52&gt;INDEX('Methodology &amp; Sources'!$B$19:$J$26,0,IF(Inputs!$C$12="MFJ",1,IF(Inputs!$C$12="HoH",7,4))))*($AH52-INDEX('Methodology &amp; Sources'!$B$19:$J$26,0,IF(Inputs!$C$12="MFJ",1,IF(Inputs!$C$12="HoH",7,4))))*INDEX('Methodology &amp; Sources'!$B$19:$J$26,0,IF(Inputs!$C$12="MFJ",1,IF(Inputs!$C$12="HoH",7,4))+2)))/Inputs!$C$8-$AO52/Inputs!$C$8)+$AR52+IF(Inputs!$C$89="Aggregate",MAX(0,IF(Inputs!$C$13,SUMPRODUCT((($AH52+$D52)&gt;INDEX('Methodology &amp; Sources'!$B$29:$J$36,0,IF(Inputs!$C$12="MFJ",1,IF(Inputs!$C$12="HoH",7,4))))*(($AH52+$D52)-INDEX('Methodology &amp; Sources'!$B$29:$J$36,0,IF(Inputs!$C$12="MFJ",1,IF(Inputs!$C$12="HoH",7,4))))*INDEX('Methodology &amp; Sources'!$B$29:$J$36,0,IF(Inputs!$C$12="MFJ",1,IF(Inputs!$C$12="HoH",7,4))+2)),SUMPRODUCT((($AH52+$D52)&gt;INDEX('Methodology &amp; Sources'!$B$19:$J$26,0,IF(Inputs!$C$12="MFJ",1,IF(Inputs!$C$12="HoH",7,4))))*(($AH52+$D52)-INDEX('Methodology &amp; Sources'!$B$19:$J$26,0,IF(Inputs!$C$12="MFJ",1,IF(Inputs!$C$12="HoH",7,4))))*INDEX('Methodology &amp; Sources'!$B$19:$J$26,0,IF(Inputs!$C$12="MFJ",1,IF(Inputs!$C$12="HoH",7,4))+2)))-IF(Inputs!$C$13,SUMPRODUCT(($AH52&gt;INDEX('Methodology &amp; Sources'!$B$29:$J$36,0,IF(Inputs!$C$12="MFJ",1,IF(Inputs!$C$12="HoH",7,4))))*($AH52-INDEX('Methodology &amp; Sources'!$B$29:$J$36,0,IF(Inputs!$C$12="MFJ",1,IF(Inputs!$C$12="HoH",7,4))))*INDEX('Methodology &amp; Sources'!$B$29:$J$36,0,IF(Inputs!$C$12="MFJ",1,IF(Inputs!$C$12="HoH",7,4))+2)),SUMPRODUCT(($AH52&gt;INDEX('Methodology &amp; Sources'!$B$19:$J$26,0,IF(Inputs!$C$12="MFJ",1,IF(Inputs!$C$12="HoH",7,4))))*($AH52-INDEX('Methodology &amp; Sources'!$B$19:$J$26,0,IF(Inputs!$C$12="MFJ",1,IF(Inputs!$C$12="HoH",7,4))))*INDEX('Methodology &amp; Sources'!$B$19:$J$26,0,IF(Inputs!$C$12="MFJ",1,IF(Inputs!$C$12="HoH",7,4))+2)))),'Methodology &amp; Sources'!$C$10*$D52),2)))</f>
      </c>
      <c r="Q52" s="7">
        <f>IF($B52="","",ROUND('Methodology &amp; Sources'!$C$4*MIN($N52,MAX(0,'Methodology &amp; Sources'!$C$3-($AX52+$AB51-$AW52))),2))</f>
      </c>
      <c r="R52" s="7">
        <f>IF($B52="","",ROUND('Methodology &amp; Sources'!$C$5*$N52,2))</f>
      </c>
      <c r="S52" s="7">
        <f>IF($B52="","",ROUND('Methodology &amp; Sources'!$C$6*MAX(0,MIN($N52,$AG51+$N52-'Methodology &amp; Sources'!$C$7)),2))</f>
      </c>
      <c r="T52" s="7">
        <f>IF($B52="","",IF(Inputs!$C$26,0,IF($AN52="CA",ROUND(IF($AI52&lt;=IF(($AS52+$AT52)&gt;=2,VLOOKUP($AN52,StateTables!$A$6:$AB$56,10,FALSE),VLOOKUP($AN52,StateTables!$A$6:$AB$56,9,FALSE)),0,MAX(0,SUMPRODUCT(($AJ52&gt;INDEX('Methodology &amp; Sources'!$B$39:$J$48,0,IF($AU52="Married",4,IF($AU52="Head of household",7,1))))*($AJ52-INDEX('Methodology &amp; Sources'!$B$39:$J$48,0,IF($AU52="Married",4,IF($AU52="Head of household",7,1))))*INDEX('Methodology &amp; Sources'!$B$39:$J$48,0,IF($AU52="Married",4,IF($AU52="Head of household",7,1))+2))-VLOOKUP($AN52,StateTables!$A$6:$AB$56,11,FALSE)*$AS52)/Inputs!$C$8)+Inputs!$C$25+VLOOKUP($AN52,StateTables!$A$6:$AB$56,13,FALSE)*$D52,2),IF(VLOOKUP($AN52,StateTables!$A$6:$AB$56,4,FALSE)="None",0,IF(ISNUMBER(SEARCH("MANUAL",VLOOKUP($AN52,StateTables!$A$6:$AB$56,5,FALSE))),Inputs!$C$28,ROUND(MAX(0,$BA52+$BB52)/Inputs!$C$8+Inputs!$C$25+$BC52,2))))))</f>
      </c>
      <c r="U52" s="7">
        <f>IF($B52="","",IF(VLOOKUP($AN52,StateTables!$A$6:$AB$56,24,FALSE)="flatq",IF(OR(MONTH($B52)=1,MONTH($B52)=4,MONTH($B52)=7,MONTH($B52)=10),VLOOKUP($AN52,StateTables!$A$6:$AB$56,25,FALSE),0),IF(VLOOKUP($AN52,StateTables!$A$6:$AB$56,24,FALSE)="dbl",MIN(ROUND(0.005*$N52,2),ROUND(0.6*52/Inputs!$C$8,2)),IF(OR(VLOOKUP($AN52,StateTables!$A$6:$AB$56,15,FALSE)="",VLOOKUP($AN52,StateTables!$A$6:$AB$56,15,FALSE)=0),0,ROUND(VLOOKUP($AN52,StateTables!$A$6:$AB$56,15,FALSE)*IF(OR(VLOOKUP($AN52,StateTables!$A$6:$AB$56,16,FALSE)="",VLOOKUP($AN52,StateTables!$A$6:$AB$56,16,FALSE)=0),$N52,MIN($N52,MAX(0,VLOOKUP($AN52,StateTables!$A$6:$AB$56,16,FALSE)-($AX52+$AB51-$AW52)))),2))))+IF(VLOOKUP($AN52,StateTables!$A$6:$AB$56,27,FALSE)="flatq",IF(OR(MONTH($B52)=1,MONTH($B52)=4,MONTH($B52)=7,MONTH($B52)=10),VLOOKUP($AN52,StateTables!$A$6:$AB$56,28,FALSE),0),IF(VLOOKUP($AN52,StateTables!$A$6:$AB$56,27,FALSE)="dbl",MIN(ROUND(0.005*$N52,2),ROUND(0.6*52/Inputs!$C$8,2)),IF(OR(VLOOKUP($AN52,StateTables!$A$6:$AB$56,18,FALSE)="",VLOOKUP($AN52,StateTables!$A$6:$AB$56,18,FALSE)=0),0,ROUND(VLOOKUP($AN52,StateTables!$A$6:$AB$56,18,FALSE)*IF(OR(VLOOKUP($AN52,StateTables!$A$6:$AB$56,19,FALSE)="",VLOOKUP($AN52,StateTables!$A$6:$AB$56,19,FALSE)=0),$N52,MIN($N52,MAX(0,VLOOKUP($AN52,StateTables!$A$6:$AB$56,19,FALSE)-($AX52+$AB51-$AW52)))),2)))))</f>
      </c>
      <c r="V52" s="7">
        <f>IF($B52="","",IF($AN52="NY",IF(Inputs!$C$78,ROUND(SUMPRODUCT((MAX(0,($O52-$D52)*Inputs!$C$8-(IF($AU52="Married",5500,5000)+1000*$AS52))&gt;INDEX('Methodology &amp; Sources'!$B$184:$J$198,0,4))*(MAX(0,($O52-$D52)*Inputs!$C$8-(IF($AU52="Married",5500,5000)+1000*$AS52))-INDEX('Methodology &amp; Sources'!$B$184:$J$198,0,4))*INDEX('Methodology &amp; Sources'!$B$184:$J$198,0,4+2))/Inputs!$C$8+0.0425*$D52,2),0)+IF(Inputs!$C$79="Resident",ROUND(0.1675*$T52,2),IF(Inputs!$C$79="Nonresident",ROUND(0.005*MAX(0,($O52-$D52)-(IF($AU52="Married",7950,7400)+1000*$AS52)/Inputs!$C$8),2),0)),IF($AN52="PA",IF(Inputs!$C$80="None",Inputs!$C$27+ROUND(Inputs!$C$81*($C52+$D52),2),ROUND(IF(Inputs!$C$80="Resident",IF($B52&lt;DATE(2027,7,1),0.03735,0.03735),IF($B52&lt;DATE(2027,7,1),0.03425,0.03425))*($C52+$D52),2)),IF($BF52=0,ROUND(Inputs!$C$81*($C52+$D52),2),Inputs!$C$27+ROUND(Inputs!$C$81*($C52+$D52),2)))))</f>
      </c>
      <c r="W52" s="7">
        <f>IF($B52="","",IF($BF52=0,0,$BP52))</f>
      </c>
      <c r="X52" s="7">
        <f>IF($B52="","",SUM($E52:$K52)+$P52+$Q52+$R52+$S52+$T52+$U52+$V52+$W52)</f>
      </c>
      <c r="Y52" s="22">
        <f>IF($B52="","",$C52+$D52-$X52)</f>
      </c>
      <c r="Z52" s="7">
        <f>IF($B52="","",$Z51+$C52+$D52)</f>
      </c>
      <c r="AA52" s="7">
        <f>IF($B52="","",$AA51+$Y52)</f>
      </c>
      <c r="AB52" s="7">
        <f>IF($B52="","",$AB51+MIN($N52,MAX(0,'Methodology &amp; Sources'!$C$3-($AX52+$AB51-$AW52))))</f>
      </c>
      <c r="AC52" s="7">
        <f>IF($B52="","",$AC51+$E52+$F52)</f>
      </c>
      <c r="AD52" s="3">
        <f>IF($B52="","",IF(AND($AB51&lt;'Methodology &amp; Sources'!$C$3,$AB52&gt;='Methodology &amp; Sources'!$C$3),"★ Social Security maxed on this check — from the next check your net rises by about $"&amp;TEXT(ROUND('Methodology &amp; Sources'!$C$4*$N52,2),"#,##0.00")&amp;". ","")&amp;IF(AND($AC51&lt;Inputs!$C$34,$AC52&gt;=Inputs!$C$34),"★ 401(k) reaches the $"&amp;TEXT(Inputs!$C$34,"#,##0")&amp;" cap on this check — deferrals stop and net pay rises. ","")&amp;IF(AND($AG51&lt;'Methodology &amp; Sources'!$C$7,$AG52&gt;='Methodology &amp; Sources'!$C$7),"★ Wages pass $200,000 — the 0.9% Additional Medicare Tax starts here. ","")&amp;IF(AND($BJ52&gt;0,$H52&gt;0,$BG51&lt;MIN($BJ52,'Methodology &amp; Sources'!$C$13),$BG51+$H52&gt;=MIN($BJ52,'Methodology &amp; Sources'!$C$13)),"★ Health FSA election is now fully deferred for the year. ",""))</f>
      </c>
      <c r="AE52" s="41" t="n"/>
      <c r="AF52" s="7">
        <f>IF(OR($B52="",$AE52=""),"",$AE52-$Y52)</f>
      </c>
      <c r="AG52" s="7">
        <f>IF($B52="","",$AG51+$N52)</f>
      </c>
      <c r="AH52" s="7">
        <f>IF($B52="","",MAX(0,($M52-$D52)*Inputs!$C$8+$AP52-$AQ52-IF(Inputs!$C$13,0,IF(Inputs!$C$12="MFJ",'Methodology &amp; Sources'!$C$8,'Methodology &amp; Sources'!$C$9))))</f>
      </c>
      <c r="AI52" s="7">
        <f>IF($B52="","",$O52*Inputs!$C$8)</f>
      </c>
      <c r="AJ52" s="7">
        <f>IF($B52="","",MAX(0,$AI52-VLOOKUP($AN52,StateTables!$A$6:$AB$56,12,FALSE)*$AT52-IF(($AS52+$AT52)&gt;=2,VLOOKUP($AN52,StateTables!$A$6:$AB$56,8,FALSE),VLOOKUP($AN52,StateTables!$A$6:$AB$56,7,FALSE))))</f>
      </c>
      <c r="AK52" s="7">
        <f>IF($B52="","",IFERROR(LOOKUP(2,1/((Events!$C$6:$C$17="Salary change")*(Events!$B$6:$B$17&lt;=$B52)*(Events!$B$6:$B$17&lt;&gt;"")),Events!$D$6:$D$17),IF(Inputs!$C$4="Annual salary",Inputs!$C$5,Inputs!$C$6)))</f>
      </c>
      <c r="AL52">
        <f>IF($B52="","",IFERROR(LOOKUP(2,1/((Events!$C$6:$C$17="401(k) change")*(Events!$B$6:$B$17&lt;=$B52)*(Events!$B$6:$B$17&lt;&gt;"")),Events!$D$6:$D$17),Inputs!$C$30))</f>
      </c>
      <c r="AM52" s="7">
        <f>IF($B52="","",IFERROR(LOOKUP(2,1/((Events!$C$6:$C$17="401(k) change")*(Events!$B$6:$B$17&lt;=$B52)*(Events!$B$6:$B$17&lt;&gt;"")),Events!$E$6:$E$17),Inputs!$D$30))</f>
      </c>
      <c r="AN52">
        <f>IF($B52="","",IFERROR(LOOKUP(2,1/((Events!$C$6:$C$17="State move")*(Events!$B$6:$B$17&lt;=$B52)*(Events!$B$6:$B$17&lt;&gt;"")),Events!$D$6:$D$17),Inputs!$C$21))</f>
      </c>
      <c r="AO52" s="7">
        <f>IF($B52="","",IFERROR(LOOKUP(2,1/((Events!$C$6:$C$17="W-4 change")*(Events!$B$6:$B$17&lt;=$B52)*(Events!$B$6:$B$17&lt;&gt;"")),Events!$D$6:$D$17),Inputs!$C$14))</f>
      </c>
      <c r="AP52" s="7">
        <f>IF($B52="","",IFERROR(LOOKUP(2,1/((Events!$C$6:$C$17="W-4 change")*(Events!$B$6:$B$17&lt;=$B52)*(Events!$B$6:$B$17&lt;&gt;"")),Events!$E$6:$E$17),Inputs!$C$15))</f>
      </c>
      <c r="AQ52" s="7">
        <f>IF($B52="","",IFERROR(LOOKUP(2,1/((Events!$C$6:$C$17="W-4 change")*(Events!$B$6:$B$17&lt;=$B52)*(Events!$B$6:$B$17&lt;&gt;"")),Events!$F$6:$F$17),Inputs!$C$16))</f>
      </c>
      <c r="AR52" s="7">
        <f>IF($B52="","",IFERROR(LOOKUP(2,1/((Events!$C$6:$C$17="W-4 change")*(Events!$B$6:$B$17&lt;=$B52)*(Events!$B$6:$B$17&lt;&gt;"")),Events!$G$6:$G$17),Inputs!$C$17))</f>
      </c>
      <c r="AS52" s="6">
        <f>IF($B52="","",IFERROR(LOOKUP(2,1/(((Events!$C$6:$C$17="State move")+(Events!$C$6:$C$17="State cert change"))*(Events!$B$6:$B$17&lt;=$B52)*(Events!$B$6:$B$17&lt;&gt;"")),Events!$F$6:$F$17),Inputs!$C$23))</f>
      </c>
      <c r="AT52" s="6">
        <f>IF($B52="","",IFERROR(LOOKUP(2,1/(((Events!$C$6:$C$17="State move")+(Events!$C$6:$C$17="State cert change"))*(Events!$B$6:$B$17&lt;=$B52)*(Events!$B$6:$B$17&lt;&gt;"")),Events!$G$6:$G$17),Inputs!$C$24))</f>
      </c>
      <c r="AU52">
        <f>IF($B52="","",IFERROR(LOOKUP(2,1/((Events!$C$6:$C$17="State move")*(Events!$B$6:$B$17&lt;=$B52)*(Events!$B$6:$B$17&lt;&gt;"")),Events!$E$6:$E$17),Inputs!$C$22))</f>
      </c>
      <c r="AV52" s="6">
        <f>IF($B52="","",1+COUNTIFS(Events!$C$6:$C$17,"Employer change",Events!$B$6:$B$17,"&lt;="&amp;$B52,Events!$B$6:$B$17,"&lt;&gt;"))</f>
      </c>
      <c r="AW52" s="7">
        <f>IF($B52="","",IF($AV52=1,Inputs!$C$94,IF(IFERROR(MATCH(IFERROR(LOOKUP(2,1/((Events!$C$6:$C$17="Employer change")*(Events!$B$6:$B$17&lt;=$B52)*(Events!$B$6:$B$17&lt;&gt;"")),Events!$B$6:$B$17),""),$B$6:$B$68,1),1)&lt;=1,Inputs!$C$94,INDEX($AB$6:$AB$68,MATCH(IFERROR(LOOKUP(2,1/((Events!$C$6:$C$17="Employer change")*(Events!$B$6:$B$17&lt;=$B52)*(Events!$B$6:$B$17&lt;&gt;"")),Events!$B$6:$B$17),""),$B$6:$B$68,1)-1))))</f>
      </c>
      <c r="AX52" s="7">
        <f>IF($B52="","",IF($AV52=1,Inputs!$C$94,IFERROR(LOOKUP(2,1/((Events!$C$6:$C$17="Employer change")*(Events!$B$6:$B$17&lt;=$B52)*(Events!$B$6:$B$17&lt;&gt;"")),Events!$D$6:$D$17),0)))</f>
      </c>
      <c r="AY52" s="7">
        <f>IF($B52="","",($O52-$D52)*Inputs!$C$8)</f>
      </c>
      <c r="AZ52" s="7">
        <f>IF($B52="","",IF($AN52="AL",MAX(0,$AY52-IF($AU52="Married",IF($AY52&lt;=25999,8500,MAX(5000,8500-175*CEILING(($AY52-25999)/500,1))),IF($AU52="Head of household",IF($AY52&lt;=25999,5200,MAX(2500,5200-135*CEILING(($AY52-25999)/500,1))),IF($AY52&lt;=25999,3000,MAX(2500,3000-25*CEILING(($AY52-25999)/500,1)))))-($P52-'Methodology &amp; Sources'!$C$10*$D52)*Inputs!$C$8-IF(OR($AU52="Married",$AU52="Head of household"),3000,1500)-$AT52*IF($AY52&lt;=50000,1000,IF($AY52&lt;=100000,500,300))),IF($AN52="AR",IF(MAX(0,$AY52-2470)&lt;97701,INT(MAX(0,$AY52-2470)/100)*100+50,MAX(0,$AY52-2470)),IF($AN52="DE",MAX(0,$AI52-3250),IF($AN52="HI",MAX(0,$AI52-1144*$AS52-4350),IF($AN52="KS",MAX(0,$AI52-(9160*IF($AU52="Married",2,1)+2320*$AT52+IF($AU52="Head of household",2320,0))),IF($AN52="MD",MAX(0,$AI52-3400-3200*$AS52),IF($AN52="MN",MAX(0,$AY52-5300*$AS52),IF($AN52="MO",MAX(0,$AI52-IF($AU52="Head of household",24150,IF($AU52="Married",IF(Inputs!$C$83,16100,32200),16100))),IF($AN52="MT",$AY52,IF($AN52="ND",($C52+$L52)*Inputs!$C$8,IF($AN52="NE",MAX(0,$AY52-2440*$AS52),IF($AN52="NJ",MAX(0,$AY52-1000*$AS52),IF($AN52="NY",MAX(0,$AY52-(IF($AU52="Married",7950,7400)+1000*$AS52)),IF($AN52="OH",MAX(0,$AY52-650*$AS52),IF($AN52="OK",MAX(0,$AY52-1000*$AS52),IF($AN52="RI",MAX(0,$AI52-1000*$AS52),IF($AN52="SC",MAX(0,$AI52-5000*$AS52-IF($AS52=0,0,MIN(0.1*$AI52,7500))),IF($AN52="VA",MAX(0,$AI52-IF($AU52="Married",17500,8750)-930*$AS52-800*$AT52),IF($AN52="VT",MAX(0,$AI52-5400*$AS52),IF($AN52="WI",MAX(0,$AI52-MAX(0,IF($AU52="Married",9461-0.2*MAX(0,$AI52-25727),6702-0.12*MAX(0,$AI52-17780)))-400*$AS52),IF($AN52="WV",MAX(0,$AI52-2000*$AS52),$AI52))))))))))))))))))))))</f>
      </c>
      <c r="BA52" s="7">
        <f>IF($B52="","",IF($BW52&lt;&gt;"",$BW52,IF($BX52&lt;&gt;"",$BX52,IF($BY52&lt;&gt;"",$BY52,0))))</f>
      </c>
      <c r="BB52" s="7">
        <f>IF($B52="","",IF($AN52="AR",-29*$AS52,IF($AN52="DE",-110*$AS52,IF($AN52="MD",$AZ52*Inputs!$C$74,IF($AN52="AZ",Inputs!$C$82*($M52-$D52)*Inputs!$C$8,IF($AN52="CO",0.044*MAX(0,$AY52-IF($AU52="Married",10000,5000)),IF($AN52="IA",MAX(0,0.038*MAX(0,$AY52-IF($AU52="Head of household",19500,IF($AU52="Married",26000,13000)))-40*$AS52),IF($AN52="ID",0.053*MAX(0,$AY52-IF($AU52="Married",32000,16094)),IF($AN52="IL",0.0495*MAX(0,$AY52-(2925*$AS52+1000*$AT52)),IF($AN52="IN",(0.0295+Inputs!$C$76)*MAX(0,$AY52-(1000*$AS52+1500*$AT52+3000*Inputs!$C$86)),IF($AN52="KY",0.035*MAX(0,$AI52-3360),IF($AN52="LA",IF(Inputs!$C$84="0",0.0309*$AI52,0.0309*MAX(0,$AI52-IF(Inputs!$C$84="2",25750,12875))),IF($AN52="MA",0.05*MIN(MAX(0,$AY52-MIN(($BD51+$Q52+$R52+$S52),2000)-IF($AS52=0,0,IF($AS52=1,4400,1000*$AS52+3400))),1107750)+0.09*MAX(0,MAX(0,$AY52-MIN(($BD51+$Q52+$R52+$S52),2000)-IF($AS52=0,0,IF($AS52=1,4400,1000*$AS52+3400)))-1107750)-IF($AU52="Head of household",120,0)-110*Inputs!$C$75,IF($AN52="MI",0.0425*MAX(0,$AY52-5900*$AS52),IF($AN52="MS",0.04*MAX(0,$AI52-IF($AU52="Head of household",3400,IF($AU52="Married",4600,2300))-Inputs!$C$85-10000),IF($AN52="OR",IF(OR($AU52="Married",AND($AU52="Single",$AS52&gt;=3)),SUMPRODUCT((MAX(0,$AY52-MIN(($P52-'Methodology &amp; Sources'!$C$10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Sources'!$B$211:$J$214,0,4))*(MAX(0,$AY52-MIN(($P52-'Methodology &amp; Sources'!$C$10*$D52)*Inputs!$C$8,IF(OR($AU52="Married",AND($AU52="Single",$AS52&gt;=3)),IF($AY52&lt;250000,8750,IF($AY52&lt;260000,7000,IF($AY52&lt;270000,5250,IF($AY52&lt;280000,3500,IF($AY52&lt;290000,1750,0))))),IF($AY52&lt;125000,8750,IF($AY52&lt;130000,7000,IF($AY52&lt;135000,5250,IF($AY52&lt;140000,3500,IF($AY52&lt;145000,1750,0)))))))-IF(OR($AU52="Married",AND($AU52="Single",$AS52&gt;=3)),5820,2910))-INDEX('Methodology &amp; Sources'!$B$211:$J$214,0,4))*INDEX('Methodology &amp; Sources'!$B$211:$J$214,0,4+2)),SUMPRODUCT((MAX(0,$AY52-MIN(($P52-'Methodology &amp; Sources'!$C$10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Sources'!$B$211:$J$214,0,1))*(MAX(0,$AY52-MIN(($P52-'Methodology &amp; Sources'!$C$10*$D52)*Inputs!$C$8,IF(OR($AU52="Married",AND($AU52="Single",$AS52&gt;=3)),IF($AY52&lt;250000,8750,IF($AY52&lt;260000,7000,IF($AY52&lt;270000,5250,IF($AY52&lt;280000,3500,IF($AY52&lt;290000,1750,0))))),IF($AY52&lt;125000,8750,IF($AY52&lt;130000,7000,IF($AY52&lt;135000,5250,IF($AY52&lt;140000,3500,IF($AY52&lt;145000,1750,0)))))))-IF(OR($AU52="Married",AND($AU52="Single",$AS52&gt;=3)),5820,2910))-INDEX('Methodology &amp; Sources'!$B$211:$J$214,0,1))*INDEX('Methodology &amp; Sources'!$B$211:$J$214,0,1+2)))+263-263*IF(IF($AU52="Married",$AY52&gt;200000,$AY52&gt;100000),0,$AS52),IF($AN52="PA",0.0307*(($O52+$E52+$G52)*Inputs!$C$8),IF($AN52="NY",IF($AU52="Married",IF($AZ52&gt;=2155350,0,IF($AZ52&gt;=1077550,0.48,IF($AZ52&gt;=373200,1.21,IF($AZ52&gt;=323200,0.21,IF($AZ52&gt;=211550,-0.19,IF($AZ52&gt;=157650,-2.8,IF($AZ52&gt;=107650,-0.8,IF($AZ52&gt;=96800,0.05,IF($AZ52&gt;=80650,-0.1,IF($AZ52&gt;=13900,0.4,IF($AZ52&gt;=11700,-0.3,IF($AZ52&gt;=8500,0.5,0)))))))))))),IF($AZ52&gt;=1077550,0,IF($AZ52&gt;=265400,4.29,IF($AZ52&gt;=215400,2.29,IF($AZ52&gt;=157650,2.29,IF($AZ52&gt;=107650,0.29,IF($AZ52&gt;=96800,0.05,IF($AZ52&gt;=80650,-0.1,IF($AZ52&gt;=13900,0.4,IF($AZ52&gt;=11700,-0.3,IF($AZ52&gt;=8500,0.5,0))))))))))),0))))))))))))))))))</f>
      </c>
      <c r="BC52" s="7">
        <f>IF($B52="","",IF($AN52="AL",0.05*$D52,IF($AN52="AR",0.039*$D52,IF($AN52="ID",0.053*$D52,IF($AN52="IN",(0.0295+Inputs!$C$76)*$D52,IF($AN52="KS",0.05*$D52,IF($AN52="MA",0.09*MIN($D52,MAX(0,MAX(0,$AY52-MIN(($BD51+$Q52+$R52+$S52),2000)-IF($AS52=0,0,IF($AS52=1,4400,1000*$AS52+3400)))+$D52-1107750))+0.05*($D52-MIN($D52,MAX(0,MAX(0,$AY52-MIN(($BD51+$Q52+$R52+$S52),2000)-IF($AS52=0,0,IF($AS52=1,4400,1000*$AS52+3400)))+$D52-1107750))),IF($AN52="MD",(0.065+Inputs!$C$74)*$D52,IF($AN52="MI",0.0425*$D52,IF($AN52="MN",0.0625*$D52,IF($AN52="MO",0.047*$D52,IF($AN52="MT",0.05*$D52,IF($AN52="ND",0.015*$D52,IF($AN52="NE",0.035*$D52,IF($AN52="NJ",IF(Inputs!$C$77="B",SUMPRODUCT(($D52*Inputs!$C$8&gt;INDEX('Methodology &amp; Sources'!$B$155:$J$162,0,4))*($D52*Inputs!$C$8-INDEX('Methodology &amp; Sources'!$B$155:$J$162,0,4))*INDEX('Methodology &amp; Sources'!$B$155:$J$162,0,4+2)),IF(Inputs!$C$77="C",SUMPRODUCT(($D52*Inputs!$C$8&gt;INDEX('Methodology &amp; Sources'!$B$155:$J$162,0,7))*($D52*Inputs!$C$8-INDEX('Methodology &amp; Sources'!$B$155:$J$162,0,7))*INDEX('Methodology &amp; Sources'!$B$155:$J$162,0,7+2)),IF(Inputs!$C$77="D",SUMPRODUCT(($D52*Inputs!$C$8&gt;INDEX('Methodology &amp; Sources'!$B$167:$J$179,0,1))*($D52*Inputs!$C$8-INDEX('Methodology &amp; Sources'!$B$167:$J$179,0,1))*INDEX('Methodology &amp; Sources'!$B$167:$J$179,0,1+2)),IF(Inputs!$C$77="E",SUMPRODUCT(($D52*Inputs!$C$8&gt;INDEX('Methodology &amp; Sources'!$B$167:$J$179,0,4))*($D52*Inputs!$C$8-INDEX('Methodology &amp; Sources'!$B$167:$J$179,0,4))*INDEX('Methodology &amp; Sources'!$B$167:$J$179,0,4+2)),SUMPRODUCT(($D52*Inputs!$C$8&gt;INDEX('Methodology &amp; Sources'!$B$155:$J$162,0,1))*($D52*Inputs!$C$8-INDEX('Methodology &amp; Sources'!$B$155:$J$162,0,1))*INDEX('Methodology &amp; Sources'!$B$155:$J$162,0,1+2))))))/Inputs!$C$8,IF($AN52="NY",0.117*$D52,IF($AN52="OH",0.0275*$D52,IF($AN52="OK",0.045*$D52,IF($AN52="OR",0.08*$D52,IF($AN52="WI",IF($AY52&lt;12760,0.0354,IF($AY52&lt;25520,0.0465,IF($AY52&lt;280950,0.053,0.0765)))*$D52,0))))))))))))))))))))</f>
      </c>
      <c r="BD52" s="7">
        <f>IF($B52="","",$BD51+$Q52+$R52+$S52)</f>
      </c>
      <c r="BE52" s="6">
        <f>IF($B52="",$BE51,$BE51+$BF52)</f>
      </c>
      <c r="BF52" s="6">
        <f>IF($B52="","",IF(AND(IF(YEAR(IF(Inputs!$C$7="Weekly",Inputs!$C$90+7*(($BE51+1)-1),IF(Inputs!$C$7="Biweekly",Inputs!$C$90+14*(($BE51+1)-1),IF(Inputs!$C$7="Semimonthly",DATE(YEAR(Inputs!$C$9),MONTH(Inputs!$C$9)+INT((($BE51+1)-1+'Rest of 2026'!$C$2)/2),MIN(DAY(Inputs!$C$9),DAY(EOMONTH(DATE(YEAR(Inputs!$C$9),MONTH(Inputs!$C$9)+INT((($BE51+1)-1+'Rest of 2026'!$C$2)/2),1),0))))+IF(MOD(($BE51+1)-1+'Rest of 2026'!$C$2,2)=1,15,0),EDATE(Inputs!$C$90,($BE51+1)-1)))))&lt;&gt;Inputs!$C$10,"",IF(Inputs!$C$7="Weekly",Inputs!$C$90+7*(($BE51+1)-1),IF(Inputs!$C$7="Biweekly",Inputs!$C$90+14*(($BE51+1)-1),IF(Inputs!$C$7="Semimonthly",DATE(YEAR(Inputs!$C$9),MONTH(Inputs!$C$9)+INT((($BE51+1)-1+'Rest of 2026'!$C$2)/2),MIN(DAY(Inputs!$C$9),DAY(EOMONTH(DATE(YEAR(Inputs!$C$9),MONTH(Inputs!$C$9)+INT((($BE51+1)-1+'Rest of 2026'!$C$2)/2),1),0))))+IF(MOD(($BE51+1)-1+'Rest of 2026'!$C$2,2)=1,15,0),EDATE(Inputs!$C$90,($BE51+1)-1)))))&lt;&gt;"",$B52=IF(YEAR(IF(Inputs!$C$7="Weekly",Inputs!$C$90+7*(($BE51+1)-1),IF(Inputs!$C$7="Biweekly",Inputs!$C$90+14*(($BE51+1)-1),IF(Inputs!$C$7="Semimonthly",DATE(YEAR(Inputs!$C$9),MONTH(Inputs!$C$9)+INT((($BE51+1)-1+'Rest of 2026'!$C$2)/2),MIN(DAY(Inputs!$C$9),DAY(EOMONTH(DATE(YEAR(Inputs!$C$9),MONTH(Inputs!$C$9)+INT((($BE51+1)-1+'Rest of 2026'!$C$2)/2),1),0))))+IF(MOD(($BE51+1)-1+'Rest of 2026'!$C$2,2)=1,15,0),EDATE(Inputs!$C$90,($BE51+1)-1)))))&lt;&gt;Inputs!$C$10,"",IF(Inputs!$C$7="Weekly",Inputs!$C$90+7*(($BE51+1)-1),IF(Inputs!$C$7="Biweekly",Inputs!$C$90+14*(($BE51+1)-1),IF(Inputs!$C$7="Semimonthly",DATE(YEAR(Inputs!$C$9),MONTH(Inputs!$C$9)+INT((($BE51+1)-1+'Rest of 2026'!$C$2)/2),MIN(DAY(Inputs!$C$9),DAY(EOMONTH(DATE(YEAR(Inputs!$C$9),MONTH(Inputs!$C$9)+INT((($BE51+1)-1+'Rest of 2026'!$C$2)/2),1),0))))+IF(MOD(($BE51+1)-1+'Rest of 2026'!$C$2,2)=1,15,0),EDATE(Inputs!$C$90,($BE51+1)-1)))))),1,0))</f>
      </c>
      <c r="BG52" s="7">
        <f>IF($B52="","",$BG51+$H52)</f>
      </c>
      <c r="BH52" s="7">
        <f>IF($B52="","",$BH51+$I52)</f>
      </c>
      <c r="BI52" s="7">
        <f>IF($B52="","",$BI51+$G52)</f>
      </c>
      <c r="BJ52" s="7">
        <f>IF($B52="","",IFERROR(LOOKUP(2,1/((((Events!$C$6:$C$17="Deduction start"))*(Events!$D$6:$D$17="Health FSA"))*(Events!$B$6:$B$17&lt;=$B52)*(Events!$B$6:$B$17&lt;&gt;"")),Events!$E$6:$E$17),Inputs!$D$38))</f>
      </c>
      <c r="BK52" s="7">
        <f>IF($B52="","",IFERROR(LOOKUP(2,1/((((Events!$C$6:$C$17="Deduction start"))*(Events!$D$6:$D$17="Dependent-care FSA"))*(Events!$B$6:$B$17&lt;=$B52)*(Events!$B$6:$B$17&lt;&gt;"")),Events!$E$6:$E$17),Inputs!$D$39))</f>
      </c>
      <c r="BL52" s="7">
        <f>IF($B52="","",IFERROR(LOOKUP(2,1/((((Events!$C$6:$C$17="Deduction start")+(Events!$C$6:$C$17="Deduction stop"))*(Events!$D$6:$D$17="HSA"))*(Events!$B$6:$B$17&lt;=$B52)*(Events!$B$6:$B$17&lt;&gt;"")),Events!$I$6:$I$17),Inputs!$D$35))</f>
      </c>
      <c r="BM52" s="7">
        <f>IF($B52="","",IFERROR(LOOKUP(2,1/((((Events!$C$6:$C$17="Deduction start")+(Events!$C$6:$C$17="Deduction stop"))*(Events!$D$6:$D$17="Premiums"))*(Events!$B$6:$B$17&lt;=$B52)*(Events!$B$6:$B$17&lt;&gt;"")),Events!$I$6:$I$17),Inputs!$D$40+Inputs!$D$41+Inputs!$D$42))</f>
      </c>
      <c r="BN52" s="7">
        <f>IF($B52="","",IFERROR(LOOKUP(2,1/((((Events!$C$6:$C$17="Deduction start")+(Events!$C$6:$C$17="Deduction stop"))*(Events!$D$6:$D$17="Commuter"))*(Events!$B$6:$B$17&lt;=$B52)*(Events!$B$6:$B$17&lt;&gt;"")),Events!$I$6:$I$17),Inputs!$D$43))</f>
      </c>
      <c r="BO52" s="7">
        <f>IF($B52="","",IFERROR(LOOKUP(2,1/((((Events!$C$6:$C$17="Deduction start")+(Events!$C$6:$C$17="Deduction stop"))*(Events!$D$6:$D$17="Other pre-tax"))*(Events!$B$6:$B$17&lt;=$B52)*(Events!$B$6:$B$17&lt;&gt;"")),Events!$I$6:$I$17),Inputs!$D$44))</f>
      </c>
      <c r="BP52" s="7">
        <f>IF($B52="","",IFERROR(LOOKUP(2,1/((((Events!$C$6:$C$17="Deduction start")+(Events!$C$6:$C$17="Deduction stop"))*(Events!$D$6:$D$17="Other post-tax"))*(Events!$B$6:$B$17&lt;=$B52)*(Events!$B$6:$B$17&lt;&gt;"")),Events!$I$6:$I$17),Inputs!$D$45))</f>
      </c>
      <c r="BQ52" s="6">
        <f>IF($B52="","",IFERROR(LOOKUP(2,1/((((Events!$C$6:$C$17="Deduction start")+(Events!$C$6:$C$17="Deduction stop"))*(Events!$D$6:$D$17="Health FSA"))*(Events!$B$6:$B$17&lt;=$B52)*(Events!$B$6:$B$17&lt;&gt;"")),Events!$J$6:$J$17),0))</f>
      </c>
      <c r="BR52" s="6">
        <f>IF($B52="","",IFERROR(LOOKUP(2,1/((((Events!$C$6:$C$17="Deduction start")+(Events!$C$6:$C$17="Deduction stop"))*(Events!$D$6:$D$17="Dependent-care FSA"))*(Events!$B$6:$B$17&lt;=$B52)*(Events!$B$6:$B$17&lt;&gt;"")),Events!$J$6:$J$17),0))</f>
      </c>
      <c r="BS52" s="6">
        <f>IF($B52="","",IF(SUMPRODUCT((Events!$C$6:$C$17="Deduction start")*(Events!$B$6:$B$17&lt;=$B52)*(Events!$B$6:$B$17&lt;&gt;"")*(Events!$D$6:$D$17="Health FSA"))&gt;0,1,0))</f>
      </c>
      <c r="BT52" s="6">
        <f>IF($B52="","",IF(SUMPRODUCT((Events!$C$6:$C$17="Deduction start")*(Events!$B$6:$B$17&lt;=$B52)*(Events!$B$6:$B$17&lt;&gt;"")*(Events!$D$6:$D$17="Dependent-care FSA"))&gt;0,1,0))</f>
      </c>
      <c r="BU52" s="24">
        <f>IF($B52="","",IF(Inputs!$C$13,SUMPRODUCT(($AH52&gt;=INDEX('Methodology &amp; Sources'!$B$29:$J$36,0,IF(Inputs!$C$12="MFJ",1,IF(Inputs!$C$12="HoH",7,4))))*INDEX('Methodology &amp; Sources'!$B$29:$J$36,0,IF(Inputs!$C$12="MFJ",1,IF(Inputs!$C$12="HoH",7,4))+2)),SUMPRODUCT(($AH52&gt;=INDEX('Methodology &amp; Sources'!$B$19:$J$26,0,IF(Inputs!$C$12="MFJ",1,IF(Inputs!$C$12="HoH",7,4))))*INDEX('Methodology &amp; Sources'!$B$19:$J$26,0,IF(Inputs!$C$12="MFJ",1,IF(Inputs!$C$12="HoH",7,4))+2))))</f>
      </c>
      <c r="BV52" s="24">
        <f>IF($B52="","",IF($BZ52&lt;&gt;"",$BZ52,IF($CA52&lt;&gt;"",$CA52,IF($CB52&lt;&gt;"",$CB52,IF($CC52&lt;&gt;"",$CC52,0)))))</f>
      </c>
      <c r="BW52" s="7">
        <f>IF($B52="","",IF($AN52="MD",IF(OR($AU52="Married",$AU52="Head of household"),SUMPRODUCT(($AZ52&gt;INDEX('Methodology &amp; Sources'!$B$114:$J$120,0,1))*($AZ52-INDEX('Methodology &amp; Sources'!$B$114:$J$120,0,1))*INDEX('Methodology &amp; Sources'!$B$114:$J$120,0,1+2)),SUMPRODUCT(($AZ52&gt;INDEX('Methodology &amp; Sources'!$B$103:$J$109,0,7))*($AZ52-INDEX('Methodology &amp; Sources'!$B$103:$J$109,0,7))*INDEX('Methodology &amp; Sources'!$B$103:$J$109,0,7+2))),IF($AN52="MO",SUMPRODUCT(($AZ52&gt;INDEX('Methodology &amp; Sources'!$B$125:$J$132,0,1))*($AZ52-INDEX('Methodology &amp; Sources'!$B$125:$J$132,0,1))*INDEX('Methodology &amp; Sources'!$B$125:$J$132,0,1+2)),IF($AN52="MT",IF($AU52="Head of household",SUMPRODUCT(($AZ52&gt;INDEX('Methodology &amp; Sources'!$B$137:$J$139,0,1))*($AZ52-INDEX('Methodology &amp; Sources'!$B$137:$J$139,0,1))*INDEX('Methodology &amp; Sources'!$B$137:$J$139,0,1+2)),IF($AU52="Married",SUMPRODUCT(($AZ52&gt;INDEX('Methodology &amp; Sources'!$B$125:$J$132,0,7))*($AZ52-INDEX('Methodology &amp; Sources'!$B$125:$J$132,0,7))*INDEX('Methodology &amp; Sources'!$B$125:$J$132,0,7+2)),SUMPRODUCT(($AZ52&gt;INDEX('Methodology &amp; Sources'!$B$125:$J$132,0,4))*($AZ52-INDEX('Methodology &amp; Sources'!$B$125:$J$132,0,4))*INDEX('Methodology &amp; Sources'!$B$125:$J$132,0,4+2)))),IF($AN52="ND",IF($AU52="Head of household",SUMPRODUCT(($AZ52&gt;INDEX('Methodology &amp; Sources'!$B$144:$J$150,0,1))*($AZ52-INDEX('Methodology &amp; Sources'!$B$144:$J$150,0,1))*INDEX('Methodology &amp; Sources'!$B$144:$J$150,0,1+2)),IF($AU52="Married",SUMPRODUCT(($AZ52&gt;INDEX('Methodology &amp; Sources'!$B$137:$J$139,0,7))*($AZ52-INDEX('Methodology &amp; Sources'!$B$137:$J$139,0,7))*INDEX('Methodology &amp; Sources'!$B$137:$J$139,0,7+2)),SUMPRODUCT(($AZ52&gt;INDEX('Methodology &amp; Sources'!$B$137:$J$139,0,4))*($AZ52-INDEX('Methodology &amp; Sources'!$B$137:$J$139,0,4))*INDEX('Methodology &amp; Sources'!$B$137:$J$139,0,4+2)))),IF($AN52="NJ",IF(Inputs!$C$77="B",SUMPRODUCT(($AZ52&gt;INDEX('Methodology &amp; Sources'!$B$155:$J$162,0,4))*($AZ52-INDEX('Methodology &amp; Sources'!$B$155:$J$162,0,4))*INDEX('Methodology &amp; Sources'!$B$155:$J$162,0,4+2)),IF(Inputs!$C$77="C",SUMPRODUCT(($AZ52&gt;INDEX('Methodology &amp; Sources'!$B$155:$J$162,0,7))*($AZ52-INDEX('Methodology &amp; Sources'!$B$155:$J$162,0,7))*INDEX('Methodology &amp; Sources'!$B$155:$J$162,0,7+2)),IF(Inputs!$C$77="D",SUMPRODUCT(($AZ52&gt;INDEX('Methodology &amp; Sources'!$B$167:$J$179,0,1))*($AZ52-INDEX('Methodology &amp; Sources'!$B$167:$J$179,0,1))*INDEX('Methodology &amp; Sources'!$B$167:$J$179,0,1+2)),IF(Inputs!$C$77="E",SUMPRODUCT(($AZ52&gt;INDEX('Methodology &amp; Sources'!$B$167:$J$179,0,4))*($AZ52-INDEX('Methodology &amp; Sources'!$B$167:$J$179,0,4))*INDEX('Methodology &amp; Sources'!$B$167:$J$179,0,4+2)),SUMPRODUCT(($AZ52&gt;INDEX('Methodology &amp; Sources'!$B$155:$J$162,0,1))*($AZ52-INDEX('Methodology &amp; Sources'!$B$155:$J$162,0,1))*INDEX('Methodology &amp; Sources'!$B$155:$J$162,0,1+2)))))),IF($AN52="NY",IF($AU52="Married",IF($AZ52&gt;=2155350,$AZ52*IF($AZ52&gt;25000000,0.117,IF($AZ52&gt;5000000,0.111,0.1045)),SUMPRODUCT(($AZ52&gt;INDEX('Methodology &amp; Sources'!$B$184:$J$198,0,1))*($AZ52-INDEX('Methodology &amp; Sources'!$B$184:$J$198,0,1))*INDEX('Methodology &amp; Sources'!$B$184:$J$198,0,1+2))),IF($AZ52&gt;=1077550,$AZ52*IF($AZ52&gt;25000000,0.117,IF($AZ52&gt;5000000,0.111,0.1045)),SUMPRODUCT(($AZ52&gt;INDEX('Methodology &amp; Sources'!$B$167:$J$179,0,7))*($AZ52-INDEX('Methodology &amp; Sources'!$B$167:$J$179,0,7))*INDEX('Methodology &amp; Sources'!$B$167:$J$179,0,7+2)))),"")))))))</f>
      </c>
      <c r="BX52" s="7">
        <f>IF($B52="","",IF($AN52="AL",IF(OR($AU52="Married",$AU52="Head of household"),SUMPRODUCT(($AZ52&gt;INDEX('Methodology &amp; Sources'!$B$82:$J$86,0,4))*($AZ52-INDEX('Methodology &amp; Sources'!$B$82:$J$86,0,4))*INDEX('Methodology &amp; Sources'!$B$82:$J$86,0,4+2)),SUMPRODUCT(($AZ52&gt;INDEX('Methodology &amp; Sources'!$B$82:$J$86,0,1))*($AZ52-INDEX('Methodology &amp; Sources'!$B$82:$J$86,0,1))*INDEX('Methodology &amp; Sources'!$B$82:$J$86,0,1+2))),IF($AN52="KS",IF($AU52="Married",SUMPRODUCT(($AZ52&gt;INDEX('Methodology &amp; Sources'!$B$103:$J$109,0,4))*($AZ52-INDEX('Methodology &amp; Sources'!$B$103:$J$109,0,4))*INDEX('Methodology &amp; Sources'!$B$103:$J$109,0,4+2)),SUMPRODUCT(($AZ52&gt;INDEX('Methodology &amp; Sources'!$B$103:$J$109,0,1))*($AZ52-INDEX('Methodology &amp; Sources'!$B$103:$J$109,0,1))*INDEX('Methodology &amp; Sources'!$B$103:$J$109,0,1+2))),IF($AN52="MN",IF($AU52="Married",SUMPRODUCT(($AZ52&gt;INDEX('Methodology &amp; Sources'!$B$114:$J$120,0,7))*($AZ52-INDEX('Methodology &amp; Sources'!$B$114:$J$120,0,7))*INDEX('Methodology &amp; Sources'!$B$114:$J$120,0,7+2)),SUMPRODUCT(($AZ52&gt;INDEX('Methodology &amp; Sources'!$B$114:$J$120,0,4))*($AZ52-INDEX('Methodology &amp; Sources'!$B$114:$J$120,0,4))*INDEX('Methodology &amp; Sources'!$B$114:$J$120,0,4+2))),IF($AN52="NE",MAX(IF($AU52="Married",SUMPRODUCT(($AZ52&gt;INDEX('Methodology &amp; Sources'!$B$144:$J$150,0,7))*($AZ52-INDEX('Methodology &amp; Sources'!$B$144:$J$150,0,7))*INDEX('Methodology &amp; Sources'!$B$144:$J$150,0,7+2)),SUMPRODUCT(($AZ52&gt;INDEX('Methodology &amp; Sources'!$B$144:$J$150,0,4))*($AZ52-INDEX('Methodology &amp; Sources'!$B$144:$J$150,0,4))*INDEX('Methodology &amp; Sources'!$B$144:$J$150,0,4+2))),0.015*$AZ52),IF($AN52="OH",IF($B52&gt;=DATE(2027,8,1),SUMPRODUCT(($AZ52&gt;INDEX('Methodology &amp; Sources'!$B$203:$J$206,0,1))*($AZ52-INDEX('Methodology &amp; Sources'!$B$203:$J$206,0,1))*INDEX('Methodology &amp; Sources'!$B$203:$J$206,0,1+2)),SUMPRODUCT(($AZ52&gt;INDEX('Methodology &amp; Sources'!$B$184:$J$198,0,7))*($AZ52-INDEX('Methodology &amp; Sources'!$B$184:$J$198,0,7))*INDEX('Methodology &amp; Sources'!$B$184:$J$198,0,7+2))),IF($AN52="OK",IF($AU52="Married",SUMPRODUCT(($AZ52&gt;INDEX('Methodology &amp; Sources'!$B$203:$J$206,0,7))*($AZ52-INDEX('Methodology &amp; Sources'!$B$203:$J$206,0,7))*INDEX('Methodology &amp; Sources'!$B$203:$J$206,0,7+2)),SUMPRODUCT(($AZ52&gt;INDEX('Methodology &amp; Sources'!$B$203:$J$206,0,4))*($AZ52-INDEX('Methodology &amp; Sources'!$B$203:$J$206,0,4))*INDEX('Methodology &amp; Sources'!$B$203:$J$206,0,4+2))),IF($AN52="RI",SUMPRODUCT(($AZ52&gt;INDEX('Methodology &amp; Sources'!$B$211:$J$214,0,7))*($AZ52-INDEX('Methodology &amp; Sources'!$B$211:$J$214,0,7))*INDEX('Methodology &amp; Sources'!$B$211:$J$214,0,7+2)),IF($AN52="VT",IF($AU52="Married",SUMPRODUCT(($AZ52&gt;INDEX('Methodology &amp; Sources'!$B$228:$J$232,0,1))*($AZ52-INDEX('Methodology &amp; Sources'!$B$228:$J$232,0,1))*INDEX('Methodology &amp; Sources'!$B$228:$J$232,0,1+2)),SUMPRODUCT(($AZ52&gt;INDEX('Methodology &amp; Sources'!$B$219:$J$223,0,7))*($AZ52-INDEX('Methodology &amp; Sources'!$B$219:$J$223,0,7))*INDEX('Methodology &amp; Sources'!$B$219:$J$223,0,7+2))),IF($AN52="WV",IF($AU52="Married",SUMPRODUCT(($AZ52&gt;INDEX('Methodology &amp; Sources'!$B$237:$J$241,0,7))*($AZ52-INDEX('Methodology &amp; Sources'!$B$237:$J$241,0,7))*INDEX('Methodology &amp; Sources'!$B$237:$J$241,0,7+2)),SUMPRODUCT(($AZ52&gt;INDEX('Methodology &amp; Sources'!$B$228:$J$232,0,7))*($AZ52-INDEX('Methodology &amp; Sources'!$B$228:$J$232,0,7))*INDEX('Methodology &amp; Sources'!$B$228:$J$232,0,7+2))),""))))))))))</f>
      </c>
      <c r="BY52" s="7">
        <f>IF($B52="","",IF($AN52="AR",SUMPRODUCT(($AZ52&gt;INDEX('Methodology &amp; Sources'!$B$82:$J$86,0,7))*($AZ52-INDEX('Methodology &amp; Sources'!$B$82:$J$86,0,7))*INDEX('Methodology &amp; Sources'!$B$82:$J$86,0,7+2)),IF($AN52="DE",SUMPRODUCT(($AZ52&gt;INDEX('Methodology &amp; Sources'!$B$91:$J$98,0,1))*($AZ52-INDEX('Methodology &amp; Sources'!$B$91:$J$98,0,1))*INDEX('Methodology &amp; Sources'!$B$91:$J$98,0,1+2)),IF($AN52="HI",IF($AU52="Married",SUMPRODUCT(($AZ52&gt;INDEX('Methodology &amp; Sources'!$B$91:$J$98,0,7))*($AZ52-INDEX('Methodology &amp; Sources'!$B$91:$J$98,0,7))*INDEX('Methodology &amp; Sources'!$B$91:$J$98,0,7+2)),SUMPRODUCT(($AZ52&gt;INDEX('Methodology &amp; Sources'!$B$91:$J$98,0,4))*($AZ52-INDEX('Methodology &amp; Sources'!$B$91:$J$98,0,4))*INDEX('Methodology &amp; Sources'!$B$91:$J$98,0,4+2))),IF($AN52="SC",SUMPRODUCT(($AZ52&gt;INDEX('Methodology &amp; Sources'!$B$219:$J$223,0,1))*($AZ52-INDEX('Methodology &amp; Sources'!$B$219:$J$223,0,1))*INDEX('Methodology &amp; Sources'!$B$219:$J$223,0,1+2)),IF($AN52="VA",SUMPRODUCT(($AZ52&gt;INDEX('Methodology &amp; Sources'!$B$219:$J$223,0,4))*($AZ52-INDEX('Methodology &amp; Sources'!$B$219:$J$223,0,4))*INDEX('Methodology &amp; Sources'!$B$219:$J$223,0,4+2)),IF($AN52="WI",SUMPRODUCT(($AZ52&gt;INDEX('Methodology &amp; Sources'!$B$228:$J$232,0,4))*($AZ52-INDEX('Methodology &amp; Sources'!$B$228:$J$232,0,4))*INDEX('Methodology &amp; Sources'!$B$228:$J$232,0,4+2)),"")))))))</f>
      </c>
      <c r="BZ52" s="24">
        <f>IF($B52="","",IF($AN52="NJ",IF(Inputs!$C$77="B",SUMPRODUCT(($AZ52&gt;=INDEX('Methodology &amp; Sources'!$B$155:$J$162,0,4))*INDEX('Methodology &amp; Sources'!$B$155:$J$162,0,4+2)),IF(Inputs!$C$77="C",SUMPRODUCT(($AZ52&gt;=INDEX('Methodology &amp; Sources'!$B$155:$J$162,0,7))*INDEX('Methodology &amp; Sources'!$B$155:$J$162,0,7+2)),IF(Inputs!$C$77="D",SUMPRODUCT(($AZ52&gt;=INDEX('Methodology &amp; Sources'!$B$167:$J$179,0,1))*INDEX('Methodology &amp; Sources'!$B$167:$J$179,0,1+2)),IF(Inputs!$C$77="E",SUMPRODUCT(($AZ52&gt;=INDEX('Methodology &amp; Sources'!$B$167:$J$179,0,4))*INDEX('Methodology &amp; Sources'!$B$167:$J$179,0,4+2)),SUMPRODUCT(($AZ52&gt;=INDEX('Methodology &amp; Sources'!$B$155:$J$162,0,1))*INDEX('Methodology &amp; Sources'!$B$155:$J$162,0,1+2)))))),IF($AN52="OR",IF(OR($AU52="Married",AND($AU52="Single",$AS52&gt;=3)),SUMPRODUCT((MAX(0,$AY52-MIN(($P52-'Methodology &amp; Sources'!$C$10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Sources'!$B$211:$J$214,0,4))*INDEX('Methodology &amp; Sources'!$B$211:$J$214,0,4+2)),SUMPRODUCT((MAX(0,$AY52-MIN(($P52-'Methodology &amp; Sources'!$C$10*$D52)*Inputs!$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Sources'!$B$211:$J$214,0,1))*INDEX('Methodology &amp; Sources'!$B$211:$J$214,0,1+2)))*IF(($P52-'Methodology &amp; Sources'!$C$10*$D52)*Inputs!$C$8&gt;=IF(OR($AU52="Married",AND($AU52="Single",$AS52&gt;=3)),IF($AY52&lt;250000,8750,IF($AY52&lt;260000,7000,IF($AY52&lt;270000,5250,IF($AY52&lt;280000,3500,IF($AY52&lt;290000,1750,0))))),IF($AY52&lt;125000,8750,IF($AY52&lt;130000,7000,IF($AY52&lt;135000,5250,IF($AY52&lt;140000,3500,IF($AY52&lt;145000,1750,0)))))),1,1-IF(Inputs!$C$13,SUMPRODUCT(($AH52&gt;=INDEX('Methodology &amp; Sources'!$B$29:$J$36,0,IF(Inputs!$C$12="MFJ",1,IF(Inputs!$C$12="HoH",7,4))))*INDEX('Methodology &amp; Sources'!$B$29:$J$36,0,IF(Inputs!$C$12="MFJ",1,IF(Inputs!$C$12="HoH",7,4))+2)),SUMPRODUCT(($AH52&gt;=INDEX('Methodology &amp; Sources'!$B$19:$J$26,0,IF(Inputs!$C$12="MFJ",1,IF(Inputs!$C$12="HoH",7,4))))*INDEX('Methodology &amp; Sources'!$B$19:$J$26,0,IF(Inputs!$C$12="MFJ",1,IF(Inputs!$C$12="HoH",7,4))+2)))),IF($AN52="MI",IF($AY52&gt;5900*$AS52,0.0425,0),""))))</f>
      </c>
      <c r="CA52" s="24">
        <f>IF($B52="","",IF($AN52="AL",IF(OR($AU52="Married",$AU52="Head of household"),SUMPRODUCT(($AZ52&gt;=INDEX('Methodology &amp; Sources'!$B$82:$J$86,0,4))*INDEX('Methodology &amp; Sources'!$B$82:$J$86,0,4+2)),SUMPRODUCT(($AZ52&gt;=INDEX('Methodology &amp; Sources'!$B$82:$J$86,0,1))*INDEX('Methodology &amp; Sources'!$B$82:$J$86,0,1+2)))*(1-IF(Inputs!$C$13,SUMPRODUCT(($AH52&gt;=INDEX('Methodology &amp; Sources'!$B$29:$J$36,0,IF(Inputs!$C$12="MFJ",1,IF(Inputs!$C$12="HoH",7,4))))*INDEX('Methodology &amp; Sources'!$B$29:$J$36,0,IF(Inputs!$C$12="MFJ",1,IF(Inputs!$C$12="HoH",7,4))+2)),SUMPRODUCT(($AH52&gt;=INDEX('Methodology &amp; Sources'!$B$19:$J$26,0,IF(Inputs!$C$12="MFJ",1,IF(Inputs!$C$12="HoH",7,4))))*INDEX('Methodology &amp; Sources'!$B$19:$J$26,0,IF(Inputs!$C$12="MFJ",1,IF(Inputs!$C$12="HoH",7,4))+2)))),IF($AN52="KS",IF($AU52="Married",SUMPRODUCT(($AZ52&gt;=INDEX('Methodology &amp; Sources'!$B$103:$J$109,0,4))*INDEX('Methodology &amp; Sources'!$B$103:$J$109,0,4+2)),SUMPRODUCT(($AZ52&gt;=INDEX('Methodology &amp; Sources'!$B$103:$J$109,0,1))*INDEX('Methodology &amp; Sources'!$B$103:$J$109,0,1+2))),IF($AN52="MD",IF(OR($AU52="Married",$AU52="Head of household"),SUMPRODUCT(($AZ52&gt;=INDEX('Methodology &amp; Sources'!$B$114:$J$120,0,1))*INDEX('Methodology &amp; Sources'!$B$114:$J$120,0,1+2)),SUMPRODUCT(($AZ52&gt;=INDEX('Methodology &amp; Sources'!$B$103:$J$109,0,7))*INDEX('Methodology &amp; Sources'!$B$103:$J$109,0,7+2)))+Inputs!$C$74,IF($AN52="MT",IF($AU52="Head of household",SUMPRODUCT(($AZ52&gt;=INDEX('Methodology &amp; Sources'!$B$137:$J$139,0,1))*INDEX('Methodology &amp; Sources'!$B$137:$J$139,0,1+2)),IF($AU52="Married",SUMPRODUCT(($AZ52&gt;=INDEX('Methodology &amp; Sources'!$B$125:$J$132,0,7))*INDEX('Methodology &amp; Sources'!$B$125:$J$132,0,7+2)),SUMPRODUCT(($AZ52&gt;=INDEX('Methodology &amp; Sources'!$B$125:$J$132,0,4))*INDEX('Methodology &amp; Sources'!$B$125:$J$132,0,4+2)))),IF($AN52="ND",IF($AU52="Head of household",SUMPRODUCT(($AZ52&gt;=INDEX('Methodology &amp; Sources'!$B$144:$J$150,0,1))*INDEX('Methodology &amp; Sources'!$B$144:$J$150,0,1+2)),IF($AU52="Married",SUMPRODUCT(($AZ52&gt;=INDEX('Methodology &amp; Sources'!$B$137:$J$139,0,7))*INDEX('Methodology &amp; Sources'!$B$137:$J$139,0,7+2)),SUMPRODUCT(($AZ52&gt;=INDEX('Methodology &amp; Sources'!$B$137:$J$139,0,4))*INDEX('Methodology &amp; Sources'!$B$137:$J$139,0,4+2)))),IF($AN52="NY",IF($AU52="Married",IF($AZ52&gt;=2155350,IF($AZ52&gt;25000000,0.117,IF($AZ52&gt;5000000,0.111,0.1045)),SUMPRODUCT(($AZ52&gt;=INDEX('Methodology &amp; Sources'!$B$184:$J$198,0,1))*INDEX('Methodology &amp; Sources'!$B$184:$J$198,0,1+2))),IF($AZ52&gt;=1077550,IF($AZ52&gt;25000000,0.117,IF($AZ52&gt;5000000,0.111,0.1045)),SUMPRODUCT(($AZ52&gt;=INDEX('Methodology &amp; Sources'!$B$167:$J$179,0,7))*INDEX('Methodology &amp; Sources'!$B$167:$J$179,0,7+2)))),"")))))))</f>
      </c>
      <c r="CB52" s="24">
        <f>IF($B52="","",IF($AN52="CA",SUMPRODUCT(($AJ52&gt;=INDEX('Methodology &amp; Sources'!$B$39:$J$48,0,IF($AU52="Married",4,IF($AU52="Head of household",7,1))))*INDEX('Methodology &amp; Sources'!$B$39:$J$48,0,IF($AU52="Married",4,IF($AU52="Head of household",7,1))+2)),IF($AN52="HI",IF($AU52="Married",SUMPRODUCT(($AZ52&gt;=INDEX('Methodology &amp; Sources'!$B$91:$J$98,0,7))*INDEX('Methodology &amp; Sources'!$B$91:$J$98,0,7+2)),SUMPRODUCT(($AZ52&gt;=INDEX('Methodology &amp; Sources'!$B$91:$J$98,0,4))*INDEX('Methodology &amp; Sources'!$B$91:$J$98,0,4+2))),IF($AN52="MN",IF($AU52="Married",SUMPRODUCT(($AZ52&gt;=INDEX('Methodology &amp; Sources'!$B$114:$J$120,0,7))*INDEX('Methodology &amp; Sources'!$B$114:$J$120,0,7+2)),SUMPRODUCT(($AZ52&gt;=INDEX('Methodology &amp; Sources'!$B$114:$J$120,0,4))*INDEX('Methodology &amp; Sources'!$B$114:$J$120,0,4+2))),IF($AN52="MO",SUMPRODUCT(($AZ52&gt;=INDEX('Methodology &amp; Sources'!$B$125:$J$132,0,1))*INDEX('Methodology &amp; Sources'!$B$125:$J$132,0,1+2)),IF($AN52="NE",MAX(IF($AU52="Married",SUMPRODUCT(($AZ52&gt;=INDEX('Methodology &amp; Sources'!$B$144:$J$150,0,7))*INDEX('Methodology &amp; Sources'!$B$144:$J$150,0,7+2)),SUMPRODUCT(($AZ52&gt;=INDEX('Methodology &amp; Sources'!$B$144:$J$150,0,4))*INDEX('Methodology &amp; Sources'!$B$144:$J$150,0,4+2))),0.015),IF($AN52="OH",IF($B52&gt;=DATE(2027,8,1),SUMPRODUCT(($AZ52&gt;=INDEX('Methodology &amp; Sources'!$B$203:$J$206,0,1))*INDEX('Methodology &amp; Sources'!$B$203:$J$206,0,1+2)),SUMPRODUCT(($AZ52&gt;=INDEX('Methodology &amp; Sources'!$B$184:$J$198,0,7))*INDEX('Methodology &amp; Sources'!$B$184:$J$198,0,7+2))),IF($AN52="OK",IF($AU52="Married",SUMPRODUCT(($AZ52&gt;=INDEX('Methodology &amp; Sources'!$B$203:$J$206,0,7))*INDEX('Methodology &amp; Sources'!$B$203:$J$206,0,7+2)),SUMPRODUCT(($AZ52&gt;=INDEX('Methodology &amp; Sources'!$B$203:$J$206,0,4))*INDEX('Methodology &amp; Sources'!$B$203:$J$206,0,4+2))),IF($AN52="RI",SUMPRODUCT(($AZ52&gt;=INDEX('Methodology &amp; Sources'!$B$211:$J$214,0,7))*INDEX('Methodology &amp; Sources'!$B$211:$J$214,0,7+2)),IF($AN52="SC",SUMPRODUCT(($AZ52&gt;=INDEX('Methodology &amp; Sources'!$B$219:$J$223,0,1))*INDEX('Methodology &amp; Sources'!$B$219:$J$223,0,1+2)),IF($AN52="VT",IF($AU52="Married",SUMPRODUCT(($AZ52&gt;=INDEX('Methodology &amp; Sources'!$B$228:$J$232,0,1))*INDEX('Methodology &amp; Sources'!$B$228:$J$232,0,1+2)),SUMPRODUCT(($AZ52&gt;=INDEX('Methodology &amp; Sources'!$B$219:$J$223,0,7))*INDEX('Methodology &amp; Sources'!$B$219:$J$223,0,7+2))),IF($AN52="WV",IF($AU52="Married",SUMPRODUCT(($AZ52&gt;=INDEX('Methodology &amp; Sources'!$B$237:$J$241,0,7))*INDEX('Methodology &amp; Sources'!$B$237:$J$241,0,7+2)),SUMPRODUCT(($AZ52&gt;=INDEX('Methodology &amp; Sources'!$B$228:$J$232,0,7))*INDEX('Methodology &amp; Sources'!$B$228:$J$232,0,7+2))),IF($AN52="IN",(0.0295+Inputs!$C$76),"")))))))))))))</f>
      </c>
      <c r="CC52" s="24">
        <f>IF($B52="","",IF($AN52="AR",SUMPRODUCT(($AZ52&gt;=INDEX('Methodology &amp; Sources'!$B$82:$J$86,0,7))*INDEX('Methodology &amp; Sources'!$B$82:$J$86,0,7+2)),IF($AN52="DE",SUMPRODUCT(($AZ52&gt;=INDEX('Methodology &amp; Sources'!$B$91:$J$98,0,1))*INDEX('Methodology &amp; Sources'!$B$91:$J$98,0,1+2)),IF($AN52="VA",SUMPRODUCT(($AZ52&gt;=INDEX('Methodology &amp; Sources'!$B$219:$J$223,0,4))*INDEX('Methodology &amp; Sources'!$B$219:$J$223,0,4+2)),IF($AN52="WI",SUMPRODUCT(($AZ52&gt;=INDEX('Methodology &amp; Sources'!$B$228:$J$232,0,4))*INDEX('Methodology &amp; Sources'!$B$228:$J$232,0,4+2)),IF($AN52="AZ",Inputs!$C$82,IF($AN52="CO",IF($AY52&gt;IF($AU52="Married",10000,5000),0.044,0),IF($AN52="IA",IF($AY52&gt;IF($AU52="Head of household",19500,IF($AU52="Married",26000,13000)),0.038,0),IF($AN52="ID",IF($AY52&gt;IF($AU52="Married",32000,16094),0.053,0),IF($AN52="IL",IF($AY52&gt;(2925*$AS52+1000*$AT52),0.0495,0),IF($AN52="KY",IF($AI52&gt;3360,0.035,0),IF($AN52="LA",0.0309,IF($AN52="MA",IF(MAX(0,$AY52-MIN(($BD51+$Q52+$R52+$S52),2000)-IF($AS52=0,0,IF($AS52=1,4400,1000*$AS52+3400)))&gt;=1107750,0.09,0.05),IF($AN52="MS",IF($AI52-IF($AU52="Head of household",3400,IF($AU52="Married",4600,2300))-Inputs!$C$85&gt;10000,0.04,0),IF($AN52="PA",0.0307,"")))))))))))))))</f>
      </c>
      <c r="CD52" s="21">
        <f>IF(YEAR(IF(Inputs!$C$7="Weekly",Inputs!$C$90+7*(($BE51+1)-1),IF(Inputs!$C$7="Biweekly",Inputs!$C$90+14*(($BE51+1)-1),IF(Inputs!$C$7="Semimonthly",DATE(YEAR(Inputs!$C$9),MONTH(Inputs!$C$9)+INT((($BE51+1)-1+'Rest of 2026'!$C$2)/2),MIN(DAY(Inputs!$C$9),DAY(EOMONTH(DATE(YEAR(Inputs!$C$9),MONTH(Inputs!$C$9)+INT((($BE51+1)-1+'Rest of 2026'!$C$2)/2),1),0))))+IF(MOD(($BE51+1)-1+'Rest of 2026'!$C$2,2)=1,15,0),EDATE(Inputs!$C$90,($BE51+1)-1)))))&lt;&gt;Inputs!$C$10,"",IF(Inputs!$C$7="Weekly",Inputs!$C$90+7*(($BE51+1)-1),IF(Inputs!$C$7="Biweekly",Inputs!$C$90+14*(($BE51+1)-1),IF(Inputs!$C$7="Semimonthly",DATE(YEAR(Inputs!$C$9),MONTH(Inputs!$C$9)+INT((($BE51+1)-1+'Rest of 2026'!$C$2)/2),MIN(DAY(Inputs!$C$9),DAY(EOMONTH(DATE(YEAR(Inputs!$C$9),MONTH(Inputs!$C$9)+INT((($BE51+1)-1+'Rest of 2026'!$C$2)/2),1),0))))+IF(MOD(($BE51+1)-1+'Rest of 2026'!$C$2,2)=1,15,0),EDATE(Inputs!$C$90,($BE51+1)-1)))))</f>
      </c>
      <c r="CE52" s="21">
        <f>IF(SUMPRODUCT(MIN(IF((Inputs!$C$58:$C$67&gt;MAX($B$6:$B51))*(Inputs!$C$58:$C$67&gt;=DATE(Inputs!$C$10,1,1))*(Inputs!$C$58:$C$67&lt;=DATE(Inputs!$C$10,12,31)),Inputs!$C$58:$C$67,999999)))=999999,"",SUMPRODUCT(MIN(IF((Inputs!$C$58:$C$67&gt;MAX($B$6:$B51))*(Inputs!$C$58:$C$67&gt;=DATE(Inputs!$C$10,1,1))*(Inputs!$C$58:$C$67&lt;=DATE(Inputs!$C$10,12,31)),Inputs!$C$58:$C$67,999999))))</f>
      </c>
    </row>
    <row r="53">
      <c r="A53" t="n">
        <v>48</v>
      </c>
      <c r="B53" s="21">
        <f>IF(AND($CD53="",$CE53=""),"",IF($CE53="",$CD53,IF($CD53="",$CE53,MIN($CD53,$CE53))))</f>
      </c>
      <c r="C53" s="7">
        <f>IF($B53="","",IF($BF53=0,0,IF(Inputs!$C$4="Annual salary",ROUND($AK53/IF(AND(Inputs!$C$88="Actual paydays",MONTH(Inputs!$C$90)=1),MAX(1,MAX($BE$6:$BE$68)),Inputs!$C$8),2),$AK53)))</f>
      </c>
      <c r="D53" s="7">
        <f>IF($B53="","",SUMIF(Inputs!$C$58:$C$67,$B53,Inputs!$D$58:$D$67))</f>
      </c>
      <c r="E53" s="7">
        <f>IF($B53="","",ROUND(MAX(0,MIN(IF($AL53="Percent",$AM53*($C53+$D53),$AM53),MAX(0,Inputs!$C$34-$AC52))),2))</f>
      </c>
      <c r="F53" s="7">
        <f>IF($B53="","",ROUND(MAX(0,MIN(IF(Inputs!$C$32="Percent",Inputs!$D$32*($C53+$D53),Inputs!$D$32),MAX(0,Inputs!$C$34-$AC52-$E53))),2))</f>
      </c>
      <c r="G53" s="7">
        <f>IF($B53="","",IF($BF53=0,0,ROUND(MAX(0,MIN($BL53,Inputs!$C$37-Inputs!$C$99-$BI52)),2)))</f>
      </c>
      <c r="H53" s="7">
        <f>IF($B53="","",IF(OR($BF53=0,$BQ53=1),0,ROUND(MAX(0,MIN(IF($BS53=1,ROUND(MAX(0,MIN($BJ53,'Methodology &amp; Sources'!$C$13)-$BG52)/MAX(1,MAX($BE$6:$BE$68)-($BE52)),2),ROUND(MIN($BJ53,'Methodology &amp; Sources'!$C$13)/Inputs!$C$8,2)),MIN($BJ53,'Methodology &amp; Sources'!$C$13)-$BG52)),2)))</f>
      </c>
      <c r="I53" s="7">
        <f>IF($B53="","",IF(OR($BF53=0,$BR53=1),0,ROUND(MAX(0,MIN(IF($BT53=1,ROUND(MAX(0,MIN($BK53,IF(Inputs!$C$12="MFJ",'Methodology &amp; Sources'!$C$14,'Methodology &amp; Sources'!$C$15))-$BH52)/MAX(1,MAX($BE$6:$BE$68)-($BE52)),2),ROUND(MIN($BK53,IF(Inputs!$C$12="MFJ",'Methodology &amp; Sources'!$C$14,'Methodology &amp; Sources'!$C$15))/Inputs!$C$8,2)),MIN($BK53,IF(Inputs!$C$12="MFJ",'Methodology &amp; Sources'!$C$14,'Methodology &amp; Sources'!$C$15))-$BH52)),2)))</f>
      </c>
      <c r="J53" s="7">
        <f>IF($B53="","",IF($BF53=0,0,$BM53))</f>
      </c>
      <c r="K53" s="7">
        <f>IF($B53="","",IF($BF53=0,0,$BN53+$BO53))</f>
      </c>
      <c r="L53" s="7">
        <f>IF($B53="","",IF($BF53=0,0,Inputs!$D$46))</f>
      </c>
      <c r="M53" s="7">
        <f>IF($B53="","",$C53+$D53+$L53-$E53-$G53-$H53-$I53-$J53-$K53)</f>
      </c>
      <c r="N53" s="7">
        <f>IF($B53="","",$C53+$D53+$L53-$G53-$H53-$I53-$J53-$K53)</f>
      </c>
      <c r="O53" s="7">
        <f>IF($B53="","",$C53+$D53+$L53-$E53-$H53-$I53-$J53-$K53-IF(OR($AN53="CA",$AN53="NJ"),0,$G53))</f>
      </c>
      <c r="P53" s="7">
        <f>IF($B53="","",IF(Inputs!$C$18,0,ROUND(MAX(0,IF(Inputs!$C$13,SUMPRODUCT(($AH53&gt;INDEX('Methodology &amp; Sources'!$B$29:$J$36,0,IF(Inputs!$C$12="MFJ",1,IF(Inputs!$C$12="HoH",7,4))))*($AH53-INDEX('Methodology &amp; Sources'!$B$29:$J$36,0,IF(Inputs!$C$12="MFJ",1,IF(Inputs!$C$12="HoH",7,4))))*INDEX('Methodology &amp; Sources'!$B$29:$J$36,0,IF(Inputs!$C$12="MFJ",1,IF(Inputs!$C$12="HoH",7,4))+2)),SUMPRODUCT(($AH53&gt;INDEX('Methodology &amp; Sources'!$B$19:$J$26,0,IF(Inputs!$C$12="MFJ",1,IF(Inputs!$C$12="HoH",7,4))))*($AH53-INDEX('Methodology &amp; Sources'!$B$19:$J$26,0,IF(Inputs!$C$12="MFJ",1,IF(Inputs!$C$12="HoH",7,4))))*INDEX('Methodology &amp; Sources'!$B$19:$J$26,0,IF(Inputs!$C$12="MFJ",1,IF(Inputs!$C$12="HoH",7,4))+2)))/Inputs!$C$8-$AO53/Inputs!$C$8)+$AR53+IF(Inputs!$C$89="Aggregate",MAX(0,IF(Inputs!$C$13,SUMPRODUCT((($AH53+$D53)&gt;INDEX('Methodology &amp; Sources'!$B$29:$J$36,0,IF(Inputs!$C$12="MFJ",1,IF(Inputs!$C$12="HoH",7,4))))*(($AH53+$D53)-INDEX('Methodology &amp; Sources'!$B$29:$J$36,0,IF(Inputs!$C$12="MFJ",1,IF(Inputs!$C$12="HoH",7,4))))*INDEX('Methodology &amp; Sources'!$B$29:$J$36,0,IF(Inputs!$C$12="MFJ",1,IF(Inputs!$C$12="HoH",7,4))+2)),SUMPRODUCT((($AH53+$D53)&gt;INDEX('Methodology &amp; Sources'!$B$19:$J$26,0,IF(Inputs!$C$12="MFJ",1,IF(Inputs!$C$12="HoH",7,4))))*(($AH53+$D53)-INDEX('Methodology &amp; Sources'!$B$19:$J$26,0,IF(Inputs!$C$12="MFJ",1,IF(Inputs!$C$12="HoH",7,4))))*INDEX('Methodology &amp; Sources'!$B$19:$J$26,0,IF(Inputs!$C$12="MFJ",1,IF(Inputs!$C$12="HoH",7,4))+2)))-IF(Inputs!$C$13,SUMPRODUCT(($AH53&gt;INDEX('Methodology &amp; Sources'!$B$29:$J$36,0,IF(Inputs!$C$12="MFJ",1,IF(Inputs!$C$12="HoH",7,4))))*($AH53-INDEX('Methodology &amp; Sources'!$B$29:$J$36,0,IF(Inputs!$C$12="MFJ",1,IF(Inputs!$C$12="HoH",7,4))))*INDEX('Methodology &amp; Sources'!$B$29:$J$36,0,IF(Inputs!$C$12="MFJ",1,IF(Inputs!$C$12="HoH",7,4))+2)),SUMPRODUCT(($AH53&gt;INDEX('Methodology &amp; Sources'!$B$19:$J$26,0,IF(Inputs!$C$12="MFJ",1,IF(Inputs!$C$12="HoH",7,4))))*($AH53-INDEX('Methodology &amp; Sources'!$B$19:$J$26,0,IF(Inputs!$C$12="MFJ",1,IF(Inputs!$C$12="HoH",7,4))))*INDEX('Methodology &amp; Sources'!$B$19:$J$26,0,IF(Inputs!$C$12="MFJ",1,IF(Inputs!$C$12="HoH",7,4))+2)))),'Methodology &amp; Sources'!$C$10*$D53),2)))</f>
      </c>
      <c r="Q53" s="7">
        <f>IF($B53="","",ROUND('Methodology &amp; Sources'!$C$4*MIN($N53,MAX(0,'Methodology &amp; Sources'!$C$3-($AX53+$AB52-$AW53))),2))</f>
      </c>
      <c r="R53" s="7">
        <f>IF($B53="","",ROUND('Methodology &amp; Sources'!$C$5*$N53,2))</f>
      </c>
      <c r="S53" s="7">
        <f>IF($B53="","",ROUND('Methodology &amp; Sources'!$C$6*MAX(0,MIN($N53,$AG52+$N53-'Methodology &amp; Sources'!$C$7)),2))</f>
      </c>
      <c r="T53" s="7">
        <f>IF($B53="","",IF(Inputs!$C$26,0,IF($AN53="CA",ROUND(IF($AI53&lt;=IF(($AS53+$AT53)&gt;=2,VLOOKUP($AN53,StateTables!$A$6:$AB$56,10,FALSE),VLOOKUP($AN53,StateTables!$A$6:$AB$56,9,FALSE)),0,MAX(0,SUMPRODUCT(($AJ53&gt;INDEX('Methodology &amp; Sources'!$B$39:$J$48,0,IF($AU53="Married",4,IF($AU53="Head of household",7,1))))*($AJ53-INDEX('Methodology &amp; Sources'!$B$39:$J$48,0,IF($AU53="Married",4,IF($AU53="Head of household",7,1))))*INDEX('Methodology &amp; Sources'!$B$39:$J$48,0,IF($AU53="Married",4,IF($AU53="Head of household",7,1))+2))-VLOOKUP($AN53,StateTables!$A$6:$AB$56,11,FALSE)*$AS53)/Inputs!$C$8)+Inputs!$C$25+VLOOKUP($AN53,StateTables!$A$6:$AB$56,13,FALSE)*$D53,2),IF(VLOOKUP($AN53,StateTables!$A$6:$AB$56,4,FALSE)="None",0,IF(ISNUMBER(SEARCH("MANUAL",VLOOKUP($AN53,StateTables!$A$6:$AB$56,5,FALSE))),Inputs!$C$28,ROUND(MAX(0,$BA53+$BB53)/Inputs!$C$8+Inputs!$C$25+$BC53,2))))))</f>
      </c>
      <c r="U53" s="7">
        <f>IF($B53="","",IF(VLOOKUP($AN53,StateTables!$A$6:$AB$56,24,FALSE)="flatq",IF(OR(MONTH($B53)=1,MONTH($B53)=4,MONTH($B53)=7,MONTH($B53)=10),VLOOKUP($AN53,StateTables!$A$6:$AB$56,25,FALSE),0),IF(VLOOKUP($AN53,StateTables!$A$6:$AB$56,24,FALSE)="dbl",MIN(ROUND(0.005*$N53,2),ROUND(0.6*52/Inputs!$C$8,2)),IF(OR(VLOOKUP($AN53,StateTables!$A$6:$AB$56,15,FALSE)="",VLOOKUP($AN53,StateTables!$A$6:$AB$56,15,FALSE)=0),0,ROUND(VLOOKUP($AN53,StateTables!$A$6:$AB$56,15,FALSE)*IF(OR(VLOOKUP($AN53,StateTables!$A$6:$AB$56,16,FALSE)="",VLOOKUP($AN53,StateTables!$A$6:$AB$56,16,FALSE)=0),$N53,MIN($N53,MAX(0,VLOOKUP($AN53,StateTables!$A$6:$AB$56,16,FALSE)-($AX53+$AB52-$AW53)))),2))))+IF(VLOOKUP($AN53,StateTables!$A$6:$AB$56,27,FALSE)="flatq",IF(OR(MONTH($B53)=1,MONTH($B53)=4,MONTH($B53)=7,MONTH($B53)=10),VLOOKUP($AN53,StateTables!$A$6:$AB$56,28,FALSE),0),IF(VLOOKUP($AN53,StateTables!$A$6:$AB$56,27,FALSE)="dbl",MIN(ROUND(0.005*$N53,2),ROUND(0.6*52/Inputs!$C$8,2)),IF(OR(VLOOKUP($AN53,StateTables!$A$6:$AB$56,18,FALSE)="",VLOOKUP($AN53,StateTables!$A$6:$AB$56,18,FALSE)=0),0,ROUND(VLOOKUP($AN53,StateTables!$A$6:$AB$56,18,FALSE)*IF(OR(VLOOKUP($AN53,StateTables!$A$6:$AB$56,19,FALSE)="",VLOOKUP($AN53,StateTables!$A$6:$AB$56,19,FALSE)=0),$N53,MIN($N53,MAX(0,VLOOKUP($AN53,StateTables!$A$6:$AB$56,19,FALSE)-($AX53+$AB52-$AW53)))),2)))))</f>
      </c>
      <c r="V53" s="7">
        <f>IF($B53="","",IF($AN53="NY",IF(Inputs!$C$78,ROUND(SUMPRODUCT((MAX(0,($O53-$D53)*Inputs!$C$8-(IF($AU53="Married",5500,5000)+1000*$AS53))&gt;INDEX('Methodology &amp; Sources'!$B$184:$J$198,0,4))*(MAX(0,($O53-$D53)*Inputs!$C$8-(IF($AU53="Married",5500,5000)+1000*$AS53))-INDEX('Methodology &amp; Sources'!$B$184:$J$198,0,4))*INDEX('Methodology &amp; Sources'!$B$184:$J$198,0,4+2))/Inputs!$C$8+0.0425*$D53,2),0)+IF(Inputs!$C$79="Resident",ROUND(0.1675*$T53,2),IF(Inputs!$C$79="Nonresident",ROUND(0.005*MAX(0,($O53-$D53)-(IF($AU53="Married",7950,7400)+1000*$AS53)/Inputs!$C$8),2),0)),IF($AN53="PA",IF(Inputs!$C$80="None",Inputs!$C$27+ROUND(Inputs!$C$81*($C53+$D53),2),ROUND(IF(Inputs!$C$80="Resident",IF($B53&lt;DATE(2027,7,1),0.03735,0.03735),IF($B53&lt;DATE(2027,7,1),0.03425,0.03425))*($C53+$D53),2)),IF($BF53=0,ROUND(Inputs!$C$81*($C53+$D53),2),Inputs!$C$27+ROUND(Inputs!$C$81*($C53+$D53),2)))))</f>
      </c>
      <c r="W53" s="7">
        <f>IF($B53="","",IF($BF53=0,0,$BP53))</f>
      </c>
      <c r="X53" s="7">
        <f>IF($B53="","",SUM($E53:$K53)+$P53+$Q53+$R53+$S53+$T53+$U53+$V53+$W53)</f>
      </c>
      <c r="Y53" s="22">
        <f>IF($B53="","",$C53+$D53-$X53)</f>
      </c>
      <c r="Z53" s="7">
        <f>IF($B53="","",$Z52+$C53+$D53)</f>
      </c>
      <c r="AA53" s="7">
        <f>IF($B53="","",$AA52+$Y53)</f>
      </c>
      <c r="AB53" s="7">
        <f>IF($B53="","",$AB52+MIN($N53,MAX(0,'Methodology &amp; Sources'!$C$3-($AX53+$AB52-$AW53))))</f>
      </c>
      <c r="AC53" s="7">
        <f>IF($B53="","",$AC52+$E53+$F53)</f>
      </c>
      <c r="AD53" s="3">
        <f>IF($B53="","",IF(AND($AB52&lt;'Methodology &amp; Sources'!$C$3,$AB53&gt;='Methodology &amp; Sources'!$C$3),"★ Social Security maxed on this check — from the next check your net rises by about $"&amp;TEXT(ROUND('Methodology &amp; Sources'!$C$4*$N53,2),"#,##0.00")&amp;". ","")&amp;IF(AND($AC52&lt;Inputs!$C$34,$AC53&gt;=Inputs!$C$34),"★ 401(k) reaches the $"&amp;TEXT(Inputs!$C$34,"#,##0")&amp;" cap on this check — deferrals stop and net pay rises. ","")&amp;IF(AND($AG52&lt;'Methodology &amp; Sources'!$C$7,$AG53&gt;='Methodology &amp; Sources'!$C$7),"★ Wages pass $200,000 — the 0.9% Additional Medicare Tax starts here. ","")&amp;IF(AND($BJ53&gt;0,$H53&gt;0,$BG52&lt;MIN($BJ53,'Methodology &amp; Sources'!$C$13),$BG52+$H53&gt;=MIN($BJ53,'Methodology &amp; Sources'!$C$13)),"★ Health FSA election is now fully deferred for the year. ",""))</f>
      </c>
      <c r="AE53" s="41" t="n"/>
      <c r="AF53" s="7">
        <f>IF(OR($B53="",$AE53=""),"",$AE53-$Y53)</f>
      </c>
      <c r="AG53" s="7">
        <f>IF($B53="","",$AG52+$N53)</f>
      </c>
      <c r="AH53" s="7">
        <f>IF($B53="","",MAX(0,($M53-$D53)*Inputs!$C$8+$AP53-$AQ53-IF(Inputs!$C$13,0,IF(Inputs!$C$12="MFJ",'Methodology &amp; Sources'!$C$8,'Methodology &amp; Sources'!$C$9))))</f>
      </c>
      <c r="AI53" s="7">
        <f>IF($B53="","",$O53*Inputs!$C$8)</f>
      </c>
      <c r="AJ53" s="7">
        <f>IF($B53="","",MAX(0,$AI53-VLOOKUP($AN53,StateTables!$A$6:$AB$56,12,FALSE)*$AT53-IF(($AS53+$AT53)&gt;=2,VLOOKUP($AN53,StateTables!$A$6:$AB$56,8,FALSE),VLOOKUP($AN53,StateTables!$A$6:$AB$56,7,FALSE))))</f>
      </c>
      <c r="AK53" s="7">
        <f>IF($B53="","",IFERROR(LOOKUP(2,1/((Events!$C$6:$C$17="Salary change")*(Events!$B$6:$B$17&lt;=$B53)*(Events!$B$6:$B$17&lt;&gt;"")),Events!$D$6:$D$17),IF(Inputs!$C$4="Annual salary",Inputs!$C$5,Inputs!$C$6)))</f>
      </c>
      <c r="AL53">
        <f>IF($B53="","",IFERROR(LOOKUP(2,1/((Events!$C$6:$C$17="401(k) change")*(Events!$B$6:$B$17&lt;=$B53)*(Events!$B$6:$B$17&lt;&gt;"")),Events!$D$6:$D$17),Inputs!$C$30))</f>
      </c>
      <c r="AM53" s="7">
        <f>IF($B53="","",IFERROR(LOOKUP(2,1/((Events!$C$6:$C$17="401(k) change")*(Events!$B$6:$B$17&lt;=$B53)*(Events!$B$6:$B$17&lt;&gt;"")),Events!$E$6:$E$17),Inputs!$D$30))</f>
      </c>
      <c r="AN53">
        <f>IF($B53="","",IFERROR(LOOKUP(2,1/((Events!$C$6:$C$17="State move")*(Events!$B$6:$B$17&lt;=$B53)*(Events!$B$6:$B$17&lt;&gt;"")),Events!$D$6:$D$17),Inputs!$C$21))</f>
      </c>
      <c r="AO53" s="7">
        <f>IF($B53="","",IFERROR(LOOKUP(2,1/((Events!$C$6:$C$17="W-4 change")*(Events!$B$6:$B$17&lt;=$B53)*(Events!$B$6:$B$17&lt;&gt;"")),Events!$D$6:$D$17),Inputs!$C$14))</f>
      </c>
      <c r="AP53" s="7">
        <f>IF($B53="","",IFERROR(LOOKUP(2,1/((Events!$C$6:$C$17="W-4 change")*(Events!$B$6:$B$17&lt;=$B53)*(Events!$B$6:$B$17&lt;&gt;"")),Events!$E$6:$E$17),Inputs!$C$15))</f>
      </c>
      <c r="AQ53" s="7">
        <f>IF($B53="","",IFERROR(LOOKUP(2,1/((Events!$C$6:$C$17="W-4 change")*(Events!$B$6:$B$17&lt;=$B53)*(Events!$B$6:$B$17&lt;&gt;"")),Events!$F$6:$F$17),Inputs!$C$16))</f>
      </c>
      <c r="AR53" s="7">
        <f>IF($B53="","",IFERROR(LOOKUP(2,1/((Events!$C$6:$C$17="W-4 change")*(Events!$B$6:$B$17&lt;=$B53)*(Events!$B$6:$B$17&lt;&gt;"")),Events!$G$6:$G$17),Inputs!$C$17))</f>
      </c>
      <c r="AS53" s="6">
        <f>IF($B53="","",IFERROR(LOOKUP(2,1/(((Events!$C$6:$C$17="State move")+(Events!$C$6:$C$17="State cert change"))*(Events!$B$6:$B$17&lt;=$B53)*(Events!$B$6:$B$17&lt;&gt;"")),Events!$F$6:$F$17),Inputs!$C$23))</f>
      </c>
      <c r="AT53" s="6">
        <f>IF($B53="","",IFERROR(LOOKUP(2,1/(((Events!$C$6:$C$17="State move")+(Events!$C$6:$C$17="State cert change"))*(Events!$B$6:$B$17&lt;=$B53)*(Events!$B$6:$B$17&lt;&gt;"")),Events!$G$6:$G$17),Inputs!$C$24))</f>
      </c>
      <c r="AU53">
        <f>IF($B53="","",IFERROR(LOOKUP(2,1/((Events!$C$6:$C$17="State move")*(Events!$B$6:$B$17&lt;=$B53)*(Events!$B$6:$B$17&lt;&gt;"")),Events!$E$6:$E$17),Inputs!$C$22))</f>
      </c>
      <c r="AV53" s="6">
        <f>IF($B53="","",1+COUNTIFS(Events!$C$6:$C$17,"Employer change",Events!$B$6:$B$17,"&lt;="&amp;$B53,Events!$B$6:$B$17,"&lt;&gt;"))</f>
      </c>
      <c r="AW53" s="7">
        <f>IF($B53="","",IF($AV53=1,Inputs!$C$94,IF(IFERROR(MATCH(IFERROR(LOOKUP(2,1/((Events!$C$6:$C$17="Employer change")*(Events!$B$6:$B$17&lt;=$B53)*(Events!$B$6:$B$17&lt;&gt;"")),Events!$B$6:$B$17),""),$B$6:$B$68,1),1)&lt;=1,Inputs!$C$94,INDEX($AB$6:$AB$68,MATCH(IFERROR(LOOKUP(2,1/((Events!$C$6:$C$17="Employer change")*(Events!$B$6:$B$17&lt;=$B53)*(Events!$B$6:$B$17&lt;&gt;"")),Events!$B$6:$B$17),""),$B$6:$B$68,1)-1))))</f>
      </c>
      <c r="AX53" s="7">
        <f>IF($B53="","",IF($AV53=1,Inputs!$C$94,IFERROR(LOOKUP(2,1/((Events!$C$6:$C$17="Employer change")*(Events!$B$6:$B$17&lt;=$B53)*(Events!$B$6:$B$17&lt;&gt;"")),Events!$D$6:$D$17),0)))</f>
      </c>
      <c r="AY53" s="7">
        <f>IF($B53="","",($O53-$D53)*Inputs!$C$8)</f>
      </c>
      <c r="AZ53" s="7">
        <f>IF($B53="","",IF($AN53="AL",MAX(0,$AY53-IF($AU53="Married",IF($AY53&lt;=25999,8500,MAX(5000,8500-175*CEILING(($AY53-25999)/500,1))),IF($AU53="Head of household",IF($AY53&lt;=25999,5200,MAX(2500,5200-135*CEILING(($AY53-25999)/500,1))),IF($AY53&lt;=25999,3000,MAX(2500,3000-25*CEILING(($AY53-25999)/500,1)))))-($P53-'Methodology &amp; Sources'!$C$10*$D53)*Inputs!$C$8-IF(OR($AU53="Married",$AU53="Head of household"),3000,1500)-$AT53*IF($AY53&lt;=50000,1000,IF($AY53&lt;=100000,500,300))),IF($AN53="AR",IF(MAX(0,$AY53-2470)&lt;97701,INT(MAX(0,$AY53-2470)/100)*100+50,MAX(0,$AY53-2470)),IF($AN53="DE",MAX(0,$AI53-3250),IF($AN53="HI",MAX(0,$AI53-1144*$AS53-4350),IF($AN53="KS",MAX(0,$AI53-(9160*IF($AU53="Married",2,1)+2320*$AT53+IF($AU53="Head of household",2320,0))),IF($AN53="MD",MAX(0,$AI53-3400-3200*$AS53),IF($AN53="MN",MAX(0,$AY53-5300*$AS53),IF($AN53="MO",MAX(0,$AI53-IF($AU53="Head of household",24150,IF($AU53="Married",IF(Inputs!$C$83,16100,32200),16100))),IF($AN53="MT",$AY53,IF($AN53="ND",($C53+$L53)*Inputs!$C$8,IF($AN53="NE",MAX(0,$AY53-2440*$AS53),IF($AN53="NJ",MAX(0,$AY53-1000*$AS53),IF($AN53="NY",MAX(0,$AY53-(IF($AU53="Married",7950,7400)+1000*$AS53)),IF($AN53="OH",MAX(0,$AY53-650*$AS53),IF($AN53="OK",MAX(0,$AY53-1000*$AS53),IF($AN53="RI",MAX(0,$AI53-1000*$AS53),IF($AN53="SC",MAX(0,$AI53-5000*$AS53-IF($AS53=0,0,MIN(0.1*$AI53,7500))),IF($AN53="VA",MAX(0,$AI53-IF($AU53="Married",17500,8750)-930*$AS53-800*$AT53),IF($AN53="VT",MAX(0,$AI53-5400*$AS53),IF($AN53="WI",MAX(0,$AI53-MAX(0,IF($AU53="Married",9461-0.2*MAX(0,$AI53-25727),6702-0.12*MAX(0,$AI53-17780)))-400*$AS53),IF($AN53="WV",MAX(0,$AI53-2000*$AS53),$AI53))))))))))))))))))))))</f>
      </c>
      <c r="BA53" s="7">
        <f>IF($B53="","",IF($BW53&lt;&gt;"",$BW53,IF($BX53&lt;&gt;"",$BX53,IF($BY53&lt;&gt;"",$BY53,0))))</f>
      </c>
      <c r="BB53" s="7">
        <f>IF($B53="","",IF($AN53="AR",-29*$AS53,IF($AN53="DE",-110*$AS53,IF($AN53="MD",$AZ53*Inputs!$C$74,IF($AN53="AZ",Inputs!$C$82*($M53-$D53)*Inputs!$C$8,IF($AN53="CO",0.044*MAX(0,$AY53-IF($AU53="Married",10000,5000)),IF($AN53="IA",MAX(0,0.038*MAX(0,$AY53-IF($AU53="Head of household",19500,IF($AU53="Married",26000,13000)))-40*$AS53),IF($AN53="ID",0.053*MAX(0,$AY53-IF($AU53="Married",32000,16094)),IF($AN53="IL",0.0495*MAX(0,$AY53-(2925*$AS53+1000*$AT53)),IF($AN53="IN",(0.0295+Inputs!$C$76)*MAX(0,$AY53-(1000*$AS53+1500*$AT53+3000*Inputs!$C$86)),IF($AN53="KY",0.035*MAX(0,$AI53-3360),IF($AN53="LA",IF(Inputs!$C$84="0",0.0309*$AI53,0.0309*MAX(0,$AI53-IF(Inputs!$C$84="2",25750,12875))),IF($AN53="MA",0.05*MIN(MAX(0,$AY53-MIN(($BD52+$Q53+$R53+$S53),2000)-IF($AS53=0,0,IF($AS53=1,4400,1000*$AS53+3400))),1107750)+0.09*MAX(0,MAX(0,$AY53-MIN(($BD52+$Q53+$R53+$S53),2000)-IF($AS53=0,0,IF($AS53=1,4400,1000*$AS53+3400)))-1107750)-IF($AU53="Head of household",120,0)-110*Inputs!$C$75,IF($AN53="MI",0.0425*MAX(0,$AY53-5900*$AS53),IF($AN53="MS",0.04*MAX(0,$AI53-IF($AU53="Head of household",3400,IF($AU53="Married",4600,2300))-Inputs!$C$85-10000),IF($AN53="OR",IF(OR($AU53="Married",AND($AU53="Single",$AS53&gt;=3)),SUMPRODUCT((MAX(0,$AY53-MIN(($P53-'Methodology &amp; Sources'!$C$10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Sources'!$B$211:$J$214,0,4))*(MAX(0,$AY53-MIN(($P53-'Methodology &amp; Sources'!$C$10*$D53)*Inputs!$C$8,IF(OR($AU53="Married",AND($AU53="Single",$AS53&gt;=3)),IF($AY53&lt;250000,8750,IF($AY53&lt;260000,7000,IF($AY53&lt;270000,5250,IF($AY53&lt;280000,3500,IF($AY53&lt;290000,1750,0))))),IF($AY53&lt;125000,8750,IF($AY53&lt;130000,7000,IF($AY53&lt;135000,5250,IF($AY53&lt;140000,3500,IF($AY53&lt;145000,1750,0)))))))-IF(OR($AU53="Married",AND($AU53="Single",$AS53&gt;=3)),5820,2910))-INDEX('Methodology &amp; Sources'!$B$211:$J$214,0,4))*INDEX('Methodology &amp; Sources'!$B$211:$J$214,0,4+2)),SUMPRODUCT((MAX(0,$AY53-MIN(($P53-'Methodology &amp; Sources'!$C$10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Sources'!$B$211:$J$214,0,1))*(MAX(0,$AY53-MIN(($P53-'Methodology &amp; Sources'!$C$10*$D53)*Inputs!$C$8,IF(OR($AU53="Married",AND($AU53="Single",$AS53&gt;=3)),IF($AY53&lt;250000,8750,IF($AY53&lt;260000,7000,IF($AY53&lt;270000,5250,IF($AY53&lt;280000,3500,IF($AY53&lt;290000,1750,0))))),IF($AY53&lt;125000,8750,IF($AY53&lt;130000,7000,IF($AY53&lt;135000,5250,IF($AY53&lt;140000,3500,IF($AY53&lt;145000,1750,0)))))))-IF(OR($AU53="Married",AND($AU53="Single",$AS53&gt;=3)),5820,2910))-INDEX('Methodology &amp; Sources'!$B$211:$J$214,0,1))*INDEX('Methodology &amp; Sources'!$B$211:$J$214,0,1+2)))+263-263*IF(IF($AU53="Married",$AY53&gt;200000,$AY53&gt;100000),0,$AS53),IF($AN53="PA",0.0307*(($O53+$E53+$G53)*Inputs!$C$8),IF($AN53="NY",IF($AU53="Married",IF($AZ53&gt;=2155350,0,IF($AZ53&gt;=1077550,0.48,IF($AZ53&gt;=373200,1.21,IF($AZ53&gt;=323200,0.21,IF($AZ53&gt;=211550,-0.19,IF($AZ53&gt;=157650,-2.8,IF($AZ53&gt;=107650,-0.8,IF($AZ53&gt;=96800,0.05,IF($AZ53&gt;=80650,-0.1,IF($AZ53&gt;=13900,0.4,IF($AZ53&gt;=11700,-0.3,IF($AZ53&gt;=8500,0.5,0)))))))))))),IF($AZ53&gt;=1077550,0,IF($AZ53&gt;=265400,4.29,IF($AZ53&gt;=215400,2.29,IF($AZ53&gt;=157650,2.29,IF($AZ53&gt;=107650,0.29,IF($AZ53&gt;=96800,0.05,IF($AZ53&gt;=80650,-0.1,IF($AZ53&gt;=13900,0.4,IF($AZ53&gt;=11700,-0.3,IF($AZ53&gt;=8500,0.5,0))))))))))),0))))))))))))))))))</f>
      </c>
      <c r="BC53" s="7">
        <f>IF($B53="","",IF($AN53="AL",0.05*$D53,IF($AN53="AR",0.039*$D53,IF($AN53="ID",0.053*$D53,IF($AN53="IN",(0.0295+Inputs!$C$76)*$D53,IF($AN53="KS",0.05*$D53,IF($AN53="MA",0.09*MIN($D53,MAX(0,MAX(0,$AY53-MIN(($BD52+$Q53+$R53+$S53),2000)-IF($AS53=0,0,IF($AS53=1,4400,1000*$AS53+3400)))+$D53-1107750))+0.05*($D53-MIN($D53,MAX(0,MAX(0,$AY53-MIN(($BD52+$Q53+$R53+$S53),2000)-IF($AS53=0,0,IF($AS53=1,4400,1000*$AS53+3400)))+$D53-1107750))),IF($AN53="MD",(0.065+Inputs!$C$74)*$D53,IF($AN53="MI",0.0425*$D53,IF($AN53="MN",0.0625*$D53,IF($AN53="MO",0.047*$D53,IF($AN53="MT",0.05*$D53,IF($AN53="ND",0.015*$D53,IF($AN53="NE",0.035*$D53,IF($AN53="NJ",IF(Inputs!$C$77="B",SUMPRODUCT(($D53*Inputs!$C$8&gt;INDEX('Methodology &amp; Sources'!$B$155:$J$162,0,4))*($D53*Inputs!$C$8-INDEX('Methodology &amp; Sources'!$B$155:$J$162,0,4))*INDEX('Methodology &amp; Sources'!$B$155:$J$162,0,4+2)),IF(Inputs!$C$77="C",SUMPRODUCT(($D53*Inputs!$C$8&gt;INDEX('Methodology &amp; Sources'!$B$155:$J$162,0,7))*($D53*Inputs!$C$8-INDEX('Methodology &amp; Sources'!$B$155:$J$162,0,7))*INDEX('Methodology &amp; Sources'!$B$155:$J$162,0,7+2)),IF(Inputs!$C$77="D",SUMPRODUCT(($D53*Inputs!$C$8&gt;INDEX('Methodology &amp; Sources'!$B$167:$J$179,0,1))*($D53*Inputs!$C$8-INDEX('Methodology &amp; Sources'!$B$167:$J$179,0,1))*INDEX('Methodology &amp; Sources'!$B$167:$J$179,0,1+2)),IF(Inputs!$C$77="E",SUMPRODUCT(($D53*Inputs!$C$8&gt;INDEX('Methodology &amp; Sources'!$B$167:$J$179,0,4))*($D53*Inputs!$C$8-INDEX('Methodology &amp; Sources'!$B$167:$J$179,0,4))*INDEX('Methodology &amp; Sources'!$B$167:$J$179,0,4+2)),SUMPRODUCT(($D53*Inputs!$C$8&gt;INDEX('Methodology &amp; Sources'!$B$155:$J$162,0,1))*($D53*Inputs!$C$8-INDEX('Methodology &amp; Sources'!$B$155:$J$162,0,1))*INDEX('Methodology &amp; Sources'!$B$155:$J$162,0,1+2))))))/Inputs!$C$8,IF($AN53="NY",0.117*$D53,IF($AN53="OH",0.0275*$D53,IF($AN53="OK",0.045*$D53,IF($AN53="OR",0.08*$D53,IF($AN53="WI",IF($AY53&lt;12760,0.0354,IF($AY53&lt;25520,0.0465,IF($AY53&lt;280950,0.053,0.0765)))*$D53,0))))))))))))))))))))</f>
      </c>
      <c r="BD53" s="7">
        <f>IF($B53="","",$BD52+$Q53+$R53+$S53)</f>
      </c>
      <c r="BE53" s="6">
        <f>IF($B53="",$BE52,$BE52+$BF53)</f>
      </c>
      <c r="BF53" s="6">
        <f>IF($B53="","",IF(AND(IF(YEAR(IF(Inputs!$C$7="Weekly",Inputs!$C$90+7*(($BE52+1)-1),IF(Inputs!$C$7="Biweekly",Inputs!$C$90+14*(($BE52+1)-1),IF(Inputs!$C$7="Semimonthly",DATE(YEAR(Inputs!$C$9),MONTH(Inputs!$C$9)+INT((($BE52+1)-1+'Rest of 2026'!$C$2)/2),MIN(DAY(Inputs!$C$9),DAY(EOMONTH(DATE(YEAR(Inputs!$C$9),MONTH(Inputs!$C$9)+INT((($BE52+1)-1+'Rest of 2026'!$C$2)/2),1),0))))+IF(MOD(($BE52+1)-1+'Rest of 2026'!$C$2,2)=1,15,0),EDATE(Inputs!$C$90,($BE52+1)-1)))))&lt;&gt;Inputs!$C$10,"",IF(Inputs!$C$7="Weekly",Inputs!$C$90+7*(($BE52+1)-1),IF(Inputs!$C$7="Biweekly",Inputs!$C$90+14*(($BE52+1)-1),IF(Inputs!$C$7="Semimonthly",DATE(YEAR(Inputs!$C$9),MONTH(Inputs!$C$9)+INT((($BE52+1)-1+'Rest of 2026'!$C$2)/2),MIN(DAY(Inputs!$C$9),DAY(EOMONTH(DATE(YEAR(Inputs!$C$9),MONTH(Inputs!$C$9)+INT((($BE52+1)-1+'Rest of 2026'!$C$2)/2),1),0))))+IF(MOD(($BE52+1)-1+'Rest of 2026'!$C$2,2)=1,15,0),EDATE(Inputs!$C$90,($BE52+1)-1)))))&lt;&gt;"",$B53=IF(YEAR(IF(Inputs!$C$7="Weekly",Inputs!$C$90+7*(($BE52+1)-1),IF(Inputs!$C$7="Biweekly",Inputs!$C$90+14*(($BE52+1)-1),IF(Inputs!$C$7="Semimonthly",DATE(YEAR(Inputs!$C$9),MONTH(Inputs!$C$9)+INT((($BE52+1)-1+'Rest of 2026'!$C$2)/2),MIN(DAY(Inputs!$C$9),DAY(EOMONTH(DATE(YEAR(Inputs!$C$9),MONTH(Inputs!$C$9)+INT((($BE52+1)-1+'Rest of 2026'!$C$2)/2),1),0))))+IF(MOD(($BE52+1)-1+'Rest of 2026'!$C$2,2)=1,15,0),EDATE(Inputs!$C$90,($BE52+1)-1)))))&lt;&gt;Inputs!$C$10,"",IF(Inputs!$C$7="Weekly",Inputs!$C$90+7*(($BE52+1)-1),IF(Inputs!$C$7="Biweekly",Inputs!$C$90+14*(($BE52+1)-1),IF(Inputs!$C$7="Semimonthly",DATE(YEAR(Inputs!$C$9),MONTH(Inputs!$C$9)+INT((($BE52+1)-1+'Rest of 2026'!$C$2)/2),MIN(DAY(Inputs!$C$9),DAY(EOMONTH(DATE(YEAR(Inputs!$C$9),MONTH(Inputs!$C$9)+INT((($BE52+1)-1+'Rest of 2026'!$C$2)/2),1),0))))+IF(MOD(($BE52+1)-1+'Rest of 2026'!$C$2,2)=1,15,0),EDATE(Inputs!$C$90,($BE52+1)-1)))))),1,0))</f>
      </c>
      <c r="BG53" s="7">
        <f>IF($B53="","",$BG52+$H53)</f>
      </c>
      <c r="BH53" s="7">
        <f>IF($B53="","",$BH52+$I53)</f>
      </c>
      <c r="BI53" s="7">
        <f>IF($B53="","",$BI52+$G53)</f>
      </c>
      <c r="BJ53" s="7">
        <f>IF($B53="","",IFERROR(LOOKUP(2,1/((((Events!$C$6:$C$17="Deduction start"))*(Events!$D$6:$D$17="Health FSA"))*(Events!$B$6:$B$17&lt;=$B53)*(Events!$B$6:$B$17&lt;&gt;"")),Events!$E$6:$E$17),Inputs!$D$38))</f>
      </c>
      <c r="BK53" s="7">
        <f>IF($B53="","",IFERROR(LOOKUP(2,1/((((Events!$C$6:$C$17="Deduction start"))*(Events!$D$6:$D$17="Dependent-care FSA"))*(Events!$B$6:$B$17&lt;=$B53)*(Events!$B$6:$B$17&lt;&gt;"")),Events!$E$6:$E$17),Inputs!$D$39))</f>
      </c>
      <c r="BL53" s="7">
        <f>IF($B53="","",IFERROR(LOOKUP(2,1/((((Events!$C$6:$C$17="Deduction start")+(Events!$C$6:$C$17="Deduction stop"))*(Events!$D$6:$D$17="HSA"))*(Events!$B$6:$B$17&lt;=$B53)*(Events!$B$6:$B$17&lt;&gt;"")),Events!$I$6:$I$17),Inputs!$D$35))</f>
      </c>
      <c r="BM53" s="7">
        <f>IF($B53="","",IFERROR(LOOKUP(2,1/((((Events!$C$6:$C$17="Deduction start")+(Events!$C$6:$C$17="Deduction stop"))*(Events!$D$6:$D$17="Premiums"))*(Events!$B$6:$B$17&lt;=$B53)*(Events!$B$6:$B$17&lt;&gt;"")),Events!$I$6:$I$17),Inputs!$D$40+Inputs!$D$41+Inputs!$D$42))</f>
      </c>
      <c r="BN53" s="7">
        <f>IF($B53="","",IFERROR(LOOKUP(2,1/((((Events!$C$6:$C$17="Deduction start")+(Events!$C$6:$C$17="Deduction stop"))*(Events!$D$6:$D$17="Commuter"))*(Events!$B$6:$B$17&lt;=$B53)*(Events!$B$6:$B$17&lt;&gt;"")),Events!$I$6:$I$17),Inputs!$D$43))</f>
      </c>
      <c r="BO53" s="7">
        <f>IF($B53="","",IFERROR(LOOKUP(2,1/((((Events!$C$6:$C$17="Deduction start")+(Events!$C$6:$C$17="Deduction stop"))*(Events!$D$6:$D$17="Other pre-tax"))*(Events!$B$6:$B$17&lt;=$B53)*(Events!$B$6:$B$17&lt;&gt;"")),Events!$I$6:$I$17),Inputs!$D$44))</f>
      </c>
      <c r="BP53" s="7">
        <f>IF($B53="","",IFERROR(LOOKUP(2,1/((((Events!$C$6:$C$17="Deduction start")+(Events!$C$6:$C$17="Deduction stop"))*(Events!$D$6:$D$17="Other post-tax"))*(Events!$B$6:$B$17&lt;=$B53)*(Events!$B$6:$B$17&lt;&gt;"")),Events!$I$6:$I$17),Inputs!$D$45))</f>
      </c>
      <c r="BQ53" s="6">
        <f>IF($B53="","",IFERROR(LOOKUP(2,1/((((Events!$C$6:$C$17="Deduction start")+(Events!$C$6:$C$17="Deduction stop"))*(Events!$D$6:$D$17="Health FSA"))*(Events!$B$6:$B$17&lt;=$B53)*(Events!$B$6:$B$17&lt;&gt;"")),Events!$J$6:$J$17),0))</f>
      </c>
      <c r="BR53" s="6">
        <f>IF($B53="","",IFERROR(LOOKUP(2,1/((((Events!$C$6:$C$17="Deduction start")+(Events!$C$6:$C$17="Deduction stop"))*(Events!$D$6:$D$17="Dependent-care FSA"))*(Events!$B$6:$B$17&lt;=$B53)*(Events!$B$6:$B$17&lt;&gt;"")),Events!$J$6:$J$17),0))</f>
      </c>
      <c r="BS53" s="6">
        <f>IF($B53="","",IF(SUMPRODUCT((Events!$C$6:$C$17="Deduction start")*(Events!$B$6:$B$17&lt;=$B53)*(Events!$B$6:$B$17&lt;&gt;"")*(Events!$D$6:$D$17="Health FSA"))&gt;0,1,0))</f>
      </c>
      <c r="BT53" s="6">
        <f>IF($B53="","",IF(SUMPRODUCT((Events!$C$6:$C$17="Deduction start")*(Events!$B$6:$B$17&lt;=$B53)*(Events!$B$6:$B$17&lt;&gt;"")*(Events!$D$6:$D$17="Dependent-care FSA"))&gt;0,1,0))</f>
      </c>
      <c r="BU53" s="24">
        <f>IF($B53="","",IF(Inputs!$C$13,SUMPRODUCT(($AH53&gt;=INDEX('Methodology &amp; Sources'!$B$29:$J$36,0,IF(Inputs!$C$12="MFJ",1,IF(Inputs!$C$12="HoH",7,4))))*INDEX('Methodology &amp; Sources'!$B$29:$J$36,0,IF(Inputs!$C$12="MFJ",1,IF(Inputs!$C$12="HoH",7,4))+2)),SUMPRODUCT(($AH53&gt;=INDEX('Methodology &amp; Sources'!$B$19:$J$26,0,IF(Inputs!$C$12="MFJ",1,IF(Inputs!$C$12="HoH",7,4))))*INDEX('Methodology &amp; Sources'!$B$19:$J$26,0,IF(Inputs!$C$12="MFJ",1,IF(Inputs!$C$12="HoH",7,4))+2))))</f>
      </c>
      <c r="BV53" s="24">
        <f>IF($B53="","",IF($BZ53&lt;&gt;"",$BZ53,IF($CA53&lt;&gt;"",$CA53,IF($CB53&lt;&gt;"",$CB53,IF($CC53&lt;&gt;"",$CC53,0)))))</f>
      </c>
      <c r="BW53" s="7">
        <f>IF($B53="","",IF($AN53="MD",IF(OR($AU53="Married",$AU53="Head of household"),SUMPRODUCT(($AZ53&gt;INDEX('Methodology &amp; Sources'!$B$114:$J$120,0,1))*($AZ53-INDEX('Methodology &amp; Sources'!$B$114:$J$120,0,1))*INDEX('Methodology &amp; Sources'!$B$114:$J$120,0,1+2)),SUMPRODUCT(($AZ53&gt;INDEX('Methodology &amp; Sources'!$B$103:$J$109,0,7))*($AZ53-INDEX('Methodology &amp; Sources'!$B$103:$J$109,0,7))*INDEX('Methodology &amp; Sources'!$B$103:$J$109,0,7+2))),IF($AN53="MO",SUMPRODUCT(($AZ53&gt;INDEX('Methodology &amp; Sources'!$B$125:$J$132,0,1))*($AZ53-INDEX('Methodology &amp; Sources'!$B$125:$J$132,0,1))*INDEX('Methodology &amp; Sources'!$B$125:$J$132,0,1+2)),IF($AN53="MT",IF($AU53="Head of household",SUMPRODUCT(($AZ53&gt;INDEX('Methodology &amp; Sources'!$B$137:$J$139,0,1))*($AZ53-INDEX('Methodology &amp; Sources'!$B$137:$J$139,0,1))*INDEX('Methodology &amp; Sources'!$B$137:$J$139,0,1+2)),IF($AU53="Married",SUMPRODUCT(($AZ53&gt;INDEX('Methodology &amp; Sources'!$B$125:$J$132,0,7))*($AZ53-INDEX('Methodology &amp; Sources'!$B$125:$J$132,0,7))*INDEX('Methodology &amp; Sources'!$B$125:$J$132,0,7+2)),SUMPRODUCT(($AZ53&gt;INDEX('Methodology &amp; Sources'!$B$125:$J$132,0,4))*($AZ53-INDEX('Methodology &amp; Sources'!$B$125:$J$132,0,4))*INDEX('Methodology &amp; Sources'!$B$125:$J$132,0,4+2)))),IF($AN53="ND",IF($AU53="Head of household",SUMPRODUCT(($AZ53&gt;INDEX('Methodology &amp; Sources'!$B$144:$J$150,0,1))*($AZ53-INDEX('Methodology &amp; Sources'!$B$144:$J$150,0,1))*INDEX('Methodology &amp; Sources'!$B$144:$J$150,0,1+2)),IF($AU53="Married",SUMPRODUCT(($AZ53&gt;INDEX('Methodology &amp; Sources'!$B$137:$J$139,0,7))*($AZ53-INDEX('Methodology &amp; Sources'!$B$137:$J$139,0,7))*INDEX('Methodology &amp; Sources'!$B$137:$J$139,0,7+2)),SUMPRODUCT(($AZ53&gt;INDEX('Methodology &amp; Sources'!$B$137:$J$139,0,4))*($AZ53-INDEX('Methodology &amp; Sources'!$B$137:$J$139,0,4))*INDEX('Methodology &amp; Sources'!$B$137:$J$139,0,4+2)))),IF($AN53="NJ",IF(Inputs!$C$77="B",SUMPRODUCT(($AZ53&gt;INDEX('Methodology &amp; Sources'!$B$155:$J$162,0,4))*($AZ53-INDEX('Methodology &amp; Sources'!$B$155:$J$162,0,4))*INDEX('Methodology &amp; Sources'!$B$155:$J$162,0,4+2)),IF(Inputs!$C$77="C",SUMPRODUCT(($AZ53&gt;INDEX('Methodology &amp; Sources'!$B$155:$J$162,0,7))*($AZ53-INDEX('Methodology &amp; Sources'!$B$155:$J$162,0,7))*INDEX('Methodology &amp; Sources'!$B$155:$J$162,0,7+2)),IF(Inputs!$C$77="D",SUMPRODUCT(($AZ53&gt;INDEX('Methodology &amp; Sources'!$B$167:$J$179,0,1))*($AZ53-INDEX('Methodology &amp; Sources'!$B$167:$J$179,0,1))*INDEX('Methodology &amp; Sources'!$B$167:$J$179,0,1+2)),IF(Inputs!$C$77="E",SUMPRODUCT(($AZ53&gt;INDEX('Methodology &amp; Sources'!$B$167:$J$179,0,4))*($AZ53-INDEX('Methodology &amp; Sources'!$B$167:$J$179,0,4))*INDEX('Methodology &amp; Sources'!$B$167:$J$179,0,4+2)),SUMPRODUCT(($AZ53&gt;INDEX('Methodology &amp; Sources'!$B$155:$J$162,0,1))*($AZ53-INDEX('Methodology &amp; Sources'!$B$155:$J$162,0,1))*INDEX('Methodology &amp; Sources'!$B$155:$J$162,0,1+2)))))),IF($AN53="NY",IF($AU53="Married",IF($AZ53&gt;=2155350,$AZ53*IF($AZ53&gt;25000000,0.117,IF($AZ53&gt;5000000,0.111,0.1045)),SUMPRODUCT(($AZ53&gt;INDEX('Methodology &amp; Sources'!$B$184:$J$198,0,1))*($AZ53-INDEX('Methodology &amp; Sources'!$B$184:$J$198,0,1))*INDEX('Methodology &amp; Sources'!$B$184:$J$198,0,1+2))),IF($AZ53&gt;=1077550,$AZ53*IF($AZ53&gt;25000000,0.117,IF($AZ53&gt;5000000,0.111,0.1045)),SUMPRODUCT(($AZ53&gt;INDEX('Methodology &amp; Sources'!$B$167:$J$179,0,7))*($AZ53-INDEX('Methodology &amp; Sources'!$B$167:$J$179,0,7))*INDEX('Methodology &amp; Sources'!$B$167:$J$179,0,7+2)))),"")))))))</f>
      </c>
      <c r="BX53" s="7">
        <f>IF($B53="","",IF($AN53="AL",IF(OR($AU53="Married",$AU53="Head of household"),SUMPRODUCT(($AZ53&gt;INDEX('Methodology &amp; Sources'!$B$82:$J$86,0,4))*($AZ53-INDEX('Methodology &amp; Sources'!$B$82:$J$86,0,4))*INDEX('Methodology &amp; Sources'!$B$82:$J$86,0,4+2)),SUMPRODUCT(($AZ53&gt;INDEX('Methodology &amp; Sources'!$B$82:$J$86,0,1))*($AZ53-INDEX('Methodology &amp; Sources'!$B$82:$J$86,0,1))*INDEX('Methodology &amp; Sources'!$B$82:$J$86,0,1+2))),IF($AN53="KS",IF($AU53="Married",SUMPRODUCT(($AZ53&gt;INDEX('Methodology &amp; Sources'!$B$103:$J$109,0,4))*($AZ53-INDEX('Methodology &amp; Sources'!$B$103:$J$109,0,4))*INDEX('Methodology &amp; Sources'!$B$103:$J$109,0,4+2)),SUMPRODUCT(($AZ53&gt;INDEX('Methodology &amp; Sources'!$B$103:$J$109,0,1))*($AZ53-INDEX('Methodology &amp; Sources'!$B$103:$J$109,0,1))*INDEX('Methodology &amp; Sources'!$B$103:$J$109,0,1+2))),IF($AN53="MN",IF($AU53="Married",SUMPRODUCT(($AZ53&gt;INDEX('Methodology &amp; Sources'!$B$114:$J$120,0,7))*($AZ53-INDEX('Methodology &amp; Sources'!$B$114:$J$120,0,7))*INDEX('Methodology &amp; Sources'!$B$114:$J$120,0,7+2)),SUMPRODUCT(($AZ53&gt;INDEX('Methodology &amp; Sources'!$B$114:$J$120,0,4))*($AZ53-INDEX('Methodology &amp; Sources'!$B$114:$J$120,0,4))*INDEX('Methodology &amp; Sources'!$B$114:$J$120,0,4+2))),IF($AN53="NE",MAX(IF($AU53="Married",SUMPRODUCT(($AZ53&gt;INDEX('Methodology &amp; Sources'!$B$144:$J$150,0,7))*($AZ53-INDEX('Methodology &amp; Sources'!$B$144:$J$150,0,7))*INDEX('Methodology &amp; Sources'!$B$144:$J$150,0,7+2)),SUMPRODUCT(($AZ53&gt;INDEX('Methodology &amp; Sources'!$B$144:$J$150,0,4))*($AZ53-INDEX('Methodology &amp; Sources'!$B$144:$J$150,0,4))*INDEX('Methodology &amp; Sources'!$B$144:$J$150,0,4+2))),0.015*$AZ53),IF($AN53="OH",IF($B53&gt;=DATE(2027,8,1),SUMPRODUCT(($AZ53&gt;INDEX('Methodology &amp; Sources'!$B$203:$J$206,0,1))*($AZ53-INDEX('Methodology &amp; Sources'!$B$203:$J$206,0,1))*INDEX('Methodology &amp; Sources'!$B$203:$J$206,0,1+2)),SUMPRODUCT(($AZ53&gt;INDEX('Methodology &amp; Sources'!$B$184:$J$198,0,7))*($AZ53-INDEX('Methodology &amp; Sources'!$B$184:$J$198,0,7))*INDEX('Methodology &amp; Sources'!$B$184:$J$198,0,7+2))),IF($AN53="OK",IF($AU53="Married",SUMPRODUCT(($AZ53&gt;INDEX('Methodology &amp; Sources'!$B$203:$J$206,0,7))*($AZ53-INDEX('Methodology &amp; Sources'!$B$203:$J$206,0,7))*INDEX('Methodology &amp; Sources'!$B$203:$J$206,0,7+2)),SUMPRODUCT(($AZ53&gt;INDEX('Methodology &amp; Sources'!$B$203:$J$206,0,4))*($AZ53-INDEX('Methodology &amp; Sources'!$B$203:$J$206,0,4))*INDEX('Methodology &amp; Sources'!$B$203:$J$206,0,4+2))),IF($AN53="RI",SUMPRODUCT(($AZ53&gt;INDEX('Methodology &amp; Sources'!$B$211:$J$214,0,7))*($AZ53-INDEX('Methodology &amp; Sources'!$B$211:$J$214,0,7))*INDEX('Methodology &amp; Sources'!$B$211:$J$214,0,7+2)),IF($AN53="VT",IF($AU53="Married",SUMPRODUCT(($AZ53&gt;INDEX('Methodology &amp; Sources'!$B$228:$J$232,0,1))*($AZ53-INDEX('Methodology &amp; Sources'!$B$228:$J$232,0,1))*INDEX('Methodology &amp; Sources'!$B$228:$J$232,0,1+2)),SUMPRODUCT(($AZ53&gt;INDEX('Methodology &amp; Sources'!$B$219:$J$223,0,7))*($AZ53-INDEX('Methodology &amp; Sources'!$B$219:$J$223,0,7))*INDEX('Methodology &amp; Sources'!$B$219:$J$223,0,7+2))),IF($AN53="WV",IF($AU53="Married",SUMPRODUCT(($AZ53&gt;INDEX('Methodology &amp; Sources'!$B$237:$J$241,0,7))*($AZ53-INDEX('Methodology &amp; Sources'!$B$237:$J$241,0,7))*INDEX('Methodology &amp; Sources'!$B$237:$J$241,0,7+2)),SUMPRODUCT(($AZ53&gt;INDEX('Methodology &amp; Sources'!$B$228:$J$232,0,7))*($AZ53-INDEX('Methodology &amp; Sources'!$B$228:$J$232,0,7))*INDEX('Methodology &amp; Sources'!$B$228:$J$232,0,7+2))),""))))))))))</f>
      </c>
      <c r="BY53" s="7">
        <f>IF($B53="","",IF($AN53="AR",SUMPRODUCT(($AZ53&gt;INDEX('Methodology &amp; Sources'!$B$82:$J$86,0,7))*($AZ53-INDEX('Methodology &amp; Sources'!$B$82:$J$86,0,7))*INDEX('Methodology &amp; Sources'!$B$82:$J$86,0,7+2)),IF($AN53="DE",SUMPRODUCT(($AZ53&gt;INDEX('Methodology &amp; Sources'!$B$91:$J$98,0,1))*($AZ53-INDEX('Methodology &amp; Sources'!$B$91:$J$98,0,1))*INDEX('Methodology &amp; Sources'!$B$91:$J$98,0,1+2)),IF($AN53="HI",IF($AU53="Married",SUMPRODUCT(($AZ53&gt;INDEX('Methodology &amp; Sources'!$B$91:$J$98,0,7))*($AZ53-INDEX('Methodology &amp; Sources'!$B$91:$J$98,0,7))*INDEX('Methodology &amp; Sources'!$B$91:$J$98,0,7+2)),SUMPRODUCT(($AZ53&gt;INDEX('Methodology &amp; Sources'!$B$91:$J$98,0,4))*($AZ53-INDEX('Methodology &amp; Sources'!$B$91:$J$98,0,4))*INDEX('Methodology &amp; Sources'!$B$91:$J$98,0,4+2))),IF($AN53="SC",SUMPRODUCT(($AZ53&gt;INDEX('Methodology &amp; Sources'!$B$219:$J$223,0,1))*($AZ53-INDEX('Methodology &amp; Sources'!$B$219:$J$223,0,1))*INDEX('Methodology &amp; Sources'!$B$219:$J$223,0,1+2)),IF($AN53="VA",SUMPRODUCT(($AZ53&gt;INDEX('Methodology &amp; Sources'!$B$219:$J$223,0,4))*($AZ53-INDEX('Methodology &amp; Sources'!$B$219:$J$223,0,4))*INDEX('Methodology &amp; Sources'!$B$219:$J$223,0,4+2)),IF($AN53="WI",SUMPRODUCT(($AZ53&gt;INDEX('Methodology &amp; Sources'!$B$228:$J$232,0,4))*($AZ53-INDEX('Methodology &amp; Sources'!$B$228:$J$232,0,4))*INDEX('Methodology &amp; Sources'!$B$228:$J$232,0,4+2)),"")))))))</f>
      </c>
      <c r="BZ53" s="24">
        <f>IF($B53="","",IF($AN53="NJ",IF(Inputs!$C$77="B",SUMPRODUCT(($AZ53&gt;=INDEX('Methodology &amp; Sources'!$B$155:$J$162,0,4))*INDEX('Methodology &amp; Sources'!$B$155:$J$162,0,4+2)),IF(Inputs!$C$77="C",SUMPRODUCT(($AZ53&gt;=INDEX('Methodology &amp; Sources'!$B$155:$J$162,0,7))*INDEX('Methodology &amp; Sources'!$B$155:$J$162,0,7+2)),IF(Inputs!$C$77="D",SUMPRODUCT(($AZ53&gt;=INDEX('Methodology &amp; Sources'!$B$167:$J$179,0,1))*INDEX('Methodology &amp; Sources'!$B$167:$J$179,0,1+2)),IF(Inputs!$C$77="E",SUMPRODUCT(($AZ53&gt;=INDEX('Methodology &amp; Sources'!$B$167:$J$179,0,4))*INDEX('Methodology &amp; Sources'!$B$167:$J$179,0,4+2)),SUMPRODUCT(($AZ53&gt;=INDEX('Methodology &amp; Sources'!$B$155:$J$162,0,1))*INDEX('Methodology &amp; Sources'!$B$155:$J$162,0,1+2)))))),IF($AN53="OR",IF(OR($AU53="Married",AND($AU53="Single",$AS53&gt;=3)),SUMPRODUCT((MAX(0,$AY53-MIN(($P53-'Methodology &amp; Sources'!$C$10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Sources'!$B$211:$J$214,0,4))*INDEX('Methodology &amp; Sources'!$B$211:$J$214,0,4+2)),SUMPRODUCT((MAX(0,$AY53-MIN(($P53-'Methodology &amp; Sources'!$C$10*$D53)*Inputs!$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Sources'!$B$211:$J$214,0,1))*INDEX('Methodology &amp; Sources'!$B$211:$J$214,0,1+2)))*IF(($P53-'Methodology &amp; Sources'!$C$10*$D53)*Inputs!$C$8&gt;=IF(OR($AU53="Married",AND($AU53="Single",$AS53&gt;=3)),IF($AY53&lt;250000,8750,IF($AY53&lt;260000,7000,IF($AY53&lt;270000,5250,IF($AY53&lt;280000,3500,IF($AY53&lt;290000,1750,0))))),IF($AY53&lt;125000,8750,IF($AY53&lt;130000,7000,IF($AY53&lt;135000,5250,IF($AY53&lt;140000,3500,IF($AY53&lt;145000,1750,0)))))),1,1-IF(Inputs!$C$13,SUMPRODUCT(($AH53&gt;=INDEX('Methodology &amp; Sources'!$B$29:$J$36,0,IF(Inputs!$C$12="MFJ",1,IF(Inputs!$C$12="HoH",7,4))))*INDEX('Methodology &amp; Sources'!$B$29:$J$36,0,IF(Inputs!$C$12="MFJ",1,IF(Inputs!$C$12="HoH",7,4))+2)),SUMPRODUCT(($AH53&gt;=INDEX('Methodology &amp; Sources'!$B$19:$J$26,0,IF(Inputs!$C$12="MFJ",1,IF(Inputs!$C$12="HoH",7,4))))*INDEX('Methodology &amp; Sources'!$B$19:$J$26,0,IF(Inputs!$C$12="MFJ",1,IF(Inputs!$C$12="HoH",7,4))+2)))),IF($AN53="MI",IF($AY53&gt;5900*$AS53,0.0425,0),""))))</f>
      </c>
      <c r="CA53" s="24">
        <f>IF($B53="","",IF($AN53="AL",IF(OR($AU53="Married",$AU53="Head of household"),SUMPRODUCT(($AZ53&gt;=INDEX('Methodology &amp; Sources'!$B$82:$J$86,0,4))*INDEX('Methodology &amp; Sources'!$B$82:$J$86,0,4+2)),SUMPRODUCT(($AZ53&gt;=INDEX('Methodology &amp; Sources'!$B$82:$J$86,0,1))*INDEX('Methodology &amp; Sources'!$B$82:$J$86,0,1+2)))*(1-IF(Inputs!$C$13,SUMPRODUCT(($AH53&gt;=INDEX('Methodology &amp; Sources'!$B$29:$J$36,0,IF(Inputs!$C$12="MFJ",1,IF(Inputs!$C$12="HoH",7,4))))*INDEX('Methodology &amp; Sources'!$B$29:$J$36,0,IF(Inputs!$C$12="MFJ",1,IF(Inputs!$C$12="HoH",7,4))+2)),SUMPRODUCT(($AH53&gt;=INDEX('Methodology &amp; Sources'!$B$19:$J$26,0,IF(Inputs!$C$12="MFJ",1,IF(Inputs!$C$12="HoH",7,4))))*INDEX('Methodology &amp; Sources'!$B$19:$J$26,0,IF(Inputs!$C$12="MFJ",1,IF(Inputs!$C$12="HoH",7,4))+2)))),IF($AN53="KS",IF($AU53="Married",SUMPRODUCT(($AZ53&gt;=INDEX('Methodology &amp; Sources'!$B$103:$J$109,0,4))*INDEX('Methodology &amp; Sources'!$B$103:$J$109,0,4+2)),SUMPRODUCT(($AZ53&gt;=INDEX('Methodology &amp; Sources'!$B$103:$J$109,0,1))*INDEX('Methodology &amp; Sources'!$B$103:$J$109,0,1+2))),IF($AN53="MD",IF(OR($AU53="Married",$AU53="Head of household"),SUMPRODUCT(($AZ53&gt;=INDEX('Methodology &amp; Sources'!$B$114:$J$120,0,1))*INDEX('Methodology &amp; Sources'!$B$114:$J$120,0,1+2)),SUMPRODUCT(($AZ53&gt;=INDEX('Methodology &amp; Sources'!$B$103:$J$109,0,7))*INDEX('Methodology &amp; Sources'!$B$103:$J$109,0,7+2)))+Inputs!$C$74,IF($AN53="MT",IF($AU53="Head of household",SUMPRODUCT(($AZ53&gt;=INDEX('Methodology &amp; Sources'!$B$137:$J$139,0,1))*INDEX('Methodology &amp; Sources'!$B$137:$J$139,0,1+2)),IF($AU53="Married",SUMPRODUCT(($AZ53&gt;=INDEX('Methodology &amp; Sources'!$B$125:$J$132,0,7))*INDEX('Methodology &amp; Sources'!$B$125:$J$132,0,7+2)),SUMPRODUCT(($AZ53&gt;=INDEX('Methodology &amp; Sources'!$B$125:$J$132,0,4))*INDEX('Methodology &amp; Sources'!$B$125:$J$132,0,4+2)))),IF($AN53="ND",IF($AU53="Head of household",SUMPRODUCT(($AZ53&gt;=INDEX('Methodology &amp; Sources'!$B$144:$J$150,0,1))*INDEX('Methodology &amp; Sources'!$B$144:$J$150,0,1+2)),IF($AU53="Married",SUMPRODUCT(($AZ53&gt;=INDEX('Methodology &amp; Sources'!$B$137:$J$139,0,7))*INDEX('Methodology &amp; Sources'!$B$137:$J$139,0,7+2)),SUMPRODUCT(($AZ53&gt;=INDEX('Methodology &amp; Sources'!$B$137:$J$139,0,4))*INDEX('Methodology &amp; Sources'!$B$137:$J$139,0,4+2)))),IF($AN53="NY",IF($AU53="Married",IF($AZ53&gt;=2155350,IF($AZ53&gt;25000000,0.117,IF($AZ53&gt;5000000,0.111,0.1045)),SUMPRODUCT(($AZ53&gt;=INDEX('Methodology &amp; Sources'!$B$184:$J$198,0,1))*INDEX('Methodology &amp; Sources'!$B$184:$J$198,0,1+2))),IF($AZ53&gt;=1077550,IF($AZ53&gt;25000000,0.117,IF($AZ53&gt;5000000,0.111,0.1045)),SUMPRODUCT(($AZ53&gt;=INDEX('Methodology &amp; Sources'!$B$167:$J$179,0,7))*INDEX('Methodology &amp; Sources'!$B$167:$J$179,0,7+2)))),"")))))))</f>
      </c>
      <c r="CB53" s="24">
        <f>IF($B53="","",IF($AN53="CA",SUMPRODUCT(($AJ53&gt;=INDEX('Methodology &amp; Sources'!$B$39:$J$48,0,IF($AU53="Married",4,IF($AU53="Head of household",7,1))))*INDEX('Methodology &amp; Sources'!$B$39:$J$48,0,IF($AU53="Married",4,IF($AU53="Head of household",7,1))+2)),IF($AN53="HI",IF($AU53="Married",SUMPRODUCT(($AZ53&gt;=INDEX('Methodology &amp; Sources'!$B$91:$J$98,0,7))*INDEX('Methodology &amp; Sources'!$B$91:$J$98,0,7+2)),SUMPRODUCT(($AZ53&gt;=INDEX('Methodology &amp; Sources'!$B$91:$J$98,0,4))*INDEX('Methodology &amp; Sources'!$B$91:$J$98,0,4+2))),IF($AN53="MN",IF($AU53="Married",SUMPRODUCT(($AZ53&gt;=INDEX('Methodology &amp; Sources'!$B$114:$J$120,0,7))*INDEX('Methodology &amp; Sources'!$B$114:$J$120,0,7+2)),SUMPRODUCT(($AZ53&gt;=INDEX('Methodology &amp; Sources'!$B$114:$J$120,0,4))*INDEX('Methodology &amp; Sources'!$B$114:$J$120,0,4+2))),IF($AN53="MO",SUMPRODUCT(($AZ53&gt;=INDEX('Methodology &amp; Sources'!$B$125:$J$132,0,1))*INDEX('Methodology &amp; Sources'!$B$125:$J$132,0,1+2)),IF($AN53="NE",MAX(IF($AU53="Married",SUMPRODUCT(($AZ53&gt;=INDEX('Methodology &amp; Sources'!$B$144:$J$150,0,7))*INDEX('Methodology &amp; Sources'!$B$144:$J$150,0,7+2)),SUMPRODUCT(($AZ53&gt;=INDEX('Methodology &amp; Sources'!$B$144:$J$150,0,4))*INDEX('Methodology &amp; Sources'!$B$144:$J$150,0,4+2))),0.015),IF($AN53="OH",IF($B53&gt;=DATE(2027,8,1),SUMPRODUCT(($AZ53&gt;=INDEX('Methodology &amp; Sources'!$B$203:$J$206,0,1))*INDEX('Methodology &amp; Sources'!$B$203:$J$206,0,1+2)),SUMPRODUCT(($AZ53&gt;=INDEX('Methodology &amp; Sources'!$B$184:$J$198,0,7))*INDEX('Methodology &amp; Sources'!$B$184:$J$198,0,7+2))),IF($AN53="OK",IF($AU53="Married",SUMPRODUCT(($AZ53&gt;=INDEX('Methodology &amp; Sources'!$B$203:$J$206,0,7))*INDEX('Methodology &amp; Sources'!$B$203:$J$206,0,7+2)),SUMPRODUCT(($AZ53&gt;=INDEX('Methodology &amp; Sources'!$B$203:$J$206,0,4))*INDEX('Methodology &amp; Sources'!$B$203:$J$206,0,4+2))),IF($AN53="RI",SUMPRODUCT(($AZ53&gt;=INDEX('Methodology &amp; Sources'!$B$211:$J$214,0,7))*INDEX('Methodology &amp; Sources'!$B$211:$J$214,0,7+2)),IF($AN53="SC",SUMPRODUCT(($AZ53&gt;=INDEX('Methodology &amp; Sources'!$B$219:$J$223,0,1))*INDEX('Methodology &amp; Sources'!$B$219:$J$223,0,1+2)),IF($AN53="VT",IF($AU53="Married",SUMPRODUCT(($AZ53&gt;=INDEX('Methodology &amp; Sources'!$B$228:$J$232,0,1))*INDEX('Methodology &amp; Sources'!$B$228:$J$232,0,1+2)),SUMPRODUCT(($AZ53&gt;=INDEX('Methodology &amp; Sources'!$B$219:$J$223,0,7))*INDEX('Methodology &amp; Sources'!$B$219:$J$223,0,7+2))),IF($AN53="WV",IF($AU53="Married",SUMPRODUCT(($AZ53&gt;=INDEX('Methodology &amp; Sources'!$B$237:$J$241,0,7))*INDEX('Methodology &amp; Sources'!$B$237:$J$241,0,7+2)),SUMPRODUCT(($AZ53&gt;=INDEX('Methodology &amp; Sources'!$B$228:$J$232,0,7))*INDEX('Methodology &amp; Sources'!$B$228:$J$232,0,7+2))),IF($AN53="IN",(0.0295+Inputs!$C$76),"")))))))))))))</f>
      </c>
      <c r="CC53" s="24">
        <f>IF($B53="","",IF($AN53="AR",SUMPRODUCT(($AZ53&gt;=INDEX('Methodology &amp; Sources'!$B$82:$J$86,0,7))*INDEX('Methodology &amp; Sources'!$B$82:$J$86,0,7+2)),IF($AN53="DE",SUMPRODUCT(($AZ53&gt;=INDEX('Methodology &amp; Sources'!$B$91:$J$98,0,1))*INDEX('Methodology &amp; Sources'!$B$91:$J$98,0,1+2)),IF($AN53="VA",SUMPRODUCT(($AZ53&gt;=INDEX('Methodology &amp; Sources'!$B$219:$J$223,0,4))*INDEX('Methodology &amp; Sources'!$B$219:$J$223,0,4+2)),IF($AN53="WI",SUMPRODUCT(($AZ53&gt;=INDEX('Methodology &amp; Sources'!$B$228:$J$232,0,4))*INDEX('Methodology &amp; Sources'!$B$228:$J$232,0,4+2)),IF($AN53="AZ",Inputs!$C$82,IF($AN53="CO",IF($AY53&gt;IF($AU53="Married",10000,5000),0.044,0),IF($AN53="IA",IF($AY53&gt;IF($AU53="Head of household",19500,IF($AU53="Married",26000,13000)),0.038,0),IF($AN53="ID",IF($AY53&gt;IF($AU53="Married",32000,16094),0.053,0),IF($AN53="IL",IF($AY53&gt;(2925*$AS53+1000*$AT53),0.0495,0),IF($AN53="KY",IF($AI53&gt;3360,0.035,0),IF($AN53="LA",0.0309,IF($AN53="MA",IF(MAX(0,$AY53-MIN(($BD52+$Q53+$R53+$S53),2000)-IF($AS53=0,0,IF($AS53=1,4400,1000*$AS53+3400)))&gt;=1107750,0.09,0.05),IF($AN53="MS",IF($AI53-IF($AU53="Head of household",3400,IF($AU53="Married",4600,2300))-Inputs!$C$85&gt;10000,0.04,0),IF($AN53="PA",0.0307,"")))))))))))))))</f>
      </c>
      <c r="CD53" s="21">
        <f>IF(YEAR(IF(Inputs!$C$7="Weekly",Inputs!$C$90+7*(($BE52+1)-1),IF(Inputs!$C$7="Biweekly",Inputs!$C$90+14*(($BE52+1)-1),IF(Inputs!$C$7="Semimonthly",DATE(YEAR(Inputs!$C$9),MONTH(Inputs!$C$9)+INT((($BE52+1)-1+'Rest of 2026'!$C$2)/2),MIN(DAY(Inputs!$C$9),DAY(EOMONTH(DATE(YEAR(Inputs!$C$9),MONTH(Inputs!$C$9)+INT((($BE52+1)-1+'Rest of 2026'!$C$2)/2),1),0))))+IF(MOD(($BE52+1)-1+'Rest of 2026'!$C$2,2)=1,15,0),EDATE(Inputs!$C$90,($BE52+1)-1)))))&lt;&gt;Inputs!$C$10,"",IF(Inputs!$C$7="Weekly",Inputs!$C$90+7*(($BE52+1)-1),IF(Inputs!$C$7="Biweekly",Inputs!$C$90+14*(($BE52+1)-1),IF(Inputs!$C$7="Semimonthly",DATE(YEAR(Inputs!$C$9),MONTH(Inputs!$C$9)+INT((($BE52+1)-1+'Rest of 2026'!$C$2)/2),MIN(DAY(Inputs!$C$9),DAY(EOMONTH(DATE(YEAR(Inputs!$C$9),MONTH(Inputs!$C$9)+INT((($BE52+1)-1+'Rest of 2026'!$C$2)/2),1),0))))+IF(MOD(($BE52+1)-1+'Rest of 2026'!$C$2,2)=1,15,0),EDATE(Inputs!$C$90,($BE52+1)-1)))))</f>
      </c>
      <c r="CE53" s="21">
        <f>IF(SUMPRODUCT(MIN(IF((Inputs!$C$58:$C$67&gt;MAX($B$6:$B52))*(Inputs!$C$58:$C$67&gt;=DATE(Inputs!$C$10,1,1))*(Inputs!$C$58:$C$67&lt;=DATE(Inputs!$C$10,12,31)),Inputs!$C$58:$C$67,999999)))=999999,"",SUMPRODUCT(MIN(IF((Inputs!$C$58:$C$67&gt;MAX($B$6:$B52))*(Inputs!$C$58:$C$67&gt;=DATE(Inputs!$C$10,1,1))*(Inputs!$C$58:$C$67&lt;=DATE(Inputs!$C$10,12,31)),Inputs!$C$58:$C$67,999999))))</f>
      </c>
    </row>
    <row r="54">
      <c r="A54" t="n">
        <v>49</v>
      </c>
      <c r="B54" s="21">
        <f>IF(AND($CD54="",$CE54=""),"",IF($CE54="",$CD54,IF($CD54="",$CE54,MIN($CD54,$CE54))))</f>
      </c>
      <c r="C54" s="7">
        <f>IF($B54="","",IF($BF54=0,0,IF(Inputs!$C$4="Annual salary",ROUND($AK54/IF(AND(Inputs!$C$88="Actual paydays",MONTH(Inputs!$C$90)=1),MAX(1,MAX($BE$6:$BE$68)),Inputs!$C$8),2),$AK54)))</f>
      </c>
      <c r="D54" s="7">
        <f>IF($B54="","",SUMIF(Inputs!$C$58:$C$67,$B54,Inputs!$D$58:$D$67))</f>
      </c>
      <c r="E54" s="7">
        <f>IF($B54="","",ROUND(MAX(0,MIN(IF($AL54="Percent",$AM54*($C54+$D54),$AM54),MAX(0,Inputs!$C$34-$AC53))),2))</f>
      </c>
      <c r="F54" s="7">
        <f>IF($B54="","",ROUND(MAX(0,MIN(IF(Inputs!$C$32="Percent",Inputs!$D$32*($C54+$D54),Inputs!$D$32),MAX(0,Inputs!$C$34-$AC53-$E54))),2))</f>
      </c>
      <c r="G54" s="7">
        <f>IF($B54="","",IF($BF54=0,0,ROUND(MAX(0,MIN($BL54,Inputs!$C$37-Inputs!$C$99-$BI53)),2)))</f>
      </c>
      <c r="H54" s="7">
        <f>IF($B54="","",IF(OR($BF54=0,$BQ54=1),0,ROUND(MAX(0,MIN(IF($BS54=1,ROUND(MAX(0,MIN($BJ54,'Methodology &amp; Sources'!$C$13)-$BG53)/MAX(1,MAX($BE$6:$BE$68)-($BE53)),2),ROUND(MIN($BJ54,'Methodology &amp; Sources'!$C$13)/Inputs!$C$8,2)),MIN($BJ54,'Methodology &amp; Sources'!$C$13)-$BG53)),2)))</f>
      </c>
      <c r="I54" s="7">
        <f>IF($B54="","",IF(OR($BF54=0,$BR54=1),0,ROUND(MAX(0,MIN(IF($BT54=1,ROUND(MAX(0,MIN($BK54,IF(Inputs!$C$12="MFJ",'Methodology &amp; Sources'!$C$14,'Methodology &amp; Sources'!$C$15))-$BH53)/MAX(1,MAX($BE$6:$BE$68)-($BE53)),2),ROUND(MIN($BK54,IF(Inputs!$C$12="MFJ",'Methodology &amp; Sources'!$C$14,'Methodology &amp; Sources'!$C$15))/Inputs!$C$8,2)),MIN($BK54,IF(Inputs!$C$12="MFJ",'Methodology &amp; Sources'!$C$14,'Methodology &amp; Sources'!$C$15))-$BH53)),2)))</f>
      </c>
      <c r="J54" s="7">
        <f>IF($B54="","",IF($BF54=0,0,$BM54))</f>
      </c>
      <c r="K54" s="7">
        <f>IF($B54="","",IF($BF54=0,0,$BN54+$BO54))</f>
      </c>
      <c r="L54" s="7">
        <f>IF($B54="","",IF($BF54=0,0,Inputs!$D$46))</f>
      </c>
      <c r="M54" s="7">
        <f>IF($B54="","",$C54+$D54+$L54-$E54-$G54-$H54-$I54-$J54-$K54)</f>
      </c>
      <c r="N54" s="7">
        <f>IF($B54="","",$C54+$D54+$L54-$G54-$H54-$I54-$J54-$K54)</f>
      </c>
      <c r="O54" s="7">
        <f>IF($B54="","",$C54+$D54+$L54-$E54-$H54-$I54-$J54-$K54-IF(OR($AN54="CA",$AN54="NJ"),0,$G54))</f>
      </c>
      <c r="P54" s="7">
        <f>IF($B54="","",IF(Inputs!$C$18,0,ROUND(MAX(0,IF(Inputs!$C$13,SUMPRODUCT(($AH54&gt;INDEX('Methodology &amp; Sources'!$B$29:$J$36,0,IF(Inputs!$C$12="MFJ",1,IF(Inputs!$C$12="HoH",7,4))))*($AH54-INDEX('Methodology &amp; Sources'!$B$29:$J$36,0,IF(Inputs!$C$12="MFJ",1,IF(Inputs!$C$12="HoH",7,4))))*INDEX('Methodology &amp; Sources'!$B$29:$J$36,0,IF(Inputs!$C$12="MFJ",1,IF(Inputs!$C$12="HoH",7,4))+2)),SUMPRODUCT(($AH54&gt;INDEX('Methodology &amp; Sources'!$B$19:$J$26,0,IF(Inputs!$C$12="MFJ",1,IF(Inputs!$C$12="HoH",7,4))))*($AH54-INDEX('Methodology &amp; Sources'!$B$19:$J$26,0,IF(Inputs!$C$12="MFJ",1,IF(Inputs!$C$12="HoH",7,4))))*INDEX('Methodology &amp; Sources'!$B$19:$J$26,0,IF(Inputs!$C$12="MFJ",1,IF(Inputs!$C$12="HoH",7,4))+2)))/Inputs!$C$8-$AO54/Inputs!$C$8)+$AR54+IF(Inputs!$C$89="Aggregate",MAX(0,IF(Inputs!$C$13,SUMPRODUCT((($AH54+$D54)&gt;INDEX('Methodology &amp; Sources'!$B$29:$J$36,0,IF(Inputs!$C$12="MFJ",1,IF(Inputs!$C$12="HoH",7,4))))*(($AH54+$D54)-INDEX('Methodology &amp; Sources'!$B$29:$J$36,0,IF(Inputs!$C$12="MFJ",1,IF(Inputs!$C$12="HoH",7,4))))*INDEX('Methodology &amp; Sources'!$B$29:$J$36,0,IF(Inputs!$C$12="MFJ",1,IF(Inputs!$C$12="HoH",7,4))+2)),SUMPRODUCT((($AH54+$D54)&gt;INDEX('Methodology &amp; Sources'!$B$19:$J$26,0,IF(Inputs!$C$12="MFJ",1,IF(Inputs!$C$12="HoH",7,4))))*(($AH54+$D54)-INDEX('Methodology &amp; Sources'!$B$19:$J$26,0,IF(Inputs!$C$12="MFJ",1,IF(Inputs!$C$12="HoH",7,4))))*INDEX('Methodology &amp; Sources'!$B$19:$J$26,0,IF(Inputs!$C$12="MFJ",1,IF(Inputs!$C$12="HoH",7,4))+2)))-IF(Inputs!$C$13,SUMPRODUCT(($AH54&gt;INDEX('Methodology &amp; Sources'!$B$29:$J$36,0,IF(Inputs!$C$12="MFJ",1,IF(Inputs!$C$12="HoH",7,4))))*($AH54-INDEX('Methodology &amp; Sources'!$B$29:$J$36,0,IF(Inputs!$C$12="MFJ",1,IF(Inputs!$C$12="HoH",7,4))))*INDEX('Methodology &amp; Sources'!$B$29:$J$36,0,IF(Inputs!$C$12="MFJ",1,IF(Inputs!$C$12="HoH",7,4))+2)),SUMPRODUCT(($AH54&gt;INDEX('Methodology &amp; Sources'!$B$19:$J$26,0,IF(Inputs!$C$12="MFJ",1,IF(Inputs!$C$12="HoH",7,4))))*($AH54-INDEX('Methodology &amp; Sources'!$B$19:$J$26,0,IF(Inputs!$C$12="MFJ",1,IF(Inputs!$C$12="HoH",7,4))))*INDEX('Methodology &amp; Sources'!$B$19:$J$26,0,IF(Inputs!$C$12="MFJ",1,IF(Inputs!$C$12="HoH",7,4))+2)))),'Methodology &amp; Sources'!$C$10*$D54),2)))</f>
      </c>
      <c r="Q54" s="7">
        <f>IF($B54="","",ROUND('Methodology &amp; Sources'!$C$4*MIN($N54,MAX(0,'Methodology &amp; Sources'!$C$3-($AX54+$AB53-$AW54))),2))</f>
      </c>
      <c r="R54" s="7">
        <f>IF($B54="","",ROUND('Methodology &amp; Sources'!$C$5*$N54,2))</f>
      </c>
      <c r="S54" s="7">
        <f>IF($B54="","",ROUND('Methodology &amp; Sources'!$C$6*MAX(0,MIN($N54,$AG53+$N54-'Methodology &amp; Sources'!$C$7)),2))</f>
      </c>
      <c r="T54" s="7">
        <f>IF($B54="","",IF(Inputs!$C$26,0,IF($AN54="CA",ROUND(IF($AI54&lt;=IF(($AS54+$AT54)&gt;=2,VLOOKUP($AN54,StateTables!$A$6:$AB$56,10,FALSE),VLOOKUP($AN54,StateTables!$A$6:$AB$56,9,FALSE)),0,MAX(0,SUMPRODUCT(($AJ54&gt;INDEX('Methodology &amp; Sources'!$B$39:$J$48,0,IF($AU54="Married",4,IF($AU54="Head of household",7,1))))*($AJ54-INDEX('Methodology &amp; Sources'!$B$39:$J$48,0,IF($AU54="Married",4,IF($AU54="Head of household",7,1))))*INDEX('Methodology &amp; Sources'!$B$39:$J$48,0,IF($AU54="Married",4,IF($AU54="Head of household",7,1))+2))-VLOOKUP($AN54,StateTables!$A$6:$AB$56,11,FALSE)*$AS54)/Inputs!$C$8)+Inputs!$C$25+VLOOKUP($AN54,StateTables!$A$6:$AB$56,13,FALSE)*$D54,2),IF(VLOOKUP($AN54,StateTables!$A$6:$AB$56,4,FALSE)="None",0,IF(ISNUMBER(SEARCH("MANUAL",VLOOKUP($AN54,StateTables!$A$6:$AB$56,5,FALSE))),Inputs!$C$28,ROUND(MAX(0,$BA54+$BB54)/Inputs!$C$8+Inputs!$C$25+$BC54,2))))))</f>
      </c>
      <c r="U54" s="7">
        <f>IF($B54="","",IF(VLOOKUP($AN54,StateTables!$A$6:$AB$56,24,FALSE)="flatq",IF(OR(MONTH($B54)=1,MONTH($B54)=4,MONTH($B54)=7,MONTH($B54)=10),VLOOKUP($AN54,StateTables!$A$6:$AB$56,25,FALSE),0),IF(VLOOKUP($AN54,StateTables!$A$6:$AB$56,24,FALSE)="dbl",MIN(ROUND(0.005*$N54,2),ROUND(0.6*52/Inputs!$C$8,2)),IF(OR(VLOOKUP($AN54,StateTables!$A$6:$AB$56,15,FALSE)="",VLOOKUP($AN54,StateTables!$A$6:$AB$56,15,FALSE)=0),0,ROUND(VLOOKUP($AN54,StateTables!$A$6:$AB$56,15,FALSE)*IF(OR(VLOOKUP($AN54,StateTables!$A$6:$AB$56,16,FALSE)="",VLOOKUP($AN54,StateTables!$A$6:$AB$56,16,FALSE)=0),$N54,MIN($N54,MAX(0,VLOOKUP($AN54,StateTables!$A$6:$AB$56,16,FALSE)-($AX54+$AB53-$AW54)))),2))))+IF(VLOOKUP($AN54,StateTables!$A$6:$AB$56,27,FALSE)="flatq",IF(OR(MONTH($B54)=1,MONTH($B54)=4,MONTH($B54)=7,MONTH($B54)=10),VLOOKUP($AN54,StateTables!$A$6:$AB$56,28,FALSE),0),IF(VLOOKUP($AN54,StateTables!$A$6:$AB$56,27,FALSE)="dbl",MIN(ROUND(0.005*$N54,2),ROUND(0.6*52/Inputs!$C$8,2)),IF(OR(VLOOKUP($AN54,StateTables!$A$6:$AB$56,18,FALSE)="",VLOOKUP($AN54,StateTables!$A$6:$AB$56,18,FALSE)=0),0,ROUND(VLOOKUP($AN54,StateTables!$A$6:$AB$56,18,FALSE)*IF(OR(VLOOKUP($AN54,StateTables!$A$6:$AB$56,19,FALSE)="",VLOOKUP($AN54,StateTables!$A$6:$AB$56,19,FALSE)=0),$N54,MIN($N54,MAX(0,VLOOKUP($AN54,StateTables!$A$6:$AB$56,19,FALSE)-($AX54+$AB53-$AW54)))),2)))))</f>
      </c>
      <c r="V54" s="7">
        <f>IF($B54="","",IF($AN54="NY",IF(Inputs!$C$78,ROUND(SUMPRODUCT((MAX(0,($O54-$D54)*Inputs!$C$8-(IF($AU54="Married",5500,5000)+1000*$AS54))&gt;INDEX('Methodology &amp; Sources'!$B$184:$J$198,0,4))*(MAX(0,($O54-$D54)*Inputs!$C$8-(IF($AU54="Married",5500,5000)+1000*$AS54))-INDEX('Methodology &amp; Sources'!$B$184:$J$198,0,4))*INDEX('Methodology &amp; Sources'!$B$184:$J$198,0,4+2))/Inputs!$C$8+0.0425*$D54,2),0)+IF(Inputs!$C$79="Resident",ROUND(0.1675*$T54,2),IF(Inputs!$C$79="Nonresident",ROUND(0.005*MAX(0,($O54-$D54)-(IF($AU54="Married",7950,7400)+1000*$AS54)/Inputs!$C$8),2),0)),IF($AN54="PA",IF(Inputs!$C$80="None",Inputs!$C$27+ROUND(Inputs!$C$81*($C54+$D54),2),ROUND(IF(Inputs!$C$80="Resident",IF($B54&lt;DATE(2027,7,1),0.03735,0.03735),IF($B54&lt;DATE(2027,7,1),0.03425,0.03425))*($C54+$D54),2)),IF($BF54=0,ROUND(Inputs!$C$81*($C54+$D54),2),Inputs!$C$27+ROUND(Inputs!$C$81*($C54+$D54),2)))))</f>
      </c>
      <c r="W54" s="7">
        <f>IF($B54="","",IF($BF54=0,0,$BP54))</f>
      </c>
      <c r="X54" s="7">
        <f>IF($B54="","",SUM($E54:$K54)+$P54+$Q54+$R54+$S54+$T54+$U54+$V54+$W54)</f>
      </c>
      <c r="Y54" s="22">
        <f>IF($B54="","",$C54+$D54-$X54)</f>
      </c>
      <c r="Z54" s="7">
        <f>IF($B54="","",$Z53+$C54+$D54)</f>
      </c>
      <c r="AA54" s="7">
        <f>IF($B54="","",$AA53+$Y54)</f>
      </c>
      <c r="AB54" s="7">
        <f>IF($B54="","",$AB53+MIN($N54,MAX(0,'Methodology &amp; Sources'!$C$3-($AX54+$AB53-$AW54))))</f>
      </c>
      <c r="AC54" s="7">
        <f>IF($B54="","",$AC53+$E54+$F54)</f>
      </c>
      <c r="AD54" s="3">
        <f>IF($B54="","",IF(AND($AB53&lt;'Methodology &amp; Sources'!$C$3,$AB54&gt;='Methodology &amp; Sources'!$C$3),"★ Social Security maxed on this check — from the next check your net rises by about $"&amp;TEXT(ROUND('Methodology &amp; Sources'!$C$4*$N54,2),"#,##0.00")&amp;". ","")&amp;IF(AND($AC53&lt;Inputs!$C$34,$AC54&gt;=Inputs!$C$34),"★ 401(k) reaches the $"&amp;TEXT(Inputs!$C$34,"#,##0")&amp;" cap on this check — deferrals stop and net pay rises. ","")&amp;IF(AND($AG53&lt;'Methodology &amp; Sources'!$C$7,$AG54&gt;='Methodology &amp; Sources'!$C$7),"★ Wages pass $200,000 — the 0.9% Additional Medicare Tax starts here. ","")&amp;IF(AND($BJ54&gt;0,$H54&gt;0,$BG53&lt;MIN($BJ54,'Methodology &amp; Sources'!$C$13),$BG53+$H54&gt;=MIN($BJ54,'Methodology &amp; Sources'!$C$13)),"★ Health FSA election is now fully deferred for the year. ",""))</f>
      </c>
      <c r="AE54" s="41" t="n"/>
      <c r="AF54" s="7">
        <f>IF(OR($B54="",$AE54=""),"",$AE54-$Y54)</f>
      </c>
      <c r="AG54" s="7">
        <f>IF($B54="","",$AG53+$N54)</f>
      </c>
      <c r="AH54" s="7">
        <f>IF($B54="","",MAX(0,($M54-$D54)*Inputs!$C$8+$AP54-$AQ54-IF(Inputs!$C$13,0,IF(Inputs!$C$12="MFJ",'Methodology &amp; Sources'!$C$8,'Methodology &amp; Sources'!$C$9))))</f>
      </c>
      <c r="AI54" s="7">
        <f>IF($B54="","",$O54*Inputs!$C$8)</f>
      </c>
      <c r="AJ54" s="7">
        <f>IF($B54="","",MAX(0,$AI54-VLOOKUP($AN54,StateTables!$A$6:$AB$56,12,FALSE)*$AT54-IF(($AS54+$AT54)&gt;=2,VLOOKUP($AN54,StateTables!$A$6:$AB$56,8,FALSE),VLOOKUP($AN54,StateTables!$A$6:$AB$56,7,FALSE))))</f>
      </c>
      <c r="AK54" s="7">
        <f>IF($B54="","",IFERROR(LOOKUP(2,1/((Events!$C$6:$C$17="Salary change")*(Events!$B$6:$B$17&lt;=$B54)*(Events!$B$6:$B$17&lt;&gt;"")),Events!$D$6:$D$17),IF(Inputs!$C$4="Annual salary",Inputs!$C$5,Inputs!$C$6)))</f>
      </c>
      <c r="AL54">
        <f>IF($B54="","",IFERROR(LOOKUP(2,1/((Events!$C$6:$C$17="401(k) change")*(Events!$B$6:$B$17&lt;=$B54)*(Events!$B$6:$B$17&lt;&gt;"")),Events!$D$6:$D$17),Inputs!$C$30))</f>
      </c>
      <c r="AM54" s="7">
        <f>IF($B54="","",IFERROR(LOOKUP(2,1/((Events!$C$6:$C$17="401(k) change")*(Events!$B$6:$B$17&lt;=$B54)*(Events!$B$6:$B$17&lt;&gt;"")),Events!$E$6:$E$17),Inputs!$D$30))</f>
      </c>
      <c r="AN54">
        <f>IF($B54="","",IFERROR(LOOKUP(2,1/((Events!$C$6:$C$17="State move")*(Events!$B$6:$B$17&lt;=$B54)*(Events!$B$6:$B$17&lt;&gt;"")),Events!$D$6:$D$17),Inputs!$C$21))</f>
      </c>
      <c r="AO54" s="7">
        <f>IF($B54="","",IFERROR(LOOKUP(2,1/((Events!$C$6:$C$17="W-4 change")*(Events!$B$6:$B$17&lt;=$B54)*(Events!$B$6:$B$17&lt;&gt;"")),Events!$D$6:$D$17),Inputs!$C$14))</f>
      </c>
      <c r="AP54" s="7">
        <f>IF($B54="","",IFERROR(LOOKUP(2,1/((Events!$C$6:$C$17="W-4 change")*(Events!$B$6:$B$17&lt;=$B54)*(Events!$B$6:$B$17&lt;&gt;"")),Events!$E$6:$E$17),Inputs!$C$15))</f>
      </c>
      <c r="AQ54" s="7">
        <f>IF($B54="","",IFERROR(LOOKUP(2,1/((Events!$C$6:$C$17="W-4 change")*(Events!$B$6:$B$17&lt;=$B54)*(Events!$B$6:$B$17&lt;&gt;"")),Events!$F$6:$F$17),Inputs!$C$16))</f>
      </c>
      <c r="AR54" s="7">
        <f>IF($B54="","",IFERROR(LOOKUP(2,1/((Events!$C$6:$C$17="W-4 change")*(Events!$B$6:$B$17&lt;=$B54)*(Events!$B$6:$B$17&lt;&gt;"")),Events!$G$6:$G$17),Inputs!$C$17))</f>
      </c>
      <c r="AS54" s="6">
        <f>IF($B54="","",IFERROR(LOOKUP(2,1/(((Events!$C$6:$C$17="State move")+(Events!$C$6:$C$17="State cert change"))*(Events!$B$6:$B$17&lt;=$B54)*(Events!$B$6:$B$17&lt;&gt;"")),Events!$F$6:$F$17),Inputs!$C$23))</f>
      </c>
      <c r="AT54" s="6">
        <f>IF($B54="","",IFERROR(LOOKUP(2,1/(((Events!$C$6:$C$17="State move")+(Events!$C$6:$C$17="State cert change"))*(Events!$B$6:$B$17&lt;=$B54)*(Events!$B$6:$B$17&lt;&gt;"")),Events!$G$6:$G$17),Inputs!$C$24))</f>
      </c>
      <c r="AU54">
        <f>IF($B54="","",IFERROR(LOOKUP(2,1/((Events!$C$6:$C$17="State move")*(Events!$B$6:$B$17&lt;=$B54)*(Events!$B$6:$B$17&lt;&gt;"")),Events!$E$6:$E$17),Inputs!$C$22))</f>
      </c>
      <c r="AV54" s="6">
        <f>IF($B54="","",1+COUNTIFS(Events!$C$6:$C$17,"Employer change",Events!$B$6:$B$17,"&lt;="&amp;$B54,Events!$B$6:$B$17,"&lt;&gt;"))</f>
      </c>
      <c r="AW54" s="7">
        <f>IF($B54="","",IF($AV54=1,Inputs!$C$94,IF(IFERROR(MATCH(IFERROR(LOOKUP(2,1/((Events!$C$6:$C$17="Employer change")*(Events!$B$6:$B$17&lt;=$B54)*(Events!$B$6:$B$17&lt;&gt;"")),Events!$B$6:$B$17),""),$B$6:$B$68,1),1)&lt;=1,Inputs!$C$94,INDEX($AB$6:$AB$68,MATCH(IFERROR(LOOKUP(2,1/((Events!$C$6:$C$17="Employer change")*(Events!$B$6:$B$17&lt;=$B54)*(Events!$B$6:$B$17&lt;&gt;"")),Events!$B$6:$B$17),""),$B$6:$B$68,1)-1))))</f>
      </c>
      <c r="AX54" s="7">
        <f>IF($B54="","",IF($AV54=1,Inputs!$C$94,IFERROR(LOOKUP(2,1/((Events!$C$6:$C$17="Employer change")*(Events!$B$6:$B$17&lt;=$B54)*(Events!$B$6:$B$17&lt;&gt;"")),Events!$D$6:$D$17),0)))</f>
      </c>
      <c r="AY54" s="7">
        <f>IF($B54="","",($O54-$D54)*Inputs!$C$8)</f>
      </c>
      <c r="AZ54" s="7">
        <f>IF($B54="","",IF($AN54="AL",MAX(0,$AY54-IF($AU54="Married",IF($AY54&lt;=25999,8500,MAX(5000,8500-175*CEILING(($AY54-25999)/500,1))),IF($AU54="Head of household",IF($AY54&lt;=25999,5200,MAX(2500,5200-135*CEILING(($AY54-25999)/500,1))),IF($AY54&lt;=25999,3000,MAX(2500,3000-25*CEILING(($AY54-25999)/500,1)))))-($P54-'Methodology &amp; Sources'!$C$10*$D54)*Inputs!$C$8-IF(OR($AU54="Married",$AU54="Head of household"),3000,1500)-$AT54*IF($AY54&lt;=50000,1000,IF($AY54&lt;=100000,500,300))),IF($AN54="AR",IF(MAX(0,$AY54-2470)&lt;97701,INT(MAX(0,$AY54-2470)/100)*100+50,MAX(0,$AY54-2470)),IF($AN54="DE",MAX(0,$AI54-3250),IF($AN54="HI",MAX(0,$AI54-1144*$AS54-4350),IF($AN54="KS",MAX(0,$AI54-(9160*IF($AU54="Married",2,1)+2320*$AT54+IF($AU54="Head of household",2320,0))),IF($AN54="MD",MAX(0,$AI54-3400-3200*$AS54),IF($AN54="MN",MAX(0,$AY54-5300*$AS54),IF($AN54="MO",MAX(0,$AI54-IF($AU54="Head of household",24150,IF($AU54="Married",IF(Inputs!$C$83,16100,32200),16100))),IF($AN54="MT",$AY54,IF($AN54="ND",($C54+$L54)*Inputs!$C$8,IF($AN54="NE",MAX(0,$AY54-2440*$AS54),IF($AN54="NJ",MAX(0,$AY54-1000*$AS54),IF($AN54="NY",MAX(0,$AY54-(IF($AU54="Married",7950,7400)+1000*$AS54)),IF($AN54="OH",MAX(0,$AY54-650*$AS54),IF($AN54="OK",MAX(0,$AY54-1000*$AS54),IF($AN54="RI",MAX(0,$AI54-1000*$AS54),IF($AN54="SC",MAX(0,$AI54-5000*$AS54-IF($AS54=0,0,MIN(0.1*$AI54,7500))),IF($AN54="VA",MAX(0,$AI54-IF($AU54="Married",17500,8750)-930*$AS54-800*$AT54),IF($AN54="VT",MAX(0,$AI54-5400*$AS54),IF($AN54="WI",MAX(0,$AI54-MAX(0,IF($AU54="Married",9461-0.2*MAX(0,$AI54-25727),6702-0.12*MAX(0,$AI54-17780)))-400*$AS54),IF($AN54="WV",MAX(0,$AI54-2000*$AS54),$AI54))))))))))))))))))))))</f>
      </c>
      <c r="BA54" s="7">
        <f>IF($B54="","",IF($BW54&lt;&gt;"",$BW54,IF($BX54&lt;&gt;"",$BX54,IF($BY54&lt;&gt;"",$BY54,0))))</f>
      </c>
      <c r="BB54" s="7">
        <f>IF($B54="","",IF($AN54="AR",-29*$AS54,IF($AN54="DE",-110*$AS54,IF($AN54="MD",$AZ54*Inputs!$C$74,IF($AN54="AZ",Inputs!$C$82*($M54-$D54)*Inputs!$C$8,IF($AN54="CO",0.044*MAX(0,$AY54-IF($AU54="Married",10000,5000)),IF($AN54="IA",MAX(0,0.038*MAX(0,$AY54-IF($AU54="Head of household",19500,IF($AU54="Married",26000,13000)))-40*$AS54),IF($AN54="ID",0.053*MAX(0,$AY54-IF($AU54="Married",32000,16094)),IF($AN54="IL",0.0495*MAX(0,$AY54-(2925*$AS54+1000*$AT54)),IF($AN54="IN",(0.0295+Inputs!$C$76)*MAX(0,$AY54-(1000*$AS54+1500*$AT54+3000*Inputs!$C$86)),IF($AN54="KY",0.035*MAX(0,$AI54-3360),IF($AN54="LA",IF(Inputs!$C$84="0",0.0309*$AI54,0.0309*MAX(0,$AI54-IF(Inputs!$C$84="2",25750,12875))),IF($AN54="MA",0.05*MIN(MAX(0,$AY54-MIN(($BD53+$Q54+$R54+$S54),2000)-IF($AS54=0,0,IF($AS54=1,4400,1000*$AS54+3400))),1107750)+0.09*MAX(0,MAX(0,$AY54-MIN(($BD53+$Q54+$R54+$S54),2000)-IF($AS54=0,0,IF($AS54=1,4400,1000*$AS54+3400)))-1107750)-IF($AU54="Head of household",120,0)-110*Inputs!$C$75,IF($AN54="MI",0.0425*MAX(0,$AY54-5900*$AS54),IF($AN54="MS",0.04*MAX(0,$AI54-IF($AU54="Head of household",3400,IF($AU54="Married",4600,2300))-Inputs!$C$85-10000),IF($AN54="OR",IF(OR($AU54="Married",AND($AU54="Single",$AS54&gt;=3)),SUMPRODUCT((MAX(0,$AY54-MIN(($P54-'Methodology &amp; Sources'!$C$10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Sources'!$B$211:$J$214,0,4))*(MAX(0,$AY54-MIN(($P54-'Methodology &amp; Sources'!$C$10*$D54)*Inputs!$C$8,IF(OR($AU54="Married",AND($AU54="Single",$AS54&gt;=3)),IF($AY54&lt;250000,8750,IF($AY54&lt;260000,7000,IF($AY54&lt;270000,5250,IF($AY54&lt;280000,3500,IF($AY54&lt;290000,1750,0))))),IF($AY54&lt;125000,8750,IF($AY54&lt;130000,7000,IF($AY54&lt;135000,5250,IF($AY54&lt;140000,3500,IF($AY54&lt;145000,1750,0)))))))-IF(OR($AU54="Married",AND($AU54="Single",$AS54&gt;=3)),5820,2910))-INDEX('Methodology &amp; Sources'!$B$211:$J$214,0,4))*INDEX('Methodology &amp; Sources'!$B$211:$J$214,0,4+2)),SUMPRODUCT((MAX(0,$AY54-MIN(($P54-'Methodology &amp; Sources'!$C$10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Sources'!$B$211:$J$214,0,1))*(MAX(0,$AY54-MIN(($P54-'Methodology &amp; Sources'!$C$10*$D54)*Inputs!$C$8,IF(OR($AU54="Married",AND($AU54="Single",$AS54&gt;=3)),IF($AY54&lt;250000,8750,IF($AY54&lt;260000,7000,IF($AY54&lt;270000,5250,IF($AY54&lt;280000,3500,IF($AY54&lt;290000,1750,0))))),IF($AY54&lt;125000,8750,IF($AY54&lt;130000,7000,IF($AY54&lt;135000,5250,IF($AY54&lt;140000,3500,IF($AY54&lt;145000,1750,0)))))))-IF(OR($AU54="Married",AND($AU54="Single",$AS54&gt;=3)),5820,2910))-INDEX('Methodology &amp; Sources'!$B$211:$J$214,0,1))*INDEX('Methodology &amp; Sources'!$B$211:$J$214,0,1+2)))+263-263*IF(IF($AU54="Married",$AY54&gt;200000,$AY54&gt;100000),0,$AS54),IF($AN54="PA",0.0307*(($O54+$E54+$G54)*Inputs!$C$8),IF($AN54="NY",IF($AU54="Married",IF($AZ54&gt;=2155350,0,IF($AZ54&gt;=1077550,0.48,IF($AZ54&gt;=373200,1.21,IF($AZ54&gt;=323200,0.21,IF($AZ54&gt;=211550,-0.19,IF($AZ54&gt;=157650,-2.8,IF($AZ54&gt;=107650,-0.8,IF($AZ54&gt;=96800,0.05,IF($AZ54&gt;=80650,-0.1,IF($AZ54&gt;=13900,0.4,IF($AZ54&gt;=11700,-0.3,IF($AZ54&gt;=8500,0.5,0)))))))))))),IF($AZ54&gt;=1077550,0,IF($AZ54&gt;=265400,4.29,IF($AZ54&gt;=215400,2.29,IF($AZ54&gt;=157650,2.29,IF($AZ54&gt;=107650,0.29,IF($AZ54&gt;=96800,0.05,IF($AZ54&gt;=80650,-0.1,IF($AZ54&gt;=13900,0.4,IF($AZ54&gt;=11700,-0.3,IF($AZ54&gt;=8500,0.5,0))))))))))),0))))))))))))))))))</f>
      </c>
      <c r="BC54" s="7">
        <f>IF($B54="","",IF($AN54="AL",0.05*$D54,IF($AN54="AR",0.039*$D54,IF($AN54="ID",0.053*$D54,IF($AN54="IN",(0.0295+Inputs!$C$76)*$D54,IF($AN54="KS",0.05*$D54,IF($AN54="MA",0.09*MIN($D54,MAX(0,MAX(0,$AY54-MIN(($BD53+$Q54+$R54+$S54),2000)-IF($AS54=0,0,IF($AS54=1,4400,1000*$AS54+3400)))+$D54-1107750))+0.05*($D54-MIN($D54,MAX(0,MAX(0,$AY54-MIN(($BD53+$Q54+$R54+$S54),2000)-IF($AS54=0,0,IF($AS54=1,4400,1000*$AS54+3400)))+$D54-1107750))),IF($AN54="MD",(0.065+Inputs!$C$74)*$D54,IF($AN54="MI",0.0425*$D54,IF($AN54="MN",0.0625*$D54,IF($AN54="MO",0.047*$D54,IF($AN54="MT",0.05*$D54,IF($AN54="ND",0.015*$D54,IF($AN54="NE",0.035*$D54,IF($AN54="NJ",IF(Inputs!$C$77="B",SUMPRODUCT(($D54*Inputs!$C$8&gt;INDEX('Methodology &amp; Sources'!$B$155:$J$162,0,4))*($D54*Inputs!$C$8-INDEX('Methodology &amp; Sources'!$B$155:$J$162,0,4))*INDEX('Methodology &amp; Sources'!$B$155:$J$162,0,4+2)),IF(Inputs!$C$77="C",SUMPRODUCT(($D54*Inputs!$C$8&gt;INDEX('Methodology &amp; Sources'!$B$155:$J$162,0,7))*($D54*Inputs!$C$8-INDEX('Methodology &amp; Sources'!$B$155:$J$162,0,7))*INDEX('Methodology &amp; Sources'!$B$155:$J$162,0,7+2)),IF(Inputs!$C$77="D",SUMPRODUCT(($D54*Inputs!$C$8&gt;INDEX('Methodology &amp; Sources'!$B$167:$J$179,0,1))*($D54*Inputs!$C$8-INDEX('Methodology &amp; Sources'!$B$167:$J$179,0,1))*INDEX('Methodology &amp; Sources'!$B$167:$J$179,0,1+2)),IF(Inputs!$C$77="E",SUMPRODUCT(($D54*Inputs!$C$8&gt;INDEX('Methodology &amp; Sources'!$B$167:$J$179,0,4))*($D54*Inputs!$C$8-INDEX('Methodology &amp; Sources'!$B$167:$J$179,0,4))*INDEX('Methodology &amp; Sources'!$B$167:$J$179,0,4+2)),SUMPRODUCT(($D54*Inputs!$C$8&gt;INDEX('Methodology &amp; Sources'!$B$155:$J$162,0,1))*($D54*Inputs!$C$8-INDEX('Methodology &amp; Sources'!$B$155:$J$162,0,1))*INDEX('Methodology &amp; Sources'!$B$155:$J$162,0,1+2))))))/Inputs!$C$8,IF($AN54="NY",0.117*$D54,IF($AN54="OH",0.0275*$D54,IF($AN54="OK",0.045*$D54,IF($AN54="OR",0.08*$D54,IF($AN54="WI",IF($AY54&lt;12760,0.0354,IF($AY54&lt;25520,0.0465,IF($AY54&lt;280950,0.053,0.0765)))*$D54,0))))))))))))))))))))</f>
      </c>
      <c r="BD54" s="7">
        <f>IF($B54="","",$BD53+$Q54+$R54+$S54)</f>
      </c>
      <c r="BE54" s="6">
        <f>IF($B54="",$BE53,$BE53+$BF54)</f>
      </c>
      <c r="BF54" s="6">
        <f>IF($B54="","",IF(AND(IF(YEAR(IF(Inputs!$C$7="Weekly",Inputs!$C$90+7*(($BE53+1)-1),IF(Inputs!$C$7="Biweekly",Inputs!$C$90+14*(($BE53+1)-1),IF(Inputs!$C$7="Semimonthly",DATE(YEAR(Inputs!$C$9),MONTH(Inputs!$C$9)+INT((($BE53+1)-1+'Rest of 2026'!$C$2)/2),MIN(DAY(Inputs!$C$9),DAY(EOMONTH(DATE(YEAR(Inputs!$C$9),MONTH(Inputs!$C$9)+INT((($BE53+1)-1+'Rest of 2026'!$C$2)/2),1),0))))+IF(MOD(($BE53+1)-1+'Rest of 2026'!$C$2,2)=1,15,0),EDATE(Inputs!$C$90,($BE53+1)-1)))))&lt;&gt;Inputs!$C$10,"",IF(Inputs!$C$7="Weekly",Inputs!$C$90+7*(($BE53+1)-1),IF(Inputs!$C$7="Biweekly",Inputs!$C$90+14*(($BE53+1)-1),IF(Inputs!$C$7="Semimonthly",DATE(YEAR(Inputs!$C$9),MONTH(Inputs!$C$9)+INT((($BE53+1)-1+'Rest of 2026'!$C$2)/2),MIN(DAY(Inputs!$C$9),DAY(EOMONTH(DATE(YEAR(Inputs!$C$9),MONTH(Inputs!$C$9)+INT((($BE53+1)-1+'Rest of 2026'!$C$2)/2),1),0))))+IF(MOD(($BE53+1)-1+'Rest of 2026'!$C$2,2)=1,15,0),EDATE(Inputs!$C$90,($BE53+1)-1)))))&lt;&gt;"",$B54=IF(YEAR(IF(Inputs!$C$7="Weekly",Inputs!$C$90+7*(($BE53+1)-1),IF(Inputs!$C$7="Biweekly",Inputs!$C$90+14*(($BE53+1)-1),IF(Inputs!$C$7="Semimonthly",DATE(YEAR(Inputs!$C$9),MONTH(Inputs!$C$9)+INT((($BE53+1)-1+'Rest of 2026'!$C$2)/2),MIN(DAY(Inputs!$C$9),DAY(EOMONTH(DATE(YEAR(Inputs!$C$9),MONTH(Inputs!$C$9)+INT((($BE53+1)-1+'Rest of 2026'!$C$2)/2),1),0))))+IF(MOD(($BE53+1)-1+'Rest of 2026'!$C$2,2)=1,15,0),EDATE(Inputs!$C$90,($BE53+1)-1)))))&lt;&gt;Inputs!$C$10,"",IF(Inputs!$C$7="Weekly",Inputs!$C$90+7*(($BE53+1)-1),IF(Inputs!$C$7="Biweekly",Inputs!$C$90+14*(($BE53+1)-1),IF(Inputs!$C$7="Semimonthly",DATE(YEAR(Inputs!$C$9),MONTH(Inputs!$C$9)+INT((($BE53+1)-1+'Rest of 2026'!$C$2)/2),MIN(DAY(Inputs!$C$9),DAY(EOMONTH(DATE(YEAR(Inputs!$C$9),MONTH(Inputs!$C$9)+INT((($BE53+1)-1+'Rest of 2026'!$C$2)/2),1),0))))+IF(MOD(($BE53+1)-1+'Rest of 2026'!$C$2,2)=1,15,0),EDATE(Inputs!$C$90,($BE53+1)-1)))))),1,0))</f>
      </c>
      <c r="BG54" s="7">
        <f>IF($B54="","",$BG53+$H54)</f>
      </c>
      <c r="BH54" s="7">
        <f>IF($B54="","",$BH53+$I54)</f>
      </c>
      <c r="BI54" s="7">
        <f>IF($B54="","",$BI53+$G54)</f>
      </c>
      <c r="BJ54" s="7">
        <f>IF($B54="","",IFERROR(LOOKUP(2,1/((((Events!$C$6:$C$17="Deduction start"))*(Events!$D$6:$D$17="Health FSA"))*(Events!$B$6:$B$17&lt;=$B54)*(Events!$B$6:$B$17&lt;&gt;"")),Events!$E$6:$E$17),Inputs!$D$38))</f>
      </c>
      <c r="BK54" s="7">
        <f>IF($B54="","",IFERROR(LOOKUP(2,1/((((Events!$C$6:$C$17="Deduction start"))*(Events!$D$6:$D$17="Dependent-care FSA"))*(Events!$B$6:$B$17&lt;=$B54)*(Events!$B$6:$B$17&lt;&gt;"")),Events!$E$6:$E$17),Inputs!$D$39))</f>
      </c>
      <c r="BL54" s="7">
        <f>IF($B54="","",IFERROR(LOOKUP(2,1/((((Events!$C$6:$C$17="Deduction start")+(Events!$C$6:$C$17="Deduction stop"))*(Events!$D$6:$D$17="HSA"))*(Events!$B$6:$B$17&lt;=$B54)*(Events!$B$6:$B$17&lt;&gt;"")),Events!$I$6:$I$17),Inputs!$D$35))</f>
      </c>
      <c r="BM54" s="7">
        <f>IF($B54="","",IFERROR(LOOKUP(2,1/((((Events!$C$6:$C$17="Deduction start")+(Events!$C$6:$C$17="Deduction stop"))*(Events!$D$6:$D$17="Premiums"))*(Events!$B$6:$B$17&lt;=$B54)*(Events!$B$6:$B$17&lt;&gt;"")),Events!$I$6:$I$17),Inputs!$D$40+Inputs!$D$41+Inputs!$D$42))</f>
      </c>
      <c r="BN54" s="7">
        <f>IF($B54="","",IFERROR(LOOKUP(2,1/((((Events!$C$6:$C$17="Deduction start")+(Events!$C$6:$C$17="Deduction stop"))*(Events!$D$6:$D$17="Commuter"))*(Events!$B$6:$B$17&lt;=$B54)*(Events!$B$6:$B$17&lt;&gt;"")),Events!$I$6:$I$17),Inputs!$D$43))</f>
      </c>
      <c r="BO54" s="7">
        <f>IF($B54="","",IFERROR(LOOKUP(2,1/((((Events!$C$6:$C$17="Deduction start")+(Events!$C$6:$C$17="Deduction stop"))*(Events!$D$6:$D$17="Other pre-tax"))*(Events!$B$6:$B$17&lt;=$B54)*(Events!$B$6:$B$17&lt;&gt;"")),Events!$I$6:$I$17),Inputs!$D$44))</f>
      </c>
      <c r="BP54" s="7">
        <f>IF($B54="","",IFERROR(LOOKUP(2,1/((((Events!$C$6:$C$17="Deduction start")+(Events!$C$6:$C$17="Deduction stop"))*(Events!$D$6:$D$17="Other post-tax"))*(Events!$B$6:$B$17&lt;=$B54)*(Events!$B$6:$B$17&lt;&gt;"")),Events!$I$6:$I$17),Inputs!$D$45))</f>
      </c>
      <c r="BQ54" s="6">
        <f>IF($B54="","",IFERROR(LOOKUP(2,1/((((Events!$C$6:$C$17="Deduction start")+(Events!$C$6:$C$17="Deduction stop"))*(Events!$D$6:$D$17="Health FSA"))*(Events!$B$6:$B$17&lt;=$B54)*(Events!$B$6:$B$17&lt;&gt;"")),Events!$J$6:$J$17),0))</f>
      </c>
      <c r="BR54" s="6">
        <f>IF($B54="","",IFERROR(LOOKUP(2,1/((((Events!$C$6:$C$17="Deduction start")+(Events!$C$6:$C$17="Deduction stop"))*(Events!$D$6:$D$17="Dependent-care FSA"))*(Events!$B$6:$B$17&lt;=$B54)*(Events!$B$6:$B$17&lt;&gt;"")),Events!$J$6:$J$17),0))</f>
      </c>
      <c r="BS54" s="6">
        <f>IF($B54="","",IF(SUMPRODUCT((Events!$C$6:$C$17="Deduction start")*(Events!$B$6:$B$17&lt;=$B54)*(Events!$B$6:$B$17&lt;&gt;"")*(Events!$D$6:$D$17="Health FSA"))&gt;0,1,0))</f>
      </c>
      <c r="BT54" s="6">
        <f>IF($B54="","",IF(SUMPRODUCT((Events!$C$6:$C$17="Deduction start")*(Events!$B$6:$B$17&lt;=$B54)*(Events!$B$6:$B$17&lt;&gt;"")*(Events!$D$6:$D$17="Dependent-care FSA"))&gt;0,1,0))</f>
      </c>
      <c r="BU54" s="24">
        <f>IF($B54="","",IF(Inputs!$C$13,SUMPRODUCT(($AH54&gt;=INDEX('Methodology &amp; Sources'!$B$29:$J$36,0,IF(Inputs!$C$12="MFJ",1,IF(Inputs!$C$12="HoH",7,4))))*INDEX('Methodology &amp; Sources'!$B$29:$J$36,0,IF(Inputs!$C$12="MFJ",1,IF(Inputs!$C$12="HoH",7,4))+2)),SUMPRODUCT(($AH54&gt;=INDEX('Methodology &amp; Sources'!$B$19:$J$26,0,IF(Inputs!$C$12="MFJ",1,IF(Inputs!$C$12="HoH",7,4))))*INDEX('Methodology &amp; Sources'!$B$19:$J$26,0,IF(Inputs!$C$12="MFJ",1,IF(Inputs!$C$12="HoH",7,4))+2))))</f>
      </c>
      <c r="BV54" s="24">
        <f>IF($B54="","",IF($BZ54&lt;&gt;"",$BZ54,IF($CA54&lt;&gt;"",$CA54,IF($CB54&lt;&gt;"",$CB54,IF($CC54&lt;&gt;"",$CC54,0)))))</f>
      </c>
      <c r="BW54" s="7">
        <f>IF($B54="","",IF($AN54="MD",IF(OR($AU54="Married",$AU54="Head of household"),SUMPRODUCT(($AZ54&gt;INDEX('Methodology &amp; Sources'!$B$114:$J$120,0,1))*($AZ54-INDEX('Methodology &amp; Sources'!$B$114:$J$120,0,1))*INDEX('Methodology &amp; Sources'!$B$114:$J$120,0,1+2)),SUMPRODUCT(($AZ54&gt;INDEX('Methodology &amp; Sources'!$B$103:$J$109,0,7))*($AZ54-INDEX('Methodology &amp; Sources'!$B$103:$J$109,0,7))*INDEX('Methodology &amp; Sources'!$B$103:$J$109,0,7+2))),IF($AN54="MO",SUMPRODUCT(($AZ54&gt;INDEX('Methodology &amp; Sources'!$B$125:$J$132,0,1))*($AZ54-INDEX('Methodology &amp; Sources'!$B$125:$J$132,0,1))*INDEX('Methodology &amp; Sources'!$B$125:$J$132,0,1+2)),IF($AN54="MT",IF($AU54="Head of household",SUMPRODUCT(($AZ54&gt;INDEX('Methodology &amp; Sources'!$B$137:$J$139,0,1))*($AZ54-INDEX('Methodology &amp; Sources'!$B$137:$J$139,0,1))*INDEX('Methodology &amp; Sources'!$B$137:$J$139,0,1+2)),IF($AU54="Married",SUMPRODUCT(($AZ54&gt;INDEX('Methodology &amp; Sources'!$B$125:$J$132,0,7))*($AZ54-INDEX('Methodology &amp; Sources'!$B$125:$J$132,0,7))*INDEX('Methodology &amp; Sources'!$B$125:$J$132,0,7+2)),SUMPRODUCT(($AZ54&gt;INDEX('Methodology &amp; Sources'!$B$125:$J$132,0,4))*($AZ54-INDEX('Methodology &amp; Sources'!$B$125:$J$132,0,4))*INDEX('Methodology &amp; Sources'!$B$125:$J$132,0,4+2)))),IF($AN54="ND",IF($AU54="Head of household",SUMPRODUCT(($AZ54&gt;INDEX('Methodology &amp; Sources'!$B$144:$J$150,0,1))*($AZ54-INDEX('Methodology &amp; Sources'!$B$144:$J$150,0,1))*INDEX('Methodology &amp; Sources'!$B$144:$J$150,0,1+2)),IF($AU54="Married",SUMPRODUCT(($AZ54&gt;INDEX('Methodology &amp; Sources'!$B$137:$J$139,0,7))*($AZ54-INDEX('Methodology &amp; Sources'!$B$137:$J$139,0,7))*INDEX('Methodology &amp; Sources'!$B$137:$J$139,0,7+2)),SUMPRODUCT(($AZ54&gt;INDEX('Methodology &amp; Sources'!$B$137:$J$139,0,4))*($AZ54-INDEX('Methodology &amp; Sources'!$B$137:$J$139,0,4))*INDEX('Methodology &amp; Sources'!$B$137:$J$139,0,4+2)))),IF($AN54="NJ",IF(Inputs!$C$77="B",SUMPRODUCT(($AZ54&gt;INDEX('Methodology &amp; Sources'!$B$155:$J$162,0,4))*($AZ54-INDEX('Methodology &amp; Sources'!$B$155:$J$162,0,4))*INDEX('Methodology &amp; Sources'!$B$155:$J$162,0,4+2)),IF(Inputs!$C$77="C",SUMPRODUCT(($AZ54&gt;INDEX('Methodology &amp; Sources'!$B$155:$J$162,0,7))*($AZ54-INDEX('Methodology &amp; Sources'!$B$155:$J$162,0,7))*INDEX('Methodology &amp; Sources'!$B$155:$J$162,0,7+2)),IF(Inputs!$C$77="D",SUMPRODUCT(($AZ54&gt;INDEX('Methodology &amp; Sources'!$B$167:$J$179,0,1))*($AZ54-INDEX('Methodology &amp; Sources'!$B$167:$J$179,0,1))*INDEX('Methodology &amp; Sources'!$B$167:$J$179,0,1+2)),IF(Inputs!$C$77="E",SUMPRODUCT(($AZ54&gt;INDEX('Methodology &amp; Sources'!$B$167:$J$179,0,4))*($AZ54-INDEX('Methodology &amp; Sources'!$B$167:$J$179,0,4))*INDEX('Methodology &amp; Sources'!$B$167:$J$179,0,4+2)),SUMPRODUCT(($AZ54&gt;INDEX('Methodology &amp; Sources'!$B$155:$J$162,0,1))*($AZ54-INDEX('Methodology &amp; Sources'!$B$155:$J$162,0,1))*INDEX('Methodology &amp; Sources'!$B$155:$J$162,0,1+2)))))),IF($AN54="NY",IF($AU54="Married",IF($AZ54&gt;=2155350,$AZ54*IF($AZ54&gt;25000000,0.117,IF($AZ54&gt;5000000,0.111,0.1045)),SUMPRODUCT(($AZ54&gt;INDEX('Methodology &amp; Sources'!$B$184:$J$198,0,1))*($AZ54-INDEX('Methodology &amp; Sources'!$B$184:$J$198,0,1))*INDEX('Methodology &amp; Sources'!$B$184:$J$198,0,1+2))),IF($AZ54&gt;=1077550,$AZ54*IF($AZ54&gt;25000000,0.117,IF($AZ54&gt;5000000,0.111,0.1045)),SUMPRODUCT(($AZ54&gt;INDEX('Methodology &amp; Sources'!$B$167:$J$179,0,7))*($AZ54-INDEX('Methodology &amp; Sources'!$B$167:$J$179,0,7))*INDEX('Methodology &amp; Sources'!$B$167:$J$179,0,7+2)))),"")))))))</f>
      </c>
      <c r="BX54" s="7">
        <f>IF($B54="","",IF($AN54="AL",IF(OR($AU54="Married",$AU54="Head of household"),SUMPRODUCT(($AZ54&gt;INDEX('Methodology &amp; Sources'!$B$82:$J$86,0,4))*($AZ54-INDEX('Methodology &amp; Sources'!$B$82:$J$86,0,4))*INDEX('Methodology &amp; Sources'!$B$82:$J$86,0,4+2)),SUMPRODUCT(($AZ54&gt;INDEX('Methodology &amp; Sources'!$B$82:$J$86,0,1))*($AZ54-INDEX('Methodology &amp; Sources'!$B$82:$J$86,0,1))*INDEX('Methodology &amp; Sources'!$B$82:$J$86,0,1+2))),IF($AN54="KS",IF($AU54="Married",SUMPRODUCT(($AZ54&gt;INDEX('Methodology &amp; Sources'!$B$103:$J$109,0,4))*($AZ54-INDEX('Methodology &amp; Sources'!$B$103:$J$109,0,4))*INDEX('Methodology &amp; Sources'!$B$103:$J$109,0,4+2)),SUMPRODUCT(($AZ54&gt;INDEX('Methodology &amp; Sources'!$B$103:$J$109,0,1))*($AZ54-INDEX('Methodology &amp; Sources'!$B$103:$J$109,0,1))*INDEX('Methodology &amp; Sources'!$B$103:$J$109,0,1+2))),IF($AN54="MN",IF($AU54="Married",SUMPRODUCT(($AZ54&gt;INDEX('Methodology &amp; Sources'!$B$114:$J$120,0,7))*($AZ54-INDEX('Methodology &amp; Sources'!$B$114:$J$120,0,7))*INDEX('Methodology &amp; Sources'!$B$114:$J$120,0,7+2)),SUMPRODUCT(($AZ54&gt;INDEX('Methodology &amp; Sources'!$B$114:$J$120,0,4))*($AZ54-INDEX('Methodology &amp; Sources'!$B$114:$J$120,0,4))*INDEX('Methodology &amp; Sources'!$B$114:$J$120,0,4+2))),IF($AN54="NE",MAX(IF($AU54="Married",SUMPRODUCT(($AZ54&gt;INDEX('Methodology &amp; Sources'!$B$144:$J$150,0,7))*($AZ54-INDEX('Methodology &amp; Sources'!$B$144:$J$150,0,7))*INDEX('Methodology &amp; Sources'!$B$144:$J$150,0,7+2)),SUMPRODUCT(($AZ54&gt;INDEX('Methodology &amp; Sources'!$B$144:$J$150,0,4))*($AZ54-INDEX('Methodology &amp; Sources'!$B$144:$J$150,0,4))*INDEX('Methodology &amp; Sources'!$B$144:$J$150,0,4+2))),0.015*$AZ54),IF($AN54="OH",IF($B54&gt;=DATE(2027,8,1),SUMPRODUCT(($AZ54&gt;INDEX('Methodology &amp; Sources'!$B$203:$J$206,0,1))*($AZ54-INDEX('Methodology &amp; Sources'!$B$203:$J$206,0,1))*INDEX('Methodology &amp; Sources'!$B$203:$J$206,0,1+2)),SUMPRODUCT(($AZ54&gt;INDEX('Methodology &amp; Sources'!$B$184:$J$198,0,7))*($AZ54-INDEX('Methodology &amp; Sources'!$B$184:$J$198,0,7))*INDEX('Methodology &amp; Sources'!$B$184:$J$198,0,7+2))),IF($AN54="OK",IF($AU54="Married",SUMPRODUCT(($AZ54&gt;INDEX('Methodology &amp; Sources'!$B$203:$J$206,0,7))*($AZ54-INDEX('Methodology &amp; Sources'!$B$203:$J$206,0,7))*INDEX('Methodology &amp; Sources'!$B$203:$J$206,0,7+2)),SUMPRODUCT(($AZ54&gt;INDEX('Methodology &amp; Sources'!$B$203:$J$206,0,4))*($AZ54-INDEX('Methodology &amp; Sources'!$B$203:$J$206,0,4))*INDEX('Methodology &amp; Sources'!$B$203:$J$206,0,4+2))),IF($AN54="RI",SUMPRODUCT(($AZ54&gt;INDEX('Methodology &amp; Sources'!$B$211:$J$214,0,7))*($AZ54-INDEX('Methodology &amp; Sources'!$B$211:$J$214,0,7))*INDEX('Methodology &amp; Sources'!$B$211:$J$214,0,7+2)),IF($AN54="VT",IF($AU54="Married",SUMPRODUCT(($AZ54&gt;INDEX('Methodology &amp; Sources'!$B$228:$J$232,0,1))*($AZ54-INDEX('Methodology &amp; Sources'!$B$228:$J$232,0,1))*INDEX('Methodology &amp; Sources'!$B$228:$J$232,0,1+2)),SUMPRODUCT(($AZ54&gt;INDEX('Methodology &amp; Sources'!$B$219:$J$223,0,7))*($AZ54-INDEX('Methodology &amp; Sources'!$B$219:$J$223,0,7))*INDEX('Methodology &amp; Sources'!$B$219:$J$223,0,7+2))),IF($AN54="WV",IF($AU54="Married",SUMPRODUCT(($AZ54&gt;INDEX('Methodology &amp; Sources'!$B$237:$J$241,0,7))*($AZ54-INDEX('Methodology &amp; Sources'!$B$237:$J$241,0,7))*INDEX('Methodology &amp; Sources'!$B$237:$J$241,0,7+2)),SUMPRODUCT(($AZ54&gt;INDEX('Methodology &amp; Sources'!$B$228:$J$232,0,7))*($AZ54-INDEX('Methodology &amp; Sources'!$B$228:$J$232,0,7))*INDEX('Methodology &amp; Sources'!$B$228:$J$232,0,7+2))),""))))))))))</f>
      </c>
      <c r="BY54" s="7">
        <f>IF($B54="","",IF($AN54="AR",SUMPRODUCT(($AZ54&gt;INDEX('Methodology &amp; Sources'!$B$82:$J$86,0,7))*($AZ54-INDEX('Methodology &amp; Sources'!$B$82:$J$86,0,7))*INDEX('Methodology &amp; Sources'!$B$82:$J$86,0,7+2)),IF($AN54="DE",SUMPRODUCT(($AZ54&gt;INDEX('Methodology &amp; Sources'!$B$91:$J$98,0,1))*($AZ54-INDEX('Methodology &amp; Sources'!$B$91:$J$98,0,1))*INDEX('Methodology &amp; Sources'!$B$91:$J$98,0,1+2)),IF($AN54="HI",IF($AU54="Married",SUMPRODUCT(($AZ54&gt;INDEX('Methodology &amp; Sources'!$B$91:$J$98,0,7))*($AZ54-INDEX('Methodology &amp; Sources'!$B$91:$J$98,0,7))*INDEX('Methodology &amp; Sources'!$B$91:$J$98,0,7+2)),SUMPRODUCT(($AZ54&gt;INDEX('Methodology &amp; Sources'!$B$91:$J$98,0,4))*($AZ54-INDEX('Methodology &amp; Sources'!$B$91:$J$98,0,4))*INDEX('Methodology &amp; Sources'!$B$91:$J$98,0,4+2))),IF($AN54="SC",SUMPRODUCT(($AZ54&gt;INDEX('Methodology &amp; Sources'!$B$219:$J$223,0,1))*($AZ54-INDEX('Methodology &amp; Sources'!$B$219:$J$223,0,1))*INDEX('Methodology &amp; Sources'!$B$219:$J$223,0,1+2)),IF($AN54="VA",SUMPRODUCT(($AZ54&gt;INDEX('Methodology &amp; Sources'!$B$219:$J$223,0,4))*($AZ54-INDEX('Methodology &amp; Sources'!$B$219:$J$223,0,4))*INDEX('Methodology &amp; Sources'!$B$219:$J$223,0,4+2)),IF($AN54="WI",SUMPRODUCT(($AZ54&gt;INDEX('Methodology &amp; Sources'!$B$228:$J$232,0,4))*($AZ54-INDEX('Methodology &amp; Sources'!$B$228:$J$232,0,4))*INDEX('Methodology &amp; Sources'!$B$228:$J$232,0,4+2)),"")))))))</f>
      </c>
      <c r="BZ54" s="24">
        <f>IF($B54="","",IF($AN54="NJ",IF(Inputs!$C$77="B",SUMPRODUCT(($AZ54&gt;=INDEX('Methodology &amp; Sources'!$B$155:$J$162,0,4))*INDEX('Methodology &amp; Sources'!$B$155:$J$162,0,4+2)),IF(Inputs!$C$77="C",SUMPRODUCT(($AZ54&gt;=INDEX('Methodology &amp; Sources'!$B$155:$J$162,0,7))*INDEX('Methodology &amp; Sources'!$B$155:$J$162,0,7+2)),IF(Inputs!$C$77="D",SUMPRODUCT(($AZ54&gt;=INDEX('Methodology &amp; Sources'!$B$167:$J$179,0,1))*INDEX('Methodology &amp; Sources'!$B$167:$J$179,0,1+2)),IF(Inputs!$C$77="E",SUMPRODUCT(($AZ54&gt;=INDEX('Methodology &amp; Sources'!$B$167:$J$179,0,4))*INDEX('Methodology &amp; Sources'!$B$167:$J$179,0,4+2)),SUMPRODUCT(($AZ54&gt;=INDEX('Methodology &amp; Sources'!$B$155:$J$162,0,1))*INDEX('Methodology &amp; Sources'!$B$155:$J$162,0,1+2)))))),IF($AN54="OR",IF(OR($AU54="Married",AND($AU54="Single",$AS54&gt;=3)),SUMPRODUCT((MAX(0,$AY54-MIN(($P54-'Methodology &amp; Sources'!$C$10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Sources'!$B$211:$J$214,0,4))*INDEX('Methodology &amp; Sources'!$B$211:$J$214,0,4+2)),SUMPRODUCT((MAX(0,$AY54-MIN(($P54-'Methodology &amp; Sources'!$C$10*$D54)*Inputs!$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Sources'!$B$211:$J$214,0,1))*INDEX('Methodology &amp; Sources'!$B$211:$J$214,0,1+2)))*IF(($P54-'Methodology &amp; Sources'!$C$10*$D54)*Inputs!$C$8&gt;=IF(OR($AU54="Married",AND($AU54="Single",$AS54&gt;=3)),IF($AY54&lt;250000,8750,IF($AY54&lt;260000,7000,IF($AY54&lt;270000,5250,IF($AY54&lt;280000,3500,IF($AY54&lt;290000,1750,0))))),IF($AY54&lt;125000,8750,IF($AY54&lt;130000,7000,IF($AY54&lt;135000,5250,IF($AY54&lt;140000,3500,IF($AY54&lt;145000,1750,0)))))),1,1-IF(Inputs!$C$13,SUMPRODUCT(($AH54&gt;=INDEX('Methodology &amp; Sources'!$B$29:$J$36,0,IF(Inputs!$C$12="MFJ",1,IF(Inputs!$C$12="HoH",7,4))))*INDEX('Methodology &amp; Sources'!$B$29:$J$36,0,IF(Inputs!$C$12="MFJ",1,IF(Inputs!$C$12="HoH",7,4))+2)),SUMPRODUCT(($AH54&gt;=INDEX('Methodology &amp; Sources'!$B$19:$J$26,0,IF(Inputs!$C$12="MFJ",1,IF(Inputs!$C$12="HoH",7,4))))*INDEX('Methodology &amp; Sources'!$B$19:$J$26,0,IF(Inputs!$C$12="MFJ",1,IF(Inputs!$C$12="HoH",7,4))+2)))),IF($AN54="MI",IF($AY54&gt;5900*$AS54,0.0425,0),""))))</f>
      </c>
      <c r="CA54" s="24">
        <f>IF($B54="","",IF($AN54="AL",IF(OR($AU54="Married",$AU54="Head of household"),SUMPRODUCT(($AZ54&gt;=INDEX('Methodology &amp; Sources'!$B$82:$J$86,0,4))*INDEX('Methodology &amp; Sources'!$B$82:$J$86,0,4+2)),SUMPRODUCT(($AZ54&gt;=INDEX('Methodology &amp; Sources'!$B$82:$J$86,0,1))*INDEX('Methodology &amp; Sources'!$B$82:$J$86,0,1+2)))*(1-IF(Inputs!$C$13,SUMPRODUCT(($AH54&gt;=INDEX('Methodology &amp; Sources'!$B$29:$J$36,0,IF(Inputs!$C$12="MFJ",1,IF(Inputs!$C$12="HoH",7,4))))*INDEX('Methodology &amp; Sources'!$B$29:$J$36,0,IF(Inputs!$C$12="MFJ",1,IF(Inputs!$C$12="HoH",7,4))+2)),SUMPRODUCT(($AH54&gt;=INDEX('Methodology &amp; Sources'!$B$19:$J$26,0,IF(Inputs!$C$12="MFJ",1,IF(Inputs!$C$12="HoH",7,4))))*INDEX('Methodology &amp; Sources'!$B$19:$J$26,0,IF(Inputs!$C$12="MFJ",1,IF(Inputs!$C$12="HoH",7,4))+2)))),IF($AN54="KS",IF($AU54="Married",SUMPRODUCT(($AZ54&gt;=INDEX('Methodology &amp; Sources'!$B$103:$J$109,0,4))*INDEX('Methodology &amp; Sources'!$B$103:$J$109,0,4+2)),SUMPRODUCT(($AZ54&gt;=INDEX('Methodology &amp; Sources'!$B$103:$J$109,0,1))*INDEX('Methodology &amp; Sources'!$B$103:$J$109,0,1+2))),IF($AN54="MD",IF(OR($AU54="Married",$AU54="Head of household"),SUMPRODUCT(($AZ54&gt;=INDEX('Methodology &amp; Sources'!$B$114:$J$120,0,1))*INDEX('Methodology &amp; Sources'!$B$114:$J$120,0,1+2)),SUMPRODUCT(($AZ54&gt;=INDEX('Methodology &amp; Sources'!$B$103:$J$109,0,7))*INDEX('Methodology &amp; Sources'!$B$103:$J$109,0,7+2)))+Inputs!$C$74,IF($AN54="MT",IF($AU54="Head of household",SUMPRODUCT(($AZ54&gt;=INDEX('Methodology &amp; Sources'!$B$137:$J$139,0,1))*INDEX('Methodology &amp; Sources'!$B$137:$J$139,0,1+2)),IF($AU54="Married",SUMPRODUCT(($AZ54&gt;=INDEX('Methodology &amp; Sources'!$B$125:$J$132,0,7))*INDEX('Methodology &amp; Sources'!$B$125:$J$132,0,7+2)),SUMPRODUCT(($AZ54&gt;=INDEX('Methodology &amp; Sources'!$B$125:$J$132,0,4))*INDEX('Methodology &amp; Sources'!$B$125:$J$132,0,4+2)))),IF($AN54="ND",IF($AU54="Head of household",SUMPRODUCT(($AZ54&gt;=INDEX('Methodology &amp; Sources'!$B$144:$J$150,0,1))*INDEX('Methodology &amp; Sources'!$B$144:$J$150,0,1+2)),IF($AU54="Married",SUMPRODUCT(($AZ54&gt;=INDEX('Methodology &amp; Sources'!$B$137:$J$139,0,7))*INDEX('Methodology &amp; Sources'!$B$137:$J$139,0,7+2)),SUMPRODUCT(($AZ54&gt;=INDEX('Methodology &amp; Sources'!$B$137:$J$139,0,4))*INDEX('Methodology &amp; Sources'!$B$137:$J$139,0,4+2)))),IF($AN54="NY",IF($AU54="Married",IF($AZ54&gt;=2155350,IF($AZ54&gt;25000000,0.117,IF($AZ54&gt;5000000,0.111,0.1045)),SUMPRODUCT(($AZ54&gt;=INDEX('Methodology &amp; Sources'!$B$184:$J$198,0,1))*INDEX('Methodology &amp; Sources'!$B$184:$J$198,0,1+2))),IF($AZ54&gt;=1077550,IF($AZ54&gt;25000000,0.117,IF($AZ54&gt;5000000,0.111,0.1045)),SUMPRODUCT(($AZ54&gt;=INDEX('Methodology &amp; Sources'!$B$167:$J$179,0,7))*INDEX('Methodology &amp; Sources'!$B$167:$J$179,0,7+2)))),"")))))))</f>
      </c>
      <c r="CB54" s="24">
        <f>IF($B54="","",IF($AN54="CA",SUMPRODUCT(($AJ54&gt;=INDEX('Methodology &amp; Sources'!$B$39:$J$48,0,IF($AU54="Married",4,IF($AU54="Head of household",7,1))))*INDEX('Methodology &amp; Sources'!$B$39:$J$48,0,IF($AU54="Married",4,IF($AU54="Head of household",7,1))+2)),IF($AN54="HI",IF($AU54="Married",SUMPRODUCT(($AZ54&gt;=INDEX('Methodology &amp; Sources'!$B$91:$J$98,0,7))*INDEX('Methodology &amp; Sources'!$B$91:$J$98,0,7+2)),SUMPRODUCT(($AZ54&gt;=INDEX('Methodology &amp; Sources'!$B$91:$J$98,0,4))*INDEX('Methodology &amp; Sources'!$B$91:$J$98,0,4+2))),IF($AN54="MN",IF($AU54="Married",SUMPRODUCT(($AZ54&gt;=INDEX('Methodology &amp; Sources'!$B$114:$J$120,0,7))*INDEX('Methodology &amp; Sources'!$B$114:$J$120,0,7+2)),SUMPRODUCT(($AZ54&gt;=INDEX('Methodology &amp; Sources'!$B$114:$J$120,0,4))*INDEX('Methodology &amp; Sources'!$B$114:$J$120,0,4+2))),IF($AN54="MO",SUMPRODUCT(($AZ54&gt;=INDEX('Methodology &amp; Sources'!$B$125:$J$132,0,1))*INDEX('Methodology &amp; Sources'!$B$125:$J$132,0,1+2)),IF($AN54="NE",MAX(IF($AU54="Married",SUMPRODUCT(($AZ54&gt;=INDEX('Methodology &amp; Sources'!$B$144:$J$150,0,7))*INDEX('Methodology &amp; Sources'!$B$144:$J$150,0,7+2)),SUMPRODUCT(($AZ54&gt;=INDEX('Methodology &amp; Sources'!$B$144:$J$150,0,4))*INDEX('Methodology &amp; Sources'!$B$144:$J$150,0,4+2))),0.015),IF($AN54="OH",IF($B54&gt;=DATE(2027,8,1),SUMPRODUCT(($AZ54&gt;=INDEX('Methodology &amp; Sources'!$B$203:$J$206,0,1))*INDEX('Methodology &amp; Sources'!$B$203:$J$206,0,1+2)),SUMPRODUCT(($AZ54&gt;=INDEX('Methodology &amp; Sources'!$B$184:$J$198,0,7))*INDEX('Methodology &amp; Sources'!$B$184:$J$198,0,7+2))),IF($AN54="OK",IF($AU54="Married",SUMPRODUCT(($AZ54&gt;=INDEX('Methodology &amp; Sources'!$B$203:$J$206,0,7))*INDEX('Methodology &amp; Sources'!$B$203:$J$206,0,7+2)),SUMPRODUCT(($AZ54&gt;=INDEX('Methodology &amp; Sources'!$B$203:$J$206,0,4))*INDEX('Methodology &amp; Sources'!$B$203:$J$206,0,4+2))),IF($AN54="RI",SUMPRODUCT(($AZ54&gt;=INDEX('Methodology &amp; Sources'!$B$211:$J$214,0,7))*INDEX('Methodology &amp; Sources'!$B$211:$J$214,0,7+2)),IF($AN54="SC",SUMPRODUCT(($AZ54&gt;=INDEX('Methodology &amp; Sources'!$B$219:$J$223,0,1))*INDEX('Methodology &amp; Sources'!$B$219:$J$223,0,1+2)),IF($AN54="VT",IF($AU54="Married",SUMPRODUCT(($AZ54&gt;=INDEX('Methodology &amp; Sources'!$B$228:$J$232,0,1))*INDEX('Methodology &amp; Sources'!$B$228:$J$232,0,1+2)),SUMPRODUCT(($AZ54&gt;=INDEX('Methodology &amp; Sources'!$B$219:$J$223,0,7))*INDEX('Methodology &amp; Sources'!$B$219:$J$223,0,7+2))),IF($AN54="WV",IF($AU54="Married",SUMPRODUCT(($AZ54&gt;=INDEX('Methodology &amp; Sources'!$B$237:$J$241,0,7))*INDEX('Methodology &amp; Sources'!$B$237:$J$241,0,7+2)),SUMPRODUCT(($AZ54&gt;=INDEX('Methodology &amp; Sources'!$B$228:$J$232,0,7))*INDEX('Methodology &amp; Sources'!$B$228:$J$232,0,7+2))),IF($AN54="IN",(0.0295+Inputs!$C$76),"")))))))))))))</f>
      </c>
      <c r="CC54" s="24">
        <f>IF($B54="","",IF($AN54="AR",SUMPRODUCT(($AZ54&gt;=INDEX('Methodology &amp; Sources'!$B$82:$J$86,0,7))*INDEX('Methodology &amp; Sources'!$B$82:$J$86,0,7+2)),IF($AN54="DE",SUMPRODUCT(($AZ54&gt;=INDEX('Methodology &amp; Sources'!$B$91:$J$98,0,1))*INDEX('Methodology &amp; Sources'!$B$91:$J$98,0,1+2)),IF($AN54="VA",SUMPRODUCT(($AZ54&gt;=INDEX('Methodology &amp; Sources'!$B$219:$J$223,0,4))*INDEX('Methodology &amp; Sources'!$B$219:$J$223,0,4+2)),IF($AN54="WI",SUMPRODUCT(($AZ54&gt;=INDEX('Methodology &amp; Sources'!$B$228:$J$232,0,4))*INDEX('Methodology &amp; Sources'!$B$228:$J$232,0,4+2)),IF($AN54="AZ",Inputs!$C$82,IF($AN54="CO",IF($AY54&gt;IF($AU54="Married",10000,5000),0.044,0),IF($AN54="IA",IF($AY54&gt;IF($AU54="Head of household",19500,IF($AU54="Married",26000,13000)),0.038,0),IF($AN54="ID",IF($AY54&gt;IF($AU54="Married",32000,16094),0.053,0),IF($AN54="IL",IF($AY54&gt;(2925*$AS54+1000*$AT54),0.0495,0),IF($AN54="KY",IF($AI54&gt;3360,0.035,0),IF($AN54="LA",0.0309,IF($AN54="MA",IF(MAX(0,$AY54-MIN(($BD53+$Q54+$R54+$S54),2000)-IF($AS54=0,0,IF($AS54=1,4400,1000*$AS54+3400)))&gt;=1107750,0.09,0.05),IF($AN54="MS",IF($AI54-IF($AU54="Head of household",3400,IF($AU54="Married",4600,2300))-Inputs!$C$85&gt;10000,0.04,0),IF($AN54="PA",0.0307,"")))))))))))))))</f>
      </c>
      <c r="CD54" s="21">
        <f>IF(YEAR(IF(Inputs!$C$7="Weekly",Inputs!$C$90+7*(($BE53+1)-1),IF(Inputs!$C$7="Biweekly",Inputs!$C$90+14*(($BE53+1)-1),IF(Inputs!$C$7="Semimonthly",DATE(YEAR(Inputs!$C$9),MONTH(Inputs!$C$9)+INT((($BE53+1)-1+'Rest of 2026'!$C$2)/2),MIN(DAY(Inputs!$C$9),DAY(EOMONTH(DATE(YEAR(Inputs!$C$9),MONTH(Inputs!$C$9)+INT((($BE53+1)-1+'Rest of 2026'!$C$2)/2),1),0))))+IF(MOD(($BE53+1)-1+'Rest of 2026'!$C$2,2)=1,15,0),EDATE(Inputs!$C$90,($BE53+1)-1)))))&lt;&gt;Inputs!$C$10,"",IF(Inputs!$C$7="Weekly",Inputs!$C$90+7*(($BE53+1)-1),IF(Inputs!$C$7="Biweekly",Inputs!$C$90+14*(($BE53+1)-1),IF(Inputs!$C$7="Semimonthly",DATE(YEAR(Inputs!$C$9),MONTH(Inputs!$C$9)+INT((($BE53+1)-1+'Rest of 2026'!$C$2)/2),MIN(DAY(Inputs!$C$9),DAY(EOMONTH(DATE(YEAR(Inputs!$C$9),MONTH(Inputs!$C$9)+INT((($BE53+1)-1+'Rest of 2026'!$C$2)/2),1),0))))+IF(MOD(($BE53+1)-1+'Rest of 2026'!$C$2,2)=1,15,0),EDATE(Inputs!$C$90,($BE53+1)-1)))))</f>
      </c>
      <c r="CE54" s="21">
        <f>IF(SUMPRODUCT(MIN(IF((Inputs!$C$58:$C$67&gt;MAX($B$6:$B53))*(Inputs!$C$58:$C$67&gt;=DATE(Inputs!$C$10,1,1))*(Inputs!$C$58:$C$67&lt;=DATE(Inputs!$C$10,12,31)),Inputs!$C$58:$C$67,999999)))=999999,"",SUMPRODUCT(MIN(IF((Inputs!$C$58:$C$67&gt;MAX($B$6:$B53))*(Inputs!$C$58:$C$67&gt;=DATE(Inputs!$C$10,1,1))*(Inputs!$C$58:$C$67&lt;=DATE(Inputs!$C$10,12,31)),Inputs!$C$58:$C$67,999999))))</f>
      </c>
    </row>
    <row r="55">
      <c r="A55" t="n">
        <v>50</v>
      </c>
      <c r="B55" s="21">
        <f>IF(AND($CD55="",$CE55=""),"",IF($CE55="",$CD55,IF($CD55="",$CE55,MIN($CD55,$CE55))))</f>
      </c>
      <c r="C55" s="7">
        <f>IF($B55="","",IF($BF55=0,0,IF(Inputs!$C$4="Annual salary",ROUND($AK55/IF(AND(Inputs!$C$88="Actual paydays",MONTH(Inputs!$C$90)=1),MAX(1,MAX($BE$6:$BE$68)),Inputs!$C$8),2),$AK55)))</f>
      </c>
      <c r="D55" s="7">
        <f>IF($B55="","",SUMIF(Inputs!$C$58:$C$67,$B55,Inputs!$D$58:$D$67))</f>
      </c>
      <c r="E55" s="7">
        <f>IF($B55="","",ROUND(MAX(0,MIN(IF($AL55="Percent",$AM55*($C55+$D55),$AM55),MAX(0,Inputs!$C$34-$AC54))),2))</f>
      </c>
      <c r="F55" s="7">
        <f>IF($B55="","",ROUND(MAX(0,MIN(IF(Inputs!$C$32="Percent",Inputs!$D$32*($C55+$D55),Inputs!$D$32),MAX(0,Inputs!$C$34-$AC54-$E55))),2))</f>
      </c>
      <c r="G55" s="7">
        <f>IF($B55="","",IF($BF55=0,0,ROUND(MAX(0,MIN($BL55,Inputs!$C$37-Inputs!$C$99-$BI54)),2)))</f>
      </c>
      <c r="H55" s="7">
        <f>IF($B55="","",IF(OR($BF55=0,$BQ55=1),0,ROUND(MAX(0,MIN(IF($BS55=1,ROUND(MAX(0,MIN($BJ55,'Methodology &amp; Sources'!$C$13)-$BG54)/MAX(1,MAX($BE$6:$BE$68)-($BE54)),2),ROUND(MIN($BJ55,'Methodology &amp; Sources'!$C$13)/Inputs!$C$8,2)),MIN($BJ55,'Methodology &amp; Sources'!$C$13)-$BG54)),2)))</f>
      </c>
      <c r="I55" s="7">
        <f>IF($B55="","",IF(OR($BF55=0,$BR55=1),0,ROUND(MAX(0,MIN(IF($BT55=1,ROUND(MAX(0,MIN($BK55,IF(Inputs!$C$12="MFJ",'Methodology &amp; Sources'!$C$14,'Methodology &amp; Sources'!$C$15))-$BH54)/MAX(1,MAX($BE$6:$BE$68)-($BE54)),2),ROUND(MIN($BK55,IF(Inputs!$C$12="MFJ",'Methodology &amp; Sources'!$C$14,'Methodology &amp; Sources'!$C$15))/Inputs!$C$8,2)),MIN($BK55,IF(Inputs!$C$12="MFJ",'Methodology &amp; Sources'!$C$14,'Methodology &amp; Sources'!$C$15))-$BH54)),2)))</f>
      </c>
      <c r="J55" s="7">
        <f>IF($B55="","",IF($BF55=0,0,$BM55))</f>
      </c>
      <c r="K55" s="7">
        <f>IF($B55="","",IF($BF55=0,0,$BN55+$BO55))</f>
      </c>
      <c r="L55" s="7">
        <f>IF($B55="","",IF($BF55=0,0,Inputs!$D$46))</f>
      </c>
      <c r="M55" s="7">
        <f>IF($B55="","",$C55+$D55+$L55-$E55-$G55-$H55-$I55-$J55-$K55)</f>
      </c>
      <c r="N55" s="7">
        <f>IF($B55="","",$C55+$D55+$L55-$G55-$H55-$I55-$J55-$K55)</f>
      </c>
      <c r="O55" s="7">
        <f>IF($B55="","",$C55+$D55+$L55-$E55-$H55-$I55-$J55-$K55-IF(OR($AN55="CA",$AN55="NJ"),0,$G55))</f>
      </c>
      <c r="P55" s="7">
        <f>IF($B55="","",IF(Inputs!$C$18,0,ROUND(MAX(0,IF(Inputs!$C$13,SUMPRODUCT(($AH55&gt;INDEX('Methodology &amp; Sources'!$B$29:$J$36,0,IF(Inputs!$C$12="MFJ",1,IF(Inputs!$C$12="HoH",7,4))))*($AH55-INDEX('Methodology &amp; Sources'!$B$29:$J$36,0,IF(Inputs!$C$12="MFJ",1,IF(Inputs!$C$12="HoH",7,4))))*INDEX('Methodology &amp; Sources'!$B$29:$J$36,0,IF(Inputs!$C$12="MFJ",1,IF(Inputs!$C$12="HoH",7,4))+2)),SUMPRODUCT(($AH55&gt;INDEX('Methodology &amp; Sources'!$B$19:$J$26,0,IF(Inputs!$C$12="MFJ",1,IF(Inputs!$C$12="HoH",7,4))))*($AH55-INDEX('Methodology &amp; Sources'!$B$19:$J$26,0,IF(Inputs!$C$12="MFJ",1,IF(Inputs!$C$12="HoH",7,4))))*INDEX('Methodology &amp; Sources'!$B$19:$J$26,0,IF(Inputs!$C$12="MFJ",1,IF(Inputs!$C$12="HoH",7,4))+2)))/Inputs!$C$8-$AO55/Inputs!$C$8)+$AR55+IF(Inputs!$C$89="Aggregate",MAX(0,IF(Inputs!$C$13,SUMPRODUCT((($AH55+$D55)&gt;INDEX('Methodology &amp; Sources'!$B$29:$J$36,0,IF(Inputs!$C$12="MFJ",1,IF(Inputs!$C$12="HoH",7,4))))*(($AH55+$D55)-INDEX('Methodology &amp; Sources'!$B$29:$J$36,0,IF(Inputs!$C$12="MFJ",1,IF(Inputs!$C$12="HoH",7,4))))*INDEX('Methodology &amp; Sources'!$B$29:$J$36,0,IF(Inputs!$C$12="MFJ",1,IF(Inputs!$C$12="HoH",7,4))+2)),SUMPRODUCT((($AH55+$D55)&gt;INDEX('Methodology &amp; Sources'!$B$19:$J$26,0,IF(Inputs!$C$12="MFJ",1,IF(Inputs!$C$12="HoH",7,4))))*(($AH55+$D55)-INDEX('Methodology &amp; Sources'!$B$19:$J$26,0,IF(Inputs!$C$12="MFJ",1,IF(Inputs!$C$12="HoH",7,4))))*INDEX('Methodology &amp; Sources'!$B$19:$J$26,0,IF(Inputs!$C$12="MFJ",1,IF(Inputs!$C$12="HoH",7,4))+2)))-IF(Inputs!$C$13,SUMPRODUCT(($AH55&gt;INDEX('Methodology &amp; Sources'!$B$29:$J$36,0,IF(Inputs!$C$12="MFJ",1,IF(Inputs!$C$12="HoH",7,4))))*($AH55-INDEX('Methodology &amp; Sources'!$B$29:$J$36,0,IF(Inputs!$C$12="MFJ",1,IF(Inputs!$C$12="HoH",7,4))))*INDEX('Methodology &amp; Sources'!$B$29:$J$36,0,IF(Inputs!$C$12="MFJ",1,IF(Inputs!$C$12="HoH",7,4))+2)),SUMPRODUCT(($AH55&gt;INDEX('Methodology &amp; Sources'!$B$19:$J$26,0,IF(Inputs!$C$12="MFJ",1,IF(Inputs!$C$12="HoH",7,4))))*($AH55-INDEX('Methodology &amp; Sources'!$B$19:$J$26,0,IF(Inputs!$C$12="MFJ",1,IF(Inputs!$C$12="HoH",7,4))))*INDEX('Methodology &amp; Sources'!$B$19:$J$26,0,IF(Inputs!$C$12="MFJ",1,IF(Inputs!$C$12="HoH",7,4))+2)))),'Methodology &amp; Sources'!$C$10*$D55),2)))</f>
      </c>
      <c r="Q55" s="7">
        <f>IF($B55="","",ROUND('Methodology &amp; Sources'!$C$4*MIN($N55,MAX(0,'Methodology &amp; Sources'!$C$3-($AX55+$AB54-$AW55))),2))</f>
      </c>
      <c r="R55" s="7">
        <f>IF($B55="","",ROUND('Methodology &amp; Sources'!$C$5*$N55,2))</f>
      </c>
      <c r="S55" s="7">
        <f>IF($B55="","",ROUND('Methodology &amp; Sources'!$C$6*MAX(0,MIN($N55,$AG54+$N55-'Methodology &amp; Sources'!$C$7)),2))</f>
      </c>
      <c r="T55" s="7">
        <f>IF($B55="","",IF(Inputs!$C$26,0,IF($AN55="CA",ROUND(IF($AI55&lt;=IF(($AS55+$AT55)&gt;=2,VLOOKUP($AN55,StateTables!$A$6:$AB$56,10,FALSE),VLOOKUP($AN55,StateTables!$A$6:$AB$56,9,FALSE)),0,MAX(0,SUMPRODUCT(($AJ55&gt;INDEX('Methodology &amp; Sources'!$B$39:$J$48,0,IF($AU55="Married",4,IF($AU55="Head of household",7,1))))*($AJ55-INDEX('Methodology &amp; Sources'!$B$39:$J$48,0,IF($AU55="Married",4,IF($AU55="Head of household",7,1))))*INDEX('Methodology &amp; Sources'!$B$39:$J$48,0,IF($AU55="Married",4,IF($AU55="Head of household",7,1))+2))-VLOOKUP($AN55,StateTables!$A$6:$AB$56,11,FALSE)*$AS55)/Inputs!$C$8)+Inputs!$C$25+VLOOKUP($AN55,StateTables!$A$6:$AB$56,13,FALSE)*$D55,2),IF(VLOOKUP($AN55,StateTables!$A$6:$AB$56,4,FALSE)="None",0,IF(ISNUMBER(SEARCH("MANUAL",VLOOKUP($AN55,StateTables!$A$6:$AB$56,5,FALSE))),Inputs!$C$28,ROUND(MAX(0,$BA55+$BB55)/Inputs!$C$8+Inputs!$C$25+$BC55,2))))))</f>
      </c>
      <c r="U55" s="7">
        <f>IF($B55="","",IF(VLOOKUP($AN55,StateTables!$A$6:$AB$56,24,FALSE)="flatq",IF(OR(MONTH($B55)=1,MONTH($B55)=4,MONTH($B55)=7,MONTH($B55)=10),VLOOKUP($AN55,StateTables!$A$6:$AB$56,25,FALSE),0),IF(VLOOKUP($AN55,StateTables!$A$6:$AB$56,24,FALSE)="dbl",MIN(ROUND(0.005*$N55,2),ROUND(0.6*52/Inputs!$C$8,2)),IF(OR(VLOOKUP($AN55,StateTables!$A$6:$AB$56,15,FALSE)="",VLOOKUP($AN55,StateTables!$A$6:$AB$56,15,FALSE)=0),0,ROUND(VLOOKUP($AN55,StateTables!$A$6:$AB$56,15,FALSE)*IF(OR(VLOOKUP($AN55,StateTables!$A$6:$AB$56,16,FALSE)="",VLOOKUP($AN55,StateTables!$A$6:$AB$56,16,FALSE)=0),$N55,MIN($N55,MAX(0,VLOOKUP($AN55,StateTables!$A$6:$AB$56,16,FALSE)-($AX55+$AB54-$AW55)))),2))))+IF(VLOOKUP($AN55,StateTables!$A$6:$AB$56,27,FALSE)="flatq",IF(OR(MONTH($B55)=1,MONTH($B55)=4,MONTH($B55)=7,MONTH($B55)=10),VLOOKUP($AN55,StateTables!$A$6:$AB$56,28,FALSE),0),IF(VLOOKUP($AN55,StateTables!$A$6:$AB$56,27,FALSE)="dbl",MIN(ROUND(0.005*$N55,2),ROUND(0.6*52/Inputs!$C$8,2)),IF(OR(VLOOKUP($AN55,StateTables!$A$6:$AB$56,18,FALSE)="",VLOOKUP($AN55,StateTables!$A$6:$AB$56,18,FALSE)=0),0,ROUND(VLOOKUP($AN55,StateTables!$A$6:$AB$56,18,FALSE)*IF(OR(VLOOKUP($AN55,StateTables!$A$6:$AB$56,19,FALSE)="",VLOOKUP($AN55,StateTables!$A$6:$AB$56,19,FALSE)=0),$N55,MIN($N55,MAX(0,VLOOKUP($AN55,StateTables!$A$6:$AB$56,19,FALSE)-($AX55+$AB54-$AW55)))),2)))))</f>
      </c>
      <c r="V55" s="7">
        <f>IF($B55="","",IF($AN55="NY",IF(Inputs!$C$78,ROUND(SUMPRODUCT((MAX(0,($O55-$D55)*Inputs!$C$8-(IF($AU55="Married",5500,5000)+1000*$AS55))&gt;INDEX('Methodology &amp; Sources'!$B$184:$J$198,0,4))*(MAX(0,($O55-$D55)*Inputs!$C$8-(IF($AU55="Married",5500,5000)+1000*$AS55))-INDEX('Methodology &amp; Sources'!$B$184:$J$198,0,4))*INDEX('Methodology &amp; Sources'!$B$184:$J$198,0,4+2))/Inputs!$C$8+0.0425*$D55,2),0)+IF(Inputs!$C$79="Resident",ROUND(0.1675*$T55,2),IF(Inputs!$C$79="Nonresident",ROUND(0.005*MAX(0,($O55-$D55)-(IF($AU55="Married",7950,7400)+1000*$AS55)/Inputs!$C$8),2),0)),IF($AN55="PA",IF(Inputs!$C$80="None",Inputs!$C$27+ROUND(Inputs!$C$81*($C55+$D55),2),ROUND(IF(Inputs!$C$80="Resident",IF($B55&lt;DATE(2027,7,1),0.03735,0.03735),IF($B55&lt;DATE(2027,7,1),0.03425,0.03425))*($C55+$D55),2)),IF($BF55=0,ROUND(Inputs!$C$81*($C55+$D55),2),Inputs!$C$27+ROUND(Inputs!$C$81*($C55+$D55),2)))))</f>
      </c>
      <c r="W55" s="7">
        <f>IF($B55="","",IF($BF55=0,0,$BP55))</f>
      </c>
      <c r="X55" s="7">
        <f>IF($B55="","",SUM($E55:$K55)+$P55+$Q55+$R55+$S55+$T55+$U55+$V55+$W55)</f>
      </c>
      <c r="Y55" s="22">
        <f>IF($B55="","",$C55+$D55-$X55)</f>
      </c>
      <c r="Z55" s="7">
        <f>IF($B55="","",$Z54+$C55+$D55)</f>
      </c>
      <c r="AA55" s="7">
        <f>IF($B55="","",$AA54+$Y55)</f>
      </c>
      <c r="AB55" s="7">
        <f>IF($B55="","",$AB54+MIN($N55,MAX(0,'Methodology &amp; Sources'!$C$3-($AX55+$AB54-$AW55))))</f>
      </c>
      <c r="AC55" s="7">
        <f>IF($B55="","",$AC54+$E55+$F55)</f>
      </c>
      <c r="AD55" s="3">
        <f>IF($B55="","",IF(AND($AB54&lt;'Methodology &amp; Sources'!$C$3,$AB55&gt;='Methodology &amp; Sources'!$C$3),"★ Social Security maxed on this check — from the next check your net rises by about $"&amp;TEXT(ROUND('Methodology &amp; Sources'!$C$4*$N55,2),"#,##0.00")&amp;". ","")&amp;IF(AND($AC54&lt;Inputs!$C$34,$AC55&gt;=Inputs!$C$34),"★ 401(k) reaches the $"&amp;TEXT(Inputs!$C$34,"#,##0")&amp;" cap on this check — deferrals stop and net pay rises. ","")&amp;IF(AND($AG54&lt;'Methodology &amp; Sources'!$C$7,$AG55&gt;='Methodology &amp; Sources'!$C$7),"★ Wages pass $200,000 — the 0.9% Additional Medicare Tax starts here. ","")&amp;IF(AND($BJ55&gt;0,$H55&gt;0,$BG54&lt;MIN($BJ55,'Methodology &amp; Sources'!$C$13),$BG54+$H55&gt;=MIN($BJ55,'Methodology &amp; Sources'!$C$13)),"★ Health FSA election is now fully deferred for the year. ",""))</f>
      </c>
      <c r="AE55" s="41" t="n"/>
      <c r="AF55" s="7">
        <f>IF(OR($B55="",$AE55=""),"",$AE55-$Y55)</f>
      </c>
      <c r="AG55" s="7">
        <f>IF($B55="","",$AG54+$N55)</f>
      </c>
      <c r="AH55" s="7">
        <f>IF($B55="","",MAX(0,($M55-$D55)*Inputs!$C$8+$AP55-$AQ55-IF(Inputs!$C$13,0,IF(Inputs!$C$12="MFJ",'Methodology &amp; Sources'!$C$8,'Methodology &amp; Sources'!$C$9))))</f>
      </c>
      <c r="AI55" s="7">
        <f>IF($B55="","",$O55*Inputs!$C$8)</f>
      </c>
      <c r="AJ55" s="7">
        <f>IF($B55="","",MAX(0,$AI55-VLOOKUP($AN55,StateTables!$A$6:$AB$56,12,FALSE)*$AT55-IF(($AS55+$AT55)&gt;=2,VLOOKUP($AN55,StateTables!$A$6:$AB$56,8,FALSE),VLOOKUP($AN55,StateTables!$A$6:$AB$56,7,FALSE))))</f>
      </c>
      <c r="AK55" s="7">
        <f>IF($B55="","",IFERROR(LOOKUP(2,1/((Events!$C$6:$C$17="Salary change")*(Events!$B$6:$B$17&lt;=$B55)*(Events!$B$6:$B$17&lt;&gt;"")),Events!$D$6:$D$17),IF(Inputs!$C$4="Annual salary",Inputs!$C$5,Inputs!$C$6)))</f>
      </c>
      <c r="AL55">
        <f>IF($B55="","",IFERROR(LOOKUP(2,1/((Events!$C$6:$C$17="401(k) change")*(Events!$B$6:$B$17&lt;=$B55)*(Events!$B$6:$B$17&lt;&gt;"")),Events!$D$6:$D$17),Inputs!$C$30))</f>
      </c>
      <c r="AM55" s="7">
        <f>IF($B55="","",IFERROR(LOOKUP(2,1/((Events!$C$6:$C$17="401(k) change")*(Events!$B$6:$B$17&lt;=$B55)*(Events!$B$6:$B$17&lt;&gt;"")),Events!$E$6:$E$17),Inputs!$D$30))</f>
      </c>
      <c r="AN55">
        <f>IF($B55="","",IFERROR(LOOKUP(2,1/((Events!$C$6:$C$17="State move")*(Events!$B$6:$B$17&lt;=$B55)*(Events!$B$6:$B$17&lt;&gt;"")),Events!$D$6:$D$17),Inputs!$C$21))</f>
      </c>
      <c r="AO55" s="7">
        <f>IF($B55="","",IFERROR(LOOKUP(2,1/((Events!$C$6:$C$17="W-4 change")*(Events!$B$6:$B$17&lt;=$B55)*(Events!$B$6:$B$17&lt;&gt;"")),Events!$D$6:$D$17),Inputs!$C$14))</f>
      </c>
      <c r="AP55" s="7">
        <f>IF($B55="","",IFERROR(LOOKUP(2,1/((Events!$C$6:$C$17="W-4 change")*(Events!$B$6:$B$17&lt;=$B55)*(Events!$B$6:$B$17&lt;&gt;"")),Events!$E$6:$E$17),Inputs!$C$15))</f>
      </c>
      <c r="AQ55" s="7">
        <f>IF($B55="","",IFERROR(LOOKUP(2,1/((Events!$C$6:$C$17="W-4 change")*(Events!$B$6:$B$17&lt;=$B55)*(Events!$B$6:$B$17&lt;&gt;"")),Events!$F$6:$F$17),Inputs!$C$16))</f>
      </c>
      <c r="AR55" s="7">
        <f>IF($B55="","",IFERROR(LOOKUP(2,1/((Events!$C$6:$C$17="W-4 change")*(Events!$B$6:$B$17&lt;=$B55)*(Events!$B$6:$B$17&lt;&gt;"")),Events!$G$6:$G$17),Inputs!$C$17))</f>
      </c>
      <c r="AS55" s="6">
        <f>IF($B55="","",IFERROR(LOOKUP(2,1/(((Events!$C$6:$C$17="State move")+(Events!$C$6:$C$17="State cert change"))*(Events!$B$6:$B$17&lt;=$B55)*(Events!$B$6:$B$17&lt;&gt;"")),Events!$F$6:$F$17),Inputs!$C$23))</f>
      </c>
      <c r="AT55" s="6">
        <f>IF($B55="","",IFERROR(LOOKUP(2,1/(((Events!$C$6:$C$17="State move")+(Events!$C$6:$C$17="State cert change"))*(Events!$B$6:$B$17&lt;=$B55)*(Events!$B$6:$B$17&lt;&gt;"")),Events!$G$6:$G$17),Inputs!$C$24))</f>
      </c>
      <c r="AU55">
        <f>IF($B55="","",IFERROR(LOOKUP(2,1/((Events!$C$6:$C$17="State move")*(Events!$B$6:$B$17&lt;=$B55)*(Events!$B$6:$B$17&lt;&gt;"")),Events!$E$6:$E$17),Inputs!$C$22))</f>
      </c>
      <c r="AV55" s="6">
        <f>IF($B55="","",1+COUNTIFS(Events!$C$6:$C$17,"Employer change",Events!$B$6:$B$17,"&lt;="&amp;$B55,Events!$B$6:$B$17,"&lt;&gt;"))</f>
      </c>
      <c r="AW55" s="7">
        <f>IF($B55="","",IF($AV55=1,Inputs!$C$94,IF(IFERROR(MATCH(IFERROR(LOOKUP(2,1/((Events!$C$6:$C$17="Employer change")*(Events!$B$6:$B$17&lt;=$B55)*(Events!$B$6:$B$17&lt;&gt;"")),Events!$B$6:$B$17),""),$B$6:$B$68,1),1)&lt;=1,Inputs!$C$94,INDEX($AB$6:$AB$68,MATCH(IFERROR(LOOKUP(2,1/((Events!$C$6:$C$17="Employer change")*(Events!$B$6:$B$17&lt;=$B55)*(Events!$B$6:$B$17&lt;&gt;"")),Events!$B$6:$B$17),""),$B$6:$B$68,1)-1))))</f>
      </c>
      <c r="AX55" s="7">
        <f>IF($B55="","",IF($AV55=1,Inputs!$C$94,IFERROR(LOOKUP(2,1/((Events!$C$6:$C$17="Employer change")*(Events!$B$6:$B$17&lt;=$B55)*(Events!$B$6:$B$17&lt;&gt;"")),Events!$D$6:$D$17),0)))</f>
      </c>
      <c r="AY55" s="7">
        <f>IF($B55="","",($O55-$D55)*Inputs!$C$8)</f>
      </c>
      <c r="AZ55" s="7">
        <f>IF($B55="","",IF($AN55="AL",MAX(0,$AY55-IF($AU55="Married",IF($AY55&lt;=25999,8500,MAX(5000,8500-175*CEILING(($AY55-25999)/500,1))),IF($AU55="Head of household",IF($AY55&lt;=25999,5200,MAX(2500,5200-135*CEILING(($AY55-25999)/500,1))),IF($AY55&lt;=25999,3000,MAX(2500,3000-25*CEILING(($AY55-25999)/500,1)))))-($P55-'Methodology &amp; Sources'!$C$10*$D55)*Inputs!$C$8-IF(OR($AU55="Married",$AU55="Head of household"),3000,1500)-$AT55*IF($AY55&lt;=50000,1000,IF($AY55&lt;=100000,500,300))),IF($AN55="AR",IF(MAX(0,$AY55-2470)&lt;97701,INT(MAX(0,$AY55-2470)/100)*100+50,MAX(0,$AY55-2470)),IF($AN55="DE",MAX(0,$AI55-3250),IF($AN55="HI",MAX(0,$AI55-1144*$AS55-4350),IF($AN55="KS",MAX(0,$AI55-(9160*IF($AU55="Married",2,1)+2320*$AT55+IF($AU55="Head of household",2320,0))),IF($AN55="MD",MAX(0,$AI55-3400-3200*$AS55),IF($AN55="MN",MAX(0,$AY55-5300*$AS55),IF($AN55="MO",MAX(0,$AI55-IF($AU55="Head of household",24150,IF($AU55="Married",IF(Inputs!$C$83,16100,32200),16100))),IF($AN55="MT",$AY55,IF($AN55="ND",($C55+$L55)*Inputs!$C$8,IF($AN55="NE",MAX(0,$AY55-2440*$AS55),IF($AN55="NJ",MAX(0,$AY55-1000*$AS55),IF($AN55="NY",MAX(0,$AY55-(IF($AU55="Married",7950,7400)+1000*$AS55)),IF($AN55="OH",MAX(0,$AY55-650*$AS55),IF($AN55="OK",MAX(0,$AY55-1000*$AS55),IF($AN55="RI",MAX(0,$AI55-1000*$AS55),IF($AN55="SC",MAX(0,$AI55-5000*$AS55-IF($AS55=0,0,MIN(0.1*$AI55,7500))),IF($AN55="VA",MAX(0,$AI55-IF($AU55="Married",17500,8750)-930*$AS55-800*$AT55),IF($AN55="VT",MAX(0,$AI55-5400*$AS55),IF($AN55="WI",MAX(0,$AI55-MAX(0,IF($AU55="Married",9461-0.2*MAX(0,$AI55-25727),6702-0.12*MAX(0,$AI55-17780)))-400*$AS55),IF($AN55="WV",MAX(0,$AI55-2000*$AS55),$AI55))))))))))))))))))))))</f>
      </c>
      <c r="BA55" s="7">
        <f>IF($B55="","",IF($BW55&lt;&gt;"",$BW55,IF($BX55&lt;&gt;"",$BX55,IF($BY55&lt;&gt;"",$BY55,0))))</f>
      </c>
      <c r="BB55" s="7">
        <f>IF($B55="","",IF($AN55="AR",-29*$AS55,IF($AN55="DE",-110*$AS55,IF($AN55="MD",$AZ55*Inputs!$C$74,IF($AN55="AZ",Inputs!$C$82*($M55-$D55)*Inputs!$C$8,IF($AN55="CO",0.044*MAX(0,$AY55-IF($AU55="Married",10000,5000)),IF($AN55="IA",MAX(0,0.038*MAX(0,$AY55-IF($AU55="Head of household",19500,IF($AU55="Married",26000,13000)))-40*$AS55),IF($AN55="ID",0.053*MAX(0,$AY55-IF($AU55="Married",32000,16094)),IF($AN55="IL",0.0495*MAX(0,$AY55-(2925*$AS55+1000*$AT55)),IF($AN55="IN",(0.0295+Inputs!$C$76)*MAX(0,$AY55-(1000*$AS55+1500*$AT55+3000*Inputs!$C$86)),IF($AN55="KY",0.035*MAX(0,$AI55-3360),IF($AN55="LA",IF(Inputs!$C$84="0",0.0309*$AI55,0.0309*MAX(0,$AI55-IF(Inputs!$C$84="2",25750,12875))),IF($AN55="MA",0.05*MIN(MAX(0,$AY55-MIN(($BD54+$Q55+$R55+$S55),2000)-IF($AS55=0,0,IF($AS55=1,4400,1000*$AS55+3400))),1107750)+0.09*MAX(0,MAX(0,$AY55-MIN(($BD54+$Q55+$R55+$S55),2000)-IF($AS55=0,0,IF($AS55=1,4400,1000*$AS55+3400)))-1107750)-IF($AU55="Head of household",120,0)-110*Inputs!$C$75,IF($AN55="MI",0.0425*MAX(0,$AY55-5900*$AS55),IF($AN55="MS",0.04*MAX(0,$AI55-IF($AU55="Head of household",3400,IF($AU55="Married",4600,2300))-Inputs!$C$85-10000),IF($AN55="OR",IF(OR($AU55="Married",AND($AU55="Single",$AS55&gt;=3)),SUMPRODUCT((MAX(0,$AY55-MIN(($P55-'Methodology &amp; Sources'!$C$10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Sources'!$B$211:$J$214,0,4))*(MAX(0,$AY55-MIN(($P55-'Methodology &amp; Sources'!$C$10*$D55)*Inputs!$C$8,IF(OR($AU55="Married",AND($AU55="Single",$AS55&gt;=3)),IF($AY55&lt;250000,8750,IF($AY55&lt;260000,7000,IF($AY55&lt;270000,5250,IF($AY55&lt;280000,3500,IF($AY55&lt;290000,1750,0))))),IF($AY55&lt;125000,8750,IF($AY55&lt;130000,7000,IF($AY55&lt;135000,5250,IF($AY55&lt;140000,3500,IF($AY55&lt;145000,1750,0)))))))-IF(OR($AU55="Married",AND($AU55="Single",$AS55&gt;=3)),5820,2910))-INDEX('Methodology &amp; Sources'!$B$211:$J$214,0,4))*INDEX('Methodology &amp; Sources'!$B$211:$J$214,0,4+2)),SUMPRODUCT((MAX(0,$AY55-MIN(($P55-'Methodology &amp; Sources'!$C$10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Sources'!$B$211:$J$214,0,1))*(MAX(0,$AY55-MIN(($P55-'Methodology &amp; Sources'!$C$10*$D55)*Inputs!$C$8,IF(OR($AU55="Married",AND($AU55="Single",$AS55&gt;=3)),IF($AY55&lt;250000,8750,IF($AY55&lt;260000,7000,IF($AY55&lt;270000,5250,IF($AY55&lt;280000,3500,IF($AY55&lt;290000,1750,0))))),IF($AY55&lt;125000,8750,IF($AY55&lt;130000,7000,IF($AY55&lt;135000,5250,IF($AY55&lt;140000,3500,IF($AY55&lt;145000,1750,0)))))))-IF(OR($AU55="Married",AND($AU55="Single",$AS55&gt;=3)),5820,2910))-INDEX('Methodology &amp; Sources'!$B$211:$J$214,0,1))*INDEX('Methodology &amp; Sources'!$B$211:$J$214,0,1+2)))+263-263*IF(IF($AU55="Married",$AY55&gt;200000,$AY55&gt;100000),0,$AS55),IF($AN55="PA",0.0307*(($O55+$E55+$G55)*Inputs!$C$8),IF($AN55="NY",IF($AU55="Married",IF($AZ55&gt;=2155350,0,IF($AZ55&gt;=1077550,0.48,IF($AZ55&gt;=373200,1.21,IF($AZ55&gt;=323200,0.21,IF($AZ55&gt;=211550,-0.19,IF($AZ55&gt;=157650,-2.8,IF($AZ55&gt;=107650,-0.8,IF($AZ55&gt;=96800,0.05,IF($AZ55&gt;=80650,-0.1,IF($AZ55&gt;=13900,0.4,IF($AZ55&gt;=11700,-0.3,IF($AZ55&gt;=8500,0.5,0)))))))))))),IF($AZ55&gt;=1077550,0,IF($AZ55&gt;=265400,4.29,IF($AZ55&gt;=215400,2.29,IF($AZ55&gt;=157650,2.29,IF($AZ55&gt;=107650,0.29,IF($AZ55&gt;=96800,0.05,IF($AZ55&gt;=80650,-0.1,IF($AZ55&gt;=13900,0.4,IF($AZ55&gt;=11700,-0.3,IF($AZ55&gt;=8500,0.5,0))))))))))),0))))))))))))))))))</f>
      </c>
      <c r="BC55" s="7">
        <f>IF($B55="","",IF($AN55="AL",0.05*$D55,IF($AN55="AR",0.039*$D55,IF($AN55="ID",0.053*$D55,IF($AN55="IN",(0.0295+Inputs!$C$76)*$D55,IF($AN55="KS",0.05*$D55,IF($AN55="MA",0.09*MIN($D55,MAX(0,MAX(0,$AY55-MIN(($BD54+$Q55+$R55+$S55),2000)-IF($AS55=0,0,IF($AS55=1,4400,1000*$AS55+3400)))+$D55-1107750))+0.05*($D55-MIN($D55,MAX(0,MAX(0,$AY55-MIN(($BD54+$Q55+$R55+$S55),2000)-IF($AS55=0,0,IF($AS55=1,4400,1000*$AS55+3400)))+$D55-1107750))),IF($AN55="MD",(0.065+Inputs!$C$74)*$D55,IF($AN55="MI",0.0425*$D55,IF($AN55="MN",0.0625*$D55,IF($AN55="MO",0.047*$D55,IF($AN55="MT",0.05*$D55,IF($AN55="ND",0.015*$D55,IF($AN55="NE",0.035*$D55,IF($AN55="NJ",IF(Inputs!$C$77="B",SUMPRODUCT(($D55*Inputs!$C$8&gt;INDEX('Methodology &amp; Sources'!$B$155:$J$162,0,4))*($D55*Inputs!$C$8-INDEX('Methodology &amp; Sources'!$B$155:$J$162,0,4))*INDEX('Methodology &amp; Sources'!$B$155:$J$162,0,4+2)),IF(Inputs!$C$77="C",SUMPRODUCT(($D55*Inputs!$C$8&gt;INDEX('Methodology &amp; Sources'!$B$155:$J$162,0,7))*($D55*Inputs!$C$8-INDEX('Methodology &amp; Sources'!$B$155:$J$162,0,7))*INDEX('Methodology &amp; Sources'!$B$155:$J$162,0,7+2)),IF(Inputs!$C$77="D",SUMPRODUCT(($D55*Inputs!$C$8&gt;INDEX('Methodology &amp; Sources'!$B$167:$J$179,0,1))*($D55*Inputs!$C$8-INDEX('Methodology &amp; Sources'!$B$167:$J$179,0,1))*INDEX('Methodology &amp; Sources'!$B$167:$J$179,0,1+2)),IF(Inputs!$C$77="E",SUMPRODUCT(($D55*Inputs!$C$8&gt;INDEX('Methodology &amp; Sources'!$B$167:$J$179,0,4))*($D55*Inputs!$C$8-INDEX('Methodology &amp; Sources'!$B$167:$J$179,0,4))*INDEX('Methodology &amp; Sources'!$B$167:$J$179,0,4+2)),SUMPRODUCT(($D55*Inputs!$C$8&gt;INDEX('Methodology &amp; Sources'!$B$155:$J$162,0,1))*($D55*Inputs!$C$8-INDEX('Methodology &amp; Sources'!$B$155:$J$162,0,1))*INDEX('Methodology &amp; Sources'!$B$155:$J$162,0,1+2))))))/Inputs!$C$8,IF($AN55="NY",0.117*$D55,IF($AN55="OH",0.0275*$D55,IF($AN55="OK",0.045*$D55,IF($AN55="OR",0.08*$D55,IF($AN55="WI",IF($AY55&lt;12760,0.0354,IF($AY55&lt;25520,0.0465,IF($AY55&lt;280950,0.053,0.0765)))*$D55,0))))))))))))))))))))</f>
      </c>
      <c r="BD55" s="7">
        <f>IF($B55="","",$BD54+$Q55+$R55+$S55)</f>
      </c>
      <c r="BE55" s="6">
        <f>IF($B55="",$BE54,$BE54+$BF55)</f>
      </c>
      <c r="BF55" s="6">
        <f>IF($B55="","",IF(AND(IF(YEAR(IF(Inputs!$C$7="Weekly",Inputs!$C$90+7*(($BE54+1)-1),IF(Inputs!$C$7="Biweekly",Inputs!$C$90+14*(($BE54+1)-1),IF(Inputs!$C$7="Semimonthly",DATE(YEAR(Inputs!$C$9),MONTH(Inputs!$C$9)+INT((($BE54+1)-1+'Rest of 2026'!$C$2)/2),MIN(DAY(Inputs!$C$9),DAY(EOMONTH(DATE(YEAR(Inputs!$C$9),MONTH(Inputs!$C$9)+INT((($BE54+1)-1+'Rest of 2026'!$C$2)/2),1),0))))+IF(MOD(($BE54+1)-1+'Rest of 2026'!$C$2,2)=1,15,0),EDATE(Inputs!$C$90,($BE54+1)-1)))))&lt;&gt;Inputs!$C$10,"",IF(Inputs!$C$7="Weekly",Inputs!$C$90+7*(($BE54+1)-1),IF(Inputs!$C$7="Biweekly",Inputs!$C$90+14*(($BE54+1)-1),IF(Inputs!$C$7="Semimonthly",DATE(YEAR(Inputs!$C$9),MONTH(Inputs!$C$9)+INT((($BE54+1)-1+'Rest of 2026'!$C$2)/2),MIN(DAY(Inputs!$C$9),DAY(EOMONTH(DATE(YEAR(Inputs!$C$9),MONTH(Inputs!$C$9)+INT((($BE54+1)-1+'Rest of 2026'!$C$2)/2),1),0))))+IF(MOD(($BE54+1)-1+'Rest of 2026'!$C$2,2)=1,15,0),EDATE(Inputs!$C$90,($BE54+1)-1)))))&lt;&gt;"",$B55=IF(YEAR(IF(Inputs!$C$7="Weekly",Inputs!$C$90+7*(($BE54+1)-1),IF(Inputs!$C$7="Biweekly",Inputs!$C$90+14*(($BE54+1)-1),IF(Inputs!$C$7="Semimonthly",DATE(YEAR(Inputs!$C$9),MONTH(Inputs!$C$9)+INT((($BE54+1)-1+'Rest of 2026'!$C$2)/2),MIN(DAY(Inputs!$C$9),DAY(EOMONTH(DATE(YEAR(Inputs!$C$9),MONTH(Inputs!$C$9)+INT((($BE54+1)-1+'Rest of 2026'!$C$2)/2),1),0))))+IF(MOD(($BE54+1)-1+'Rest of 2026'!$C$2,2)=1,15,0),EDATE(Inputs!$C$90,($BE54+1)-1)))))&lt;&gt;Inputs!$C$10,"",IF(Inputs!$C$7="Weekly",Inputs!$C$90+7*(($BE54+1)-1),IF(Inputs!$C$7="Biweekly",Inputs!$C$90+14*(($BE54+1)-1),IF(Inputs!$C$7="Semimonthly",DATE(YEAR(Inputs!$C$9),MONTH(Inputs!$C$9)+INT((($BE54+1)-1+'Rest of 2026'!$C$2)/2),MIN(DAY(Inputs!$C$9),DAY(EOMONTH(DATE(YEAR(Inputs!$C$9),MONTH(Inputs!$C$9)+INT((($BE54+1)-1+'Rest of 2026'!$C$2)/2),1),0))))+IF(MOD(($BE54+1)-1+'Rest of 2026'!$C$2,2)=1,15,0),EDATE(Inputs!$C$90,($BE54+1)-1)))))),1,0))</f>
      </c>
      <c r="BG55" s="7">
        <f>IF($B55="","",$BG54+$H55)</f>
      </c>
      <c r="BH55" s="7">
        <f>IF($B55="","",$BH54+$I55)</f>
      </c>
      <c r="BI55" s="7">
        <f>IF($B55="","",$BI54+$G55)</f>
      </c>
      <c r="BJ55" s="7">
        <f>IF($B55="","",IFERROR(LOOKUP(2,1/((((Events!$C$6:$C$17="Deduction start"))*(Events!$D$6:$D$17="Health FSA"))*(Events!$B$6:$B$17&lt;=$B55)*(Events!$B$6:$B$17&lt;&gt;"")),Events!$E$6:$E$17),Inputs!$D$38))</f>
      </c>
      <c r="BK55" s="7">
        <f>IF($B55="","",IFERROR(LOOKUP(2,1/((((Events!$C$6:$C$17="Deduction start"))*(Events!$D$6:$D$17="Dependent-care FSA"))*(Events!$B$6:$B$17&lt;=$B55)*(Events!$B$6:$B$17&lt;&gt;"")),Events!$E$6:$E$17),Inputs!$D$39))</f>
      </c>
      <c r="BL55" s="7">
        <f>IF($B55="","",IFERROR(LOOKUP(2,1/((((Events!$C$6:$C$17="Deduction start")+(Events!$C$6:$C$17="Deduction stop"))*(Events!$D$6:$D$17="HSA"))*(Events!$B$6:$B$17&lt;=$B55)*(Events!$B$6:$B$17&lt;&gt;"")),Events!$I$6:$I$17),Inputs!$D$35))</f>
      </c>
      <c r="BM55" s="7">
        <f>IF($B55="","",IFERROR(LOOKUP(2,1/((((Events!$C$6:$C$17="Deduction start")+(Events!$C$6:$C$17="Deduction stop"))*(Events!$D$6:$D$17="Premiums"))*(Events!$B$6:$B$17&lt;=$B55)*(Events!$B$6:$B$17&lt;&gt;"")),Events!$I$6:$I$17),Inputs!$D$40+Inputs!$D$41+Inputs!$D$42))</f>
      </c>
      <c r="BN55" s="7">
        <f>IF($B55="","",IFERROR(LOOKUP(2,1/((((Events!$C$6:$C$17="Deduction start")+(Events!$C$6:$C$17="Deduction stop"))*(Events!$D$6:$D$17="Commuter"))*(Events!$B$6:$B$17&lt;=$B55)*(Events!$B$6:$B$17&lt;&gt;"")),Events!$I$6:$I$17),Inputs!$D$43))</f>
      </c>
      <c r="BO55" s="7">
        <f>IF($B55="","",IFERROR(LOOKUP(2,1/((((Events!$C$6:$C$17="Deduction start")+(Events!$C$6:$C$17="Deduction stop"))*(Events!$D$6:$D$17="Other pre-tax"))*(Events!$B$6:$B$17&lt;=$B55)*(Events!$B$6:$B$17&lt;&gt;"")),Events!$I$6:$I$17),Inputs!$D$44))</f>
      </c>
      <c r="BP55" s="7">
        <f>IF($B55="","",IFERROR(LOOKUP(2,1/((((Events!$C$6:$C$17="Deduction start")+(Events!$C$6:$C$17="Deduction stop"))*(Events!$D$6:$D$17="Other post-tax"))*(Events!$B$6:$B$17&lt;=$B55)*(Events!$B$6:$B$17&lt;&gt;"")),Events!$I$6:$I$17),Inputs!$D$45))</f>
      </c>
      <c r="BQ55" s="6">
        <f>IF($B55="","",IFERROR(LOOKUP(2,1/((((Events!$C$6:$C$17="Deduction start")+(Events!$C$6:$C$17="Deduction stop"))*(Events!$D$6:$D$17="Health FSA"))*(Events!$B$6:$B$17&lt;=$B55)*(Events!$B$6:$B$17&lt;&gt;"")),Events!$J$6:$J$17),0))</f>
      </c>
      <c r="BR55" s="6">
        <f>IF($B55="","",IFERROR(LOOKUP(2,1/((((Events!$C$6:$C$17="Deduction start")+(Events!$C$6:$C$17="Deduction stop"))*(Events!$D$6:$D$17="Dependent-care FSA"))*(Events!$B$6:$B$17&lt;=$B55)*(Events!$B$6:$B$17&lt;&gt;"")),Events!$J$6:$J$17),0))</f>
      </c>
      <c r="BS55" s="6">
        <f>IF($B55="","",IF(SUMPRODUCT((Events!$C$6:$C$17="Deduction start")*(Events!$B$6:$B$17&lt;=$B55)*(Events!$B$6:$B$17&lt;&gt;"")*(Events!$D$6:$D$17="Health FSA"))&gt;0,1,0))</f>
      </c>
      <c r="BT55" s="6">
        <f>IF($B55="","",IF(SUMPRODUCT((Events!$C$6:$C$17="Deduction start")*(Events!$B$6:$B$17&lt;=$B55)*(Events!$B$6:$B$17&lt;&gt;"")*(Events!$D$6:$D$17="Dependent-care FSA"))&gt;0,1,0))</f>
      </c>
      <c r="BU55" s="24">
        <f>IF($B55="","",IF(Inputs!$C$13,SUMPRODUCT(($AH55&gt;=INDEX('Methodology &amp; Sources'!$B$29:$J$36,0,IF(Inputs!$C$12="MFJ",1,IF(Inputs!$C$12="HoH",7,4))))*INDEX('Methodology &amp; Sources'!$B$29:$J$36,0,IF(Inputs!$C$12="MFJ",1,IF(Inputs!$C$12="HoH",7,4))+2)),SUMPRODUCT(($AH55&gt;=INDEX('Methodology &amp; Sources'!$B$19:$J$26,0,IF(Inputs!$C$12="MFJ",1,IF(Inputs!$C$12="HoH",7,4))))*INDEX('Methodology &amp; Sources'!$B$19:$J$26,0,IF(Inputs!$C$12="MFJ",1,IF(Inputs!$C$12="HoH",7,4))+2))))</f>
      </c>
      <c r="BV55" s="24">
        <f>IF($B55="","",IF($BZ55&lt;&gt;"",$BZ55,IF($CA55&lt;&gt;"",$CA55,IF($CB55&lt;&gt;"",$CB55,IF($CC55&lt;&gt;"",$CC55,0)))))</f>
      </c>
      <c r="BW55" s="7">
        <f>IF($B55="","",IF($AN55="MD",IF(OR($AU55="Married",$AU55="Head of household"),SUMPRODUCT(($AZ55&gt;INDEX('Methodology &amp; Sources'!$B$114:$J$120,0,1))*($AZ55-INDEX('Methodology &amp; Sources'!$B$114:$J$120,0,1))*INDEX('Methodology &amp; Sources'!$B$114:$J$120,0,1+2)),SUMPRODUCT(($AZ55&gt;INDEX('Methodology &amp; Sources'!$B$103:$J$109,0,7))*($AZ55-INDEX('Methodology &amp; Sources'!$B$103:$J$109,0,7))*INDEX('Methodology &amp; Sources'!$B$103:$J$109,0,7+2))),IF($AN55="MO",SUMPRODUCT(($AZ55&gt;INDEX('Methodology &amp; Sources'!$B$125:$J$132,0,1))*($AZ55-INDEX('Methodology &amp; Sources'!$B$125:$J$132,0,1))*INDEX('Methodology &amp; Sources'!$B$125:$J$132,0,1+2)),IF($AN55="MT",IF($AU55="Head of household",SUMPRODUCT(($AZ55&gt;INDEX('Methodology &amp; Sources'!$B$137:$J$139,0,1))*($AZ55-INDEX('Methodology &amp; Sources'!$B$137:$J$139,0,1))*INDEX('Methodology &amp; Sources'!$B$137:$J$139,0,1+2)),IF($AU55="Married",SUMPRODUCT(($AZ55&gt;INDEX('Methodology &amp; Sources'!$B$125:$J$132,0,7))*($AZ55-INDEX('Methodology &amp; Sources'!$B$125:$J$132,0,7))*INDEX('Methodology &amp; Sources'!$B$125:$J$132,0,7+2)),SUMPRODUCT(($AZ55&gt;INDEX('Methodology &amp; Sources'!$B$125:$J$132,0,4))*($AZ55-INDEX('Methodology &amp; Sources'!$B$125:$J$132,0,4))*INDEX('Methodology &amp; Sources'!$B$125:$J$132,0,4+2)))),IF($AN55="ND",IF($AU55="Head of household",SUMPRODUCT(($AZ55&gt;INDEX('Methodology &amp; Sources'!$B$144:$J$150,0,1))*($AZ55-INDEX('Methodology &amp; Sources'!$B$144:$J$150,0,1))*INDEX('Methodology &amp; Sources'!$B$144:$J$150,0,1+2)),IF($AU55="Married",SUMPRODUCT(($AZ55&gt;INDEX('Methodology &amp; Sources'!$B$137:$J$139,0,7))*($AZ55-INDEX('Methodology &amp; Sources'!$B$137:$J$139,0,7))*INDEX('Methodology &amp; Sources'!$B$137:$J$139,0,7+2)),SUMPRODUCT(($AZ55&gt;INDEX('Methodology &amp; Sources'!$B$137:$J$139,0,4))*($AZ55-INDEX('Methodology &amp; Sources'!$B$137:$J$139,0,4))*INDEX('Methodology &amp; Sources'!$B$137:$J$139,0,4+2)))),IF($AN55="NJ",IF(Inputs!$C$77="B",SUMPRODUCT(($AZ55&gt;INDEX('Methodology &amp; Sources'!$B$155:$J$162,0,4))*($AZ55-INDEX('Methodology &amp; Sources'!$B$155:$J$162,0,4))*INDEX('Methodology &amp; Sources'!$B$155:$J$162,0,4+2)),IF(Inputs!$C$77="C",SUMPRODUCT(($AZ55&gt;INDEX('Methodology &amp; Sources'!$B$155:$J$162,0,7))*($AZ55-INDEX('Methodology &amp; Sources'!$B$155:$J$162,0,7))*INDEX('Methodology &amp; Sources'!$B$155:$J$162,0,7+2)),IF(Inputs!$C$77="D",SUMPRODUCT(($AZ55&gt;INDEX('Methodology &amp; Sources'!$B$167:$J$179,0,1))*($AZ55-INDEX('Methodology &amp; Sources'!$B$167:$J$179,0,1))*INDEX('Methodology &amp; Sources'!$B$167:$J$179,0,1+2)),IF(Inputs!$C$77="E",SUMPRODUCT(($AZ55&gt;INDEX('Methodology &amp; Sources'!$B$167:$J$179,0,4))*($AZ55-INDEX('Methodology &amp; Sources'!$B$167:$J$179,0,4))*INDEX('Methodology &amp; Sources'!$B$167:$J$179,0,4+2)),SUMPRODUCT(($AZ55&gt;INDEX('Methodology &amp; Sources'!$B$155:$J$162,0,1))*($AZ55-INDEX('Methodology &amp; Sources'!$B$155:$J$162,0,1))*INDEX('Methodology &amp; Sources'!$B$155:$J$162,0,1+2)))))),IF($AN55="NY",IF($AU55="Married",IF($AZ55&gt;=2155350,$AZ55*IF($AZ55&gt;25000000,0.117,IF($AZ55&gt;5000000,0.111,0.1045)),SUMPRODUCT(($AZ55&gt;INDEX('Methodology &amp; Sources'!$B$184:$J$198,0,1))*($AZ55-INDEX('Methodology &amp; Sources'!$B$184:$J$198,0,1))*INDEX('Methodology &amp; Sources'!$B$184:$J$198,0,1+2))),IF($AZ55&gt;=1077550,$AZ55*IF($AZ55&gt;25000000,0.117,IF($AZ55&gt;5000000,0.111,0.1045)),SUMPRODUCT(($AZ55&gt;INDEX('Methodology &amp; Sources'!$B$167:$J$179,0,7))*($AZ55-INDEX('Methodology &amp; Sources'!$B$167:$J$179,0,7))*INDEX('Methodology &amp; Sources'!$B$167:$J$179,0,7+2)))),"")))))))</f>
      </c>
      <c r="BX55" s="7">
        <f>IF($B55="","",IF($AN55="AL",IF(OR($AU55="Married",$AU55="Head of household"),SUMPRODUCT(($AZ55&gt;INDEX('Methodology &amp; Sources'!$B$82:$J$86,0,4))*($AZ55-INDEX('Methodology &amp; Sources'!$B$82:$J$86,0,4))*INDEX('Methodology &amp; Sources'!$B$82:$J$86,0,4+2)),SUMPRODUCT(($AZ55&gt;INDEX('Methodology &amp; Sources'!$B$82:$J$86,0,1))*($AZ55-INDEX('Methodology &amp; Sources'!$B$82:$J$86,0,1))*INDEX('Methodology &amp; Sources'!$B$82:$J$86,0,1+2))),IF($AN55="KS",IF($AU55="Married",SUMPRODUCT(($AZ55&gt;INDEX('Methodology &amp; Sources'!$B$103:$J$109,0,4))*($AZ55-INDEX('Methodology &amp; Sources'!$B$103:$J$109,0,4))*INDEX('Methodology &amp; Sources'!$B$103:$J$109,0,4+2)),SUMPRODUCT(($AZ55&gt;INDEX('Methodology &amp; Sources'!$B$103:$J$109,0,1))*($AZ55-INDEX('Methodology &amp; Sources'!$B$103:$J$109,0,1))*INDEX('Methodology &amp; Sources'!$B$103:$J$109,0,1+2))),IF($AN55="MN",IF($AU55="Married",SUMPRODUCT(($AZ55&gt;INDEX('Methodology &amp; Sources'!$B$114:$J$120,0,7))*($AZ55-INDEX('Methodology &amp; Sources'!$B$114:$J$120,0,7))*INDEX('Methodology &amp; Sources'!$B$114:$J$120,0,7+2)),SUMPRODUCT(($AZ55&gt;INDEX('Methodology &amp; Sources'!$B$114:$J$120,0,4))*($AZ55-INDEX('Methodology &amp; Sources'!$B$114:$J$120,0,4))*INDEX('Methodology &amp; Sources'!$B$114:$J$120,0,4+2))),IF($AN55="NE",MAX(IF($AU55="Married",SUMPRODUCT(($AZ55&gt;INDEX('Methodology &amp; Sources'!$B$144:$J$150,0,7))*($AZ55-INDEX('Methodology &amp; Sources'!$B$144:$J$150,0,7))*INDEX('Methodology &amp; Sources'!$B$144:$J$150,0,7+2)),SUMPRODUCT(($AZ55&gt;INDEX('Methodology &amp; Sources'!$B$144:$J$150,0,4))*($AZ55-INDEX('Methodology &amp; Sources'!$B$144:$J$150,0,4))*INDEX('Methodology &amp; Sources'!$B$144:$J$150,0,4+2))),0.015*$AZ55),IF($AN55="OH",IF($B55&gt;=DATE(2027,8,1),SUMPRODUCT(($AZ55&gt;INDEX('Methodology &amp; Sources'!$B$203:$J$206,0,1))*($AZ55-INDEX('Methodology &amp; Sources'!$B$203:$J$206,0,1))*INDEX('Methodology &amp; Sources'!$B$203:$J$206,0,1+2)),SUMPRODUCT(($AZ55&gt;INDEX('Methodology &amp; Sources'!$B$184:$J$198,0,7))*($AZ55-INDEX('Methodology &amp; Sources'!$B$184:$J$198,0,7))*INDEX('Methodology &amp; Sources'!$B$184:$J$198,0,7+2))),IF($AN55="OK",IF($AU55="Married",SUMPRODUCT(($AZ55&gt;INDEX('Methodology &amp; Sources'!$B$203:$J$206,0,7))*($AZ55-INDEX('Methodology &amp; Sources'!$B$203:$J$206,0,7))*INDEX('Methodology &amp; Sources'!$B$203:$J$206,0,7+2)),SUMPRODUCT(($AZ55&gt;INDEX('Methodology &amp; Sources'!$B$203:$J$206,0,4))*($AZ55-INDEX('Methodology &amp; Sources'!$B$203:$J$206,0,4))*INDEX('Methodology &amp; Sources'!$B$203:$J$206,0,4+2))),IF($AN55="RI",SUMPRODUCT(($AZ55&gt;INDEX('Methodology &amp; Sources'!$B$211:$J$214,0,7))*($AZ55-INDEX('Methodology &amp; Sources'!$B$211:$J$214,0,7))*INDEX('Methodology &amp; Sources'!$B$211:$J$214,0,7+2)),IF($AN55="VT",IF($AU55="Married",SUMPRODUCT(($AZ55&gt;INDEX('Methodology &amp; Sources'!$B$228:$J$232,0,1))*($AZ55-INDEX('Methodology &amp; Sources'!$B$228:$J$232,0,1))*INDEX('Methodology &amp; Sources'!$B$228:$J$232,0,1+2)),SUMPRODUCT(($AZ55&gt;INDEX('Methodology &amp; Sources'!$B$219:$J$223,0,7))*($AZ55-INDEX('Methodology &amp; Sources'!$B$219:$J$223,0,7))*INDEX('Methodology &amp; Sources'!$B$219:$J$223,0,7+2))),IF($AN55="WV",IF($AU55="Married",SUMPRODUCT(($AZ55&gt;INDEX('Methodology &amp; Sources'!$B$237:$J$241,0,7))*($AZ55-INDEX('Methodology &amp; Sources'!$B$237:$J$241,0,7))*INDEX('Methodology &amp; Sources'!$B$237:$J$241,0,7+2)),SUMPRODUCT(($AZ55&gt;INDEX('Methodology &amp; Sources'!$B$228:$J$232,0,7))*($AZ55-INDEX('Methodology &amp; Sources'!$B$228:$J$232,0,7))*INDEX('Methodology &amp; Sources'!$B$228:$J$232,0,7+2))),""))))))))))</f>
      </c>
      <c r="BY55" s="7">
        <f>IF($B55="","",IF($AN55="AR",SUMPRODUCT(($AZ55&gt;INDEX('Methodology &amp; Sources'!$B$82:$J$86,0,7))*($AZ55-INDEX('Methodology &amp; Sources'!$B$82:$J$86,0,7))*INDEX('Methodology &amp; Sources'!$B$82:$J$86,0,7+2)),IF($AN55="DE",SUMPRODUCT(($AZ55&gt;INDEX('Methodology &amp; Sources'!$B$91:$J$98,0,1))*($AZ55-INDEX('Methodology &amp; Sources'!$B$91:$J$98,0,1))*INDEX('Methodology &amp; Sources'!$B$91:$J$98,0,1+2)),IF($AN55="HI",IF($AU55="Married",SUMPRODUCT(($AZ55&gt;INDEX('Methodology &amp; Sources'!$B$91:$J$98,0,7))*($AZ55-INDEX('Methodology &amp; Sources'!$B$91:$J$98,0,7))*INDEX('Methodology &amp; Sources'!$B$91:$J$98,0,7+2)),SUMPRODUCT(($AZ55&gt;INDEX('Methodology &amp; Sources'!$B$91:$J$98,0,4))*($AZ55-INDEX('Methodology &amp; Sources'!$B$91:$J$98,0,4))*INDEX('Methodology &amp; Sources'!$B$91:$J$98,0,4+2))),IF($AN55="SC",SUMPRODUCT(($AZ55&gt;INDEX('Methodology &amp; Sources'!$B$219:$J$223,0,1))*($AZ55-INDEX('Methodology &amp; Sources'!$B$219:$J$223,0,1))*INDEX('Methodology &amp; Sources'!$B$219:$J$223,0,1+2)),IF($AN55="VA",SUMPRODUCT(($AZ55&gt;INDEX('Methodology &amp; Sources'!$B$219:$J$223,0,4))*($AZ55-INDEX('Methodology &amp; Sources'!$B$219:$J$223,0,4))*INDEX('Methodology &amp; Sources'!$B$219:$J$223,0,4+2)),IF($AN55="WI",SUMPRODUCT(($AZ55&gt;INDEX('Methodology &amp; Sources'!$B$228:$J$232,0,4))*($AZ55-INDEX('Methodology &amp; Sources'!$B$228:$J$232,0,4))*INDEX('Methodology &amp; Sources'!$B$228:$J$232,0,4+2)),"")))))))</f>
      </c>
      <c r="BZ55" s="24">
        <f>IF($B55="","",IF($AN55="NJ",IF(Inputs!$C$77="B",SUMPRODUCT(($AZ55&gt;=INDEX('Methodology &amp; Sources'!$B$155:$J$162,0,4))*INDEX('Methodology &amp; Sources'!$B$155:$J$162,0,4+2)),IF(Inputs!$C$77="C",SUMPRODUCT(($AZ55&gt;=INDEX('Methodology &amp; Sources'!$B$155:$J$162,0,7))*INDEX('Methodology &amp; Sources'!$B$155:$J$162,0,7+2)),IF(Inputs!$C$77="D",SUMPRODUCT(($AZ55&gt;=INDEX('Methodology &amp; Sources'!$B$167:$J$179,0,1))*INDEX('Methodology &amp; Sources'!$B$167:$J$179,0,1+2)),IF(Inputs!$C$77="E",SUMPRODUCT(($AZ55&gt;=INDEX('Methodology &amp; Sources'!$B$167:$J$179,0,4))*INDEX('Methodology &amp; Sources'!$B$167:$J$179,0,4+2)),SUMPRODUCT(($AZ55&gt;=INDEX('Methodology &amp; Sources'!$B$155:$J$162,0,1))*INDEX('Methodology &amp; Sources'!$B$155:$J$162,0,1+2)))))),IF($AN55="OR",IF(OR($AU55="Married",AND($AU55="Single",$AS55&gt;=3)),SUMPRODUCT((MAX(0,$AY55-MIN(($P55-'Methodology &amp; Sources'!$C$10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Sources'!$B$211:$J$214,0,4))*INDEX('Methodology &amp; Sources'!$B$211:$J$214,0,4+2)),SUMPRODUCT((MAX(0,$AY55-MIN(($P55-'Methodology &amp; Sources'!$C$10*$D55)*Inputs!$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Sources'!$B$211:$J$214,0,1))*INDEX('Methodology &amp; Sources'!$B$211:$J$214,0,1+2)))*IF(($P55-'Methodology &amp; Sources'!$C$10*$D55)*Inputs!$C$8&gt;=IF(OR($AU55="Married",AND($AU55="Single",$AS55&gt;=3)),IF($AY55&lt;250000,8750,IF($AY55&lt;260000,7000,IF($AY55&lt;270000,5250,IF($AY55&lt;280000,3500,IF($AY55&lt;290000,1750,0))))),IF($AY55&lt;125000,8750,IF($AY55&lt;130000,7000,IF($AY55&lt;135000,5250,IF($AY55&lt;140000,3500,IF($AY55&lt;145000,1750,0)))))),1,1-IF(Inputs!$C$13,SUMPRODUCT(($AH55&gt;=INDEX('Methodology &amp; Sources'!$B$29:$J$36,0,IF(Inputs!$C$12="MFJ",1,IF(Inputs!$C$12="HoH",7,4))))*INDEX('Methodology &amp; Sources'!$B$29:$J$36,0,IF(Inputs!$C$12="MFJ",1,IF(Inputs!$C$12="HoH",7,4))+2)),SUMPRODUCT(($AH55&gt;=INDEX('Methodology &amp; Sources'!$B$19:$J$26,0,IF(Inputs!$C$12="MFJ",1,IF(Inputs!$C$12="HoH",7,4))))*INDEX('Methodology &amp; Sources'!$B$19:$J$26,0,IF(Inputs!$C$12="MFJ",1,IF(Inputs!$C$12="HoH",7,4))+2)))),IF($AN55="MI",IF($AY55&gt;5900*$AS55,0.0425,0),""))))</f>
      </c>
      <c r="CA55" s="24">
        <f>IF($B55="","",IF($AN55="AL",IF(OR($AU55="Married",$AU55="Head of household"),SUMPRODUCT(($AZ55&gt;=INDEX('Methodology &amp; Sources'!$B$82:$J$86,0,4))*INDEX('Methodology &amp; Sources'!$B$82:$J$86,0,4+2)),SUMPRODUCT(($AZ55&gt;=INDEX('Methodology &amp; Sources'!$B$82:$J$86,0,1))*INDEX('Methodology &amp; Sources'!$B$82:$J$86,0,1+2)))*(1-IF(Inputs!$C$13,SUMPRODUCT(($AH55&gt;=INDEX('Methodology &amp; Sources'!$B$29:$J$36,0,IF(Inputs!$C$12="MFJ",1,IF(Inputs!$C$12="HoH",7,4))))*INDEX('Methodology &amp; Sources'!$B$29:$J$36,0,IF(Inputs!$C$12="MFJ",1,IF(Inputs!$C$12="HoH",7,4))+2)),SUMPRODUCT(($AH55&gt;=INDEX('Methodology &amp; Sources'!$B$19:$J$26,0,IF(Inputs!$C$12="MFJ",1,IF(Inputs!$C$12="HoH",7,4))))*INDEX('Methodology &amp; Sources'!$B$19:$J$26,0,IF(Inputs!$C$12="MFJ",1,IF(Inputs!$C$12="HoH",7,4))+2)))),IF($AN55="KS",IF($AU55="Married",SUMPRODUCT(($AZ55&gt;=INDEX('Methodology &amp; Sources'!$B$103:$J$109,0,4))*INDEX('Methodology &amp; Sources'!$B$103:$J$109,0,4+2)),SUMPRODUCT(($AZ55&gt;=INDEX('Methodology &amp; Sources'!$B$103:$J$109,0,1))*INDEX('Methodology &amp; Sources'!$B$103:$J$109,0,1+2))),IF($AN55="MD",IF(OR($AU55="Married",$AU55="Head of household"),SUMPRODUCT(($AZ55&gt;=INDEX('Methodology &amp; Sources'!$B$114:$J$120,0,1))*INDEX('Methodology &amp; Sources'!$B$114:$J$120,0,1+2)),SUMPRODUCT(($AZ55&gt;=INDEX('Methodology &amp; Sources'!$B$103:$J$109,0,7))*INDEX('Methodology &amp; Sources'!$B$103:$J$109,0,7+2)))+Inputs!$C$74,IF($AN55="MT",IF($AU55="Head of household",SUMPRODUCT(($AZ55&gt;=INDEX('Methodology &amp; Sources'!$B$137:$J$139,0,1))*INDEX('Methodology &amp; Sources'!$B$137:$J$139,0,1+2)),IF($AU55="Married",SUMPRODUCT(($AZ55&gt;=INDEX('Methodology &amp; Sources'!$B$125:$J$132,0,7))*INDEX('Methodology &amp; Sources'!$B$125:$J$132,0,7+2)),SUMPRODUCT(($AZ55&gt;=INDEX('Methodology &amp; Sources'!$B$125:$J$132,0,4))*INDEX('Methodology &amp; Sources'!$B$125:$J$132,0,4+2)))),IF($AN55="ND",IF($AU55="Head of household",SUMPRODUCT(($AZ55&gt;=INDEX('Methodology &amp; Sources'!$B$144:$J$150,0,1))*INDEX('Methodology &amp; Sources'!$B$144:$J$150,0,1+2)),IF($AU55="Married",SUMPRODUCT(($AZ55&gt;=INDEX('Methodology &amp; Sources'!$B$137:$J$139,0,7))*INDEX('Methodology &amp; Sources'!$B$137:$J$139,0,7+2)),SUMPRODUCT(($AZ55&gt;=INDEX('Methodology &amp; Sources'!$B$137:$J$139,0,4))*INDEX('Methodology &amp; Sources'!$B$137:$J$139,0,4+2)))),IF($AN55="NY",IF($AU55="Married",IF($AZ55&gt;=2155350,IF($AZ55&gt;25000000,0.117,IF($AZ55&gt;5000000,0.111,0.1045)),SUMPRODUCT(($AZ55&gt;=INDEX('Methodology &amp; Sources'!$B$184:$J$198,0,1))*INDEX('Methodology &amp; Sources'!$B$184:$J$198,0,1+2))),IF($AZ55&gt;=1077550,IF($AZ55&gt;25000000,0.117,IF($AZ55&gt;5000000,0.111,0.1045)),SUMPRODUCT(($AZ55&gt;=INDEX('Methodology &amp; Sources'!$B$167:$J$179,0,7))*INDEX('Methodology &amp; Sources'!$B$167:$J$179,0,7+2)))),"")))))))</f>
      </c>
      <c r="CB55" s="24">
        <f>IF($B55="","",IF($AN55="CA",SUMPRODUCT(($AJ55&gt;=INDEX('Methodology &amp; Sources'!$B$39:$J$48,0,IF($AU55="Married",4,IF($AU55="Head of household",7,1))))*INDEX('Methodology &amp; Sources'!$B$39:$J$48,0,IF($AU55="Married",4,IF($AU55="Head of household",7,1))+2)),IF($AN55="HI",IF($AU55="Married",SUMPRODUCT(($AZ55&gt;=INDEX('Methodology &amp; Sources'!$B$91:$J$98,0,7))*INDEX('Methodology &amp; Sources'!$B$91:$J$98,0,7+2)),SUMPRODUCT(($AZ55&gt;=INDEX('Methodology &amp; Sources'!$B$91:$J$98,0,4))*INDEX('Methodology &amp; Sources'!$B$91:$J$98,0,4+2))),IF($AN55="MN",IF($AU55="Married",SUMPRODUCT(($AZ55&gt;=INDEX('Methodology &amp; Sources'!$B$114:$J$120,0,7))*INDEX('Methodology &amp; Sources'!$B$114:$J$120,0,7+2)),SUMPRODUCT(($AZ55&gt;=INDEX('Methodology &amp; Sources'!$B$114:$J$120,0,4))*INDEX('Methodology &amp; Sources'!$B$114:$J$120,0,4+2))),IF($AN55="MO",SUMPRODUCT(($AZ55&gt;=INDEX('Methodology &amp; Sources'!$B$125:$J$132,0,1))*INDEX('Methodology &amp; Sources'!$B$125:$J$132,0,1+2)),IF($AN55="NE",MAX(IF($AU55="Married",SUMPRODUCT(($AZ55&gt;=INDEX('Methodology &amp; Sources'!$B$144:$J$150,0,7))*INDEX('Methodology &amp; Sources'!$B$144:$J$150,0,7+2)),SUMPRODUCT(($AZ55&gt;=INDEX('Methodology &amp; Sources'!$B$144:$J$150,0,4))*INDEX('Methodology &amp; Sources'!$B$144:$J$150,0,4+2))),0.015),IF($AN55="OH",IF($B55&gt;=DATE(2027,8,1),SUMPRODUCT(($AZ55&gt;=INDEX('Methodology &amp; Sources'!$B$203:$J$206,0,1))*INDEX('Methodology &amp; Sources'!$B$203:$J$206,0,1+2)),SUMPRODUCT(($AZ55&gt;=INDEX('Methodology &amp; Sources'!$B$184:$J$198,0,7))*INDEX('Methodology &amp; Sources'!$B$184:$J$198,0,7+2))),IF($AN55="OK",IF($AU55="Married",SUMPRODUCT(($AZ55&gt;=INDEX('Methodology &amp; Sources'!$B$203:$J$206,0,7))*INDEX('Methodology &amp; Sources'!$B$203:$J$206,0,7+2)),SUMPRODUCT(($AZ55&gt;=INDEX('Methodology &amp; Sources'!$B$203:$J$206,0,4))*INDEX('Methodology &amp; Sources'!$B$203:$J$206,0,4+2))),IF($AN55="RI",SUMPRODUCT(($AZ55&gt;=INDEX('Methodology &amp; Sources'!$B$211:$J$214,0,7))*INDEX('Methodology &amp; Sources'!$B$211:$J$214,0,7+2)),IF($AN55="SC",SUMPRODUCT(($AZ55&gt;=INDEX('Methodology &amp; Sources'!$B$219:$J$223,0,1))*INDEX('Methodology &amp; Sources'!$B$219:$J$223,0,1+2)),IF($AN55="VT",IF($AU55="Married",SUMPRODUCT(($AZ55&gt;=INDEX('Methodology &amp; Sources'!$B$228:$J$232,0,1))*INDEX('Methodology &amp; Sources'!$B$228:$J$232,0,1+2)),SUMPRODUCT(($AZ55&gt;=INDEX('Methodology &amp; Sources'!$B$219:$J$223,0,7))*INDEX('Methodology &amp; Sources'!$B$219:$J$223,0,7+2))),IF($AN55="WV",IF($AU55="Married",SUMPRODUCT(($AZ55&gt;=INDEX('Methodology &amp; Sources'!$B$237:$J$241,0,7))*INDEX('Methodology &amp; Sources'!$B$237:$J$241,0,7+2)),SUMPRODUCT(($AZ55&gt;=INDEX('Methodology &amp; Sources'!$B$228:$J$232,0,7))*INDEX('Methodology &amp; Sources'!$B$228:$J$232,0,7+2))),IF($AN55="IN",(0.0295+Inputs!$C$76),"")))))))))))))</f>
      </c>
      <c r="CC55" s="24">
        <f>IF($B55="","",IF($AN55="AR",SUMPRODUCT(($AZ55&gt;=INDEX('Methodology &amp; Sources'!$B$82:$J$86,0,7))*INDEX('Methodology &amp; Sources'!$B$82:$J$86,0,7+2)),IF($AN55="DE",SUMPRODUCT(($AZ55&gt;=INDEX('Methodology &amp; Sources'!$B$91:$J$98,0,1))*INDEX('Methodology &amp; Sources'!$B$91:$J$98,0,1+2)),IF($AN55="VA",SUMPRODUCT(($AZ55&gt;=INDEX('Methodology &amp; Sources'!$B$219:$J$223,0,4))*INDEX('Methodology &amp; Sources'!$B$219:$J$223,0,4+2)),IF($AN55="WI",SUMPRODUCT(($AZ55&gt;=INDEX('Methodology &amp; Sources'!$B$228:$J$232,0,4))*INDEX('Methodology &amp; Sources'!$B$228:$J$232,0,4+2)),IF($AN55="AZ",Inputs!$C$82,IF($AN55="CO",IF($AY55&gt;IF($AU55="Married",10000,5000),0.044,0),IF($AN55="IA",IF($AY55&gt;IF($AU55="Head of household",19500,IF($AU55="Married",26000,13000)),0.038,0),IF($AN55="ID",IF($AY55&gt;IF($AU55="Married",32000,16094),0.053,0),IF($AN55="IL",IF($AY55&gt;(2925*$AS55+1000*$AT55),0.0495,0),IF($AN55="KY",IF($AI55&gt;3360,0.035,0),IF($AN55="LA",0.0309,IF($AN55="MA",IF(MAX(0,$AY55-MIN(($BD54+$Q55+$R55+$S55),2000)-IF($AS55=0,0,IF($AS55=1,4400,1000*$AS55+3400)))&gt;=1107750,0.09,0.05),IF($AN55="MS",IF($AI55-IF($AU55="Head of household",3400,IF($AU55="Married",4600,2300))-Inputs!$C$85&gt;10000,0.04,0),IF($AN55="PA",0.0307,"")))))))))))))))</f>
      </c>
      <c r="CD55" s="21">
        <f>IF(YEAR(IF(Inputs!$C$7="Weekly",Inputs!$C$90+7*(($BE54+1)-1),IF(Inputs!$C$7="Biweekly",Inputs!$C$90+14*(($BE54+1)-1),IF(Inputs!$C$7="Semimonthly",DATE(YEAR(Inputs!$C$9),MONTH(Inputs!$C$9)+INT((($BE54+1)-1+'Rest of 2026'!$C$2)/2),MIN(DAY(Inputs!$C$9),DAY(EOMONTH(DATE(YEAR(Inputs!$C$9),MONTH(Inputs!$C$9)+INT((($BE54+1)-1+'Rest of 2026'!$C$2)/2),1),0))))+IF(MOD(($BE54+1)-1+'Rest of 2026'!$C$2,2)=1,15,0),EDATE(Inputs!$C$90,($BE54+1)-1)))))&lt;&gt;Inputs!$C$10,"",IF(Inputs!$C$7="Weekly",Inputs!$C$90+7*(($BE54+1)-1),IF(Inputs!$C$7="Biweekly",Inputs!$C$90+14*(($BE54+1)-1),IF(Inputs!$C$7="Semimonthly",DATE(YEAR(Inputs!$C$9),MONTH(Inputs!$C$9)+INT((($BE54+1)-1+'Rest of 2026'!$C$2)/2),MIN(DAY(Inputs!$C$9),DAY(EOMONTH(DATE(YEAR(Inputs!$C$9),MONTH(Inputs!$C$9)+INT((($BE54+1)-1+'Rest of 2026'!$C$2)/2),1),0))))+IF(MOD(($BE54+1)-1+'Rest of 2026'!$C$2,2)=1,15,0),EDATE(Inputs!$C$90,($BE54+1)-1)))))</f>
      </c>
      <c r="CE55" s="21">
        <f>IF(SUMPRODUCT(MIN(IF((Inputs!$C$58:$C$67&gt;MAX($B$6:$B54))*(Inputs!$C$58:$C$67&gt;=DATE(Inputs!$C$10,1,1))*(Inputs!$C$58:$C$67&lt;=DATE(Inputs!$C$10,12,31)),Inputs!$C$58:$C$67,999999)))=999999,"",SUMPRODUCT(MIN(IF((Inputs!$C$58:$C$67&gt;MAX($B$6:$B54))*(Inputs!$C$58:$C$67&gt;=DATE(Inputs!$C$10,1,1))*(Inputs!$C$58:$C$67&lt;=DATE(Inputs!$C$10,12,31)),Inputs!$C$58:$C$67,999999))))</f>
      </c>
    </row>
    <row r="56">
      <c r="A56" t="n">
        <v>51</v>
      </c>
      <c r="B56" s="21">
        <f>IF(AND($CD56="",$CE56=""),"",IF($CE56="",$CD56,IF($CD56="",$CE56,MIN($CD56,$CE56))))</f>
      </c>
      <c r="C56" s="7">
        <f>IF($B56="","",IF($BF56=0,0,IF(Inputs!$C$4="Annual salary",ROUND($AK56/IF(AND(Inputs!$C$88="Actual paydays",MONTH(Inputs!$C$90)=1),MAX(1,MAX($BE$6:$BE$68)),Inputs!$C$8),2),$AK56)))</f>
      </c>
      <c r="D56" s="7">
        <f>IF($B56="","",SUMIF(Inputs!$C$58:$C$67,$B56,Inputs!$D$58:$D$67))</f>
      </c>
      <c r="E56" s="7">
        <f>IF($B56="","",ROUND(MAX(0,MIN(IF($AL56="Percent",$AM56*($C56+$D56),$AM56),MAX(0,Inputs!$C$34-$AC55))),2))</f>
      </c>
      <c r="F56" s="7">
        <f>IF($B56="","",ROUND(MAX(0,MIN(IF(Inputs!$C$32="Percent",Inputs!$D$32*($C56+$D56),Inputs!$D$32),MAX(0,Inputs!$C$34-$AC55-$E56))),2))</f>
      </c>
      <c r="G56" s="7">
        <f>IF($B56="","",IF($BF56=0,0,ROUND(MAX(0,MIN($BL56,Inputs!$C$37-Inputs!$C$99-$BI55)),2)))</f>
      </c>
      <c r="H56" s="7">
        <f>IF($B56="","",IF(OR($BF56=0,$BQ56=1),0,ROUND(MAX(0,MIN(IF($BS56=1,ROUND(MAX(0,MIN($BJ56,'Methodology &amp; Sources'!$C$13)-$BG55)/MAX(1,MAX($BE$6:$BE$68)-($BE55)),2),ROUND(MIN($BJ56,'Methodology &amp; Sources'!$C$13)/Inputs!$C$8,2)),MIN($BJ56,'Methodology &amp; Sources'!$C$13)-$BG55)),2)))</f>
      </c>
      <c r="I56" s="7">
        <f>IF($B56="","",IF(OR($BF56=0,$BR56=1),0,ROUND(MAX(0,MIN(IF($BT56=1,ROUND(MAX(0,MIN($BK56,IF(Inputs!$C$12="MFJ",'Methodology &amp; Sources'!$C$14,'Methodology &amp; Sources'!$C$15))-$BH55)/MAX(1,MAX($BE$6:$BE$68)-($BE55)),2),ROUND(MIN($BK56,IF(Inputs!$C$12="MFJ",'Methodology &amp; Sources'!$C$14,'Methodology &amp; Sources'!$C$15))/Inputs!$C$8,2)),MIN($BK56,IF(Inputs!$C$12="MFJ",'Methodology &amp; Sources'!$C$14,'Methodology &amp; Sources'!$C$15))-$BH55)),2)))</f>
      </c>
      <c r="J56" s="7">
        <f>IF($B56="","",IF($BF56=0,0,$BM56))</f>
      </c>
      <c r="K56" s="7">
        <f>IF($B56="","",IF($BF56=0,0,$BN56+$BO56))</f>
      </c>
      <c r="L56" s="7">
        <f>IF($B56="","",IF($BF56=0,0,Inputs!$D$46))</f>
      </c>
      <c r="M56" s="7">
        <f>IF($B56="","",$C56+$D56+$L56-$E56-$G56-$H56-$I56-$J56-$K56)</f>
      </c>
      <c r="N56" s="7">
        <f>IF($B56="","",$C56+$D56+$L56-$G56-$H56-$I56-$J56-$K56)</f>
      </c>
      <c r="O56" s="7">
        <f>IF($B56="","",$C56+$D56+$L56-$E56-$H56-$I56-$J56-$K56-IF(OR($AN56="CA",$AN56="NJ"),0,$G56))</f>
      </c>
      <c r="P56" s="7">
        <f>IF($B56="","",IF(Inputs!$C$18,0,ROUND(MAX(0,IF(Inputs!$C$13,SUMPRODUCT(($AH56&gt;INDEX('Methodology &amp; Sources'!$B$29:$J$36,0,IF(Inputs!$C$12="MFJ",1,IF(Inputs!$C$12="HoH",7,4))))*($AH56-INDEX('Methodology &amp; Sources'!$B$29:$J$36,0,IF(Inputs!$C$12="MFJ",1,IF(Inputs!$C$12="HoH",7,4))))*INDEX('Methodology &amp; Sources'!$B$29:$J$36,0,IF(Inputs!$C$12="MFJ",1,IF(Inputs!$C$12="HoH",7,4))+2)),SUMPRODUCT(($AH56&gt;INDEX('Methodology &amp; Sources'!$B$19:$J$26,0,IF(Inputs!$C$12="MFJ",1,IF(Inputs!$C$12="HoH",7,4))))*($AH56-INDEX('Methodology &amp; Sources'!$B$19:$J$26,0,IF(Inputs!$C$12="MFJ",1,IF(Inputs!$C$12="HoH",7,4))))*INDEX('Methodology &amp; Sources'!$B$19:$J$26,0,IF(Inputs!$C$12="MFJ",1,IF(Inputs!$C$12="HoH",7,4))+2)))/Inputs!$C$8-$AO56/Inputs!$C$8)+$AR56+IF(Inputs!$C$89="Aggregate",MAX(0,IF(Inputs!$C$13,SUMPRODUCT((($AH56+$D56)&gt;INDEX('Methodology &amp; Sources'!$B$29:$J$36,0,IF(Inputs!$C$12="MFJ",1,IF(Inputs!$C$12="HoH",7,4))))*(($AH56+$D56)-INDEX('Methodology &amp; Sources'!$B$29:$J$36,0,IF(Inputs!$C$12="MFJ",1,IF(Inputs!$C$12="HoH",7,4))))*INDEX('Methodology &amp; Sources'!$B$29:$J$36,0,IF(Inputs!$C$12="MFJ",1,IF(Inputs!$C$12="HoH",7,4))+2)),SUMPRODUCT((($AH56+$D56)&gt;INDEX('Methodology &amp; Sources'!$B$19:$J$26,0,IF(Inputs!$C$12="MFJ",1,IF(Inputs!$C$12="HoH",7,4))))*(($AH56+$D56)-INDEX('Methodology &amp; Sources'!$B$19:$J$26,0,IF(Inputs!$C$12="MFJ",1,IF(Inputs!$C$12="HoH",7,4))))*INDEX('Methodology &amp; Sources'!$B$19:$J$26,0,IF(Inputs!$C$12="MFJ",1,IF(Inputs!$C$12="HoH",7,4))+2)))-IF(Inputs!$C$13,SUMPRODUCT(($AH56&gt;INDEX('Methodology &amp; Sources'!$B$29:$J$36,0,IF(Inputs!$C$12="MFJ",1,IF(Inputs!$C$12="HoH",7,4))))*($AH56-INDEX('Methodology &amp; Sources'!$B$29:$J$36,0,IF(Inputs!$C$12="MFJ",1,IF(Inputs!$C$12="HoH",7,4))))*INDEX('Methodology &amp; Sources'!$B$29:$J$36,0,IF(Inputs!$C$12="MFJ",1,IF(Inputs!$C$12="HoH",7,4))+2)),SUMPRODUCT(($AH56&gt;INDEX('Methodology &amp; Sources'!$B$19:$J$26,0,IF(Inputs!$C$12="MFJ",1,IF(Inputs!$C$12="HoH",7,4))))*($AH56-INDEX('Methodology &amp; Sources'!$B$19:$J$26,0,IF(Inputs!$C$12="MFJ",1,IF(Inputs!$C$12="HoH",7,4))))*INDEX('Methodology &amp; Sources'!$B$19:$J$26,0,IF(Inputs!$C$12="MFJ",1,IF(Inputs!$C$12="HoH",7,4))+2)))),'Methodology &amp; Sources'!$C$10*$D56),2)))</f>
      </c>
      <c r="Q56" s="7">
        <f>IF($B56="","",ROUND('Methodology &amp; Sources'!$C$4*MIN($N56,MAX(0,'Methodology &amp; Sources'!$C$3-($AX56+$AB55-$AW56))),2))</f>
      </c>
      <c r="R56" s="7">
        <f>IF($B56="","",ROUND('Methodology &amp; Sources'!$C$5*$N56,2))</f>
      </c>
      <c r="S56" s="7">
        <f>IF($B56="","",ROUND('Methodology &amp; Sources'!$C$6*MAX(0,MIN($N56,$AG55+$N56-'Methodology &amp; Sources'!$C$7)),2))</f>
      </c>
      <c r="T56" s="7">
        <f>IF($B56="","",IF(Inputs!$C$26,0,IF($AN56="CA",ROUND(IF($AI56&lt;=IF(($AS56+$AT56)&gt;=2,VLOOKUP($AN56,StateTables!$A$6:$AB$56,10,FALSE),VLOOKUP($AN56,StateTables!$A$6:$AB$56,9,FALSE)),0,MAX(0,SUMPRODUCT(($AJ56&gt;INDEX('Methodology &amp; Sources'!$B$39:$J$48,0,IF($AU56="Married",4,IF($AU56="Head of household",7,1))))*($AJ56-INDEX('Methodology &amp; Sources'!$B$39:$J$48,0,IF($AU56="Married",4,IF($AU56="Head of household",7,1))))*INDEX('Methodology &amp; Sources'!$B$39:$J$48,0,IF($AU56="Married",4,IF($AU56="Head of household",7,1))+2))-VLOOKUP($AN56,StateTables!$A$6:$AB$56,11,FALSE)*$AS56)/Inputs!$C$8)+Inputs!$C$25+VLOOKUP($AN56,StateTables!$A$6:$AB$56,13,FALSE)*$D56,2),IF(VLOOKUP($AN56,StateTables!$A$6:$AB$56,4,FALSE)="None",0,IF(ISNUMBER(SEARCH("MANUAL",VLOOKUP($AN56,StateTables!$A$6:$AB$56,5,FALSE))),Inputs!$C$28,ROUND(MAX(0,$BA56+$BB56)/Inputs!$C$8+Inputs!$C$25+$BC56,2))))))</f>
      </c>
      <c r="U56" s="7">
        <f>IF($B56="","",IF(VLOOKUP($AN56,StateTables!$A$6:$AB$56,24,FALSE)="flatq",IF(OR(MONTH($B56)=1,MONTH($B56)=4,MONTH($B56)=7,MONTH($B56)=10),VLOOKUP($AN56,StateTables!$A$6:$AB$56,25,FALSE),0),IF(VLOOKUP($AN56,StateTables!$A$6:$AB$56,24,FALSE)="dbl",MIN(ROUND(0.005*$N56,2),ROUND(0.6*52/Inputs!$C$8,2)),IF(OR(VLOOKUP($AN56,StateTables!$A$6:$AB$56,15,FALSE)="",VLOOKUP($AN56,StateTables!$A$6:$AB$56,15,FALSE)=0),0,ROUND(VLOOKUP($AN56,StateTables!$A$6:$AB$56,15,FALSE)*IF(OR(VLOOKUP($AN56,StateTables!$A$6:$AB$56,16,FALSE)="",VLOOKUP($AN56,StateTables!$A$6:$AB$56,16,FALSE)=0),$N56,MIN($N56,MAX(0,VLOOKUP($AN56,StateTables!$A$6:$AB$56,16,FALSE)-($AX56+$AB55-$AW56)))),2))))+IF(VLOOKUP($AN56,StateTables!$A$6:$AB$56,27,FALSE)="flatq",IF(OR(MONTH($B56)=1,MONTH($B56)=4,MONTH($B56)=7,MONTH($B56)=10),VLOOKUP($AN56,StateTables!$A$6:$AB$56,28,FALSE),0),IF(VLOOKUP($AN56,StateTables!$A$6:$AB$56,27,FALSE)="dbl",MIN(ROUND(0.005*$N56,2),ROUND(0.6*52/Inputs!$C$8,2)),IF(OR(VLOOKUP($AN56,StateTables!$A$6:$AB$56,18,FALSE)="",VLOOKUP($AN56,StateTables!$A$6:$AB$56,18,FALSE)=0),0,ROUND(VLOOKUP($AN56,StateTables!$A$6:$AB$56,18,FALSE)*IF(OR(VLOOKUP($AN56,StateTables!$A$6:$AB$56,19,FALSE)="",VLOOKUP($AN56,StateTables!$A$6:$AB$56,19,FALSE)=0),$N56,MIN($N56,MAX(0,VLOOKUP($AN56,StateTables!$A$6:$AB$56,19,FALSE)-($AX56+$AB55-$AW56)))),2)))))</f>
      </c>
      <c r="V56" s="7">
        <f>IF($B56="","",IF($AN56="NY",IF(Inputs!$C$78,ROUND(SUMPRODUCT((MAX(0,($O56-$D56)*Inputs!$C$8-(IF($AU56="Married",5500,5000)+1000*$AS56))&gt;INDEX('Methodology &amp; Sources'!$B$184:$J$198,0,4))*(MAX(0,($O56-$D56)*Inputs!$C$8-(IF($AU56="Married",5500,5000)+1000*$AS56))-INDEX('Methodology &amp; Sources'!$B$184:$J$198,0,4))*INDEX('Methodology &amp; Sources'!$B$184:$J$198,0,4+2))/Inputs!$C$8+0.0425*$D56,2),0)+IF(Inputs!$C$79="Resident",ROUND(0.1675*$T56,2),IF(Inputs!$C$79="Nonresident",ROUND(0.005*MAX(0,($O56-$D56)-(IF($AU56="Married",7950,7400)+1000*$AS56)/Inputs!$C$8),2),0)),IF($AN56="PA",IF(Inputs!$C$80="None",Inputs!$C$27+ROUND(Inputs!$C$81*($C56+$D56),2),ROUND(IF(Inputs!$C$80="Resident",IF($B56&lt;DATE(2027,7,1),0.03735,0.03735),IF($B56&lt;DATE(2027,7,1),0.03425,0.03425))*($C56+$D56),2)),IF($BF56=0,ROUND(Inputs!$C$81*($C56+$D56),2),Inputs!$C$27+ROUND(Inputs!$C$81*($C56+$D56),2)))))</f>
      </c>
      <c r="W56" s="7">
        <f>IF($B56="","",IF($BF56=0,0,$BP56))</f>
      </c>
      <c r="X56" s="7">
        <f>IF($B56="","",SUM($E56:$K56)+$P56+$Q56+$R56+$S56+$T56+$U56+$V56+$W56)</f>
      </c>
      <c r="Y56" s="22">
        <f>IF($B56="","",$C56+$D56-$X56)</f>
      </c>
      <c r="Z56" s="7">
        <f>IF($B56="","",$Z55+$C56+$D56)</f>
      </c>
      <c r="AA56" s="7">
        <f>IF($B56="","",$AA55+$Y56)</f>
      </c>
      <c r="AB56" s="7">
        <f>IF($B56="","",$AB55+MIN($N56,MAX(0,'Methodology &amp; Sources'!$C$3-($AX56+$AB55-$AW56))))</f>
      </c>
      <c r="AC56" s="7">
        <f>IF($B56="","",$AC55+$E56+$F56)</f>
      </c>
      <c r="AD56" s="3">
        <f>IF($B56="","",IF(AND($AB55&lt;'Methodology &amp; Sources'!$C$3,$AB56&gt;='Methodology &amp; Sources'!$C$3),"★ Social Security maxed on this check — from the next check your net rises by about $"&amp;TEXT(ROUND('Methodology &amp; Sources'!$C$4*$N56,2),"#,##0.00")&amp;". ","")&amp;IF(AND($AC55&lt;Inputs!$C$34,$AC56&gt;=Inputs!$C$34),"★ 401(k) reaches the $"&amp;TEXT(Inputs!$C$34,"#,##0")&amp;" cap on this check — deferrals stop and net pay rises. ","")&amp;IF(AND($AG55&lt;'Methodology &amp; Sources'!$C$7,$AG56&gt;='Methodology &amp; Sources'!$C$7),"★ Wages pass $200,000 — the 0.9% Additional Medicare Tax starts here. ","")&amp;IF(AND($BJ56&gt;0,$H56&gt;0,$BG55&lt;MIN($BJ56,'Methodology &amp; Sources'!$C$13),$BG55+$H56&gt;=MIN($BJ56,'Methodology &amp; Sources'!$C$13)),"★ Health FSA election is now fully deferred for the year. ",""))</f>
      </c>
      <c r="AE56" s="41" t="n"/>
      <c r="AF56" s="7">
        <f>IF(OR($B56="",$AE56=""),"",$AE56-$Y56)</f>
      </c>
      <c r="AG56" s="7">
        <f>IF($B56="","",$AG55+$N56)</f>
      </c>
      <c r="AH56" s="7">
        <f>IF($B56="","",MAX(0,($M56-$D56)*Inputs!$C$8+$AP56-$AQ56-IF(Inputs!$C$13,0,IF(Inputs!$C$12="MFJ",'Methodology &amp; Sources'!$C$8,'Methodology &amp; Sources'!$C$9))))</f>
      </c>
      <c r="AI56" s="7">
        <f>IF($B56="","",$O56*Inputs!$C$8)</f>
      </c>
      <c r="AJ56" s="7">
        <f>IF($B56="","",MAX(0,$AI56-VLOOKUP($AN56,StateTables!$A$6:$AB$56,12,FALSE)*$AT56-IF(($AS56+$AT56)&gt;=2,VLOOKUP($AN56,StateTables!$A$6:$AB$56,8,FALSE),VLOOKUP($AN56,StateTables!$A$6:$AB$56,7,FALSE))))</f>
      </c>
      <c r="AK56" s="7">
        <f>IF($B56="","",IFERROR(LOOKUP(2,1/((Events!$C$6:$C$17="Salary change")*(Events!$B$6:$B$17&lt;=$B56)*(Events!$B$6:$B$17&lt;&gt;"")),Events!$D$6:$D$17),IF(Inputs!$C$4="Annual salary",Inputs!$C$5,Inputs!$C$6)))</f>
      </c>
      <c r="AL56">
        <f>IF($B56="","",IFERROR(LOOKUP(2,1/((Events!$C$6:$C$17="401(k) change")*(Events!$B$6:$B$17&lt;=$B56)*(Events!$B$6:$B$17&lt;&gt;"")),Events!$D$6:$D$17),Inputs!$C$30))</f>
      </c>
      <c r="AM56" s="7">
        <f>IF($B56="","",IFERROR(LOOKUP(2,1/((Events!$C$6:$C$17="401(k) change")*(Events!$B$6:$B$17&lt;=$B56)*(Events!$B$6:$B$17&lt;&gt;"")),Events!$E$6:$E$17),Inputs!$D$30))</f>
      </c>
      <c r="AN56">
        <f>IF($B56="","",IFERROR(LOOKUP(2,1/((Events!$C$6:$C$17="State move")*(Events!$B$6:$B$17&lt;=$B56)*(Events!$B$6:$B$17&lt;&gt;"")),Events!$D$6:$D$17),Inputs!$C$21))</f>
      </c>
      <c r="AO56" s="7">
        <f>IF($B56="","",IFERROR(LOOKUP(2,1/((Events!$C$6:$C$17="W-4 change")*(Events!$B$6:$B$17&lt;=$B56)*(Events!$B$6:$B$17&lt;&gt;"")),Events!$D$6:$D$17),Inputs!$C$14))</f>
      </c>
      <c r="AP56" s="7">
        <f>IF($B56="","",IFERROR(LOOKUP(2,1/((Events!$C$6:$C$17="W-4 change")*(Events!$B$6:$B$17&lt;=$B56)*(Events!$B$6:$B$17&lt;&gt;"")),Events!$E$6:$E$17),Inputs!$C$15))</f>
      </c>
      <c r="AQ56" s="7">
        <f>IF($B56="","",IFERROR(LOOKUP(2,1/((Events!$C$6:$C$17="W-4 change")*(Events!$B$6:$B$17&lt;=$B56)*(Events!$B$6:$B$17&lt;&gt;"")),Events!$F$6:$F$17),Inputs!$C$16))</f>
      </c>
      <c r="AR56" s="7">
        <f>IF($B56="","",IFERROR(LOOKUP(2,1/((Events!$C$6:$C$17="W-4 change")*(Events!$B$6:$B$17&lt;=$B56)*(Events!$B$6:$B$17&lt;&gt;"")),Events!$G$6:$G$17),Inputs!$C$17))</f>
      </c>
      <c r="AS56" s="6">
        <f>IF($B56="","",IFERROR(LOOKUP(2,1/(((Events!$C$6:$C$17="State move")+(Events!$C$6:$C$17="State cert change"))*(Events!$B$6:$B$17&lt;=$B56)*(Events!$B$6:$B$17&lt;&gt;"")),Events!$F$6:$F$17),Inputs!$C$23))</f>
      </c>
      <c r="AT56" s="6">
        <f>IF($B56="","",IFERROR(LOOKUP(2,1/(((Events!$C$6:$C$17="State move")+(Events!$C$6:$C$17="State cert change"))*(Events!$B$6:$B$17&lt;=$B56)*(Events!$B$6:$B$17&lt;&gt;"")),Events!$G$6:$G$17),Inputs!$C$24))</f>
      </c>
      <c r="AU56">
        <f>IF($B56="","",IFERROR(LOOKUP(2,1/((Events!$C$6:$C$17="State move")*(Events!$B$6:$B$17&lt;=$B56)*(Events!$B$6:$B$17&lt;&gt;"")),Events!$E$6:$E$17),Inputs!$C$22))</f>
      </c>
      <c r="AV56" s="6">
        <f>IF($B56="","",1+COUNTIFS(Events!$C$6:$C$17,"Employer change",Events!$B$6:$B$17,"&lt;="&amp;$B56,Events!$B$6:$B$17,"&lt;&gt;"))</f>
      </c>
      <c r="AW56" s="7">
        <f>IF($B56="","",IF($AV56=1,Inputs!$C$94,IF(IFERROR(MATCH(IFERROR(LOOKUP(2,1/((Events!$C$6:$C$17="Employer change")*(Events!$B$6:$B$17&lt;=$B56)*(Events!$B$6:$B$17&lt;&gt;"")),Events!$B$6:$B$17),""),$B$6:$B$68,1),1)&lt;=1,Inputs!$C$94,INDEX($AB$6:$AB$68,MATCH(IFERROR(LOOKUP(2,1/((Events!$C$6:$C$17="Employer change")*(Events!$B$6:$B$17&lt;=$B56)*(Events!$B$6:$B$17&lt;&gt;"")),Events!$B$6:$B$17),""),$B$6:$B$68,1)-1))))</f>
      </c>
      <c r="AX56" s="7">
        <f>IF($B56="","",IF($AV56=1,Inputs!$C$94,IFERROR(LOOKUP(2,1/((Events!$C$6:$C$17="Employer change")*(Events!$B$6:$B$17&lt;=$B56)*(Events!$B$6:$B$17&lt;&gt;"")),Events!$D$6:$D$17),0)))</f>
      </c>
      <c r="AY56" s="7">
        <f>IF($B56="","",($O56-$D56)*Inputs!$C$8)</f>
      </c>
      <c r="AZ56" s="7">
        <f>IF($B56="","",IF($AN56="AL",MAX(0,$AY56-IF($AU56="Married",IF($AY56&lt;=25999,8500,MAX(5000,8500-175*CEILING(($AY56-25999)/500,1))),IF($AU56="Head of household",IF($AY56&lt;=25999,5200,MAX(2500,5200-135*CEILING(($AY56-25999)/500,1))),IF($AY56&lt;=25999,3000,MAX(2500,3000-25*CEILING(($AY56-25999)/500,1)))))-($P56-'Methodology &amp; Sources'!$C$10*$D56)*Inputs!$C$8-IF(OR($AU56="Married",$AU56="Head of household"),3000,1500)-$AT56*IF($AY56&lt;=50000,1000,IF($AY56&lt;=100000,500,300))),IF($AN56="AR",IF(MAX(0,$AY56-2470)&lt;97701,INT(MAX(0,$AY56-2470)/100)*100+50,MAX(0,$AY56-2470)),IF($AN56="DE",MAX(0,$AI56-3250),IF($AN56="HI",MAX(0,$AI56-1144*$AS56-4350),IF($AN56="KS",MAX(0,$AI56-(9160*IF($AU56="Married",2,1)+2320*$AT56+IF($AU56="Head of household",2320,0))),IF($AN56="MD",MAX(0,$AI56-3400-3200*$AS56),IF($AN56="MN",MAX(0,$AY56-5300*$AS56),IF($AN56="MO",MAX(0,$AI56-IF($AU56="Head of household",24150,IF($AU56="Married",IF(Inputs!$C$83,16100,32200),16100))),IF($AN56="MT",$AY56,IF($AN56="ND",($C56+$L56)*Inputs!$C$8,IF($AN56="NE",MAX(0,$AY56-2440*$AS56),IF($AN56="NJ",MAX(0,$AY56-1000*$AS56),IF($AN56="NY",MAX(0,$AY56-(IF($AU56="Married",7950,7400)+1000*$AS56)),IF($AN56="OH",MAX(0,$AY56-650*$AS56),IF($AN56="OK",MAX(0,$AY56-1000*$AS56),IF($AN56="RI",MAX(0,$AI56-1000*$AS56),IF($AN56="SC",MAX(0,$AI56-5000*$AS56-IF($AS56=0,0,MIN(0.1*$AI56,7500))),IF($AN56="VA",MAX(0,$AI56-IF($AU56="Married",17500,8750)-930*$AS56-800*$AT56),IF($AN56="VT",MAX(0,$AI56-5400*$AS56),IF($AN56="WI",MAX(0,$AI56-MAX(0,IF($AU56="Married",9461-0.2*MAX(0,$AI56-25727),6702-0.12*MAX(0,$AI56-17780)))-400*$AS56),IF($AN56="WV",MAX(0,$AI56-2000*$AS56),$AI56))))))))))))))))))))))</f>
      </c>
      <c r="BA56" s="7">
        <f>IF($B56="","",IF($BW56&lt;&gt;"",$BW56,IF($BX56&lt;&gt;"",$BX56,IF($BY56&lt;&gt;"",$BY56,0))))</f>
      </c>
      <c r="BB56" s="7">
        <f>IF($B56="","",IF($AN56="AR",-29*$AS56,IF($AN56="DE",-110*$AS56,IF($AN56="MD",$AZ56*Inputs!$C$74,IF($AN56="AZ",Inputs!$C$82*($M56-$D56)*Inputs!$C$8,IF($AN56="CO",0.044*MAX(0,$AY56-IF($AU56="Married",10000,5000)),IF($AN56="IA",MAX(0,0.038*MAX(0,$AY56-IF($AU56="Head of household",19500,IF($AU56="Married",26000,13000)))-40*$AS56),IF($AN56="ID",0.053*MAX(0,$AY56-IF($AU56="Married",32000,16094)),IF($AN56="IL",0.0495*MAX(0,$AY56-(2925*$AS56+1000*$AT56)),IF($AN56="IN",(0.0295+Inputs!$C$76)*MAX(0,$AY56-(1000*$AS56+1500*$AT56+3000*Inputs!$C$86)),IF($AN56="KY",0.035*MAX(0,$AI56-3360),IF($AN56="LA",IF(Inputs!$C$84="0",0.0309*$AI56,0.0309*MAX(0,$AI56-IF(Inputs!$C$84="2",25750,12875))),IF($AN56="MA",0.05*MIN(MAX(0,$AY56-MIN(($BD55+$Q56+$R56+$S56),2000)-IF($AS56=0,0,IF($AS56=1,4400,1000*$AS56+3400))),1107750)+0.09*MAX(0,MAX(0,$AY56-MIN(($BD55+$Q56+$R56+$S56),2000)-IF($AS56=0,0,IF($AS56=1,4400,1000*$AS56+3400)))-1107750)-IF($AU56="Head of household",120,0)-110*Inputs!$C$75,IF($AN56="MI",0.0425*MAX(0,$AY56-5900*$AS56),IF($AN56="MS",0.04*MAX(0,$AI56-IF($AU56="Head of household",3400,IF($AU56="Married",4600,2300))-Inputs!$C$85-10000),IF($AN56="OR",IF(OR($AU56="Married",AND($AU56="Single",$AS56&gt;=3)),SUMPRODUCT((MAX(0,$AY56-MIN(($P56-'Methodology &amp; Sources'!$C$10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Sources'!$B$211:$J$214,0,4))*(MAX(0,$AY56-MIN(($P56-'Methodology &amp; Sources'!$C$10*$D56)*Inputs!$C$8,IF(OR($AU56="Married",AND($AU56="Single",$AS56&gt;=3)),IF($AY56&lt;250000,8750,IF($AY56&lt;260000,7000,IF($AY56&lt;270000,5250,IF($AY56&lt;280000,3500,IF($AY56&lt;290000,1750,0))))),IF($AY56&lt;125000,8750,IF($AY56&lt;130000,7000,IF($AY56&lt;135000,5250,IF($AY56&lt;140000,3500,IF($AY56&lt;145000,1750,0)))))))-IF(OR($AU56="Married",AND($AU56="Single",$AS56&gt;=3)),5820,2910))-INDEX('Methodology &amp; Sources'!$B$211:$J$214,0,4))*INDEX('Methodology &amp; Sources'!$B$211:$J$214,0,4+2)),SUMPRODUCT((MAX(0,$AY56-MIN(($P56-'Methodology &amp; Sources'!$C$10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Sources'!$B$211:$J$214,0,1))*(MAX(0,$AY56-MIN(($P56-'Methodology &amp; Sources'!$C$10*$D56)*Inputs!$C$8,IF(OR($AU56="Married",AND($AU56="Single",$AS56&gt;=3)),IF($AY56&lt;250000,8750,IF($AY56&lt;260000,7000,IF($AY56&lt;270000,5250,IF($AY56&lt;280000,3500,IF($AY56&lt;290000,1750,0))))),IF($AY56&lt;125000,8750,IF($AY56&lt;130000,7000,IF($AY56&lt;135000,5250,IF($AY56&lt;140000,3500,IF($AY56&lt;145000,1750,0)))))))-IF(OR($AU56="Married",AND($AU56="Single",$AS56&gt;=3)),5820,2910))-INDEX('Methodology &amp; Sources'!$B$211:$J$214,0,1))*INDEX('Methodology &amp; Sources'!$B$211:$J$214,0,1+2)))+263-263*IF(IF($AU56="Married",$AY56&gt;200000,$AY56&gt;100000),0,$AS56),IF($AN56="PA",0.0307*(($O56+$E56+$G56)*Inputs!$C$8),IF($AN56="NY",IF($AU56="Married",IF($AZ56&gt;=2155350,0,IF($AZ56&gt;=1077550,0.48,IF($AZ56&gt;=373200,1.21,IF($AZ56&gt;=323200,0.21,IF($AZ56&gt;=211550,-0.19,IF($AZ56&gt;=157650,-2.8,IF($AZ56&gt;=107650,-0.8,IF($AZ56&gt;=96800,0.05,IF($AZ56&gt;=80650,-0.1,IF($AZ56&gt;=13900,0.4,IF($AZ56&gt;=11700,-0.3,IF($AZ56&gt;=8500,0.5,0)))))))))))),IF($AZ56&gt;=1077550,0,IF($AZ56&gt;=265400,4.29,IF($AZ56&gt;=215400,2.29,IF($AZ56&gt;=157650,2.29,IF($AZ56&gt;=107650,0.29,IF($AZ56&gt;=96800,0.05,IF($AZ56&gt;=80650,-0.1,IF($AZ56&gt;=13900,0.4,IF($AZ56&gt;=11700,-0.3,IF($AZ56&gt;=8500,0.5,0))))))))))),0))))))))))))))))))</f>
      </c>
      <c r="BC56" s="7">
        <f>IF($B56="","",IF($AN56="AL",0.05*$D56,IF($AN56="AR",0.039*$D56,IF($AN56="ID",0.053*$D56,IF($AN56="IN",(0.0295+Inputs!$C$76)*$D56,IF($AN56="KS",0.05*$D56,IF($AN56="MA",0.09*MIN($D56,MAX(0,MAX(0,$AY56-MIN(($BD55+$Q56+$R56+$S56),2000)-IF($AS56=0,0,IF($AS56=1,4400,1000*$AS56+3400)))+$D56-1107750))+0.05*($D56-MIN($D56,MAX(0,MAX(0,$AY56-MIN(($BD55+$Q56+$R56+$S56),2000)-IF($AS56=0,0,IF($AS56=1,4400,1000*$AS56+3400)))+$D56-1107750))),IF($AN56="MD",(0.065+Inputs!$C$74)*$D56,IF($AN56="MI",0.0425*$D56,IF($AN56="MN",0.0625*$D56,IF($AN56="MO",0.047*$D56,IF($AN56="MT",0.05*$D56,IF($AN56="ND",0.015*$D56,IF($AN56="NE",0.035*$D56,IF($AN56="NJ",IF(Inputs!$C$77="B",SUMPRODUCT(($D56*Inputs!$C$8&gt;INDEX('Methodology &amp; Sources'!$B$155:$J$162,0,4))*($D56*Inputs!$C$8-INDEX('Methodology &amp; Sources'!$B$155:$J$162,0,4))*INDEX('Methodology &amp; Sources'!$B$155:$J$162,0,4+2)),IF(Inputs!$C$77="C",SUMPRODUCT(($D56*Inputs!$C$8&gt;INDEX('Methodology &amp; Sources'!$B$155:$J$162,0,7))*($D56*Inputs!$C$8-INDEX('Methodology &amp; Sources'!$B$155:$J$162,0,7))*INDEX('Methodology &amp; Sources'!$B$155:$J$162,0,7+2)),IF(Inputs!$C$77="D",SUMPRODUCT(($D56*Inputs!$C$8&gt;INDEX('Methodology &amp; Sources'!$B$167:$J$179,0,1))*($D56*Inputs!$C$8-INDEX('Methodology &amp; Sources'!$B$167:$J$179,0,1))*INDEX('Methodology &amp; Sources'!$B$167:$J$179,0,1+2)),IF(Inputs!$C$77="E",SUMPRODUCT(($D56*Inputs!$C$8&gt;INDEX('Methodology &amp; Sources'!$B$167:$J$179,0,4))*($D56*Inputs!$C$8-INDEX('Methodology &amp; Sources'!$B$167:$J$179,0,4))*INDEX('Methodology &amp; Sources'!$B$167:$J$179,0,4+2)),SUMPRODUCT(($D56*Inputs!$C$8&gt;INDEX('Methodology &amp; Sources'!$B$155:$J$162,0,1))*($D56*Inputs!$C$8-INDEX('Methodology &amp; Sources'!$B$155:$J$162,0,1))*INDEX('Methodology &amp; Sources'!$B$155:$J$162,0,1+2))))))/Inputs!$C$8,IF($AN56="NY",0.117*$D56,IF($AN56="OH",0.0275*$D56,IF($AN56="OK",0.045*$D56,IF($AN56="OR",0.08*$D56,IF($AN56="WI",IF($AY56&lt;12760,0.0354,IF($AY56&lt;25520,0.0465,IF($AY56&lt;280950,0.053,0.0765)))*$D56,0))))))))))))))))))))</f>
      </c>
      <c r="BD56" s="7">
        <f>IF($B56="","",$BD55+$Q56+$R56+$S56)</f>
      </c>
      <c r="BE56" s="6">
        <f>IF($B56="",$BE55,$BE55+$BF56)</f>
      </c>
      <c r="BF56" s="6">
        <f>IF($B56="","",IF(AND(IF(YEAR(IF(Inputs!$C$7="Weekly",Inputs!$C$90+7*(($BE55+1)-1),IF(Inputs!$C$7="Biweekly",Inputs!$C$90+14*(($BE55+1)-1),IF(Inputs!$C$7="Semimonthly",DATE(YEAR(Inputs!$C$9),MONTH(Inputs!$C$9)+INT((($BE55+1)-1+'Rest of 2026'!$C$2)/2),MIN(DAY(Inputs!$C$9),DAY(EOMONTH(DATE(YEAR(Inputs!$C$9),MONTH(Inputs!$C$9)+INT((($BE55+1)-1+'Rest of 2026'!$C$2)/2),1),0))))+IF(MOD(($BE55+1)-1+'Rest of 2026'!$C$2,2)=1,15,0),EDATE(Inputs!$C$90,($BE55+1)-1)))))&lt;&gt;Inputs!$C$10,"",IF(Inputs!$C$7="Weekly",Inputs!$C$90+7*(($BE55+1)-1),IF(Inputs!$C$7="Biweekly",Inputs!$C$90+14*(($BE55+1)-1),IF(Inputs!$C$7="Semimonthly",DATE(YEAR(Inputs!$C$9),MONTH(Inputs!$C$9)+INT((($BE55+1)-1+'Rest of 2026'!$C$2)/2),MIN(DAY(Inputs!$C$9),DAY(EOMONTH(DATE(YEAR(Inputs!$C$9),MONTH(Inputs!$C$9)+INT((($BE55+1)-1+'Rest of 2026'!$C$2)/2),1),0))))+IF(MOD(($BE55+1)-1+'Rest of 2026'!$C$2,2)=1,15,0),EDATE(Inputs!$C$90,($BE55+1)-1)))))&lt;&gt;"",$B56=IF(YEAR(IF(Inputs!$C$7="Weekly",Inputs!$C$90+7*(($BE55+1)-1),IF(Inputs!$C$7="Biweekly",Inputs!$C$90+14*(($BE55+1)-1),IF(Inputs!$C$7="Semimonthly",DATE(YEAR(Inputs!$C$9),MONTH(Inputs!$C$9)+INT((($BE55+1)-1+'Rest of 2026'!$C$2)/2),MIN(DAY(Inputs!$C$9),DAY(EOMONTH(DATE(YEAR(Inputs!$C$9),MONTH(Inputs!$C$9)+INT((($BE55+1)-1+'Rest of 2026'!$C$2)/2),1),0))))+IF(MOD(($BE55+1)-1+'Rest of 2026'!$C$2,2)=1,15,0),EDATE(Inputs!$C$90,($BE55+1)-1)))))&lt;&gt;Inputs!$C$10,"",IF(Inputs!$C$7="Weekly",Inputs!$C$90+7*(($BE55+1)-1),IF(Inputs!$C$7="Biweekly",Inputs!$C$90+14*(($BE55+1)-1),IF(Inputs!$C$7="Semimonthly",DATE(YEAR(Inputs!$C$9),MONTH(Inputs!$C$9)+INT((($BE55+1)-1+'Rest of 2026'!$C$2)/2),MIN(DAY(Inputs!$C$9),DAY(EOMONTH(DATE(YEAR(Inputs!$C$9),MONTH(Inputs!$C$9)+INT((($BE55+1)-1+'Rest of 2026'!$C$2)/2),1),0))))+IF(MOD(($BE55+1)-1+'Rest of 2026'!$C$2,2)=1,15,0),EDATE(Inputs!$C$90,($BE55+1)-1)))))),1,0))</f>
      </c>
      <c r="BG56" s="7">
        <f>IF($B56="","",$BG55+$H56)</f>
      </c>
      <c r="BH56" s="7">
        <f>IF($B56="","",$BH55+$I56)</f>
      </c>
      <c r="BI56" s="7">
        <f>IF($B56="","",$BI55+$G56)</f>
      </c>
      <c r="BJ56" s="7">
        <f>IF($B56="","",IFERROR(LOOKUP(2,1/((((Events!$C$6:$C$17="Deduction start"))*(Events!$D$6:$D$17="Health FSA"))*(Events!$B$6:$B$17&lt;=$B56)*(Events!$B$6:$B$17&lt;&gt;"")),Events!$E$6:$E$17),Inputs!$D$38))</f>
      </c>
      <c r="BK56" s="7">
        <f>IF($B56="","",IFERROR(LOOKUP(2,1/((((Events!$C$6:$C$17="Deduction start"))*(Events!$D$6:$D$17="Dependent-care FSA"))*(Events!$B$6:$B$17&lt;=$B56)*(Events!$B$6:$B$17&lt;&gt;"")),Events!$E$6:$E$17),Inputs!$D$39))</f>
      </c>
      <c r="BL56" s="7">
        <f>IF($B56="","",IFERROR(LOOKUP(2,1/((((Events!$C$6:$C$17="Deduction start")+(Events!$C$6:$C$17="Deduction stop"))*(Events!$D$6:$D$17="HSA"))*(Events!$B$6:$B$17&lt;=$B56)*(Events!$B$6:$B$17&lt;&gt;"")),Events!$I$6:$I$17),Inputs!$D$35))</f>
      </c>
      <c r="BM56" s="7">
        <f>IF($B56="","",IFERROR(LOOKUP(2,1/((((Events!$C$6:$C$17="Deduction start")+(Events!$C$6:$C$17="Deduction stop"))*(Events!$D$6:$D$17="Premiums"))*(Events!$B$6:$B$17&lt;=$B56)*(Events!$B$6:$B$17&lt;&gt;"")),Events!$I$6:$I$17),Inputs!$D$40+Inputs!$D$41+Inputs!$D$42))</f>
      </c>
      <c r="BN56" s="7">
        <f>IF($B56="","",IFERROR(LOOKUP(2,1/((((Events!$C$6:$C$17="Deduction start")+(Events!$C$6:$C$17="Deduction stop"))*(Events!$D$6:$D$17="Commuter"))*(Events!$B$6:$B$17&lt;=$B56)*(Events!$B$6:$B$17&lt;&gt;"")),Events!$I$6:$I$17),Inputs!$D$43))</f>
      </c>
      <c r="BO56" s="7">
        <f>IF($B56="","",IFERROR(LOOKUP(2,1/((((Events!$C$6:$C$17="Deduction start")+(Events!$C$6:$C$17="Deduction stop"))*(Events!$D$6:$D$17="Other pre-tax"))*(Events!$B$6:$B$17&lt;=$B56)*(Events!$B$6:$B$17&lt;&gt;"")),Events!$I$6:$I$17),Inputs!$D$44))</f>
      </c>
      <c r="BP56" s="7">
        <f>IF($B56="","",IFERROR(LOOKUP(2,1/((((Events!$C$6:$C$17="Deduction start")+(Events!$C$6:$C$17="Deduction stop"))*(Events!$D$6:$D$17="Other post-tax"))*(Events!$B$6:$B$17&lt;=$B56)*(Events!$B$6:$B$17&lt;&gt;"")),Events!$I$6:$I$17),Inputs!$D$45))</f>
      </c>
      <c r="BQ56" s="6">
        <f>IF($B56="","",IFERROR(LOOKUP(2,1/((((Events!$C$6:$C$17="Deduction start")+(Events!$C$6:$C$17="Deduction stop"))*(Events!$D$6:$D$17="Health FSA"))*(Events!$B$6:$B$17&lt;=$B56)*(Events!$B$6:$B$17&lt;&gt;"")),Events!$J$6:$J$17),0))</f>
      </c>
      <c r="BR56" s="6">
        <f>IF($B56="","",IFERROR(LOOKUP(2,1/((((Events!$C$6:$C$17="Deduction start")+(Events!$C$6:$C$17="Deduction stop"))*(Events!$D$6:$D$17="Dependent-care FSA"))*(Events!$B$6:$B$17&lt;=$B56)*(Events!$B$6:$B$17&lt;&gt;"")),Events!$J$6:$J$17),0))</f>
      </c>
      <c r="BS56" s="6">
        <f>IF($B56="","",IF(SUMPRODUCT((Events!$C$6:$C$17="Deduction start")*(Events!$B$6:$B$17&lt;=$B56)*(Events!$B$6:$B$17&lt;&gt;"")*(Events!$D$6:$D$17="Health FSA"))&gt;0,1,0))</f>
      </c>
      <c r="BT56" s="6">
        <f>IF($B56="","",IF(SUMPRODUCT((Events!$C$6:$C$17="Deduction start")*(Events!$B$6:$B$17&lt;=$B56)*(Events!$B$6:$B$17&lt;&gt;"")*(Events!$D$6:$D$17="Dependent-care FSA"))&gt;0,1,0))</f>
      </c>
      <c r="BU56" s="24">
        <f>IF($B56="","",IF(Inputs!$C$13,SUMPRODUCT(($AH56&gt;=INDEX('Methodology &amp; Sources'!$B$29:$J$36,0,IF(Inputs!$C$12="MFJ",1,IF(Inputs!$C$12="HoH",7,4))))*INDEX('Methodology &amp; Sources'!$B$29:$J$36,0,IF(Inputs!$C$12="MFJ",1,IF(Inputs!$C$12="HoH",7,4))+2)),SUMPRODUCT(($AH56&gt;=INDEX('Methodology &amp; Sources'!$B$19:$J$26,0,IF(Inputs!$C$12="MFJ",1,IF(Inputs!$C$12="HoH",7,4))))*INDEX('Methodology &amp; Sources'!$B$19:$J$26,0,IF(Inputs!$C$12="MFJ",1,IF(Inputs!$C$12="HoH",7,4))+2))))</f>
      </c>
      <c r="BV56" s="24">
        <f>IF($B56="","",IF($BZ56&lt;&gt;"",$BZ56,IF($CA56&lt;&gt;"",$CA56,IF($CB56&lt;&gt;"",$CB56,IF($CC56&lt;&gt;"",$CC56,0)))))</f>
      </c>
      <c r="BW56" s="7">
        <f>IF($B56="","",IF($AN56="MD",IF(OR($AU56="Married",$AU56="Head of household"),SUMPRODUCT(($AZ56&gt;INDEX('Methodology &amp; Sources'!$B$114:$J$120,0,1))*($AZ56-INDEX('Methodology &amp; Sources'!$B$114:$J$120,0,1))*INDEX('Methodology &amp; Sources'!$B$114:$J$120,0,1+2)),SUMPRODUCT(($AZ56&gt;INDEX('Methodology &amp; Sources'!$B$103:$J$109,0,7))*($AZ56-INDEX('Methodology &amp; Sources'!$B$103:$J$109,0,7))*INDEX('Methodology &amp; Sources'!$B$103:$J$109,0,7+2))),IF($AN56="MO",SUMPRODUCT(($AZ56&gt;INDEX('Methodology &amp; Sources'!$B$125:$J$132,0,1))*($AZ56-INDEX('Methodology &amp; Sources'!$B$125:$J$132,0,1))*INDEX('Methodology &amp; Sources'!$B$125:$J$132,0,1+2)),IF($AN56="MT",IF($AU56="Head of household",SUMPRODUCT(($AZ56&gt;INDEX('Methodology &amp; Sources'!$B$137:$J$139,0,1))*($AZ56-INDEX('Methodology &amp; Sources'!$B$137:$J$139,0,1))*INDEX('Methodology &amp; Sources'!$B$137:$J$139,0,1+2)),IF($AU56="Married",SUMPRODUCT(($AZ56&gt;INDEX('Methodology &amp; Sources'!$B$125:$J$132,0,7))*($AZ56-INDEX('Methodology &amp; Sources'!$B$125:$J$132,0,7))*INDEX('Methodology &amp; Sources'!$B$125:$J$132,0,7+2)),SUMPRODUCT(($AZ56&gt;INDEX('Methodology &amp; Sources'!$B$125:$J$132,0,4))*($AZ56-INDEX('Methodology &amp; Sources'!$B$125:$J$132,0,4))*INDEX('Methodology &amp; Sources'!$B$125:$J$132,0,4+2)))),IF($AN56="ND",IF($AU56="Head of household",SUMPRODUCT(($AZ56&gt;INDEX('Methodology &amp; Sources'!$B$144:$J$150,0,1))*($AZ56-INDEX('Methodology &amp; Sources'!$B$144:$J$150,0,1))*INDEX('Methodology &amp; Sources'!$B$144:$J$150,0,1+2)),IF($AU56="Married",SUMPRODUCT(($AZ56&gt;INDEX('Methodology &amp; Sources'!$B$137:$J$139,0,7))*($AZ56-INDEX('Methodology &amp; Sources'!$B$137:$J$139,0,7))*INDEX('Methodology &amp; Sources'!$B$137:$J$139,0,7+2)),SUMPRODUCT(($AZ56&gt;INDEX('Methodology &amp; Sources'!$B$137:$J$139,0,4))*($AZ56-INDEX('Methodology &amp; Sources'!$B$137:$J$139,0,4))*INDEX('Methodology &amp; Sources'!$B$137:$J$139,0,4+2)))),IF($AN56="NJ",IF(Inputs!$C$77="B",SUMPRODUCT(($AZ56&gt;INDEX('Methodology &amp; Sources'!$B$155:$J$162,0,4))*($AZ56-INDEX('Methodology &amp; Sources'!$B$155:$J$162,0,4))*INDEX('Methodology &amp; Sources'!$B$155:$J$162,0,4+2)),IF(Inputs!$C$77="C",SUMPRODUCT(($AZ56&gt;INDEX('Methodology &amp; Sources'!$B$155:$J$162,0,7))*($AZ56-INDEX('Methodology &amp; Sources'!$B$155:$J$162,0,7))*INDEX('Methodology &amp; Sources'!$B$155:$J$162,0,7+2)),IF(Inputs!$C$77="D",SUMPRODUCT(($AZ56&gt;INDEX('Methodology &amp; Sources'!$B$167:$J$179,0,1))*($AZ56-INDEX('Methodology &amp; Sources'!$B$167:$J$179,0,1))*INDEX('Methodology &amp; Sources'!$B$167:$J$179,0,1+2)),IF(Inputs!$C$77="E",SUMPRODUCT(($AZ56&gt;INDEX('Methodology &amp; Sources'!$B$167:$J$179,0,4))*($AZ56-INDEX('Methodology &amp; Sources'!$B$167:$J$179,0,4))*INDEX('Methodology &amp; Sources'!$B$167:$J$179,0,4+2)),SUMPRODUCT(($AZ56&gt;INDEX('Methodology &amp; Sources'!$B$155:$J$162,0,1))*($AZ56-INDEX('Methodology &amp; Sources'!$B$155:$J$162,0,1))*INDEX('Methodology &amp; Sources'!$B$155:$J$162,0,1+2)))))),IF($AN56="NY",IF($AU56="Married",IF($AZ56&gt;=2155350,$AZ56*IF($AZ56&gt;25000000,0.117,IF($AZ56&gt;5000000,0.111,0.1045)),SUMPRODUCT(($AZ56&gt;INDEX('Methodology &amp; Sources'!$B$184:$J$198,0,1))*($AZ56-INDEX('Methodology &amp; Sources'!$B$184:$J$198,0,1))*INDEX('Methodology &amp; Sources'!$B$184:$J$198,0,1+2))),IF($AZ56&gt;=1077550,$AZ56*IF($AZ56&gt;25000000,0.117,IF($AZ56&gt;5000000,0.111,0.1045)),SUMPRODUCT(($AZ56&gt;INDEX('Methodology &amp; Sources'!$B$167:$J$179,0,7))*($AZ56-INDEX('Methodology &amp; Sources'!$B$167:$J$179,0,7))*INDEX('Methodology &amp; Sources'!$B$167:$J$179,0,7+2)))),"")))))))</f>
      </c>
      <c r="BX56" s="7">
        <f>IF($B56="","",IF($AN56="AL",IF(OR($AU56="Married",$AU56="Head of household"),SUMPRODUCT(($AZ56&gt;INDEX('Methodology &amp; Sources'!$B$82:$J$86,0,4))*($AZ56-INDEX('Methodology &amp; Sources'!$B$82:$J$86,0,4))*INDEX('Methodology &amp; Sources'!$B$82:$J$86,0,4+2)),SUMPRODUCT(($AZ56&gt;INDEX('Methodology &amp; Sources'!$B$82:$J$86,0,1))*($AZ56-INDEX('Methodology &amp; Sources'!$B$82:$J$86,0,1))*INDEX('Methodology &amp; Sources'!$B$82:$J$86,0,1+2))),IF($AN56="KS",IF($AU56="Married",SUMPRODUCT(($AZ56&gt;INDEX('Methodology &amp; Sources'!$B$103:$J$109,0,4))*($AZ56-INDEX('Methodology &amp; Sources'!$B$103:$J$109,0,4))*INDEX('Methodology &amp; Sources'!$B$103:$J$109,0,4+2)),SUMPRODUCT(($AZ56&gt;INDEX('Methodology &amp; Sources'!$B$103:$J$109,0,1))*($AZ56-INDEX('Methodology &amp; Sources'!$B$103:$J$109,0,1))*INDEX('Methodology &amp; Sources'!$B$103:$J$109,0,1+2))),IF($AN56="MN",IF($AU56="Married",SUMPRODUCT(($AZ56&gt;INDEX('Methodology &amp; Sources'!$B$114:$J$120,0,7))*($AZ56-INDEX('Methodology &amp; Sources'!$B$114:$J$120,0,7))*INDEX('Methodology &amp; Sources'!$B$114:$J$120,0,7+2)),SUMPRODUCT(($AZ56&gt;INDEX('Methodology &amp; Sources'!$B$114:$J$120,0,4))*($AZ56-INDEX('Methodology &amp; Sources'!$B$114:$J$120,0,4))*INDEX('Methodology &amp; Sources'!$B$114:$J$120,0,4+2))),IF($AN56="NE",MAX(IF($AU56="Married",SUMPRODUCT(($AZ56&gt;INDEX('Methodology &amp; Sources'!$B$144:$J$150,0,7))*($AZ56-INDEX('Methodology &amp; Sources'!$B$144:$J$150,0,7))*INDEX('Methodology &amp; Sources'!$B$144:$J$150,0,7+2)),SUMPRODUCT(($AZ56&gt;INDEX('Methodology &amp; Sources'!$B$144:$J$150,0,4))*($AZ56-INDEX('Methodology &amp; Sources'!$B$144:$J$150,0,4))*INDEX('Methodology &amp; Sources'!$B$144:$J$150,0,4+2))),0.015*$AZ56),IF($AN56="OH",IF($B56&gt;=DATE(2027,8,1),SUMPRODUCT(($AZ56&gt;INDEX('Methodology &amp; Sources'!$B$203:$J$206,0,1))*($AZ56-INDEX('Methodology &amp; Sources'!$B$203:$J$206,0,1))*INDEX('Methodology &amp; Sources'!$B$203:$J$206,0,1+2)),SUMPRODUCT(($AZ56&gt;INDEX('Methodology &amp; Sources'!$B$184:$J$198,0,7))*($AZ56-INDEX('Methodology &amp; Sources'!$B$184:$J$198,0,7))*INDEX('Methodology &amp; Sources'!$B$184:$J$198,0,7+2))),IF($AN56="OK",IF($AU56="Married",SUMPRODUCT(($AZ56&gt;INDEX('Methodology &amp; Sources'!$B$203:$J$206,0,7))*($AZ56-INDEX('Methodology &amp; Sources'!$B$203:$J$206,0,7))*INDEX('Methodology &amp; Sources'!$B$203:$J$206,0,7+2)),SUMPRODUCT(($AZ56&gt;INDEX('Methodology &amp; Sources'!$B$203:$J$206,0,4))*($AZ56-INDEX('Methodology &amp; Sources'!$B$203:$J$206,0,4))*INDEX('Methodology &amp; Sources'!$B$203:$J$206,0,4+2))),IF($AN56="RI",SUMPRODUCT(($AZ56&gt;INDEX('Methodology &amp; Sources'!$B$211:$J$214,0,7))*($AZ56-INDEX('Methodology &amp; Sources'!$B$211:$J$214,0,7))*INDEX('Methodology &amp; Sources'!$B$211:$J$214,0,7+2)),IF($AN56="VT",IF($AU56="Married",SUMPRODUCT(($AZ56&gt;INDEX('Methodology &amp; Sources'!$B$228:$J$232,0,1))*($AZ56-INDEX('Methodology &amp; Sources'!$B$228:$J$232,0,1))*INDEX('Methodology &amp; Sources'!$B$228:$J$232,0,1+2)),SUMPRODUCT(($AZ56&gt;INDEX('Methodology &amp; Sources'!$B$219:$J$223,0,7))*($AZ56-INDEX('Methodology &amp; Sources'!$B$219:$J$223,0,7))*INDEX('Methodology &amp; Sources'!$B$219:$J$223,0,7+2))),IF($AN56="WV",IF($AU56="Married",SUMPRODUCT(($AZ56&gt;INDEX('Methodology &amp; Sources'!$B$237:$J$241,0,7))*($AZ56-INDEX('Methodology &amp; Sources'!$B$237:$J$241,0,7))*INDEX('Methodology &amp; Sources'!$B$237:$J$241,0,7+2)),SUMPRODUCT(($AZ56&gt;INDEX('Methodology &amp; Sources'!$B$228:$J$232,0,7))*($AZ56-INDEX('Methodology &amp; Sources'!$B$228:$J$232,0,7))*INDEX('Methodology &amp; Sources'!$B$228:$J$232,0,7+2))),""))))))))))</f>
      </c>
      <c r="BY56" s="7">
        <f>IF($B56="","",IF($AN56="AR",SUMPRODUCT(($AZ56&gt;INDEX('Methodology &amp; Sources'!$B$82:$J$86,0,7))*($AZ56-INDEX('Methodology &amp; Sources'!$B$82:$J$86,0,7))*INDEX('Methodology &amp; Sources'!$B$82:$J$86,0,7+2)),IF($AN56="DE",SUMPRODUCT(($AZ56&gt;INDEX('Methodology &amp; Sources'!$B$91:$J$98,0,1))*($AZ56-INDEX('Methodology &amp; Sources'!$B$91:$J$98,0,1))*INDEX('Methodology &amp; Sources'!$B$91:$J$98,0,1+2)),IF($AN56="HI",IF($AU56="Married",SUMPRODUCT(($AZ56&gt;INDEX('Methodology &amp; Sources'!$B$91:$J$98,0,7))*($AZ56-INDEX('Methodology &amp; Sources'!$B$91:$J$98,0,7))*INDEX('Methodology &amp; Sources'!$B$91:$J$98,0,7+2)),SUMPRODUCT(($AZ56&gt;INDEX('Methodology &amp; Sources'!$B$91:$J$98,0,4))*($AZ56-INDEX('Methodology &amp; Sources'!$B$91:$J$98,0,4))*INDEX('Methodology &amp; Sources'!$B$91:$J$98,0,4+2))),IF($AN56="SC",SUMPRODUCT(($AZ56&gt;INDEX('Methodology &amp; Sources'!$B$219:$J$223,0,1))*($AZ56-INDEX('Methodology &amp; Sources'!$B$219:$J$223,0,1))*INDEX('Methodology &amp; Sources'!$B$219:$J$223,0,1+2)),IF($AN56="VA",SUMPRODUCT(($AZ56&gt;INDEX('Methodology &amp; Sources'!$B$219:$J$223,0,4))*($AZ56-INDEX('Methodology &amp; Sources'!$B$219:$J$223,0,4))*INDEX('Methodology &amp; Sources'!$B$219:$J$223,0,4+2)),IF($AN56="WI",SUMPRODUCT(($AZ56&gt;INDEX('Methodology &amp; Sources'!$B$228:$J$232,0,4))*($AZ56-INDEX('Methodology &amp; Sources'!$B$228:$J$232,0,4))*INDEX('Methodology &amp; Sources'!$B$228:$J$232,0,4+2)),"")))))))</f>
      </c>
      <c r="BZ56" s="24">
        <f>IF($B56="","",IF($AN56="NJ",IF(Inputs!$C$77="B",SUMPRODUCT(($AZ56&gt;=INDEX('Methodology &amp; Sources'!$B$155:$J$162,0,4))*INDEX('Methodology &amp; Sources'!$B$155:$J$162,0,4+2)),IF(Inputs!$C$77="C",SUMPRODUCT(($AZ56&gt;=INDEX('Methodology &amp; Sources'!$B$155:$J$162,0,7))*INDEX('Methodology &amp; Sources'!$B$155:$J$162,0,7+2)),IF(Inputs!$C$77="D",SUMPRODUCT(($AZ56&gt;=INDEX('Methodology &amp; Sources'!$B$167:$J$179,0,1))*INDEX('Methodology &amp; Sources'!$B$167:$J$179,0,1+2)),IF(Inputs!$C$77="E",SUMPRODUCT(($AZ56&gt;=INDEX('Methodology &amp; Sources'!$B$167:$J$179,0,4))*INDEX('Methodology &amp; Sources'!$B$167:$J$179,0,4+2)),SUMPRODUCT(($AZ56&gt;=INDEX('Methodology &amp; Sources'!$B$155:$J$162,0,1))*INDEX('Methodology &amp; Sources'!$B$155:$J$162,0,1+2)))))),IF($AN56="OR",IF(OR($AU56="Married",AND($AU56="Single",$AS56&gt;=3)),SUMPRODUCT((MAX(0,$AY56-MIN(($P56-'Methodology &amp; Sources'!$C$10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Sources'!$B$211:$J$214,0,4))*INDEX('Methodology &amp; Sources'!$B$211:$J$214,0,4+2)),SUMPRODUCT((MAX(0,$AY56-MIN(($P56-'Methodology &amp; Sources'!$C$10*$D56)*Inputs!$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Sources'!$B$211:$J$214,0,1))*INDEX('Methodology &amp; Sources'!$B$211:$J$214,0,1+2)))*IF(($P56-'Methodology &amp; Sources'!$C$10*$D56)*Inputs!$C$8&gt;=IF(OR($AU56="Married",AND($AU56="Single",$AS56&gt;=3)),IF($AY56&lt;250000,8750,IF($AY56&lt;260000,7000,IF($AY56&lt;270000,5250,IF($AY56&lt;280000,3500,IF($AY56&lt;290000,1750,0))))),IF($AY56&lt;125000,8750,IF($AY56&lt;130000,7000,IF($AY56&lt;135000,5250,IF($AY56&lt;140000,3500,IF($AY56&lt;145000,1750,0)))))),1,1-IF(Inputs!$C$13,SUMPRODUCT(($AH56&gt;=INDEX('Methodology &amp; Sources'!$B$29:$J$36,0,IF(Inputs!$C$12="MFJ",1,IF(Inputs!$C$12="HoH",7,4))))*INDEX('Methodology &amp; Sources'!$B$29:$J$36,0,IF(Inputs!$C$12="MFJ",1,IF(Inputs!$C$12="HoH",7,4))+2)),SUMPRODUCT(($AH56&gt;=INDEX('Methodology &amp; Sources'!$B$19:$J$26,0,IF(Inputs!$C$12="MFJ",1,IF(Inputs!$C$12="HoH",7,4))))*INDEX('Methodology &amp; Sources'!$B$19:$J$26,0,IF(Inputs!$C$12="MFJ",1,IF(Inputs!$C$12="HoH",7,4))+2)))),IF($AN56="MI",IF($AY56&gt;5900*$AS56,0.0425,0),""))))</f>
      </c>
      <c r="CA56" s="24">
        <f>IF($B56="","",IF($AN56="AL",IF(OR($AU56="Married",$AU56="Head of household"),SUMPRODUCT(($AZ56&gt;=INDEX('Methodology &amp; Sources'!$B$82:$J$86,0,4))*INDEX('Methodology &amp; Sources'!$B$82:$J$86,0,4+2)),SUMPRODUCT(($AZ56&gt;=INDEX('Methodology &amp; Sources'!$B$82:$J$86,0,1))*INDEX('Methodology &amp; Sources'!$B$82:$J$86,0,1+2)))*(1-IF(Inputs!$C$13,SUMPRODUCT(($AH56&gt;=INDEX('Methodology &amp; Sources'!$B$29:$J$36,0,IF(Inputs!$C$12="MFJ",1,IF(Inputs!$C$12="HoH",7,4))))*INDEX('Methodology &amp; Sources'!$B$29:$J$36,0,IF(Inputs!$C$12="MFJ",1,IF(Inputs!$C$12="HoH",7,4))+2)),SUMPRODUCT(($AH56&gt;=INDEX('Methodology &amp; Sources'!$B$19:$J$26,0,IF(Inputs!$C$12="MFJ",1,IF(Inputs!$C$12="HoH",7,4))))*INDEX('Methodology &amp; Sources'!$B$19:$J$26,0,IF(Inputs!$C$12="MFJ",1,IF(Inputs!$C$12="HoH",7,4))+2)))),IF($AN56="KS",IF($AU56="Married",SUMPRODUCT(($AZ56&gt;=INDEX('Methodology &amp; Sources'!$B$103:$J$109,0,4))*INDEX('Methodology &amp; Sources'!$B$103:$J$109,0,4+2)),SUMPRODUCT(($AZ56&gt;=INDEX('Methodology &amp; Sources'!$B$103:$J$109,0,1))*INDEX('Methodology &amp; Sources'!$B$103:$J$109,0,1+2))),IF($AN56="MD",IF(OR($AU56="Married",$AU56="Head of household"),SUMPRODUCT(($AZ56&gt;=INDEX('Methodology &amp; Sources'!$B$114:$J$120,0,1))*INDEX('Methodology &amp; Sources'!$B$114:$J$120,0,1+2)),SUMPRODUCT(($AZ56&gt;=INDEX('Methodology &amp; Sources'!$B$103:$J$109,0,7))*INDEX('Methodology &amp; Sources'!$B$103:$J$109,0,7+2)))+Inputs!$C$74,IF($AN56="MT",IF($AU56="Head of household",SUMPRODUCT(($AZ56&gt;=INDEX('Methodology &amp; Sources'!$B$137:$J$139,0,1))*INDEX('Methodology &amp; Sources'!$B$137:$J$139,0,1+2)),IF($AU56="Married",SUMPRODUCT(($AZ56&gt;=INDEX('Methodology &amp; Sources'!$B$125:$J$132,0,7))*INDEX('Methodology &amp; Sources'!$B$125:$J$132,0,7+2)),SUMPRODUCT(($AZ56&gt;=INDEX('Methodology &amp; Sources'!$B$125:$J$132,0,4))*INDEX('Methodology &amp; Sources'!$B$125:$J$132,0,4+2)))),IF($AN56="ND",IF($AU56="Head of household",SUMPRODUCT(($AZ56&gt;=INDEX('Methodology &amp; Sources'!$B$144:$J$150,0,1))*INDEX('Methodology &amp; Sources'!$B$144:$J$150,0,1+2)),IF($AU56="Married",SUMPRODUCT(($AZ56&gt;=INDEX('Methodology &amp; Sources'!$B$137:$J$139,0,7))*INDEX('Methodology &amp; Sources'!$B$137:$J$139,0,7+2)),SUMPRODUCT(($AZ56&gt;=INDEX('Methodology &amp; Sources'!$B$137:$J$139,0,4))*INDEX('Methodology &amp; Sources'!$B$137:$J$139,0,4+2)))),IF($AN56="NY",IF($AU56="Married",IF($AZ56&gt;=2155350,IF($AZ56&gt;25000000,0.117,IF($AZ56&gt;5000000,0.111,0.1045)),SUMPRODUCT(($AZ56&gt;=INDEX('Methodology &amp; Sources'!$B$184:$J$198,0,1))*INDEX('Methodology &amp; Sources'!$B$184:$J$198,0,1+2))),IF($AZ56&gt;=1077550,IF($AZ56&gt;25000000,0.117,IF($AZ56&gt;5000000,0.111,0.1045)),SUMPRODUCT(($AZ56&gt;=INDEX('Methodology &amp; Sources'!$B$167:$J$179,0,7))*INDEX('Methodology &amp; Sources'!$B$167:$J$179,0,7+2)))),"")))))))</f>
      </c>
      <c r="CB56" s="24">
        <f>IF($B56="","",IF($AN56="CA",SUMPRODUCT(($AJ56&gt;=INDEX('Methodology &amp; Sources'!$B$39:$J$48,0,IF($AU56="Married",4,IF($AU56="Head of household",7,1))))*INDEX('Methodology &amp; Sources'!$B$39:$J$48,0,IF($AU56="Married",4,IF($AU56="Head of household",7,1))+2)),IF($AN56="HI",IF($AU56="Married",SUMPRODUCT(($AZ56&gt;=INDEX('Methodology &amp; Sources'!$B$91:$J$98,0,7))*INDEX('Methodology &amp; Sources'!$B$91:$J$98,0,7+2)),SUMPRODUCT(($AZ56&gt;=INDEX('Methodology &amp; Sources'!$B$91:$J$98,0,4))*INDEX('Methodology &amp; Sources'!$B$91:$J$98,0,4+2))),IF($AN56="MN",IF($AU56="Married",SUMPRODUCT(($AZ56&gt;=INDEX('Methodology &amp; Sources'!$B$114:$J$120,0,7))*INDEX('Methodology &amp; Sources'!$B$114:$J$120,0,7+2)),SUMPRODUCT(($AZ56&gt;=INDEX('Methodology &amp; Sources'!$B$114:$J$120,0,4))*INDEX('Methodology &amp; Sources'!$B$114:$J$120,0,4+2))),IF($AN56="MO",SUMPRODUCT(($AZ56&gt;=INDEX('Methodology &amp; Sources'!$B$125:$J$132,0,1))*INDEX('Methodology &amp; Sources'!$B$125:$J$132,0,1+2)),IF($AN56="NE",MAX(IF($AU56="Married",SUMPRODUCT(($AZ56&gt;=INDEX('Methodology &amp; Sources'!$B$144:$J$150,0,7))*INDEX('Methodology &amp; Sources'!$B$144:$J$150,0,7+2)),SUMPRODUCT(($AZ56&gt;=INDEX('Methodology &amp; Sources'!$B$144:$J$150,0,4))*INDEX('Methodology &amp; Sources'!$B$144:$J$150,0,4+2))),0.015),IF($AN56="OH",IF($B56&gt;=DATE(2027,8,1),SUMPRODUCT(($AZ56&gt;=INDEX('Methodology &amp; Sources'!$B$203:$J$206,0,1))*INDEX('Methodology &amp; Sources'!$B$203:$J$206,0,1+2)),SUMPRODUCT(($AZ56&gt;=INDEX('Methodology &amp; Sources'!$B$184:$J$198,0,7))*INDEX('Methodology &amp; Sources'!$B$184:$J$198,0,7+2))),IF($AN56="OK",IF($AU56="Married",SUMPRODUCT(($AZ56&gt;=INDEX('Methodology &amp; Sources'!$B$203:$J$206,0,7))*INDEX('Methodology &amp; Sources'!$B$203:$J$206,0,7+2)),SUMPRODUCT(($AZ56&gt;=INDEX('Methodology &amp; Sources'!$B$203:$J$206,0,4))*INDEX('Methodology &amp; Sources'!$B$203:$J$206,0,4+2))),IF($AN56="RI",SUMPRODUCT(($AZ56&gt;=INDEX('Methodology &amp; Sources'!$B$211:$J$214,0,7))*INDEX('Methodology &amp; Sources'!$B$211:$J$214,0,7+2)),IF($AN56="SC",SUMPRODUCT(($AZ56&gt;=INDEX('Methodology &amp; Sources'!$B$219:$J$223,0,1))*INDEX('Methodology &amp; Sources'!$B$219:$J$223,0,1+2)),IF($AN56="VT",IF($AU56="Married",SUMPRODUCT(($AZ56&gt;=INDEX('Methodology &amp; Sources'!$B$228:$J$232,0,1))*INDEX('Methodology &amp; Sources'!$B$228:$J$232,0,1+2)),SUMPRODUCT(($AZ56&gt;=INDEX('Methodology &amp; Sources'!$B$219:$J$223,0,7))*INDEX('Methodology &amp; Sources'!$B$219:$J$223,0,7+2))),IF($AN56="WV",IF($AU56="Married",SUMPRODUCT(($AZ56&gt;=INDEX('Methodology &amp; Sources'!$B$237:$J$241,0,7))*INDEX('Methodology &amp; Sources'!$B$237:$J$241,0,7+2)),SUMPRODUCT(($AZ56&gt;=INDEX('Methodology &amp; Sources'!$B$228:$J$232,0,7))*INDEX('Methodology &amp; Sources'!$B$228:$J$232,0,7+2))),IF($AN56="IN",(0.0295+Inputs!$C$76),"")))))))))))))</f>
      </c>
      <c r="CC56" s="24">
        <f>IF($B56="","",IF($AN56="AR",SUMPRODUCT(($AZ56&gt;=INDEX('Methodology &amp; Sources'!$B$82:$J$86,0,7))*INDEX('Methodology &amp; Sources'!$B$82:$J$86,0,7+2)),IF($AN56="DE",SUMPRODUCT(($AZ56&gt;=INDEX('Methodology &amp; Sources'!$B$91:$J$98,0,1))*INDEX('Methodology &amp; Sources'!$B$91:$J$98,0,1+2)),IF($AN56="VA",SUMPRODUCT(($AZ56&gt;=INDEX('Methodology &amp; Sources'!$B$219:$J$223,0,4))*INDEX('Methodology &amp; Sources'!$B$219:$J$223,0,4+2)),IF($AN56="WI",SUMPRODUCT(($AZ56&gt;=INDEX('Methodology &amp; Sources'!$B$228:$J$232,0,4))*INDEX('Methodology &amp; Sources'!$B$228:$J$232,0,4+2)),IF($AN56="AZ",Inputs!$C$82,IF($AN56="CO",IF($AY56&gt;IF($AU56="Married",10000,5000),0.044,0),IF($AN56="IA",IF($AY56&gt;IF($AU56="Head of household",19500,IF($AU56="Married",26000,13000)),0.038,0),IF($AN56="ID",IF($AY56&gt;IF($AU56="Married",32000,16094),0.053,0),IF($AN56="IL",IF($AY56&gt;(2925*$AS56+1000*$AT56),0.0495,0),IF($AN56="KY",IF($AI56&gt;3360,0.035,0),IF($AN56="LA",0.0309,IF($AN56="MA",IF(MAX(0,$AY56-MIN(($BD55+$Q56+$R56+$S56),2000)-IF($AS56=0,0,IF($AS56=1,4400,1000*$AS56+3400)))&gt;=1107750,0.09,0.05),IF($AN56="MS",IF($AI56-IF($AU56="Head of household",3400,IF($AU56="Married",4600,2300))-Inputs!$C$85&gt;10000,0.04,0),IF($AN56="PA",0.0307,"")))))))))))))))</f>
      </c>
      <c r="CD56" s="21">
        <f>IF(YEAR(IF(Inputs!$C$7="Weekly",Inputs!$C$90+7*(($BE55+1)-1),IF(Inputs!$C$7="Biweekly",Inputs!$C$90+14*(($BE55+1)-1),IF(Inputs!$C$7="Semimonthly",DATE(YEAR(Inputs!$C$9),MONTH(Inputs!$C$9)+INT((($BE55+1)-1+'Rest of 2026'!$C$2)/2),MIN(DAY(Inputs!$C$9),DAY(EOMONTH(DATE(YEAR(Inputs!$C$9),MONTH(Inputs!$C$9)+INT((($BE55+1)-1+'Rest of 2026'!$C$2)/2),1),0))))+IF(MOD(($BE55+1)-1+'Rest of 2026'!$C$2,2)=1,15,0),EDATE(Inputs!$C$90,($BE55+1)-1)))))&lt;&gt;Inputs!$C$10,"",IF(Inputs!$C$7="Weekly",Inputs!$C$90+7*(($BE55+1)-1),IF(Inputs!$C$7="Biweekly",Inputs!$C$90+14*(($BE55+1)-1),IF(Inputs!$C$7="Semimonthly",DATE(YEAR(Inputs!$C$9),MONTH(Inputs!$C$9)+INT((($BE55+1)-1+'Rest of 2026'!$C$2)/2),MIN(DAY(Inputs!$C$9),DAY(EOMONTH(DATE(YEAR(Inputs!$C$9),MONTH(Inputs!$C$9)+INT((($BE55+1)-1+'Rest of 2026'!$C$2)/2),1),0))))+IF(MOD(($BE55+1)-1+'Rest of 2026'!$C$2,2)=1,15,0),EDATE(Inputs!$C$90,($BE55+1)-1)))))</f>
      </c>
      <c r="CE56" s="21">
        <f>IF(SUMPRODUCT(MIN(IF((Inputs!$C$58:$C$67&gt;MAX($B$6:$B55))*(Inputs!$C$58:$C$67&gt;=DATE(Inputs!$C$10,1,1))*(Inputs!$C$58:$C$67&lt;=DATE(Inputs!$C$10,12,31)),Inputs!$C$58:$C$67,999999)))=999999,"",SUMPRODUCT(MIN(IF((Inputs!$C$58:$C$67&gt;MAX($B$6:$B55))*(Inputs!$C$58:$C$67&gt;=DATE(Inputs!$C$10,1,1))*(Inputs!$C$58:$C$67&lt;=DATE(Inputs!$C$10,12,31)),Inputs!$C$58:$C$67,999999))))</f>
      </c>
    </row>
    <row r="57">
      <c r="A57" t="n">
        <v>52</v>
      </c>
      <c r="B57" s="21">
        <f>IF(AND($CD57="",$CE57=""),"",IF($CE57="",$CD57,IF($CD57="",$CE57,MIN($CD57,$CE57))))</f>
      </c>
      <c r="C57" s="7">
        <f>IF($B57="","",IF($BF57=0,0,IF(Inputs!$C$4="Annual salary",ROUND($AK57/IF(AND(Inputs!$C$88="Actual paydays",MONTH(Inputs!$C$90)=1),MAX(1,MAX($BE$6:$BE$68)),Inputs!$C$8),2),$AK57)))</f>
      </c>
      <c r="D57" s="7">
        <f>IF($B57="","",SUMIF(Inputs!$C$58:$C$67,$B57,Inputs!$D$58:$D$67))</f>
      </c>
      <c r="E57" s="7">
        <f>IF($B57="","",ROUND(MAX(0,MIN(IF($AL57="Percent",$AM57*($C57+$D57),$AM57),MAX(0,Inputs!$C$34-$AC56))),2))</f>
      </c>
      <c r="F57" s="7">
        <f>IF($B57="","",ROUND(MAX(0,MIN(IF(Inputs!$C$32="Percent",Inputs!$D$32*($C57+$D57),Inputs!$D$32),MAX(0,Inputs!$C$34-$AC56-$E57))),2))</f>
      </c>
      <c r="G57" s="7">
        <f>IF($B57="","",IF($BF57=0,0,ROUND(MAX(0,MIN($BL57,Inputs!$C$37-Inputs!$C$99-$BI56)),2)))</f>
      </c>
      <c r="H57" s="7">
        <f>IF($B57="","",IF(OR($BF57=0,$BQ57=1),0,ROUND(MAX(0,MIN(IF($BS57=1,ROUND(MAX(0,MIN($BJ57,'Methodology &amp; Sources'!$C$13)-$BG56)/MAX(1,MAX($BE$6:$BE$68)-($BE56)),2),ROUND(MIN($BJ57,'Methodology &amp; Sources'!$C$13)/Inputs!$C$8,2)),MIN($BJ57,'Methodology &amp; Sources'!$C$13)-$BG56)),2)))</f>
      </c>
      <c r="I57" s="7">
        <f>IF($B57="","",IF(OR($BF57=0,$BR57=1),0,ROUND(MAX(0,MIN(IF($BT57=1,ROUND(MAX(0,MIN($BK57,IF(Inputs!$C$12="MFJ",'Methodology &amp; Sources'!$C$14,'Methodology &amp; Sources'!$C$15))-$BH56)/MAX(1,MAX($BE$6:$BE$68)-($BE56)),2),ROUND(MIN($BK57,IF(Inputs!$C$12="MFJ",'Methodology &amp; Sources'!$C$14,'Methodology &amp; Sources'!$C$15))/Inputs!$C$8,2)),MIN($BK57,IF(Inputs!$C$12="MFJ",'Methodology &amp; Sources'!$C$14,'Methodology &amp; Sources'!$C$15))-$BH56)),2)))</f>
      </c>
      <c r="J57" s="7">
        <f>IF($B57="","",IF($BF57=0,0,$BM57))</f>
      </c>
      <c r="K57" s="7">
        <f>IF($B57="","",IF($BF57=0,0,$BN57+$BO57))</f>
      </c>
      <c r="L57" s="7">
        <f>IF($B57="","",IF($BF57=0,0,Inputs!$D$46))</f>
      </c>
      <c r="M57" s="7">
        <f>IF($B57="","",$C57+$D57+$L57-$E57-$G57-$H57-$I57-$J57-$K57)</f>
      </c>
      <c r="N57" s="7">
        <f>IF($B57="","",$C57+$D57+$L57-$G57-$H57-$I57-$J57-$K57)</f>
      </c>
      <c r="O57" s="7">
        <f>IF($B57="","",$C57+$D57+$L57-$E57-$H57-$I57-$J57-$K57-IF(OR($AN57="CA",$AN57="NJ"),0,$G57))</f>
      </c>
      <c r="P57" s="7">
        <f>IF($B57="","",IF(Inputs!$C$18,0,ROUND(MAX(0,IF(Inputs!$C$13,SUMPRODUCT(($AH57&gt;INDEX('Methodology &amp; Sources'!$B$29:$J$36,0,IF(Inputs!$C$12="MFJ",1,IF(Inputs!$C$12="HoH",7,4))))*($AH57-INDEX('Methodology &amp; Sources'!$B$29:$J$36,0,IF(Inputs!$C$12="MFJ",1,IF(Inputs!$C$12="HoH",7,4))))*INDEX('Methodology &amp; Sources'!$B$29:$J$36,0,IF(Inputs!$C$12="MFJ",1,IF(Inputs!$C$12="HoH",7,4))+2)),SUMPRODUCT(($AH57&gt;INDEX('Methodology &amp; Sources'!$B$19:$J$26,0,IF(Inputs!$C$12="MFJ",1,IF(Inputs!$C$12="HoH",7,4))))*($AH57-INDEX('Methodology &amp; Sources'!$B$19:$J$26,0,IF(Inputs!$C$12="MFJ",1,IF(Inputs!$C$12="HoH",7,4))))*INDEX('Methodology &amp; Sources'!$B$19:$J$26,0,IF(Inputs!$C$12="MFJ",1,IF(Inputs!$C$12="HoH",7,4))+2)))/Inputs!$C$8-$AO57/Inputs!$C$8)+$AR57+IF(Inputs!$C$89="Aggregate",MAX(0,IF(Inputs!$C$13,SUMPRODUCT((($AH57+$D57)&gt;INDEX('Methodology &amp; Sources'!$B$29:$J$36,0,IF(Inputs!$C$12="MFJ",1,IF(Inputs!$C$12="HoH",7,4))))*(($AH57+$D57)-INDEX('Methodology &amp; Sources'!$B$29:$J$36,0,IF(Inputs!$C$12="MFJ",1,IF(Inputs!$C$12="HoH",7,4))))*INDEX('Methodology &amp; Sources'!$B$29:$J$36,0,IF(Inputs!$C$12="MFJ",1,IF(Inputs!$C$12="HoH",7,4))+2)),SUMPRODUCT((($AH57+$D57)&gt;INDEX('Methodology &amp; Sources'!$B$19:$J$26,0,IF(Inputs!$C$12="MFJ",1,IF(Inputs!$C$12="HoH",7,4))))*(($AH57+$D57)-INDEX('Methodology &amp; Sources'!$B$19:$J$26,0,IF(Inputs!$C$12="MFJ",1,IF(Inputs!$C$12="HoH",7,4))))*INDEX('Methodology &amp; Sources'!$B$19:$J$26,0,IF(Inputs!$C$12="MFJ",1,IF(Inputs!$C$12="HoH",7,4))+2)))-IF(Inputs!$C$13,SUMPRODUCT(($AH57&gt;INDEX('Methodology &amp; Sources'!$B$29:$J$36,0,IF(Inputs!$C$12="MFJ",1,IF(Inputs!$C$12="HoH",7,4))))*($AH57-INDEX('Methodology &amp; Sources'!$B$29:$J$36,0,IF(Inputs!$C$12="MFJ",1,IF(Inputs!$C$12="HoH",7,4))))*INDEX('Methodology &amp; Sources'!$B$29:$J$36,0,IF(Inputs!$C$12="MFJ",1,IF(Inputs!$C$12="HoH",7,4))+2)),SUMPRODUCT(($AH57&gt;INDEX('Methodology &amp; Sources'!$B$19:$J$26,0,IF(Inputs!$C$12="MFJ",1,IF(Inputs!$C$12="HoH",7,4))))*($AH57-INDEX('Methodology &amp; Sources'!$B$19:$J$26,0,IF(Inputs!$C$12="MFJ",1,IF(Inputs!$C$12="HoH",7,4))))*INDEX('Methodology &amp; Sources'!$B$19:$J$26,0,IF(Inputs!$C$12="MFJ",1,IF(Inputs!$C$12="HoH",7,4))+2)))),'Methodology &amp; Sources'!$C$10*$D57),2)))</f>
      </c>
      <c r="Q57" s="7">
        <f>IF($B57="","",ROUND('Methodology &amp; Sources'!$C$4*MIN($N57,MAX(0,'Methodology &amp; Sources'!$C$3-($AX57+$AB56-$AW57))),2))</f>
      </c>
      <c r="R57" s="7">
        <f>IF($B57="","",ROUND('Methodology &amp; Sources'!$C$5*$N57,2))</f>
      </c>
      <c r="S57" s="7">
        <f>IF($B57="","",ROUND('Methodology &amp; Sources'!$C$6*MAX(0,MIN($N57,$AG56+$N57-'Methodology &amp; Sources'!$C$7)),2))</f>
      </c>
      <c r="T57" s="7">
        <f>IF($B57="","",IF(Inputs!$C$26,0,IF($AN57="CA",ROUND(IF($AI57&lt;=IF(($AS57+$AT57)&gt;=2,VLOOKUP($AN57,StateTables!$A$6:$AB$56,10,FALSE),VLOOKUP($AN57,StateTables!$A$6:$AB$56,9,FALSE)),0,MAX(0,SUMPRODUCT(($AJ57&gt;INDEX('Methodology &amp; Sources'!$B$39:$J$48,0,IF($AU57="Married",4,IF($AU57="Head of household",7,1))))*($AJ57-INDEX('Methodology &amp; Sources'!$B$39:$J$48,0,IF($AU57="Married",4,IF($AU57="Head of household",7,1))))*INDEX('Methodology &amp; Sources'!$B$39:$J$48,0,IF($AU57="Married",4,IF($AU57="Head of household",7,1))+2))-VLOOKUP($AN57,StateTables!$A$6:$AB$56,11,FALSE)*$AS57)/Inputs!$C$8)+Inputs!$C$25+VLOOKUP($AN57,StateTables!$A$6:$AB$56,13,FALSE)*$D57,2),IF(VLOOKUP($AN57,StateTables!$A$6:$AB$56,4,FALSE)="None",0,IF(ISNUMBER(SEARCH("MANUAL",VLOOKUP($AN57,StateTables!$A$6:$AB$56,5,FALSE))),Inputs!$C$28,ROUND(MAX(0,$BA57+$BB57)/Inputs!$C$8+Inputs!$C$25+$BC57,2))))))</f>
      </c>
      <c r="U57" s="7">
        <f>IF($B57="","",IF(VLOOKUP($AN57,StateTables!$A$6:$AB$56,24,FALSE)="flatq",IF(OR(MONTH($B57)=1,MONTH($B57)=4,MONTH($B57)=7,MONTH($B57)=10),VLOOKUP($AN57,StateTables!$A$6:$AB$56,25,FALSE),0),IF(VLOOKUP($AN57,StateTables!$A$6:$AB$56,24,FALSE)="dbl",MIN(ROUND(0.005*$N57,2),ROUND(0.6*52/Inputs!$C$8,2)),IF(OR(VLOOKUP($AN57,StateTables!$A$6:$AB$56,15,FALSE)="",VLOOKUP($AN57,StateTables!$A$6:$AB$56,15,FALSE)=0),0,ROUND(VLOOKUP($AN57,StateTables!$A$6:$AB$56,15,FALSE)*IF(OR(VLOOKUP($AN57,StateTables!$A$6:$AB$56,16,FALSE)="",VLOOKUP($AN57,StateTables!$A$6:$AB$56,16,FALSE)=0),$N57,MIN($N57,MAX(0,VLOOKUP($AN57,StateTables!$A$6:$AB$56,16,FALSE)-($AX57+$AB56-$AW57)))),2))))+IF(VLOOKUP($AN57,StateTables!$A$6:$AB$56,27,FALSE)="flatq",IF(OR(MONTH($B57)=1,MONTH($B57)=4,MONTH($B57)=7,MONTH($B57)=10),VLOOKUP($AN57,StateTables!$A$6:$AB$56,28,FALSE),0),IF(VLOOKUP($AN57,StateTables!$A$6:$AB$56,27,FALSE)="dbl",MIN(ROUND(0.005*$N57,2),ROUND(0.6*52/Inputs!$C$8,2)),IF(OR(VLOOKUP($AN57,StateTables!$A$6:$AB$56,18,FALSE)="",VLOOKUP($AN57,StateTables!$A$6:$AB$56,18,FALSE)=0),0,ROUND(VLOOKUP($AN57,StateTables!$A$6:$AB$56,18,FALSE)*IF(OR(VLOOKUP($AN57,StateTables!$A$6:$AB$56,19,FALSE)="",VLOOKUP($AN57,StateTables!$A$6:$AB$56,19,FALSE)=0),$N57,MIN($N57,MAX(0,VLOOKUP($AN57,StateTables!$A$6:$AB$56,19,FALSE)-($AX57+$AB56-$AW57)))),2)))))</f>
      </c>
      <c r="V57" s="7">
        <f>IF($B57="","",IF($AN57="NY",IF(Inputs!$C$78,ROUND(SUMPRODUCT((MAX(0,($O57-$D57)*Inputs!$C$8-(IF($AU57="Married",5500,5000)+1000*$AS57))&gt;INDEX('Methodology &amp; Sources'!$B$184:$J$198,0,4))*(MAX(0,($O57-$D57)*Inputs!$C$8-(IF($AU57="Married",5500,5000)+1000*$AS57))-INDEX('Methodology &amp; Sources'!$B$184:$J$198,0,4))*INDEX('Methodology &amp; Sources'!$B$184:$J$198,0,4+2))/Inputs!$C$8+0.0425*$D57,2),0)+IF(Inputs!$C$79="Resident",ROUND(0.1675*$T57,2),IF(Inputs!$C$79="Nonresident",ROUND(0.005*MAX(0,($O57-$D57)-(IF($AU57="Married",7950,7400)+1000*$AS57)/Inputs!$C$8),2),0)),IF($AN57="PA",IF(Inputs!$C$80="None",Inputs!$C$27+ROUND(Inputs!$C$81*($C57+$D57),2),ROUND(IF(Inputs!$C$80="Resident",IF($B57&lt;DATE(2027,7,1),0.03735,0.03735),IF($B57&lt;DATE(2027,7,1),0.03425,0.03425))*($C57+$D57),2)),IF($BF57=0,ROUND(Inputs!$C$81*($C57+$D57),2),Inputs!$C$27+ROUND(Inputs!$C$81*($C57+$D57),2)))))</f>
      </c>
      <c r="W57" s="7">
        <f>IF($B57="","",IF($BF57=0,0,$BP57))</f>
      </c>
      <c r="X57" s="7">
        <f>IF($B57="","",SUM($E57:$K57)+$P57+$Q57+$R57+$S57+$T57+$U57+$V57+$W57)</f>
      </c>
      <c r="Y57" s="22">
        <f>IF($B57="","",$C57+$D57-$X57)</f>
      </c>
      <c r="Z57" s="7">
        <f>IF($B57="","",$Z56+$C57+$D57)</f>
      </c>
      <c r="AA57" s="7">
        <f>IF($B57="","",$AA56+$Y57)</f>
      </c>
      <c r="AB57" s="7">
        <f>IF($B57="","",$AB56+MIN($N57,MAX(0,'Methodology &amp; Sources'!$C$3-($AX57+$AB56-$AW57))))</f>
      </c>
      <c r="AC57" s="7">
        <f>IF($B57="","",$AC56+$E57+$F57)</f>
      </c>
      <c r="AD57" s="3">
        <f>IF($B57="","",IF(AND($AB56&lt;'Methodology &amp; Sources'!$C$3,$AB57&gt;='Methodology &amp; Sources'!$C$3),"★ Social Security maxed on this check — from the next check your net rises by about $"&amp;TEXT(ROUND('Methodology &amp; Sources'!$C$4*$N57,2),"#,##0.00")&amp;". ","")&amp;IF(AND($AC56&lt;Inputs!$C$34,$AC57&gt;=Inputs!$C$34),"★ 401(k) reaches the $"&amp;TEXT(Inputs!$C$34,"#,##0")&amp;" cap on this check — deferrals stop and net pay rises. ","")&amp;IF(AND($AG56&lt;'Methodology &amp; Sources'!$C$7,$AG57&gt;='Methodology &amp; Sources'!$C$7),"★ Wages pass $200,000 — the 0.9% Additional Medicare Tax starts here. ","")&amp;IF(AND($BJ57&gt;0,$H57&gt;0,$BG56&lt;MIN($BJ57,'Methodology &amp; Sources'!$C$13),$BG56+$H57&gt;=MIN($BJ57,'Methodology &amp; Sources'!$C$13)),"★ Health FSA election is now fully deferred for the year. ",""))</f>
      </c>
      <c r="AE57" s="41" t="n"/>
      <c r="AF57" s="7">
        <f>IF(OR($B57="",$AE57=""),"",$AE57-$Y57)</f>
      </c>
      <c r="AG57" s="7">
        <f>IF($B57="","",$AG56+$N57)</f>
      </c>
      <c r="AH57" s="7">
        <f>IF($B57="","",MAX(0,($M57-$D57)*Inputs!$C$8+$AP57-$AQ57-IF(Inputs!$C$13,0,IF(Inputs!$C$12="MFJ",'Methodology &amp; Sources'!$C$8,'Methodology &amp; Sources'!$C$9))))</f>
      </c>
      <c r="AI57" s="7">
        <f>IF($B57="","",$O57*Inputs!$C$8)</f>
      </c>
      <c r="AJ57" s="7">
        <f>IF($B57="","",MAX(0,$AI57-VLOOKUP($AN57,StateTables!$A$6:$AB$56,12,FALSE)*$AT57-IF(($AS57+$AT57)&gt;=2,VLOOKUP($AN57,StateTables!$A$6:$AB$56,8,FALSE),VLOOKUP($AN57,StateTables!$A$6:$AB$56,7,FALSE))))</f>
      </c>
      <c r="AK57" s="7">
        <f>IF($B57="","",IFERROR(LOOKUP(2,1/((Events!$C$6:$C$17="Salary change")*(Events!$B$6:$B$17&lt;=$B57)*(Events!$B$6:$B$17&lt;&gt;"")),Events!$D$6:$D$17),IF(Inputs!$C$4="Annual salary",Inputs!$C$5,Inputs!$C$6)))</f>
      </c>
      <c r="AL57">
        <f>IF($B57="","",IFERROR(LOOKUP(2,1/((Events!$C$6:$C$17="401(k) change")*(Events!$B$6:$B$17&lt;=$B57)*(Events!$B$6:$B$17&lt;&gt;"")),Events!$D$6:$D$17),Inputs!$C$30))</f>
      </c>
      <c r="AM57" s="7">
        <f>IF($B57="","",IFERROR(LOOKUP(2,1/((Events!$C$6:$C$17="401(k) change")*(Events!$B$6:$B$17&lt;=$B57)*(Events!$B$6:$B$17&lt;&gt;"")),Events!$E$6:$E$17),Inputs!$D$30))</f>
      </c>
      <c r="AN57">
        <f>IF($B57="","",IFERROR(LOOKUP(2,1/((Events!$C$6:$C$17="State move")*(Events!$B$6:$B$17&lt;=$B57)*(Events!$B$6:$B$17&lt;&gt;"")),Events!$D$6:$D$17),Inputs!$C$21))</f>
      </c>
      <c r="AO57" s="7">
        <f>IF($B57="","",IFERROR(LOOKUP(2,1/((Events!$C$6:$C$17="W-4 change")*(Events!$B$6:$B$17&lt;=$B57)*(Events!$B$6:$B$17&lt;&gt;"")),Events!$D$6:$D$17),Inputs!$C$14))</f>
      </c>
      <c r="AP57" s="7">
        <f>IF($B57="","",IFERROR(LOOKUP(2,1/((Events!$C$6:$C$17="W-4 change")*(Events!$B$6:$B$17&lt;=$B57)*(Events!$B$6:$B$17&lt;&gt;"")),Events!$E$6:$E$17),Inputs!$C$15))</f>
      </c>
      <c r="AQ57" s="7">
        <f>IF($B57="","",IFERROR(LOOKUP(2,1/((Events!$C$6:$C$17="W-4 change")*(Events!$B$6:$B$17&lt;=$B57)*(Events!$B$6:$B$17&lt;&gt;"")),Events!$F$6:$F$17),Inputs!$C$16))</f>
      </c>
      <c r="AR57" s="7">
        <f>IF($B57="","",IFERROR(LOOKUP(2,1/((Events!$C$6:$C$17="W-4 change")*(Events!$B$6:$B$17&lt;=$B57)*(Events!$B$6:$B$17&lt;&gt;"")),Events!$G$6:$G$17),Inputs!$C$17))</f>
      </c>
      <c r="AS57" s="6">
        <f>IF($B57="","",IFERROR(LOOKUP(2,1/(((Events!$C$6:$C$17="State move")+(Events!$C$6:$C$17="State cert change"))*(Events!$B$6:$B$17&lt;=$B57)*(Events!$B$6:$B$17&lt;&gt;"")),Events!$F$6:$F$17),Inputs!$C$23))</f>
      </c>
      <c r="AT57" s="6">
        <f>IF($B57="","",IFERROR(LOOKUP(2,1/(((Events!$C$6:$C$17="State move")+(Events!$C$6:$C$17="State cert change"))*(Events!$B$6:$B$17&lt;=$B57)*(Events!$B$6:$B$17&lt;&gt;"")),Events!$G$6:$G$17),Inputs!$C$24))</f>
      </c>
      <c r="AU57">
        <f>IF($B57="","",IFERROR(LOOKUP(2,1/((Events!$C$6:$C$17="State move")*(Events!$B$6:$B$17&lt;=$B57)*(Events!$B$6:$B$17&lt;&gt;"")),Events!$E$6:$E$17),Inputs!$C$22))</f>
      </c>
      <c r="AV57" s="6">
        <f>IF($B57="","",1+COUNTIFS(Events!$C$6:$C$17,"Employer change",Events!$B$6:$B$17,"&lt;="&amp;$B57,Events!$B$6:$B$17,"&lt;&gt;"))</f>
      </c>
      <c r="AW57" s="7">
        <f>IF($B57="","",IF($AV57=1,Inputs!$C$94,IF(IFERROR(MATCH(IFERROR(LOOKUP(2,1/((Events!$C$6:$C$17="Employer change")*(Events!$B$6:$B$17&lt;=$B57)*(Events!$B$6:$B$17&lt;&gt;"")),Events!$B$6:$B$17),""),$B$6:$B$68,1),1)&lt;=1,Inputs!$C$94,INDEX($AB$6:$AB$68,MATCH(IFERROR(LOOKUP(2,1/((Events!$C$6:$C$17="Employer change")*(Events!$B$6:$B$17&lt;=$B57)*(Events!$B$6:$B$17&lt;&gt;"")),Events!$B$6:$B$17),""),$B$6:$B$68,1)-1))))</f>
      </c>
      <c r="AX57" s="7">
        <f>IF($B57="","",IF($AV57=1,Inputs!$C$94,IFERROR(LOOKUP(2,1/((Events!$C$6:$C$17="Employer change")*(Events!$B$6:$B$17&lt;=$B57)*(Events!$B$6:$B$17&lt;&gt;"")),Events!$D$6:$D$17),0)))</f>
      </c>
      <c r="AY57" s="7">
        <f>IF($B57="","",($O57-$D57)*Inputs!$C$8)</f>
      </c>
      <c r="AZ57" s="7">
        <f>IF($B57="","",IF($AN57="AL",MAX(0,$AY57-IF($AU57="Married",IF($AY57&lt;=25999,8500,MAX(5000,8500-175*CEILING(($AY57-25999)/500,1))),IF($AU57="Head of household",IF($AY57&lt;=25999,5200,MAX(2500,5200-135*CEILING(($AY57-25999)/500,1))),IF($AY57&lt;=25999,3000,MAX(2500,3000-25*CEILING(($AY57-25999)/500,1)))))-($P57-'Methodology &amp; Sources'!$C$10*$D57)*Inputs!$C$8-IF(OR($AU57="Married",$AU57="Head of household"),3000,1500)-$AT57*IF($AY57&lt;=50000,1000,IF($AY57&lt;=100000,500,300))),IF($AN57="AR",IF(MAX(0,$AY57-2470)&lt;97701,INT(MAX(0,$AY57-2470)/100)*100+50,MAX(0,$AY57-2470)),IF($AN57="DE",MAX(0,$AI57-3250),IF($AN57="HI",MAX(0,$AI57-1144*$AS57-4350),IF($AN57="KS",MAX(0,$AI57-(9160*IF($AU57="Married",2,1)+2320*$AT57+IF($AU57="Head of household",2320,0))),IF($AN57="MD",MAX(0,$AI57-3400-3200*$AS57),IF($AN57="MN",MAX(0,$AY57-5300*$AS57),IF($AN57="MO",MAX(0,$AI57-IF($AU57="Head of household",24150,IF($AU57="Married",IF(Inputs!$C$83,16100,32200),16100))),IF($AN57="MT",$AY57,IF($AN57="ND",($C57+$L57)*Inputs!$C$8,IF($AN57="NE",MAX(0,$AY57-2440*$AS57),IF($AN57="NJ",MAX(0,$AY57-1000*$AS57),IF($AN57="NY",MAX(0,$AY57-(IF($AU57="Married",7950,7400)+1000*$AS57)),IF($AN57="OH",MAX(0,$AY57-650*$AS57),IF($AN57="OK",MAX(0,$AY57-1000*$AS57),IF($AN57="RI",MAX(0,$AI57-1000*$AS57),IF($AN57="SC",MAX(0,$AI57-5000*$AS57-IF($AS57=0,0,MIN(0.1*$AI57,7500))),IF($AN57="VA",MAX(0,$AI57-IF($AU57="Married",17500,8750)-930*$AS57-800*$AT57),IF($AN57="VT",MAX(0,$AI57-5400*$AS57),IF($AN57="WI",MAX(0,$AI57-MAX(0,IF($AU57="Married",9461-0.2*MAX(0,$AI57-25727),6702-0.12*MAX(0,$AI57-17780)))-400*$AS57),IF($AN57="WV",MAX(0,$AI57-2000*$AS57),$AI57))))))))))))))))))))))</f>
      </c>
      <c r="BA57" s="7">
        <f>IF($B57="","",IF($BW57&lt;&gt;"",$BW57,IF($BX57&lt;&gt;"",$BX57,IF($BY57&lt;&gt;"",$BY57,0))))</f>
      </c>
      <c r="BB57" s="7">
        <f>IF($B57="","",IF($AN57="AR",-29*$AS57,IF($AN57="DE",-110*$AS57,IF($AN57="MD",$AZ57*Inputs!$C$74,IF($AN57="AZ",Inputs!$C$82*($M57-$D57)*Inputs!$C$8,IF($AN57="CO",0.044*MAX(0,$AY57-IF($AU57="Married",10000,5000)),IF($AN57="IA",MAX(0,0.038*MAX(0,$AY57-IF($AU57="Head of household",19500,IF($AU57="Married",26000,13000)))-40*$AS57),IF($AN57="ID",0.053*MAX(0,$AY57-IF($AU57="Married",32000,16094)),IF($AN57="IL",0.0495*MAX(0,$AY57-(2925*$AS57+1000*$AT57)),IF($AN57="IN",(0.0295+Inputs!$C$76)*MAX(0,$AY57-(1000*$AS57+1500*$AT57+3000*Inputs!$C$86)),IF($AN57="KY",0.035*MAX(0,$AI57-3360),IF($AN57="LA",IF(Inputs!$C$84="0",0.0309*$AI57,0.0309*MAX(0,$AI57-IF(Inputs!$C$84="2",25750,12875))),IF($AN57="MA",0.05*MIN(MAX(0,$AY57-MIN(($BD56+$Q57+$R57+$S57),2000)-IF($AS57=0,0,IF($AS57=1,4400,1000*$AS57+3400))),1107750)+0.09*MAX(0,MAX(0,$AY57-MIN(($BD56+$Q57+$R57+$S57),2000)-IF($AS57=0,0,IF($AS57=1,4400,1000*$AS57+3400)))-1107750)-IF($AU57="Head of household",120,0)-110*Inputs!$C$75,IF($AN57="MI",0.0425*MAX(0,$AY57-5900*$AS57),IF($AN57="MS",0.04*MAX(0,$AI57-IF($AU57="Head of household",3400,IF($AU57="Married",4600,2300))-Inputs!$C$85-10000),IF($AN57="OR",IF(OR($AU57="Married",AND($AU57="Single",$AS57&gt;=3)),SUMPRODUCT((MAX(0,$AY57-MIN(($P57-'Methodology &amp; Sources'!$C$10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Sources'!$B$211:$J$214,0,4))*(MAX(0,$AY57-MIN(($P57-'Methodology &amp; Sources'!$C$10*$D57)*Inputs!$C$8,IF(OR($AU57="Married",AND($AU57="Single",$AS57&gt;=3)),IF($AY57&lt;250000,8750,IF($AY57&lt;260000,7000,IF($AY57&lt;270000,5250,IF($AY57&lt;280000,3500,IF($AY57&lt;290000,1750,0))))),IF($AY57&lt;125000,8750,IF($AY57&lt;130000,7000,IF($AY57&lt;135000,5250,IF($AY57&lt;140000,3500,IF($AY57&lt;145000,1750,0)))))))-IF(OR($AU57="Married",AND($AU57="Single",$AS57&gt;=3)),5820,2910))-INDEX('Methodology &amp; Sources'!$B$211:$J$214,0,4))*INDEX('Methodology &amp; Sources'!$B$211:$J$214,0,4+2)),SUMPRODUCT((MAX(0,$AY57-MIN(($P57-'Methodology &amp; Sources'!$C$10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Sources'!$B$211:$J$214,0,1))*(MAX(0,$AY57-MIN(($P57-'Methodology &amp; Sources'!$C$10*$D57)*Inputs!$C$8,IF(OR($AU57="Married",AND($AU57="Single",$AS57&gt;=3)),IF($AY57&lt;250000,8750,IF($AY57&lt;260000,7000,IF($AY57&lt;270000,5250,IF($AY57&lt;280000,3500,IF($AY57&lt;290000,1750,0))))),IF($AY57&lt;125000,8750,IF($AY57&lt;130000,7000,IF($AY57&lt;135000,5250,IF($AY57&lt;140000,3500,IF($AY57&lt;145000,1750,0)))))))-IF(OR($AU57="Married",AND($AU57="Single",$AS57&gt;=3)),5820,2910))-INDEX('Methodology &amp; Sources'!$B$211:$J$214,0,1))*INDEX('Methodology &amp; Sources'!$B$211:$J$214,0,1+2)))+263-263*IF(IF($AU57="Married",$AY57&gt;200000,$AY57&gt;100000),0,$AS57),IF($AN57="PA",0.0307*(($O57+$E57+$G57)*Inputs!$C$8),IF($AN57="NY",IF($AU57="Married",IF($AZ57&gt;=2155350,0,IF($AZ57&gt;=1077550,0.48,IF($AZ57&gt;=373200,1.21,IF($AZ57&gt;=323200,0.21,IF($AZ57&gt;=211550,-0.19,IF($AZ57&gt;=157650,-2.8,IF($AZ57&gt;=107650,-0.8,IF($AZ57&gt;=96800,0.05,IF($AZ57&gt;=80650,-0.1,IF($AZ57&gt;=13900,0.4,IF($AZ57&gt;=11700,-0.3,IF($AZ57&gt;=8500,0.5,0)))))))))))),IF($AZ57&gt;=1077550,0,IF($AZ57&gt;=265400,4.29,IF($AZ57&gt;=215400,2.29,IF($AZ57&gt;=157650,2.29,IF($AZ57&gt;=107650,0.29,IF($AZ57&gt;=96800,0.05,IF($AZ57&gt;=80650,-0.1,IF($AZ57&gt;=13900,0.4,IF($AZ57&gt;=11700,-0.3,IF($AZ57&gt;=8500,0.5,0))))))))))),0))))))))))))))))))</f>
      </c>
      <c r="BC57" s="7">
        <f>IF($B57="","",IF($AN57="AL",0.05*$D57,IF($AN57="AR",0.039*$D57,IF($AN57="ID",0.053*$D57,IF($AN57="IN",(0.0295+Inputs!$C$76)*$D57,IF($AN57="KS",0.05*$D57,IF($AN57="MA",0.09*MIN($D57,MAX(0,MAX(0,$AY57-MIN(($BD56+$Q57+$R57+$S57),2000)-IF($AS57=0,0,IF($AS57=1,4400,1000*$AS57+3400)))+$D57-1107750))+0.05*($D57-MIN($D57,MAX(0,MAX(0,$AY57-MIN(($BD56+$Q57+$R57+$S57),2000)-IF($AS57=0,0,IF($AS57=1,4400,1000*$AS57+3400)))+$D57-1107750))),IF($AN57="MD",(0.065+Inputs!$C$74)*$D57,IF($AN57="MI",0.0425*$D57,IF($AN57="MN",0.0625*$D57,IF($AN57="MO",0.047*$D57,IF($AN57="MT",0.05*$D57,IF($AN57="ND",0.015*$D57,IF($AN57="NE",0.035*$D57,IF($AN57="NJ",IF(Inputs!$C$77="B",SUMPRODUCT(($D57*Inputs!$C$8&gt;INDEX('Methodology &amp; Sources'!$B$155:$J$162,0,4))*($D57*Inputs!$C$8-INDEX('Methodology &amp; Sources'!$B$155:$J$162,0,4))*INDEX('Methodology &amp; Sources'!$B$155:$J$162,0,4+2)),IF(Inputs!$C$77="C",SUMPRODUCT(($D57*Inputs!$C$8&gt;INDEX('Methodology &amp; Sources'!$B$155:$J$162,0,7))*($D57*Inputs!$C$8-INDEX('Methodology &amp; Sources'!$B$155:$J$162,0,7))*INDEX('Methodology &amp; Sources'!$B$155:$J$162,0,7+2)),IF(Inputs!$C$77="D",SUMPRODUCT(($D57*Inputs!$C$8&gt;INDEX('Methodology &amp; Sources'!$B$167:$J$179,0,1))*($D57*Inputs!$C$8-INDEX('Methodology &amp; Sources'!$B$167:$J$179,0,1))*INDEX('Methodology &amp; Sources'!$B$167:$J$179,0,1+2)),IF(Inputs!$C$77="E",SUMPRODUCT(($D57*Inputs!$C$8&gt;INDEX('Methodology &amp; Sources'!$B$167:$J$179,0,4))*($D57*Inputs!$C$8-INDEX('Methodology &amp; Sources'!$B$167:$J$179,0,4))*INDEX('Methodology &amp; Sources'!$B$167:$J$179,0,4+2)),SUMPRODUCT(($D57*Inputs!$C$8&gt;INDEX('Methodology &amp; Sources'!$B$155:$J$162,0,1))*($D57*Inputs!$C$8-INDEX('Methodology &amp; Sources'!$B$155:$J$162,0,1))*INDEX('Methodology &amp; Sources'!$B$155:$J$162,0,1+2))))))/Inputs!$C$8,IF($AN57="NY",0.117*$D57,IF($AN57="OH",0.0275*$D57,IF($AN57="OK",0.045*$D57,IF($AN57="OR",0.08*$D57,IF($AN57="WI",IF($AY57&lt;12760,0.0354,IF($AY57&lt;25520,0.0465,IF($AY57&lt;280950,0.053,0.0765)))*$D57,0))))))))))))))))))))</f>
      </c>
      <c r="BD57" s="7">
        <f>IF($B57="","",$BD56+$Q57+$R57+$S57)</f>
      </c>
      <c r="BE57" s="6">
        <f>IF($B57="",$BE56,$BE56+$BF57)</f>
      </c>
      <c r="BF57" s="6">
        <f>IF($B57="","",IF(AND(IF(YEAR(IF(Inputs!$C$7="Weekly",Inputs!$C$90+7*(($BE56+1)-1),IF(Inputs!$C$7="Biweekly",Inputs!$C$90+14*(($BE56+1)-1),IF(Inputs!$C$7="Semimonthly",DATE(YEAR(Inputs!$C$9),MONTH(Inputs!$C$9)+INT((($BE56+1)-1+'Rest of 2026'!$C$2)/2),MIN(DAY(Inputs!$C$9),DAY(EOMONTH(DATE(YEAR(Inputs!$C$9),MONTH(Inputs!$C$9)+INT((($BE56+1)-1+'Rest of 2026'!$C$2)/2),1),0))))+IF(MOD(($BE56+1)-1+'Rest of 2026'!$C$2,2)=1,15,0),EDATE(Inputs!$C$90,($BE56+1)-1)))))&lt;&gt;Inputs!$C$10,"",IF(Inputs!$C$7="Weekly",Inputs!$C$90+7*(($BE56+1)-1),IF(Inputs!$C$7="Biweekly",Inputs!$C$90+14*(($BE56+1)-1),IF(Inputs!$C$7="Semimonthly",DATE(YEAR(Inputs!$C$9),MONTH(Inputs!$C$9)+INT((($BE56+1)-1+'Rest of 2026'!$C$2)/2),MIN(DAY(Inputs!$C$9),DAY(EOMONTH(DATE(YEAR(Inputs!$C$9),MONTH(Inputs!$C$9)+INT((($BE56+1)-1+'Rest of 2026'!$C$2)/2),1),0))))+IF(MOD(($BE56+1)-1+'Rest of 2026'!$C$2,2)=1,15,0),EDATE(Inputs!$C$90,($BE56+1)-1)))))&lt;&gt;"",$B57=IF(YEAR(IF(Inputs!$C$7="Weekly",Inputs!$C$90+7*(($BE56+1)-1),IF(Inputs!$C$7="Biweekly",Inputs!$C$90+14*(($BE56+1)-1),IF(Inputs!$C$7="Semimonthly",DATE(YEAR(Inputs!$C$9),MONTH(Inputs!$C$9)+INT((($BE56+1)-1+'Rest of 2026'!$C$2)/2),MIN(DAY(Inputs!$C$9),DAY(EOMONTH(DATE(YEAR(Inputs!$C$9),MONTH(Inputs!$C$9)+INT((($BE56+1)-1+'Rest of 2026'!$C$2)/2),1),0))))+IF(MOD(($BE56+1)-1+'Rest of 2026'!$C$2,2)=1,15,0),EDATE(Inputs!$C$90,($BE56+1)-1)))))&lt;&gt;Inputs!$C$10,"",IF(Inputs!$C$7="Weekly",Inputs!$C$90+7*(($BE56+1)-1),IF(Inputs!$C$7="Biweekly",Inputs!$C$90+14*(($BE56+1)-1),IF(Inputs!$C$7="Semimonthly",DATE(YEAR(Inputs!$C$9),MONTH(Inputs!$C$9)+INT((($BE56+1)-1+'Rest of 2026'!$C$2)/2),MIN(DAY(Inputs!$C$9),DAY(EOMONTH(DATE(YEAR(Inputs!$C$9),MONTH(Inputs!$C$9)+INT((($BE56+1)-1+'Rest of 2026'!$C$2)/2),1),0))))+IF(MOD(($BE56+1)-1+'Rest of 2026'!$C$2,2)=1,15,0),EDATE(Inputs!$C$90,($BE56+1)-1)))))),1,0))</f>
      </c>
      <c r="BG57" s="7">
        <f>IF($B57="","",$BG56+$H57)</f>
      </c>
      <c r="BH57" s="7">
        <f>IF($B57="","",$BH56+$I57)</f>
      </c>
      <c r="BI57" s="7">
        <f>IF($B57="","",$BI56+$G57)</f>
      </c>
      <c r="BJ57" s="7">
        <f>IF($B57="","",IFERROR(LOOKUP(2,1/((((Events!$C$6:$C$17="Deduction start"))*(Events!$D$6:$D$17="Health FSA"))*(Events!$B$6:$B$17&lt;=$B57)*(Events!$B$6:$B$17&lt;&gt;"")),Events!$E$6:$E$17),Inputs!$D$38))</f>
      </c>
      <c r="BK57" s="7">
        <f>IF($B57="","",IFERROR(LOOKUP(2,1/((((Events!$C$6:$C$17="Deduction start"))*(Events!$D$6:$D$17="Dependent-care FSA"))*(Events!$B$6:$B$17&lt;=$B57)*(Events!$B$6:$B$17&lt;&gt;"")),Events!$E$6:$E$17),Inputs!$D$39))</f>
      </c>
      <c r="BL57" s="7">
        <f>IF($B57="","",IFERROR(LOOKUP(2,1/((((Events!$C$6:$C$17="Deduction start")+(Events!$C$6:$C$17="Deduction stop"))*(Events!$D$6:$D$17="HSA"))*(Events!$B$6:$B$17&lt;=$B57)*(Events!$B$6:$B$17&lt;&gt;"")),Events!$I$6:$I$17),Inputs!$D$35))</f>
      </c>
      <c r="BM57" s="7">
        <f>IF($B57="","",IFERROR(LOOKUP(2,1/((((Events!$C$6:$C$17="Deduction start")+(Events!$C$6:$C$17="Deduction stop"))*(Events!$D$6:$D$17="Premiums"))*(Events!$B$6:$B$17&lt;=$B57)*(Events!$B$6:$B$17&lt;&gt;"")),Events!$I$6:$I$17),Inputs!$D$40+Inputs!$D$41+Inputs!$D$42))</f>
      </c>
      <c r="BN57" s="7">
        <f>IF($B57="","",IFERROR(LOOKUP(2,1/((((Events!$C$6:$C$17="Deduction start")+(Events!$C$6:$C$17="Deduction stop"))*(Events!$D$6:$D$17="Commuter"))*(Events!$B$6:$B$17&lt;=$B57)*(Events!$B$6:$B$17&lt;&gt;"")),Events!$I$6:$I$17),Inputs!$D$43))</f>
      </c>
      <c r="BO57" s="7">
        <f>IF($B57="","",IFERROR(LOOKUP(2,1/((((Events!$C$6:$C$17="Deduction start")+(Events!$C$6:$C$17="Deduction stop"))*(Events!$D$6:$D$17="Other pre-tax"))*(Events!$B$6:$B$17&lt;=$B57)*(Events!$B$6:$B$17&lt;&gt;"")),Events!$I$6:$I$17),Inputs!$D$44))</f>
      </c>
      <c r="BP57" s="7">
        <f>IF($B57="","",IFERROR(LOOKUP(2,1/((((Events!$C$6:$C$17="Deduction start")+(Events!$C$6:$C$17="Deduction stop"))*(Events!$D$6:$D$17="Other post-tax"))*(Events!$B$6:$B$17&lt;=$B57)*(Events!$B$6:$B$17&lt;&gt;"")),Events!$I$6:$I$17),Inputs!$D$45))</f>
      </c>
      <c r="BQ57" s="6">
        <f>IF($B57="","",IFERROR(LOOKUP(2,1/((((Events!$C$6:$C$17="Deduction start")+(Events!$C$6:$C$17="Deduction stop"))*(Events!$D$6:$D$17="Health FSA"))*(Events!$B$6:$B$17&lt;=$B57)*(Events!$B$6:$B$17&lt;&gt;"")),Events!$J$6:$J$17),0))</f>
      </c>
      <c r="BR57" s="6">
        <f>IF($B57="","",IFERROR(LOOKUP(2,1/((((Events!$C$6:$C$17="Deduction start")+(Events!$C$6:$C$17="Deduction stop"))*(Events!$D$6:$D$17="Dependent-care FSA"))*(Events!$B$6:$B$17&lt;=$B57)*(Events!$B$6:$B$17&lt;&gt;"")),Events!$J$6:$J$17),0))</f>
      </c>
      <c r="BS57" s="6">
        <f>IF($B57="","",IF(SUMPRODUCT((Events!$C$6:$C$17="Deduction start")*(Events!$B$6:$B$17&lt;=$B57)*(Events!$B$6:$B$17&lt;&gt;"")*(Events!$D$6:$D$17="Health FSA"))&gt;0,1,0))</f>
      </c>
      <c r="BT57" s="6">
        <f>IF($B57="","",IF(SUMPRODUCT((Events!$C$6:$C$17="Deduction start")*(Events!$B$6:$B$17&lt;=$B57)*(Events!$B$6:$B$17&lt;&gt;"")*(Events!$D$6:$D$17="Dependent-care FSA"))&gt;0,1,0))</f>
      </c>
      <c r="BU57" s="24">
        <f>IF($B57="","",IF(Inputs!$C$13,SUMPRODUCT(($AH57&gt;=INDEX('Methodology &amp; Sources'!$B$29:$J$36,0,IF(Inputs!$C$12="MFJ",1,IF(Inputs!$C$12="HoH",7,4))))*INDEX('Methodology &amp; Sources'!$B$29:$J$36,0,IF(Inputs!$C$12="MFJ",1,IF(Inputs!$C$12="HoH",7,4))+2)),SUMPRODUCT(($AH57&gt;=INDEX('Methodology &amp; Sources'!$B$19:$J$26,0,IF(Inputs!$C$12="MFJ",1,IF(Inputs!$C$12="HoH",7,4))))*INDEX('Methodology &amp; Sources'!$B$19:$J$26,0,IF(Inputs!$C$12="MFJ",1,IF(Inputs!$C$12="HoH",7,4))+2))))</f>
      </c>
      <c r="BV57" s="24">
        <f>IF($B57="","",IF($BZ57&lt;&gt;"",$BZ57,IF($CA57&lt;&gt;"",$CA57,IF($CB57&lt;&gt;"",$CB57,IF($CC57&lt;&gt;"",$CC57,0)))))</f>
      </c>
      <c r="BW57" s="7">
        <f>IF($B57="","",IF($AN57="MD",IF(OR($AU57="Married",$AU57="Head of household"),SUMPRODUCT(($AZ57&gt;INDEX('Methodology &amp; Sources'!$B$114:$J$120,0,1))*($AZ57-INDEX('Methodology &amp; Sources'!$B$114:$J$120,0,1))*INDEX('Methodology &amp; Sources'!$B$114:$J$120,0,1+2)),SUMPRODUCT(($AZ57&gt;INDEX('Methodology &amp; Sources'!$B$103:$J$109,0,7))*($AZ57-INDEX('Methodology &amp; Sources'!$B$103:$J$109,0,7))*INDEX('Methodology &amp; Sources'!$B$103:$J$109,0,7+2))),IF($AN57="MO",SUMPRODUCT(($AZ57&gt;INDEX('Methodology &amp; Sources'!$B$125:$J$132,0,1))*($AZ57-INDEX('Methodology &amp; Sources'!$B$125:$J$132,0,1))*INDEX('Methodology &amp; Sources'!$B$125:$J$132,0,1+2)),IF($AN57="MT",IF($AU57="Head of household",SUMPRODUCT(($AZ57&gt;INDEX('Methodology &amp; Sources'!$B$137:$J$139,0,1))*($AZ57-INDEX('Methodology &amp; Sources'!$B$137:$J$139,0,1))*INDEX('Methodology &amp; Sources'!$B$137:$J$139,0,1+2)),IF($AU57="Married",SUMPRODUCT(($AZ57&gt;INDEX('Methodology &amp; Sources'!$B$125:$J$132,0,7))*($AZ57-INDEX('Methodology &amp; Sources'!$B$125:$J$132,0,7))*INDEX('Methodology &amp; Sources'!$B$125:$J$132,0,7+2)),SUMPRODUCT(($AZ57&gt;INDEX('Methodology &amp; Sources'!$B$125:$J$132,0,4))*($AZ57-INDEX('Methodology &amp; Sources'!$B$125:$J$132,0,4))*INDEX('Methodology &amp; Sources'!$B$125:$J$132,0,4+2)))),IF($AN57="ND",IF($AU57="Head of household",SUMPRODUCT(($AZ57&gt;INDEX('Methodology &amp; Sources'!$B$144:$J$150,0,1))*($AZ57-INDEX('Methodology &amp; Sources'!$B$144:$J$150,0,1))*INDEX('Methodology &amp; Sources'!$B$144:$J$150,0,1+2)),IF($AU57="Married",SUMPRODUCT(($AZ57&gt;INDEX('Methodology &amp; Sources'!$B$137:$J$139,0,7))*($AZ57-INDEX('Methodology &amp; Sources'!$B$137:$J$139,0,7))*INDEX('Methodology &amp; Sources'!$B$137:$J$139,0,7+2)),SUMPRODUCT(($AZ57&gt;INDEX('Methodology &amp; Sources'!$B$137:$J$139,0,4))*($AZ57-INDEX('Methodology &amp; Sources'!$B$137:$J$139,0,4))*INDEX('Methodology &amp; Sources'!$B$137:$J$139,0,4+2)))),IF($AN57="NJ",IF(Inputs!$C$77="B",SUMPRODUCT(($AZ57&gt;INDEX('Methodology &amp; Sources'!$B$155:$J$162,0,4))*($AZ57-INDEX('Methodology &amp; Sources'!$B$155:$J$162,0,4))*INDEX('Methodology &amp; Sources'!$B$155:$J$162,0,4+2)),IF(Inputs!$C$77="C",SUMPRODUCT(($AZ57&gt;INDEX('Methodology &amp; Sources'!$B$155:$J$162,0,7))*($AZ57-INDEX('Methodology &amp; Sources'!$B$155:$J$162,0,7))*INDEX('Methodology &amp; Sources'!$B$155:$J$162,0,7+2)),IF(Inputs!$C$77="D",SUMPRODUCT(($AZ57&gt;INDEX('Methodology &amp; Sources'!$B$167:$J$179,0,1))*($AZ57-INDEX('Methodology &amp; Sources'!$B$167:$J$179,0,1))*INDEX('Methodology &amp; Sources'!$B$167:$J$179,0,1+2)),IF(Inputs!$C$77="E",SUMPRODUCT(($AZ57&gt;INDEX('Methodology &amp; Sources'!$B$167:$J$179,0,4))*($AZ57-INDEX('Methodology &amp; Sources'!$B$167:$J$179,0,4))*INDEX('Methodology &amp; Sources'!$B$167:$J$179,0,4+2)),SUMPRODUCT(($AZ57&gt;INDEX('Methodology &amp; Sources'!$B$155:$J$162,0,1))*($AZ57-INDEX('Methodology &amp; Sources'!$B$155:$J$162,0,1))*INDEX('Methodology &amp; Sources'!$B$155:$J$162,0,1+2)))))),IF($AN57="NY",IF($AU57="Married",IF($AZ57&gt;=2155350,$AZ57*IF($AZ57&gt;25000000,0.117,IF($AZ57&gt;5000000,0.111,0.1045)),SUMPRODUCT(($AZ57&gt;INDEX('Methodology &amp; Sources'!$B$184:$J$198,0,1))*($AZ57-INDEX('Methodology &amp; Sources'!$B$184:$J$198,0,1))*INDEX('Methodology &amp; Sources'!$B$184:$J$198,0,1+2))),IF($AZ57&gt;=1077550,$AZ57*IF($AZ57&gt;25000000,0.117,IF($AZ57&gt;5000000,0.111,0.1045)),SUMPRODUCT(($AZ57&gt;INDEX('Methodology &amp; Sources'!$B$167:$J$179,0,7))*($AZ57-INDEX('Methodology &amp; Sources'!$B$167:$J$179,0,7))*INDEX('Methodology &amp; Sources'!$B$167:$J$179,0,7+2)))),"")))))))</f>
      </c>
      <c r="BX57" s="7">
        <f>IF($B57="","",IF($AN57="AL",IF(OR($AU57="Married",$AU57="Head of household"),SUMPRODUCT(($AZ57&gt;INDEX('Methodology &amp; Sources'!$B$82:$J$86,0,4))*($AZ57-INDEX('Methodology &amp; Sources'!$B$82:$J$86,0,4))*INDEX('Methodology &amp; Sources'!$B$82:$J$86,0,4+2)),SUMPRODUCT(($AZ57&gt;INDEX('Methodology &amp; Sources'!$B$82:$J$86,0,1))*($AZ57-INDEX('Methodology &amp; Sources'!$B$82:$J$86,0,1))*INDEX('Methodology &amp; Sources'!$B$82:$J$86,0,1+2))),IF($AN57="KS",IF($AU57="Married",SUMPRODUCT(($AZ57&gt;INDEX('Methodology &amp; Sources'!$B$103:$J$109,0,4))*($AZ57-INDEX('Methodology &amp; Sources'!$B$103:$J$109,0,4))*INDEX('Methodology &amp; Sources'!$B$103:$J$109,0,4+2)),SUMPRODUCT(($AZ57&gt;INDEX('Methodology &amp; Sources'!$B$103:$J$109,0,1))*($AZ57-INDEX('Methodology &amp; Sources'!$B$103:$J$109,0,1))*INDEX('Methodology &amp; Sources'!$B$103:$J$109,0,1+2))),IF($AN57="MN",IF($AU57="Married",SUMPRODUCT(($AZ57&gt;INDEX('Methodology &amp; Sources'!$B$114:$J$120,0,7))*($AZ57-INDEX('Methodology &amp; Sources'!$B$114:$J$120,0,7))*INDEX('Methodology &amp; Sources'!$B$114:$J$120,0,7+2)),SUMPRODUCT(($AZ57&gt;INDEX('Methodology &amp; Sources'!$B$114:$J$120,0,4))*($AZ57-INDEX('Methodology &amp; Sources'!$B$114:$J$120,0,4))*INDEX('Methodology &amp; Sources'!$B$114:$J$120,0,4+2))),IF($AN57="NE",MAX(IF($AU57="Married",SUMPRODUCT(($AZ57&gt;INDEX('Methodology &amp; Sources'!$B$144:$J$150,0,7))*($AZ57-INDEX('Methodology &amp; Sources'!$B$144:$J$150,0,7))*INDEX('Methodology &amp; Sources'!$B$144:$J$150,0,7+2)),SUMPRODUCT(($AZ57&gt;INDEX('Methodology &amp; Sources'!$B$144:$J$150,0,4))*($AZ57-INDEX('Methodology &amp; Sources'!$B$144:$J$150,0,4))*INDEX('Methodology &amp; Sources'!$B$144:$J$150,0,4+2))),0.015*$AZ57),IF($AN57="OH",IF($B57&gt;=DATE(2027,8,1),SUMPRODUCT(($AZ57&gt;INDEX('Methodology &amp; Sources'!$B$203:$J$206,0,1))*($AZ57-INDEX('Methodology &amp; Sources'!$B$203:$J$206,0,1))*INDEX('Methodology &amp; Sources'!$B$203:$J$206,0,1+2)),SUMPRODUCT(($AZ57&gt;INDEX('Methodology &amp; Sources'!$B$184:$J$198,0,7))*($AZ57-INDEX('Methodology &amp; Sources'!$B$184:$J$198,0,7))*INDEX('Methodology &amp; Sources'!$B$184:$J$198,0,7+2))),IF($AN57="OK",IF($AU57="Married",SUMPRODUCT(($AZ57&gt;INDEX('Methodology &amp; Sources'!$B$203:$J$206,0,7))*($AZ57-INDEX('Methodology &amp; Sources'!$B$203:$J$206,0,7))*INDEX('Methodology &amp; Sources'!$B$203:$J$206,0,7+2)),SUMPRODUCT(($AZ57&gt;INDEX('Methodology &amp; Sources'!$B$203:$J$206,0,4))*($AZ57-INDEX('Methodology &amp; Sources'!$B$203:$J$206,0,4))*INDEX('Methodology &amp; Sources'!$B$203:$J$206,0,4+2))),IF($AN57="RI",SUMPRODUCT(($AZ57&gt;INDEX('Methodology &amp; Sources'!$B$211:$J$214,0,7))*($AZ57-INDEX('Methodology &amp; Sources'!$B$211:$J$214,0,7))*INDEX('Methodology &amp; Sources'!$B$211:$J$214,0,7+2)),IF($AN57="VT",IF($AU57="Married",SUMPRODUCT(($AZ57&gt;INDEX('Methodology &amp; Sources'!$B$228:$J$232,0,1))*($AZ57-INDEX('Methodology &amp; Sources'!$B$228:$J$232,0,1))*INDEX('Methodology &amp; Sources'!$B$228:$J$232,0,1+2)),SUMPRODUCT(($AZ57&gt;INDEX('Methodology &amp; Sources'!$B$219:$J$223,0,7))*($AZ57-INDEX('Methodology &amp; Sources'!$B$219:$J$223,0,7))*INDEX('Methodology &amp; Sources'!$B$219:$J$223,0,7+2))),IF($AN57="WV",IF($AU57="Married",SUMPRODUCT(($AZ57&gt;INDEX('Methodology &amp; Sources'!$B$237:$J$241,0,7))*($AZ57-INDEX('Methodology &amp; Sources'!$B$237:$J$241,0,7))*INDEX('Methodology &amp; Sources'!$B$237:$J$241,0,7+2)),SUMPRODUCT(($AZ57&gt;INDEX('Methodology &amp; Sources'!$B$228:$J$232,0,7))*($AZ57-INDEX('Methodology &amp; Sources'!$B$228:$J$232,0,7))*INDEX('Methodology &amp; Sources'!$B$228:$J$232,0,7+2))),""))))))))))</f>
      </c>
      <c r="BY57" s="7">
        <f>IF($B57="","",IF($AN57="AR",SUMPRODUCT(($AZ57&gt;INDEX('Methodology &amp; Sources'!$B$82:$J$86,0,7))*($AZ57-INDEX('Methodology &amp; Sources'!$B$82:$J$86,0,7))*INDEX('Methodology &amp; Sources'!$B$82:$J$86,0,7+2)),IF($AN57="DE",SUMPRODUCT(($AZ57&gt;INDEX('Methodology &amp; Sources'!$B$91:$J$98,0,1))*($AZ57-INDEX('Methodology &amp; Sources'!$B$91:$J$98,0,1))*INDEX('Methodology &amp; Sources'!$B$91:$J$98,0,1+2)),IF($AN57="HI",IF($AU57="Married",SUMPRODUCT(($AZ57&gt;INDEX('Methodology &amp; Sources'!$B$91:$J$98,0,7))*($AZ57-INDEX('Methodology &amp; Sources'!$B$91:$J$98,0,7))*INDEX('Methodology &amp; Sources'!$B$91:$J$98,0,7+2)),SUMPRODUCT(($AZ57&gt;INDEX('Methodology &amp; Sources'!$B$91:$J$98,0,4))*($AZ57-INDEX('Methodology &amp; Sources'!$B$91:$J$98,0,4))*INDEX('Methodology &amp; Sources'!$B$91:$J$98,0,4+2))),IF($AN57="SC",SUMPRODUCT(($AZ57&gt;INDEX('Methodology &amp; Sources'!$B$219:$J$223,0,1))*($AZ57-INDEX('Methodology &amp; Sources'!$B$219:$J$223,0,1))*INDEX('Methodology &amp; Sources'!$B$219:$J$223,0,1+2)),IF($AN57="VA",SUMPRODUCT(($AZ57&gt;INDEX('Methodology &amp; Sources'!$B$219:$J$223,0,4))*($AZ57-INDEX('Methodology &amp; Sources'!$B$219:$J$223,0,4))*INDEX('Methodology &amp; Sources'!$B$219:$J$223,0,4+2)),IF($AN57="WI",SUMPRODUCT(($AZ57&gt;INDEX('Methodology &amp; Sources'!$B$228:$J$232,0,4))*($AZ57-INDEX('Methodology &amp; Sources'!$B$228:$J$232,0,4))*INDEX('Methodology &amp; Sources'!$B$228:$J$232,0,4+2)),"")))))))</f>
      </c>
      <c r="BZ57" s="24">
        <f>IF($B57="","",IF($AN57="NJ",IF(Inputs!$C$77="B",SUMPRODUCT(($AZ57&gt;=INDEX('Methodology &amp; Sources'!$B$155:$J$162,0,4))*INDEX('Methodology &amp; Sources'!$B$155:$J$162,0,4+2)),IF(Inputs!$C$77="C",SUMPRODUCT(($AZ57&gt;=INDEX('Methodology &amp; Sources'!$B$155:$J$162,0,7))*INDEX('Methodology &amp; Sources'!$B$155:$J$162,0,7+2)),IF(Inputs!$C$77="D",SUMPRODUCT(($AZ57&gt;=INDEX('Methodology &amp; Sources'!$B$167:$J$179,0,1))*INDEX('Methodology &amp; Sources'!$B$167:$J$179,0,1+2)),IF(Inputs!$C$77="E",SUMPRODUCT(($AZ57&gt;=INDEX('Methodology &amp; Sources'!$B$167:$J$179,0,4))*INDEX('Methodology &amp; Sources'!$B$167:$J$179,0,4+2)),SUMPRODUCT(($AZ57&gt;=INDEX('Methodology &amp; Sources'!$B$155:$J$162,0,1))*INDEX('Methodology &amp; Sources'!$B$155:$J$162,0,1+2)))))),IF($AN57="OR",IF(OR($AU57="Married",AND($AU57="Single",$AS57&gt;=3)),SUMPRODUCT((MAX(0,$AY57-MIN(($P57-'Methodology &amp; Sources'!$C$10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Sources'!$B$211:$J$214,0,4))*INDEX('Methodology &amp; Sources'!$B$211:$J$214,0,4+2)),SUMPRODUCT((MAX(0,$AY57-MIN(($P57-'Methodology &amp; Sources'!$C$10*$D57)*Inputs!$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Sources'!$B$211:$J$214,0,1))*INDEX('Methodology &amp; Sources'!$B$211:$J$214,0,1+2)))*IF(($P57-'Methodology &amp; Sources'!$C$10*$D57)*Inputs!$C$8&gt;=IF(OR($AU57="Married",AND($AU57="Single",$AS57&gt;=3)),IF($AY57&lt;250000,8750,IF($AY57&lt;260000,7000,IF($AY57&lt;270000,5250,IF($AY57&lt;280000,3500,IF($AY57&lt;290000,1750,0))))),IF($AY57&lt;125000,8750,IF($AY57&lt;130000,7000,IF($AY57&lt;135000,5250,IF($AY57&lt;140000,3500,IF($AY57&lt;145000,1750,0)))))),1,1-IF(Inputs!$C$13,SUMPRODUCT(($AH57&gt;=INDEX('Methodology &amp; Sources'!$B$29:$J$36,0,IF(Inputs!$C$12="MFJ",1,IF(Inputs!$C$12="HoH",7,4))))*INDEX('Methodology &amp; Sources'!$B$29:$J$36,0,IF(Inputs!$C$12="MFJ",1,IF(Inputs!$C$12="HoH",7,4))+2)),SUMPRODUCT(($AH57&gt;=INDEX('Methodology &amp; Sources'!$B$19:$J$26,0,IF(Inputs!$C$12="MFJ",1,IF(Inputs!$C$12="HoH",7,4))))*INDEX('Methodology &amp; Sources'!$B$19:$J$26,0,IF(Inputs!$C$12="MFJ",1,IF(Inputs!$C$12="HoH",7,4))+2)))),IF($AN57="MI",IF($AY57&gt;5900*$AS57,0.0425,0),""))))</f>
      </c>
      <c r="CA57" s="24">
        <f>IF($B57="","",IF($AN57="AL",IF(OR($AU57="Married",$AU57="Head of household"),SUMPRODUCT(($AZ57&gt;=INDEX('Methodology &amp; Sources'!$B$82:$J$86,0,4))*INDEX('Methodology &amp; Sources'!$B$82:$J$86,0,4+2)),SUMPRODUCT(($AZ57&gt;=INDEX('Methodology &amp; Sources'!$B$82:$J$86,0,1))*INDEX('Methodology &amp; Sources'!$B$82:$J$86,0,1+2)))*(1-IF(Inputs!$C$13,SUMPRODUCT(($AH57&gt;=INDEX('Methodology &amp; Sources'!$B$29:$J$36,0,IF(Inputs!$C$12="MFJ",1,IF(Inputs!$C$12="HoH",7,4))))*INDEX('Methodology &amp; Sources'!$B$29:$J$36,0,IF(Inputs!$C$12="MFJ",1,IF(Inputs!$C$12="HoH",7,4))+2)),SUMPRODUCT(($AH57&gt;=INDEX('Methodology &amp; Sources'!$B$19:$J$26,0,IF(Inputs!$C$12="MFJ",1,IF(Inputs!$C$12="HoH",7,4))))*INDEX('Methodology &amp; Sources'!$B$19:$J$26,0,IF(Inputs!$C$12="MFJ",1,IF(Inputs!$C$12="HoH",7,4))+2)))),IF($AN57="KS",IF($AU57="Married",SUMPRODUCT(($AZ57&gt;=INDEX('Methodology &amp; Sources'!$B$103:$J$109,0,4))*INDEX('Methodology &amp; Sources'!$B$103:$J$109,0,4+2)),SUMPRODUCT(($AZ57&gt;=INDEX('Methodology &amp; Sources'!$B$103:$J$109,0,1))*INDEX('Methodology &amp; Sources'!$B$103:$J$109,0,1+2))),IF($AN57="MD",IF(OR($AU57="Married",$AU57="Head of household"),SUMPRODUCT(($AZ57&gt;=INDEX('Methodology &amp; Sources'!$B$114:$J$120,0,1))*INDEX('Methodology &amp; Sources'!$B$114:$J$120,0,1+2)),SUMPRODUCT(($AZ57&gt;=INDEX('Methodology &amp; Sources'!$B$103:$J$109,0,7))*INDEX('Methodology &amp; Sources'!$B$103:$J$109,0,7+2)))+Inputs!$C$74,IF($AN57="MT",IF($AU57="Head of household",SUMPRODUCT(($AZ57&gt;=INDEX('Methodology &amp; Sources'!$B$137:$J$139,0,1))*INDEX('Methodology &amp; Sources'!$B$137:$J$139,0,1+2)),IF($AU57="Married",SUMPRODUCT(($AZ57&gt;=INDEX('Methodology &amp; Sources'!$B$125:$J$132,0,7))*INDEX('Methodology &amp; Sources'!$B$125:$J$132,0,7+2)),SUMPRODUCT(($AZ57&gt;=INDEX('Methodology &amp; Sources'!$B$125:$J$132,0,4))*INDEX('Methodology &amp; Sources'!$B$125:$J$132,0,4+2)))),IF($AN57="ND",IF($AU57="Head of household",SUMPRODUCT(($AZ57&gt;=INDEX('Methodology &amp; Sources'!$B$144:$J$150,0,1))*INDEX('Methodology &amp; Sources'!$B$144:$J$150,0,1+2)),IF($AU57="Married",SUMPRODUCT(($AZ57&gt;=INDEX('Methodology &amp; Sources'!$B$137:$J$139,0,7))*INDEX('Methodology &amp; Sources'!$B$137:$J$139,0,7+2)),SUMPRODUCT(($AZ57&gt;=INDEX('Methodology &amp; Sources'!$B$137:$J$139,0,4))*INDEX('Methodology &amp; Sources'!$B$137:$J$139,0,4+2)))),IF($AN57="NY",IF($AU57="Married",IF($AZ57&gt;=2155350,IF($AZ57&gt;25000000,0.117,IF($AZ57&gt;5000000,0.111,0.1045)),SUMPRODUCT(($AZ57&gt;=INDEX('Methodology &amp; Sources'!$B$184:$J$198,0,1))*INDEX('Methodology &amp; Sources'!$B$184:$J$198,0,1+2))),IF($AZ57&gt;=1077550,IF($AZ57&gt;25000000,0.117,IF($AZ57&gt;5000000,0.111,0.1045)),SUMPRODUCT(($AZ57&gt;=INDEX('Methodology &amp; Sources'!$B$167:$J$179,0,7))*INDEX('Methodology &amp; Sources'!$B$167:$J$179,0,7+2)))),"")))))))</f>
      </c>
      <c r="CB57" s="24">
        <f>IF($B57="","",IF($AN57="CA",SUMPRODUCT(($AJ57&gt;=INDEX('Methodology &amp; Sources'!$B$39:$J$48,0,IF($AU57="Married",4,IF($AU57="Head of household",7,1))))*INDEX('Methodology &amp; Sources'!$B$39:$J$48,0,IF($AU57="Married",4,IF($AU57="Head of household",7,1))+2)),IF($AN57="HI",IF($AU57="Married",SUMPRODUCT(($AZ57&gt;=INDEX('Methodology &amp; Sources'!$B$91:$J$98,0,7))*INDEX('Methodology &amp; Sources'!$B$91:$J$98,0,7+2)),SUMPRODUCT(($AZ57&gt;=INDEX('Methodology &amp; Sources'!$B$91:$J$98,0,4))*INDEX('Methodology &amp; Sources'!$B$91:$J$98,0,4+2))),IF($AN57="MN",IF($AU57="Married",SUMPRODUCT(($AZ57&gt;=INDEX('Methodology &amp; Sources'!$B$114:$J$120,0,7))*INDEX('Methodology &amp; Sources'!$B$114:$J$120,0,7+2)),SUMPRODUCT(($AZ57&gt;=INDEX('Methodology &amp; Sources'!$B$114:$J$120,0,4))*INDEX('Methodology &amp; Sources'!$B$114:$J$120,0,4+2))),IF($AN57="MO",SUMPRODUCT(($AZ57&gt;=INDEX('Methodology &amp; Sources'!$B$125:$J$132,0,1))*INDEX('Methodology &amp; Sources'!$B$125:$J$132,0,1+2)),IF($AN57="NE",MAX(IF($AU57="Married",SUMPRODUCT(($AZ57&gt;=INDEX('Methodology &amp; Sources'!$B$144:$J$150,0,7))*INDEX('Methodology &amp; Sources'!$B$144:$J$150,0,7+2)),SUMPRODUCT(($AZ57&gt;=INDEX('Methodology &amp; Sources'!$B$144:$J$150,0,4))*INDEX('Methodology &amp; Sources'!$B$144:$J$150,0,4+2))),0.015),IF($AN57="OH",IF($B57&gt;=DATE(2027,8,1),SUMPRODUCT(($AZ57&gt;=INDEX('Methodology &amp; Sources'!$B$203:$J$206,0,1))*INDEX('Methodology &amp; Sources'!$B$203:$J$206,0,1+2)),SUMPRODUCT(($AZ57&gt;=INDEX('Methodology &amp; Sources'!$B$184:$J$198,0,7))*INDEX('Methodology &amp; Sources'!$B$184:$J$198,0,7+2))),IF($AN57="OK",IF($AU57="Married",SUMPRODUCT(($AZ57&gt;=INDEX('Methodology &amp; Sources'!$B$203:$J$206,0,7))*INDEX('Methodology &amp; Sources'!$B$203:$J$206,0,7+2)),SUMPRODUCT(($AZ57&gt;=INDEX('Methodology &amp; Sources'!$B$203:$J$206,0,4))*INDEX('Methodology &amp; Sources'!$B$203:$J$206,0,4+2))),IF($AN57="RI",SUMPRODUCT(($AZ57&gt;=INDEX('Methodology &amp; Sources'!$B$211:$J$214,0,7))*INDEX('Methodology &amp; Sources'!$B$211:$J$214,0,7+2)),IF($AN57="SC",SUMPRODUCT(($AZ57&gt;=INDEX('Methodology &amp; Sources'!$B$219:$J$223,0,1))*INDEX('Methodology &amp; Sources'!$B$219:$J$223,0,1+2)),IF($AN57="VT",IF($AU57="Married",SUMPRODUCT(($AZ57&gt;=INDEX('Methodology &amp; Sources'!$B$228:$J$232,0,1))*INDEX('Methodology &amp; Sources'!$B$228:$J$232,0,1+2)),SUMPRODUCT(($AZ57&gt;=INDEX('Methodology &amp; Sources'!$B$219:$J$223,0,7))*INDEX('Methodology &amp; Sources'!$B$219:$J$223,0,7+2))),IF($AN57="WV",IF($AU57="Married",SUMPRODUCT(($AZ57&gt;=INDEX('Methodology &amp; Sources'!$B$237:$J$241,0,7))*INDEX('Methodology &amp; Sources'!$B$237:$J$241,0,7+2)),SUMPRODUCT(($AZ57&gt;=INDEX('Methodology &amp; Sources'!$B$228:$J$232,0,7))*INDEX('Methodology &amp; Sources'!$B$228:$J$232,0,7+2))),IF($AN57="IN",(0.0295+Inputs!$C$76),"")))))))))))))</f>
      </c>
      <c r="CC57" s="24">
        <f>IF($B57="","",IF($AN57="AR",SUMPRODUCT(($AZ57&gt;=INDEX('Methodology &amp; Sources'!$B$82:$J$86,0,7))*INDEX('Methodology &amp; Sources'!$B$82:$J$86,0,7+2)),IF($AN57="DE",SUMPRODUCT(($AZ57&gt;=INDEX('Methodology &amp; Sources'!$B$91:$J$98,0,1))*INDEX('Methodology &amp; Sources'!$B$91:$J$98,0,1+2)),IF($AN57="VA",SUMPRODUCT(($AZ57&gt;=INDEX('Methodology &amp; Sources'!$B$219:$J$223,0,4))*INDEX('Methodology &amp; Sources'!$B$219:$J$223,0,4+2)),IF($AN57="WI",SUMPRODUCT(($AZ57&gt;=INDEX('Methodology &amp; Sources'!$B$228:$J$232,0,4))*INDEX('Methodology &amp; Sources'!$B$228:$J$232,0,4+2)),IF($AN57="AZ",Inputs!$C$82,IF($AN57="CO",IF($AY57&gt;IF($AU57="Married",10000,5000),0.044,0),IF($AN57="IA",IF($AY57&gt;IF($AU57="Head of household",19500,IF($AU57="Married",26000,13000)),0.038,0),IF($AN57="ID",IF($AY57&gt;IF($AU57="Married",32000,16094),0.053,0),IF($AN57="IL",IF($AY57&gt;(2925*$AS57+1000*$AT57),0.0495,0),IF($AN57="KY",IF($AI57&gt;3360,0.035,0),IF($AN57="LA",0.0309,IF($AN57="MA",IF(MAX(0,$AY57-MIN(($BD56+$Q57+$R57+$S57),2000)-IF($AS57=0,0,IF($AS57=1,4400,1000*$AS57+3400)))&gt;=1107750,0.09,0.05),IF($AN57="MS",IF($AI57-IF($AU57="Head of household",3400,IF($AU57="Married",4600,2300))-Inputs!$C$85&gt;10000,0.04,0),IF($AN57="PA",0.0307,"")))))))))))))))</f>
      </c>
      <c r="CD57" s="21">
        <f>IF(YEAR(IF(Inputs!$C$7="Weekly",Inputs!$C$90+7*(($BE56+1)-1),IF(Inputs!$C$7="Biweekly",Inputs!$C$90+14*(($BE56+1)-1),IF(Inputs!$C$7="Semimonthly",DATE(YEAR(Inputs!$C$9),MONTH(Inputs!$C$9)+INT((($BE56+1)-1+'Rest of 2026'!$C$2)/2),MIN(DAY(Inputs!$C$9),DAY(EOMONTH(DATE(YEAR(Inputs!$C$9),MONTH(Inputs!$C$9)+INT((($BE56+1)-1+'Rest of 2026'!$C$2)/2),1),0))))+IF(MOD(($BE56+1)-1+'Rest of 2026'!$C$2,2)=1,15,0),EDATE(Inputs!$C$90,($BE56+1)-1)))))&lt;&gt;Inputs!$C$10,"",IF(Inputs!$C$7="Weekly",Inputs!$C$90+7*(($BE56+1)-1),IF(Inputs!$C$7="Biweekly",Inputs!$C$90+14*(($BE56+1)-1),IF(Inputs!$C$7="Semimonthly",DATE(YEAR(Inputs!$C$9),MONTH(Inputs!$C$9)+INT((($BE56+1)-1+'Rest of 2026'!$C$2)/2),MIN(DAY(Inputs!$C$9),DAY(EOMONTH(DATE(YEAR(Inputs!$C$9),MONTH(Inputs!$C$9)+INT((($BE56+1)-1+'Rest of 2026'!$C$2)/2),1),0))))+IF(MOD(($BE56+1)-1+'Rest of 2026'!$C$2,2)=1,15,0),EDATE(Inputs!$C$90,($BE56+1)-1)))))</f>
      </c>
      <c r="CE57" s="21">
        <f>IF(SUMPRODUCT(MIN(IF((Inputs!$C$58:$C$67&gt;MAX($B$6:$B56))*(Inputs!$C$58:$C$67&gt;=DATE(Inputs!$C$10,1,1))*(Inputs!$C$58:$C$67&lt;=DATE(Inputs!$C$10,12,31)),Inputs!$C$58:$C$67,999999)))=999999,"",SUMPRODUCT(MIN(IF((Inputs!$C$58:$C$67&gt;MAX($B$6:$B56))*(Inputs!$C$58:$C$67&gt;=DATE(Inputs!$C$10,1,1))*(Inputs!$C$58:$C$67&lt;=DATE(Inputs!$C$10,12,31)),Inputs!$C$58:$C$67,999999))))</f>
      </c>
    </row>
    <row r="58">
      <c r="A58" t="n">
        <v>53</v>
      </c>
      <c r="B58" s="21">
        <f>IF(AND($CD58="",$CE58=""),"",IF($CE58="",$CD58,IF($CD58="",$CE58,MIN($CD58,$CE58))))</f>
      </c>
      <c r="C58" s="7">
        <f>IF($B58="","",IF($BF58=0,0,IF(Inputs!$C$4="Annual salary",ROUND($AK58/IF(AND(Inputs!$C$88="Actual paydays",MONTH(Inputs!$C$90)=1),MAX(1,MAX($BE$6:$BE$68)),Inputs!$C$8),2),$AK58)))</f>
      </c>
      <c r="D58" s="7">
        <f>IF($B58="","",SUMIF(Inputs!$C$58:$C$67,$B58,Inputs!$D$58:$D$67))</f>
      </c>
      <c r="E58" s="7">
        <f>IF($B58="","",ROUND(MAX(0,MIN(IF($AL58="Percent",$AM58*($C58+$D58),$AM58),MAX(0,Inputs!$C$34-$AC57))),2))</f>
      </c>
      <c r="F58" s="7">
        <f>IF($B58="","",ROUND(MAX(0,MIN(IF(Inputs!$C$32="Percent",Inputs!$D$32*($C58+$D58),Inputs!$D$32),MAX(0,Inputs!$C$34-$AC57-$E58))),2))</f>
      </c>
      <c r="G58" s="7">
        <f>IF($B58="","",IF($BF58=0,0,ROUND(MAX(0,MIN($BL58,Inputs!$C$37-Inputs!$C$99-$BI57)),2)))</f>
      </c>
      <c r="H58" s="7">
        <f>IF($B58="","",IF(OR($BF58=0,$BQ58=1),0,ROUND(MAX(0,MIN(IF($BS58=1,ROUND(MAX(0,MIN($BJ58,'Methodology &amp; Sources'!$C$13)-$BG57)/MAX(1,MAX($BE$6:$BE$68)-($BE57)),2),ROUND(MIN($BJ58,'Methodology &amp; Sources'!$C$13)/Inputs!$C$8,2)),MIN($BJ58,'Methodology &amp; Sources'!$C$13)-$BG57)),2)))</f>
      </c>
      <c r="I58" s="7">
        <f>IF($B58="","",IF(OR($BF58=0,$BR58=1),0,ROUND(MAX(0,MIN(IF($BT58=1,ROUND(MAX(0,MIN($BK58,IF(Inputs!$C$12="MFJ",'Methodology &amp; Sources'!$C$14,'Methodology &amp; Sources'!$C$15))-$BH57)/MAX(1,MAX($BE$6:$BE$68)-($BE57)),2),ROUND(MIN($BK58,IF(Inputs!$C$12="MFJ",'Methodology &amp; Sources'!$C$14,'Methodology &amp; Sources'!$C$15))/Inputs!$C$8,2)),MIN($BK58,IF(Inputs!$C$12="MFJ",'Methodology &amp; Sources'!$C$14,'Methodology &amp; Sources'!$C$15))-$BH57)),2)))</f>
      </c>
      <c r="J58" s="7">
        <f>IF($B58="","",IF($BF58=0,0,$BM58))</f>
      </c>
      <c r="K58" s="7">
        <f>IF($B58="","",IF($BF58=0,0,$BN58+$BO58))</f>
      </c>
      <c r="L58" s="7">
        <f>IF($B58="","",IF($BF58=0,0,Inputs!$D$46))</f>
      </c>
      <c r="M58" s="7">
        <f>IF($B58="","",$C58+$D58+$L58-$E58-$G58-$H58-$I58-$J58-$K58)</f>
      </c>
      <c r="N58" s="7">
        <f>IF($B58="","",$C58+$D58+$L58-$G58-$H58-$I58-$J58-$K58)</f>
      </c>
      <c r="O58" s="7">
        <f>IF($B58="","",$C58+$D58+$L58-$E58-$H58-$I58-$J58-$K58-IF(OR($AN58="CA",$AN58="NJ"),0,$G58))</f>
      </c>
      <c r="P58" s="7">
        <f>IF($B58="","",IF(Inputs!$C$18,0,ROUND(MAX(0,IF(Inputs!$C$13,SUMPRODUCT(($AH58&gt;INDEX('Methodology &amp; Sources'!$B$29:$J$36,0,IF(Inputs!$C$12="MFJ",1,IF(Inputs!$C$12="HoH",7,4))))*($AH58-INDEX('Methodology &amp; Sources'!$B$29:$J$36,0,IF(Inputs!$C$12="MFJ",1,IF(Inputs!$C$12="HoH",7,4))))*INDEX('Methodology &amp; Sources'!$B$29:$J$36,0,IF(Inputs!$C$12="MFJ",1,IF(Inputs!$C$12="HoH",7,4))+2)),SUMPRODUCT(($AH58&gt;INDEX('Methodology &amp; Sources'!$B$19:$J$26,0,IF(Inputs!$C$12="MFJ",1,IF(Inputs!$C$12="HoH",7,4))))*($AH58-INDEX('Methodology &amp; Sources'!$B$19:$J$26,0,IF(Inputs!$C$12="MFJ",1,IF(Inputs!$C$12="HoH",7,4))))*INDEX('Methodology &amp; Sources'!$B$19:$J$26,0,IF(Inputs!$C$12="MFJ",1,IF(Inputs!$C$12="HoH",7,4))+2)))/Inputs!$C$8-$AO58/Inputs!$C$8)+$AR58+IF(Inputs!$C$89="Aggregate",MAX(0,IF(Inputs!$C$13,SUMPRODUCT((($AH58+$D58)&gt;INDEX('Methodology &amp; Sources'!$B$29:$J$36,0,IF(Inputs!$C$12="MFJ",1,IF(Inputs!$C$12="HoH",7,4))))*(($AH58+$D58)-INDEX('Methodology &amp; Sources'!$B$29:$J$36,0,IF(Inputs!$C$12="MFJ",1,IF(Inputs!$C$12="HoH",7,4))))*INDEX('Methodology &amp; Sources'!$B$29:$J$36,0,IF(Inputs!$C$12="MFJ",1,IF(Inputs!$C$12="HoH",7,4))+2)),SUMPRODUCT((($AH58+$D58)&gt;INDEX('Methodology &amp; Sources'!$B$19:$J$26,0,IF(Inputs!$C$12="MFJ",1,IF(Inputs!$C$12="HoH",7,4))))*(($AH58+$D58)-INDEX('Methodology &amp; Sources'!$B$19:$J$26,0,IF(Inputs!$C$12="MFJ",1,IF(Inputs!$C$12="HoH",7,4))))*INDEX('Methodology &amp; Sources'!$B$19:$J$26,0,IF(Inputs!$C$12="MFJ",1,IF(Inputs!$C$12="HoH",7,4))+2)))-IF(Inputs!$C$13,SUMPRODUCT(($AH58&gt;INDEX('Methodology &amp; Sources'!$B$29:$J$36,0,IF(Inputs!$C$12="MFJ",1,IF(Inputs!$C$12="HoH",7,4))))*($AH58-INDEX('Methodology &amp; Sources'!$B$29:$J$36,0,IF(Inputs!$C$12="MFJ",1,IF(Inputs!$C$12="HoH",7,4))))*INDEX('Methodology &amp; Sources'!$B$29:$J$36,0,IF(Inputs!$C$12="MFJ",1,IF(Inputs!$C$12="HoH",7,4))+2)),SUMPRODUCT(($AH58&gt;INDEX('Methodology &amp; Sources'!$B$19:$J$26,0,IF(Inputs!$C$12="MFJ",1,IF(Inputs!$C$12="HoH",7,4))))*($AH58-INDEX('Methodology &amp; Sources'!$B$19:$J$26,0,IF(Inputs!$C$12="MFJ",1,IF(Inputs!$C$12="HoH",7,4))))*INDEX('Methodology &amp; Sources'!$B$19:$J$26,0,IF(Inputs!$C$12="MFJ",1,IF(Inputs!$C$12="HoH",7,4))+2)))),'Methodology &amp; Sources'!$C$10*$D58),2)))</f>
      </c>
      <c r="Q58" s="7">
        <f>IF($B58="","",ROUND('Methodology &amp; Sources'!$C$4*MIN($N58,MAX(0,'Methodology &amp; Sources'!$C$3-($AX58+$AB57-$AW58))),2))</f>
      </c>
      <c r="R58" s="7">
        <f>IF($B58="","",ROUND('Methodology &amp; Sources'!$C$5*$N58,2))</f>
      </c>
      <c r="S58" s="7">
        <f>IF($B58="","",ROUND('Methodology &amp; Sources'!$C$6*MAX(0,MIN($N58,$AG57+$N58-'Methodology &amp; Sources'!$C$7)),2))</f>
      </c>
      <c r="T58" s="7">
        <f>IF($B58="","",IF(Inputs!$C$26,0,IF($AN58="CA",ROUND(IF($AI58&lt;=IF(($AS58+$AT58)&gt;=2,VLOOKUP($AN58,StateTables!$A$6:$AB$56,10,FALSE),VLOOKUP($AN58,StateTables!$A$6:$AB$56,9,FALSE)),0,MAX(0,SUMPRODUCT(($AJ58&gt;INDEX('Methodology &amp; Sources'!$B$39:$J$48,0,IF($AU58="Married",4,IF($AU58="Head of household",7,1))))*($AJ58-INDEX('Methodology &amp; Sources'!$B$39:$J$48,0,IF($AU58="Married",4,IF($AU58="Head of household",7,1))))*INDEX('Methodology &amp; Sources'!$B$39:$J$48,0,IF($AU58="Married",4,IF($AU58="Head of household",7,1))+2))-VLOOKUP($AN58,StateTables!$A$6:$AB$56,11,FALSE)*$AS58)/Inputs!$C$8)+Inputs!$C$25+VLOOKUP($AN58,StateTables!$A$6:$AB$56,13,FALSE)*$D58,2),IF(VLOOKUP($AN58,StateTables!$A$6:$AB$56,4,FALSE)="None",0,IF(ISNUMBER(SEARCH("MANUAL",VLOOKUP($AN58,StateTables!$A$6:$AB$56,5,FALSE))),Inputs!$C$28,ROUND(MAX(0,$BA58+$BB58)/Inputs!$C$8+Inputs!$C$25+$BC58,2))))))</f>
      </c>
      <c r="U58" s="7">
        <f>IF($B58="","",IF(VLOOKUP($AN58,StateTables!$A$6:$AB$56,24,FALSE)="flatq",IF(OR(MONTH($B58)=1,MONTH($B58)=4,MONTH($B58)=7,MONTH($B58)=10),VLOOKUP($AN58,StateTables!$A$6:$AB$56,25,FALSE),0),IF(VLOOKUP($AN58,StateTables!$A$6:$AB$56,24,FALSE)="dbl",MIN(ROUND(0.005*$N58,2),ROUND(0.6*52/Inputs!$C$8,2)),IF(OR(VLOOKUP($AN58,StateTables!$A$6:$AB$56,15,FALSE)="",VLOOKUP($AN58,StateTables!$A$6:$AB$56,15,FALSE)=0),0,ROUND(VLOOKUP($AN58,StateTables!$A$6:$AB$56,15,FALSE)*IF(OR(VLOOKUP($AN58,StateTables!$A$6:$AB$56,16,FALSE)="",VLOOKUP($AN58,StateTables!$A$6:$AB$56,16,FALSE)=0),$N58,MIN($N58,MAX(0,VLOOKUP($AN58,StateTables!$A$6:$AB$56,16,FALSE)-($AX58+$AB57-$AW58)))),2))))+IF(VLOOKUP($AN58,StateTables!$A$6:$AB$56,27,FALSE)="flatq",IF(OR(MONTH($B58)=1,MONTH($B58)=4,MONTH($B58)=7,MONTH($B58)=10),VLOOKUP($AN58,StateTables!$A$6:$AB$56,28,FALSE),0),IF(VLOOKUP($AN58,StateTables!$A$6:$AB$56,27,FALSE)="dbl",MIN(ROUND(0.005*$N58,2),ROUND(0.6*52/Inputs!$C$8,2)),IF(OR(VLOOKUP($AN58,StateTables!$A$6:$AB$56,18,FALSE)="",VLOOKUP($AN58,StateTables!$A$6:$AB$56,18,FALSE)=0),0,ROUND(VLOOKUP($AN58,StateTables!$A$6:$AB$56,18,FALSE)*IF(OR(VLOOKUP($AN58,StateTables!$A$6:$AB$56,19,FALSE)="",VLOOKUP($AN58,StateTables!$A$6:$AB$56,19,FALSE)=0),$N58,MIN($N58,MAX(0,VLOOKUP($AN58,StateTables!$A$6:$AB$56,19,FALSE)-($AX58+$AB57-$AW58)))),2)))))</f>
      </c>
      <c r="V58" s="7">
        <f>IF($B58="","",IF($AN58="NY",IF(Inputs!$C$78,ROUND(SUMPRODUCT((MAX(0,($O58-$D58)*Inputs!$C$8-(IF($AU58="Married",5500,5000)+1000*$AS58))&gt;INDEX('Methodology &amp; Sources'!$B$184:$J$198,0,4))*(MAX(0,($O58-$D58)*Inputs!$C$8-(IF($AU58="Married",5500,5000)+1000*$AS58))-INDEX('Methodology &amp; Sources'!$B$184:$J$198,0,4))*INDEX('Methodology &amp; Sources'!$B$184:$J$198,0,4+2))/Inputs!$C$8+0.0425*$D58,2),0)+IF(Inputs!$C$79="Resident",ROUND(0.1675*$T58,2),IF(Inputs!$C$79="Nonresident",ROUND(0.005*MAX(0,($O58-$D58)-(IF($AU58="Married",7950,7400)+1000*$AS58)/Inputs!$C$8),2),0)),IF($AN58="PA",IF(Inputs!$C$80="None",Inputs!$C$27+ROUND(Inputs!$C$81*($C58+$D58),2),ROUND(IF(Inputs!$C$80="Resident",IF($B58&lt;DATE(2027,7,1),0.03735,0.03735),IF($B58&lt;DATE(2027,7,1),0.03425,0.03425))*($C58+$D58),2)),IF($BF58=0,ROUND(Inputs!$C$81*($C58+$D58),2),Inputs!$C$27+ROUND(Inputs!$C$81*($C58+$D58),2)))))</f>
      </c>
      <c r="W58" s="7">
        <f>IF($B58="","",IF($BF58=0,0,$BP58))</f>
      </c>
      <c r="X58" s="7">
        <f>IF($B58="","",SUM($E58:$K58)+$P58+$Q58+$R58+$S58+$T58+$U58+$V58+$W58)</f>
      </c>
      <c r="Y58" s="22">
        <f>IF($B58="","",$C58+$D58-$X58)</f>
      </c>
      <c r="Z58" s="7">
        <f>IF($B58="","",$Z57+$C58+$D58)</f>
      </c>
      <c r="AA58" s="7">
        <f>IF($B58="","",$AA57+$Y58)</f>
      </c>
      <c r="AB58" s="7">
        <f>IF($B58="","",$AB57+MIN($N58,MAX(0,'Methodology &amp; Sources'!$C$3-($AX58+$AB57-$AW58))))</f>
      </c>
      <c r="AC58" s="7">
        <f>IF($B58="","",$AC57+$E58+$F58)</f>
      </c>
      <c r="AD58" s="3">
        <f>IF($B58="","",IF(AND($AB57&lt;'Methodology &amp; Sources'!$C$3,$AB58&gt;='Methodology &amp; Sources'!$C$3),"★ Social Security maxed on this check — from the next check your net rises by about $"&amp;TEXT(ROUND('Methodology &amp; Sources'!$C$4*$N58,2),"#,##0.00")&amp;". ","")&amp;IF(AND($AC57&lt;Inputs!$C$34,$AC58&gt;=Inputs!$C$34),"★ 401(k) reaches the $"&amp;TEXT(Inputs!$C$34,"#,##0")&amp;" cap on this check — deferrals stop and net pay rises. ","")&amp;IF(AND($AG57&lt;'Methodology &amp; Sources'!$C$7,$AG58&gt;='Methodology &amp; Sources'!$C$7),"★ Wages pass $200,000 — the 0.9% Additional Medicare Tax starts here. ","")&amp;IF(AND($BJ58&gt;0,$H58&gt;0,$BG57&lt;MIN($BJ58,'Methodology &amp; Sources'!$C$13),$BG57+$H58&gt;=MIN($BJ58,'Methodology &amp; Sources'!$C$13)),"★ Health FSA election is now fully deferred for the year. ",""))</f>
      </c>
      <c r="AE58" s="41" t="n"/>
      <c r="AF58" s="7">
        <f>IF(OR($B58="",$AE58=""),"",$AE58-$Y58)</f>
      </c>
      <c r="AG58" s="7">
        <f>IF($B58="","",$AG57+$N58)</f>
      </c>
      <c r="AH58" s="7">
        <f>IF($B58="","",MAX(0,($M58-$D58)*Inputs!$C$8+$AP58-$AQ58-IF(Inputs!$C$13,0,IF(Inputs!$C$12="MFJ",'Methodology &amp; Sources'!$C$8,'Methodology &amp; Sources'!$C$9))))</f>
      </c>
      <c r="AI58" s="7">
        <f>IF($B58="","",$O58*Inputs!$C$8)</f>
      </c>
      <c r="AJ58" s="7">
        <f>IF($B58="","",MAX(0,$AI58-VLOOKUP($AN58,StateTables!$A$6:$AB$56,12,FALSE)*$AT58-IF(($AS58+$AT58)&gt;=2,VLOOKUP($AN58,StateTables!$A$6:$AB$56,8,FALSE),VLOOKUP($AN58,StateTables!$A$6:$AB$56,7,FALSE))))</f>
      </c>
      <c r="AK58" s="7">
        <f>IF($B58="","",IFERROR(LOOKUP(2,1/((Events!$C$6:$C$17="Salary change")*(Events!$B$6:$B$17&lt;=$B58)*(Events!$B$6:$B$17&lt;&gt;"")),Events!$D$6:$D$17),IF(Inputs!$C$4="Annual salary",Inputs!$C$5,Inputs!$C$6)))</f>
      </c>
      <c r="AL58">
        <f>IF($B58="","",IFERROR(LOOKUP(2,1/((Events!$C$6:$C$17="401(k) change")*(Events!$B$6:$B$17&lt;=$B58)*(Events!$B$6:$B$17&lt;&gt;"")),Events!$D$6:$D$17),Inputs!$C$30))</f>
      </c>
      <c r="AM58" s="7">
        <f>IF($B58="","",IFERROR(LOOKUP(2,1/((Events!$C$6:$C$17="401(k) change")*(Events!$B$6:$B$17&lt;=$B58)*(Events!$B$6:$B$17&lt;&gt;"")),Events!$E$6:$E$17),Inputs!$D$30))</f>
      </c>
      <c r="AN58">
        <f>IF($B58="","",IFERROR(LOOKUP(2,1/((Events!$C$6:$C$17="State move")*(Events!$B$6:$B$17&lt;=$B58)*(Events!$B$6:$B$17&lt;&gt;"")),Events!$D$6:$D$17),Inputs!$C$21))</f>
      </c>
      <c r="AO58" s="7">
        <f>IF($B58="","",IFERROR(LOOKUP(2,1/((Events!$C$6:$C$17="W-4 change")*(Events!$B$6:$B$17&lt;=$B58)*(Events!$B$6:$B$17&lt;&gt;"")),Events!$D$6:$D$17),Inputs!$C$14))</f>
      </c>
      <c r="AP58" s="7">
        <f>IF($B58="","",IFERROR(LOOKUP(2,1/((Events!$C$6:$C$17="W-4 change")*(Events!$B$6:$B$17&lt;=$B58)*(Events!$B$6:$B$17&lt;&gt;"")),Events!$E$6:$E$17),Inputs!$C$15))</f>
      </c>
      <c r="AQ58" s="7">
        <f>IF($B58="","",IFERROR(LOOKUP(2,1/((Events!$C$6:$C$17="W-4 change")*(Events!$B$6:$B$17&lt;=$B58)*(Events!$B$6:$B$17&lt;&gt;"")),Events!$F$6:$F$17),Inputs!$C$16))</f>
      </c>
      <c r="AR58" s="7">
        <f>IF($B58="","",IFERROR(LOOKUP(2,1/((Events!$C$6:$C$17="W-4 change")*(Events!$B$6:$B$17&lt;=$B58)*(Events!$B$6:$B$17&lt;&gt;"")),Events!$G$6:$G$17),Inputs!$C$17))</f>
      </c>
      <c r="AS58" s="6">
        <f>IF($B58="","",IFERROR(LOOKUP(2,1/(((Events!$C$6:$C$17="State move")+(Events!$C$6:$C$17="State cert change"))*(Events!$B$6:$B$17&lt;=$B58)*(Events!$B$6:$B$17&lt;&gt;"")),Events!$F$6:$F$17),Inputs!$C$23))</f>
      </c>
      <c r="AT58" s="6">
        <f>IF($B58="","",IFERROR(LOOKUP(2,1/(((Events!$C$6:$C$17="State move")+(Events!$C$6:$C$17="State cert change"))*(Events!$B$6:$B$17&lt;=$B58)*(Events!$B$6:$B$17&lt;&gt;"")),Events!$G$6:$G$17),Inputs!$C$24))</f>
      </c>
      <c r="AU58">
        <f>IF($B58="","",IFERROR(LOOKUP(2,1/((Events!$C$6:$C$17="State move")*(Events!$B$6:$B$17&lt;=$B58)*(Events!$B$6:$B$17&lt;&gt;"")),Events!$E$6:$E$17),Inputs!$C$22))</f>
      </c>
      <c r="AV58" s="6">
        <f>IF($B58="","",1+COUNTIFS(Events!$C$6:$C$17,"Employer change",Events!$B$6:$B$17,"&lt;="&amp;$B58,Events!$B$6:$B$17,"&lt;&gt;"))</f>
      </c>
      <c r="AW58" s="7">
        <f>IF($B58="","",IF($AV58=1,Inputs!$C$94,IF(IFERROR(MATCH(IFERROR(LOOKUP(2,1/((Events!$C$6:$C$17="Employer change")*(Events!$B$6:$B$17&lt;=$B58)*(Events!$B$6:$B$17&lt;&gt;"")),Events!$B$6:$B$17),""),$B$6:$B$68,1),1)&lt;=1,Inputs!$C$94,INDEX($AB$6:$AB$68,MATCH(IFERROR(LOOKUP(2,1/((Events!$C$6:$C$17="Employer change")*(Events!$B$6:$B$17&lt;=$B58)*(Events!$B$6:$B$17&lt;&gt;"")),Events!$B$6:$B$17),""),$B$6:$B$68,1)-1))))</f>
      </c>
      <c r="AX58" s="7">
        <f>IF($B58="","",IF($AV58=1,Inputs!$C$94,IFERROR(LOOKUP(2,1/((Events!$C$6:$C$17="Employer change")*(Events!$B$6:$B$17&lt;=$B58)*(Events!$B$6:$B$17&lt;&gt;"")),Events!$D$6:$D$17),0)))</f>
      </c>
      <c r="AY58" s="7">
        <f>IF($B58="","",($O58-$D58)*Inputs!$C$8)</f>
      </c>
      <c r="AZ58" s="7">
        <f>IF($B58="","",IF($AN58="AL",MAX(0,$AY58-IF($AU58="Married",IF($AY58&lt;=25999,8500,MAX(5000,8500-175*CEILING(($AY58-25999)/500,1))),IF($AU58="Head of household",IF($AY58&lt;=25999,5200,MAX(2500,5200-135*CEILING(($AY58-25999)/500,1))),IF($AY58&lt;=25999,3000,MAX(2500,3000-25*CEILING(($AY58-25999)/500,1)))))-($P58-'Methodology &amp; Sources'!$C$10*$D58)*Inputs!$C$8-IF(OR($AU58="Married",$AU58="Head of household"),3000,1500)-$AT58*IF($AY58&lt;=50000,1000,IF($AY58&lt;=100000,500,300))),IF($AN58="AR",IF(MAX(0,$AY58-2470)&lt;97701,INT(MAX(0,$AY58-2470)/100)*100+50,MAX(0,$AY58-2470)),IF($AN58="DE",MAX(0,$AI58-3250),IF($AN58="HI",MAX(0,$AI58-1144*$AS58-4350),IF($AN58="KS",MAX(0,$AI58-(9160*IF($AU58="Married",2,1)+2320*$AT58+IF($AU58="Head of household",2320,0))),IF($AN58="MD",MAX(0,$AI58-3400-3200*$AS58),IF($AN58="MN",MAX(0,$AY58-5300*$AS58),IF($AN58="MO",MAX(0,$AI58-IF($AU58="Head of household",24150,IF($AU58="Married",IF(Inputs!$C$83,16100,32200),16100))),IF($AN58="MT",$AY58,IF($AN58="ND",($C58+$L58)*Inputs!$C$8,IF($AN58="NE",MAX(0,$AY58-2440*$AS58),IF($AN58="NJ",MAX(0,$AY58-1000*$AS58),IF($AN58="NY",MAX(0,$AY58-(IF($AU58="Married",7950,7400)+1000*$AS58)),IF($AN58="OH",MAX(0,$AY58-650*$AS58),IF($AN58="OK",MAX(0,$AY58-1000*$AS58),IF($AN58="RI",MAX(0,$AI58-1000*$AS58),IF($AN58="SC",MAX(0,$AI58-5000*$AS58-IF($AS58=0,0,MIN(0.1*$AI58,7500))),IF($AN58="VA",MAX(0,$AI58-IF($AU58="Married",17500,8750)-930*$AS58-800*$AT58),IF($AN58="VT",MAX(0,$AI58-5400*$AS58),IF($AN58="WI",MAX(0,$AI58-MAX(0,IF($AU58="Married",9461-0.2*MAX(0,$AI58-25727),6702-0.12*MAX(0,$AI58-17780)))-400*$AS58),IF($AN58="WV",MAX(0,$AI58-2000*$AS58),$AI58))))))))))))))))))))))</f>
      </c>
      <c r="BA58" s="7">
        <f>IF($B58="","",IF($BW58&lt;&gt;"",$BW58,IF($BX58&lt;&gt;"",$BX58,IF($BY58&lt;&gt;"",$BY58,0))))</f>
      </c>
      <c r="BB58" s="7">
        <f>IF($B58="","",IF($AN58="AR",-29*$AS58,IF($AN58="DE",-110*$AS58,IF($AN58="MD",$AZ58*Inputs!$C$74,IF($AN58="AZ",Inputs!$C$82*($M58-$D58)*Inputs!$C$8,IF($AN58="CO",0.044*MAX(0,$AY58-IF($AU58="Married",10000,5000)),IF($AN58="IA",MAX(0,0.038*MAX(0,$AY58-IF($AU58="Head of household",19500,IF($AU58="Married",26000,13000)))-40*$AS58),IF($AN58="ID",0.053*MAX(0,$AY58-IF($AU58="Married",32000,16094)),IF($AN58="IL",0.0495*MAX(0,$AY58-(2925*$AS58+1000*$AT58)),IF($AN58="IN",(0.0295+Inputs!$C$76)*MAX(0,$AY58-(1000*$AS58+1500*$AT58+3000*Inputs!$C$86)),IF($AN58="KY",0.035*MAX(0,$AI58-3360),IF($AN58="LA",IF(Inputs!$C$84="0",0.0309*$AI58,0.0309*MAX(0,$AI58-IF(Inputs!$C$84="2",25750,12875))),IF($AN58="MA",0.05*MIN(MAX(0,$AY58-MIN(($BD57+$Q58+$R58+$S58),2000)-IF($AS58=0,0,IF($AS58=1,4400,1000*$AS58+3400))),1107750)+0.09*MAX(0,MAX(0,$AY58-MIN(($BD57+$Q58+$R58+$S58),2000)-IF($AS58=0,0,IF($AS58=1,4400,1000*$AS58+3400)))-1107750)-IF($AU58="Head of household",120,0)-110*Inputs!$C$75,IF($AN58="MI",0.0425*MAX(0,$AY58-5900*$AS58),IF($AN58="MS",0.04*MAX(0,$AI58-IF($AU58="Head of household",3400,IF($AU58="Married",4600,2300))-Inputs!$C$85-10000),IF($AN58="OR",IF(OR($AU58="Married",AND($AU58="Single",$AS58&gt;=3)),SUMPRODUCT((MAX(0,$AY58-MIN(($P58-'Methodology &amp; Sources'!$C$10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Sources'!$B$211:$J$214,0,4))*(MAX(0,$AY58-MIN(($P58-'Methodology &amp; Sources'!$C$10*$D58)*Inputs!$C$8,IF(OR($AU58="Married",AND($AU58="Single",$AS58&gt;=3)),IF($AY58&lt;250000,8750,IF($AY58&lt;260000,7000,IF($AY58&lt;270000,5250,IF($AY58&lt;280000,3500,IF($AY58&lt;290000,1750,0))))),IF($AY58&lt;125000,8750,IF($AY58&lt;130000,7000,IF($AY58&lt;135000,5250,IF($AY58&lt;140000,3500,IF($AY58&lt;145000,1750,0)))))))-IF(OR($AU58="Married",AND($AU58="Single",$AS58&gt;=3)),5820,2910))-INDEX('Methodology &amp; Sources'!$B$211:$J$214,0,4))*INDEX('Methodology &amp; Sources'!$B$211:$J$214,0,4+2)),SUMPRODUCT((MAX(0,$AY58-MIN(($P58-'Methodology &amp; Sources'!$C$10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Sources'!$B$211:$J$214,0,1))*(MAX(0,$AY58-MIN(($P58-'Methodology &amp; Sources'!$C$10*$D58)*Inputs!$C$8,IF(OR($AU58="Married",AND($AU58="Single",$AS58&gt;=3)),IF($AY58&lt;250000,8750,IF($AY58&lt;260000,7000,IF($AY58&lt;270000,5250,IF($AY58&lt;280000,3500,IF($AY58&lt;290000,1750,0))))),IF($AY58&lt;125000,8750,IF($AY58&lt;130000,7000,IF($AY58&lt;135000,5250,IF($AY58&lt;140000,3500,IF($AY58&lt;145000,1750,0)))))))-IF(OR($AU58="Married",AND($AU58="Single",$AS58&gt;=3)),5820,2910))-INDEX('Methodology &amp; Sources'!$B$211:$J$214,0,1))*INDEX('Methodology &amp; Sources'!$B$211:$J$214,0,1+2)))+263-263*IF(IF($AU58="Married",$AY58&gt;200000,$AY58&gt;100000),0,$AS58),IF($AN58="PA",0.0307*(($O58+$E58+$G58)*Inputs!$C$8),IF($AN58="NY",IF($AU58="Married",IF($AZ58&gt;=2155350,0,IF($AZ58&gt;=1077550,0.48,IF($AZ58&gt;=373200,1.21,IF($AZ58&gt;=323200,0.21,IF($AZ58&gt;=211550,-0.19,IF($AZ58&gt;=157650,-2.8,IF($AZ58&gt;=107650,-0.8,IF($AZ58&gt;=96800,0.05,IF($AZ58&gt;=80650,-0.1,IF($AZ58&gt;=13900,0.4,IF($AZ58&gt;=11700,-0.3,IF($AZ58&gt;=8500,0.5,0)))))))))))),IF($AZ58&gt;=1077550,0,IF($AZ58&gt;=265400,4.29,IF($AZ58&gt;=215400,2.29,IF($AZ58&gt;=157650,2.29,IF($AZ58&gt;=107650,0.29,IF($AZ58&gt;=96800,0.05,IF($AZ58&gt;=80650,-0.1,IF($AZ58&gt;=13900,0.4,IF($AZ58&gt;=11700,-0.3,IF($AZ58&gt;=8500,0.5,0))))))))))),0))))))))))))))))))</f>
      </c>
      <c r="BC58" s="7">
        <f>IF($B58="","",IF($AN58="AL",0.05*$D58,IF($AN58="AR",0.039*$D58,IF($AN58="ID",0.053*$D58,IF($AN58="IN",(0.0295+Inputs!$C$76)*$D58,IF($AN58="KS",0.05*$D58,IF($AN58="MA",0.09*MIN($D58,MAX(0,MAX(0,$AY58-MIN(($BD57+$Q58+$R58+$S58),2000)-IF($AS58=0,0,IF($AS58=1,4400,1000*$AS58+3400)))+$D58-1107750))+0.05*($D58-MIN($D58,MAX(0,MAX(0,$AY58-MIN(($BD57+$Q58+$R58+$S58),2000)-IF($AS58=0,0,IF($AS58=1,4400,1000*$AS58+3400)))+$D58-1107750))),IF($AN58="MD",(0.065+Inputs!$C$74)*$D58,IF($AN58="MI",0.0425*$D58,IF($AN58="MN",0.0625*$D58,IF($AN58="MO",0.047*$D58,IF($AN58="MT",0.05*$D58,IF($AN58="ND",0.015*$D58,IF($AN58="NE",0.035*$D58,IF($AN58="NJ",IF(Inputs!$C$77="B",SUMPRODUCT(($D58*Inputs!$C$8&gt;INDEX('Methodology &amp; Sources'!$B$155:$J$162,0,4))*($D58*Inputs!$C$8-INDEX('Methodology &amp; Sources'!$B$155:$J$162,0,4))*INDEX('Methodology &amp; Sources'!$B$155:$J$162,0,4+2)),IF(Inputs!$C$77="C",SUMPRODUCT(($D58*Inputs!$C$8&gt;INDEX('Methodology &amp; Sources'!$B$155:$J$162,0,7))*($D58*Inputs!$C$8-INDEX('Methodology &amp; Sources'!$B$155:$J$162,0,7))*INDEX('Methodology &amp; Sources'!$B$155:$J$162,0,7+2)),IF(Inputs!$C$77="D",SUMPRODUCT(($D58*Inputs!$C$8&gt;INDEX('Methodology &amp; Sources'!$B$167:$J$179,0,1))*($D58*Inputs!$C$8-INDEX('Methodology &amp; Sources'!$B$167:$J$179,0,1))*INDEX('Methodology &amp; Sources'!$B$167:$J$179,0,1+2)),IF(Inputs!$C$77="E",SUMPRODUCT(($D58*Inputs!$C$8&gt;INDEX('Methodology &amp; Sources'!$B$167:$J$179,0,4))*($D58*Inputs!$C$8-INDEX('Methodology &amp; Sources'!$B$167:$J$179,0,4))*INDEX('Methodology &amp; Sources'!$B$167:$J$179,0,4+2)),SUMPRODUCT(($D58*Inputs!$C$8&gt;INDEX('Methodology &amp; Sources'!$B$155:$J$162,0,1))*($D58*Inputs!$C$8-INDEX('Methodology &amp; Sources'!$B$155:$J$162,0,1))*INDEX('Methodology &amp; Sources'!$B$155:$J$162,0,1+2))))))/Inputs!$C$8,IF($AN58="NY",0.117*$D58,IF($AN58="OH",0.0275*$D58,IF($AN58="OK",0.045*$D58,IF($AN58="OR",0.08*$D58,IF($AN58="WI",IF($AY58&lt;12760,0.0354,IF($AY58&lt;25520,0.0465,IF($AY58&lt;280950,0.053,0.0765)))*$D58,0))))))))))))))))))))</f>
      </c>
      <c r="BD58" s="7">
        <f>IF($B58="","",$BD57+$Q58+$R58+$S58)</f>
      </c>
      <c r="BE58" s="6">
        <f>IF($B58="",$BE57,$BE57+$BF58)</f>
      </c>
      <c r="BF58" s="6">
        <f>IF($B58="","",IF(AND(IF(YEAR(IF(Inputs!$C$7="Weekly",Inputs!$C$90+7*(($BE57+1)-1),IF(Inputs!$C$7="Biweekly",Inputs!$C$90+14*(($BE57+1)-1),IF(Inputs!$C$7="Semimonthly",DATE(YEAR(Inputs!$C$9),MONTH(Inputs!$C$9)+INT((($BE57+1)-1+'Rest of 2026'!$C$2)/2),MIN(DAY(Inputs!$C$9),DAY(EOMONTH(DATE(YEAR(Inputs!$C$9),MONTH(Inputs!$C$9)+INT((($BE57+1)-1+'Rest of 2026'!$C$2)/2),1),0))))+IF(MOD(($BE57+1)-1+'Rest of 2026'!$C$2,2)=1,15,0),EDATE(Inputs!$C$90,($BE57+1)-1)))))&lt;&gt;Inputs!$C$10,"",IF(Inputs!$C$7="Weekly",Inputs!$C$90+7*(($BE57+1)-1),IF(Inputs!$C$7="Biweekly",Inputs!$C$90+14*(($BE57+1)-1),IF(Inputs!$C$7="Semimonthly",DATE(YEAR(Inputs!$C$9),MONTH(Inputs!$C$9)+INT((($BE57+1)-1+'Rest of 2026'!$C$2)/2),MIN(DAY(Inputs!$C$9),DAY(EOMONTH(DATE(YEAR(Inputs!$C$9),MONTH(Inputs!$C$9)+INT((($BE57+1)-1+'Rest of 2026'!$C$2)/2),1),0))))+IF(MOD(($BE57+1)-1+'Rest of 2026'!$C$2,2)=1,15,0),EDATE(Inputs!$C$90,($BE57+1)-1)))))&lt;&gt;"",$B58=IF(YEAR(IF(Inputs!$C$7="Weekly",Inputs!$C$90+7*(($BE57+1)-1),IF(Inputs!$C$7="Biweekly",Inputs!$C$90+14*(($BE57+1)-1),IF(Inputs!$C$7="Semimonthly",DATE(YEAR(Inputs!$C$9),MONTH(Inputs!$C$9)+INT((($BE57+1)-1+'Rest of 2026'!$C$2)/2),MIN(DAY(Inputs!$C$9),DAY(EOMONTH(DATE(YEAR(Inputs!$C$9),MONTH(Inputs!$C$9)+INT((($BE57+1)-1+'Rest of 2026'!$C$2)/2),1),0))))+IF(MOD(($BE57+1)-1+'Rest of 2026'!$C$2,2)=1,15,0),EDATE(Inputs!$C$90,($BE57+1)-1)))))&lt;&gt;Inputs!$C$10,"",IF(Inputs!$C$7="Weekly",Inputs!$C$90+7*(($BE57+1)-1),IF(Inputs!$C$7="Biweekly",Inputs!$C$90+14*(($BE57+1)-1),IF(Inputs!$C$7="Semimonthly",DATE(YEAR(Inputs!$C$9),MONTH(Inputs!$C$9)+INT((($BE57+1)-1+'Rest of 2026'!$C$2)/2),MIN(DAY(Inputs!$C$9),DAY(EOMONTH(DATE(YEAR(Inputs!$C$9),MONTH(Inputs!$C$9)+INT((($BE57+1)-1+'Rest of 2026'!$C$2)/2),1),0))))+IF(MOD(($BE57+1)-1+'Rest of 2026'!$C$2,2)=1,15,0),EDATE(Inputs!$C$90,($BE57+1)-1)))))),1,0))</f>
      </c>
      <c r="BG58" s="7">
        <f>IF($B58="","",$BG57+$H58)</f>
      </c>
      <c r="BH58" s="7">
        <f>IF($B58="","",$BH57+$I58)</f>
      </c>
      <c r="BI58" s="7">
        <f>IF($B58="","",$BI57+$G58)</f>
      </c>
      <c r="BJ58" s="7">
        <f>IF($B58="","",IFERROR(LOOKUP(2,1/((((Events!$C$6:$C$17="Deduction start"))*(Events!$D$6:$D$17="Health FSA"))*(Events!$B$6:$B$17&lt;=$B58)*(Events!$B$6:$B$17&lt;&gt;"")),Events!$E$6:$E$17),Inputs!$D$38))</f>
      </c>
      <c r="BK58" s="7">
        <f>IF($B58="","",IFERROR(LOOKUP(2,1/((((Events!$C$6:$C$17="Deduction start"))*(Events!$D$6:$D$17="Dependent-care FSA"))*(Events!$B$6:$B$17&lt;=$B58)*(Events!$B$6:$B$17&lt;&gt;"")),Events!$E$6:$E$17),Inputs!$D$39))</f>
      </c>
      <c r="BL58" s="7">
        <f>IF($B58="","",IFERROR(LOOKUP(2,1/((((Events!$C$6:$C$17="Deduction start")+(Events!$C$6:$C$17="Deduction stop"))*(Events!$D$6:$D$17="HSA"))*(Events!$B$6:$B$17&lt;=$B58)*(Events!$B$6:$B$17&lt;&gt;"")),Events!$I$6:$I$17),Inputs!$D$35))</f>
      </c>
      <c r="BM58" s="7">
        <f>IF($B58="","",IFERROR(LOOKUP(2,1/((((Events!$C$6:$C$17="Deduction start")+(Events!$C$6:$C$17="Deduction stop"))*(Events!$D$6:$D$17="Premiums"))*(Events!$B$6:$B$17&lt;=$B58)*(Events!$B$6:$B$17&lt;&gt;"")),Events!$I$6:$I$17),Inputs!$D$40+Inputs!$D$41+Inputs!$D$42))</f>
      </c>
      <c r="BN58" s="7">
        <f>IF($B58="","",IFERROR(LOOKUP(2,1/((((Events!$C$6:$C$17="Deduction start")+(Events!$C$6:$C$17="Deduction stop"))*(Events!$D$6:$D$17="Commuter"))*(Events!$B$6:$B$17&lt;=$B58)*(Events!$B$6:$B$17&lt;&gt;"")),Events!$I$6:$I$17),Inputs!$D$43))</f>
      </c>
      <c r="BO58" s="7">
        <f>IF($B58="","",IFERROR(LOOKUP(2,1/((((Events!$C$6:$C$17="Deduction start")+(Events!$C$6:$C$17="Deduction stop"))*(Events!$D$6:$D$17="Other pre-tax"))*(Events!$B$6:$B$17&lt;=$B58)*(Events!$B$6:$B$17&lt;&gt;"")),Events!$I$6:$I$17),Inputs!$D$44))</f>
      </c>
      <c r="BP58" s="7">
        <f>IF($B58="","",IFERROR(LOOKUP(2,1/((((Events!$C$6:$C$17="Deduction start")+(Events!$C$6:$C$17="Deduction stop"))*(Events!$D$6:$D$17="Other post-tax"))*(Events!$B$6:$B$17&lt;=$B58)*(Events!$B$6:$B$17&lt;&gt;"")),Events!$I$6:$I$17),Inputs!$D$45))</f>
      </c>
      <c r="BQ58" s="6">
        <f>IF($B58="","",IFERROR(LOOKUP(2,1/((((Events!$C$6:$C$17="Deduction start")+(Events!$C$6:$C$17="Deduction stop"))*(Events!$D$6:$D$17="Health FSA"))*(Events!$B$6:$B$17&lt;=$B58)*(Events!$B$6:$B$17&lt;&gt;"")),Events!$J$6:$J$17),0))</f>
      </c>
      <c r="BR58" s="6">
        <f>IF($B58="","",IFERROR(LOOKUP(2,1/((((Events!$C$6:$C$17="Deduction start")+(Events!$C$6:$C$17="Deduction stop"))*(Events!$D$6:$D$17="Dependent-care FSA"))*(Events!$B$6:$B$17&lt;=$B58)*(Events!$B$6:$B$17&lt;&gt;"")),Events!$J$6:$J$17),0))</f>
      </c>
      <c r="BS58" s="6">
        <f>IF($B58="","",IF(SUMPRODUCT((Events!$C$6:$C$17="Deduction start")*(Events!$B$6:$B$17&lt;=$B58)*(Events!$B$6:$B$17&lt;&gt;"")*(Events!$D$6:$D$17="Health FSA"))&gt;0,1,0))</f>
      </c>
      <c r="BT58" s="6">
        <f>IF($B58="","",IF(SUMPRODUCT((Events!$C$6:$C$17="Deduction start")*(Events!$B$6:$B$17&lt;=$B58)*(Events!$B$6:$B$17&lt;&gt;"")*(Events!$D$6:$D$17="Dependent-care FSA"))&gt;0,1,0))</f>
      </c>
      <c r="BU58" s="24">
        <f>IF($B58="","",IF(Inputs!$C$13,SUMPRODUCT(($AH58&gt;=INDEX('Methodology &amp; Sources'!$B$29:$J$36,0,IF(Inputs!$C$12="MFJ",1,IF(Inputs!$C$12="HoH",7,4))))*INDEX('Methodology &amp; Sources'!$B$29:$J$36,0,IF(Inputs!$C$12="MFJ",1,IF(Inputs!$C$12="HoH",7,4))+2)),SUMPRODUCT(($AH58&gt;=INDEX('Methodology &amp; Sources'!$B$19:$J$26,0,IF(Inputs!$C$12="MFJ",1,IF(Inputs!$C$12="HoH",7,4))))*INDEX('Methodology &amp; Sources'!$B$19:$J$26,0,IF(Inputs!$C$12="MFJ",1,IF(Inputs!$C$12="HoH",7,4))+2))))</f>
      </c>
      <c r="BV58" s="24">
        <f>IF($B58="","",IF($BZ58&lt;&gt;"",$BZ58,IF($CA58&lt;&gt;"",$CA58,IF($CB58&lt;&gt;"",$CB58,IF($CC58&lt;&gt;"",$CC58,0)))))</f>
      </c>
      <c r="BW58" s="7">
        <f>IF($B58="","",IF($AN58="MD",IF(OR($AU58="Married",$AU58="Head of household"),SUMPRODUCT(($AZ58&gt;INDEX('Methodology &amp; Sources'!$B$114:$J$120,0,1))*($AZ58-INDEX('Methodology &amp; Sources'!$B$114:$J$120,0,1))*INDEX('Methodology &amp; Sources'!$B$114:$J$120,0,1+2)),SUMPRODUCT(($AZ58&gt;INDEX('Methodology &amp; Sources'!$B$103:$J$109,0,7))*($AZ58-INDEX('Methodology &amp; Sources'!$B$103:$J$109,0,7))*INDEX('Methodology &amp; Sources'!$B$103:$J$109,0,7+2))),IF($AN58="MO",SUMPRODUCT(($AZ58&gt;INDEX('Methodology &amp; Sources'!$B$125:$J$132,0,1))*($AZ58-INDEX('Methodology &amp; Sources'!$B$125:$J$132,0,1))*INDEX('Methodology &amp; Sources'!$B$125:$J$132,0,1+2)),IF($AN58="MT",IF($AU58="Head of household",SUMPRODUCT(($AZ58&gt;INDEX('Methodology &amp; Sources'!$B$137:$J$139,0,1))*($AZ58-INDEX('Methodology &amp; Sources'!$B$137:$J$139,0,1))*INDEX('Methodology &amp; Sources'!$B$137:$J$139,0,1+2)),IF($AU58="Married",SUMPRODUCT(($AZ58&gt;INDEX('Methodology &amp; Sources'!$B$125:$J$132,0,7))*($AZ58-INDEX('Methodology &amp; Sources'!$B$125:$J$132,0,7))*INDEX('Methodology &amp; Sources'!$B$125:$J$132,0,7+2)),SUMPRODUCT(($AZ58&gt;INDEX('Methodology &amp; Sources'!$B$125:$J$132,0,4))*($AZ58-INDEX('Methodology &amp; Sources'!$B$125:$J$132,0,4))*INDEX('Methodology &amp; Sources'!$B$125:$J$132,0,4+2)))),IF($AN58="ND",IF($AU58="Head of household",SUMPRODUCT(($AZ58&gt;INDEX('Methodology &amp; Sources'!$B$144:$J$150,0,1))*($AZ58-INDEX('Methodology &amp; Sources'!$B$144:$J$150,0,1))*INDEX('Methodology &amp; Sources'!$B$144:$J$150,0,1+2)),IF($AU58="Married",SUMPRODUCT(($AZ58&gt;INDEX('Methodology &amp; Sources'!$B$137:$J$139,0,7))*($AZ58-INDEX('Methodology &amp; Sources'!$B$137:$J$139,0,7))*INDEX('Methodology &amp; Sources'!$B$137:$J$139,0,7+2)),SUMPRODUCT(($AZ58&gt;INDEX('Methodology &amp; Sources'!$B$137:$J$139,0,4))*($AZ58-INDEX('Methodology &amp; Sources'!$B$137:$J$139,0,4))*INDEX('Methodology &amp; Sources'!$B$137:$J$139,0,4+2)))),IF($AN58="NJ",IF(Inputs!$C$77="B",SUMPRODUCT(($AZ58&gt;INDEX('Methodology &amp; Sources'!$B$155:$J$162,0,4))*($AZ58-INDEX('Methodology &amp; Sources'!$B$155:$J$162,0,4))*INDEX('Methodology &amp; Sources'!$B$155:$J$162,0,4+2)),IF(Inputs!$C$77="C",SUMPRODUCT(($AZ58&gt;INDEX('Methodology &amp; Sources'!$B$155:$J$162,0,7))*($AZ58-INDEX('Methodology &amp; Sources'!$B$155:$J$162,0,7))*INDEX('Methodology &amp; Sources'!$B$155:$J$162,0,7+2)),IF(Inputs!$C$77="D",SUMPRODUCT(($AZ58&gt;INDEX('Methodology &amp; Sources'!$B$167:$J$179,0,1))*($AZ58-INDEX('Methodology &amp; Sources'!$B$167:$J$179,0,1))*INDEX('Methodology &amp; Sources'!$B$167:$J$179,0,1+2)),IF(Inputs!$C$77="E",SUMPRODUCT(($AZ58&gt;INDEX('Methodology &amp; Sources'!$B$167:$J$179,0,4))*($AZ58-INDEX('Methodology &amp; Sources'!$B$167:$J$179,0,4))*INDEX('Methodology &amp; Sources'!$B$167:$J$179,0,4+2)),SUMPRODUCT(($AZ58&gt;INDEX('Methodology &amp; Sources'!$B$155:$J$162,0,1))*($AZ58-INDEX('Methodology &amp; Sources'!$B$155:$J$162,0,1))*INDEX('Methodology &amp; Sources'!$B$155:$J$162,0,1+2)))))),IF($AN58="NY",IF($AU58="Married",IF($AZ58&gt;=2155350,$AZ58*IF($AZ58&gt;25000000,0.117,IF($AZ58&gt;5000000,0.111,0.1045)),SUMPRODUCT(($AZ58&gt;INDEX('Methodology &amp; Sources'!$B$184:$J$198,0,1))*($AZ58-INDEX('Methodology &amp; Sources'!$B$184:$J$198,0,1))*INDEX('Methodology &amp; Sources'!$B$184:$J$198,0,1+2))),IF($AZ58&gt;=1077550,$AZ58*IF($AZ58&gt;25000000,0.117,IF($AZ58&gt;5000000,0.111,0.1045)),SUMPRODUCT(($AZ58&gt;INDEX('Methodology &amp; Sources'!$B$167:$J$179,0,7))*($AZ58-INDEX('Methodology &amp; Sources'!$B$167:$J$179,0,7))*INDEX('Methodology &amp; Sources'!$B$167:$J$179,0,7+2)))),"")))))))</f>
      </c>
      <c r="BX58" s="7">
        <f>IF($B58="","",IF($AN58="AL",IF(OR($AU58="Married",$AU58="Head of household"),SUMPRODUCT(($AZ58&gt;INDEX('Methodology &amp; Sources'!$B$82:$J$86,0,4))*($AZ58-INDEX('Methodology &amp; Sources'!$B$82:$J$86,0,4))*INDEX('Methodology &amp; Sources'!$B$82:$J$86,0,4+2)),SUMPRODUCT(($AZ58&gt;INDEX('Methodology &amp; Sources'!$B$82:$J$86,0,1))*($AZ58-INDEX('Methodology &amp; Sources'!$B$82:$J$86,0,1))*INDEX('Methodology &amp; Sources'!$B$82:$J$86,0,1+2))),IF($AN58="KS",IF($AU58="Married",SUMPRODUCT(($AZ58&gt;INDEX('Methodology &amp; Sources'!$B$103:$J$109,0,4))*($AZ58-INDEX('Methodology &amp; Sources'!$B$103:$J$109,0,4))*INDEX('Methodology &amp; Sources'!$B$103:$J$109,0,4+2)),SUMPRODUCT(($AZ58&gt;INDEX('Methodology &amp; Sources'!$B$103:$J$109,0,1))*($AZ58-INDEX('Methodology &amp; Sources'!$B$103:$J$109,0,1))*INDEX('Methodology &amp; Sources'!$B$103:$J$109,0,1+2))),IF($AN58="MN",IF($AU58="Married",SUMPRODUCT(($AZ58&gt;INDEX('Methodology &amp; Sources'!$B$114:$J$120,0,7))*($AZ58-INDEX('Methodology &amp; Sources'!$B$114:$J$120,0,7))*INDEX('Methodology &amp; Sources'!$B$114:$J$120,0,7+2)),SUMPRODUCT(($AZ58&gt;INDEX('Methodology &amp; Sources'!$B$114:$J$120,0,4))*($AZ58-INDEX('Methodology &amp; Sources'!$B$114:$J$120,0,4))*INDEX('Methodology &amp; Sources'!$B$114:$J$120,0,4+2))),IF($AN58="NE",MAX(IF($AU58="Married",SUMPRODUCT(($AZ58&gt;INDEX('Methodology &amp; Sources'!$B$144:$J$150,0,7))*($AZ58-INDEX('Methodology &amp; Sources'!$B$144:$J$150,0,7))*INDEX('Methodology &amp; Sources'!$B$144:$J$150,0,7+2)),SUMPRODUCT(($AZ58&gt;INDEX('Methodology &amp; Sources'!$B$144:$J$150,0,4))*($AZ58-INDEX('Methodology &amp; Sources'!$B$144:$J$150,0,4))*INDEX('Methodology &amp; Sources'!$B$144:$J$150,0,4+2))),0.015*$AZ58),IF($AN58="OH",IF($B58&gt;=DATE(2027,8,1),SUMPRODUCT(($AZ58&gt;INDEX('Methodology &amp; Sources'!$B$203:$J$206,0,1))*($AZ58-INDEX('Methodology &amp; Sources'!$B$203:$J$206,0,1))*INDEX('Methodology &amp; Sources'!$B$203:$J$206,0,1+2)),SUMPRODUCT(($AZ58&gt;INDEX('Methodology &amp; Sources'!$B$184:$J$198,0,7))*($AZ58-INDEX('Methodology &amp; Sources'!$B$184:$J$198,0,7))*INDEX('Methodology &amp; Sources'!$B$184:$J$198,0,7+2))),IF($AN58="OK",IF($AU58="Married",SUMPRODUCT(($AZ58&gt;INDEX('Methodology &amp; Sources'!$B$203:$J$206,0,7))*($AZ58-INDEX('Methodology &amp; Sources'!$B$203:$J$206,0,7))*INDEX('Methodology &amp; Sources'!$B$203:$J$206,0,7+2)),SUMPRODUCT(($AZ58&gt;INDEX('Methodology &amp; Sources'!$B$203:$J$206,0,4))*($AZ58-INDEX('Methodology &amp; Sources'!$B$203:$J$206,0,4))*INDEX('Methodology &amp; Sources'!$B$203:$J$206,0,4+2))),IF($AN58="RI",SUMPRODUCT(($AZ58&gt;INDEX('Methodology &amp; Sources'!$B$211:$J$214,0,7))*($AZ58-INDEX('Methodology &amp; Sources'!$B$211:$J$214,0,7))*INDEX('Methodology &amp; Sources'!$B$211:$J$214,0,7+2)),IF($AN58="VT",IF($AU58="Married",SUMPRODUCT(($AZ58&gt;INDEX('Methodology &amp; Sources'!$B$228:$J$232,0,1))*($AZ58-INDEX('Methodology &amp; Sources'!$B$228:$J$232,0,1))*INDEX('Methodology &amp; Sources'!$B$228:$J$232,0,1+2)),SUMPRODUCT(($AZ58&gt;INDEX('Methodology &amp; Sources'!$B$219:$J$223,0,7))*($AZ58-INDEX('Methodology &amp; Sources'!$B$219:$J$223,0,7))*INDEX('Methodology &amp; Sources'!$B$219:$J$223,0,7+2))),IF($AN58="WV",IF($AU58="Married",SUMPRODUCT(($AZ58&gt;INDEX('Methodology &amp; Sources'!$B$237:$J$241,0,7))*($AZ58-INDEX('Methodology &amp; Sources'!$B$237:$J$241,0,7))*INDEX('Methodology &amp; Sources'!$B$237:$J$241,0,7+2)),SUMPRODUCT(($AZ58&gt;INDEX('Methodology &amp; Sources'!$B$228:$J$232,0,7))*($AZ58-INDEX('Methodology &amp; Sources'!$B$228:$J$232,0,7))*INDEX('Methodology &amp; Sources'!$B$228:$J$232,0,7+2))),""))))))))))</f>
      </c>
      <c r="BY58" s="7">
        <f>IF($B58="","",IF($AN58="AR",SUMPRODUCT(($AZ58&gt;INDEX('Methodology &amp; Sources'!$B$82:$J$86,0,7))*($AZ58-INDEX('Methodology &amp; Sources'!$B$82:$J$86,0,7))*INDEX('Methodology &amp; Sources'!$B$82:$J$86,0,7+2)),IF($AN58="DE",SUMPRODUCT(($AZ58&gt;INDEX('Methodology &amp; Sources'!$B$91:$J$98,0,1))*($AZ58-INDEX('Methodology &amp; Sources'!$B$91:$J$98,0,1))*INDEX('Methodology &amp; Sources'!$B$91:$J$98,0,1+2)),IF($AN58="HI",IF($AU58="Married",SUMPRODUCT(($AZ58&gt;INDEX('Methodology &amp; Sources'!$B$91:$J$98,0,7))*($AZ58-INDEX('Methodology &amp; Sources'!$B$91:$J$98,0,7))*INDEX('Methodology &amp; Sources'!$B$91:$J$98,0,7+2)),SUMPRODUCT(($AZ58&gt;INDEX('Methodology &amp; Sources'!$B$91:$J$98,0,4))*($AZ58-INDEX('Methodology &amp; Sources'!$B$91:$J$98,0,4))*INDEX('Methodology &amp; Sources'!$B$91:$J$98,0,4+2))),IF($AN58="SC",SUMPRODUCT(($AZ58&gt;INDEX('Methodology &amp; Sources'!$B$219:$J$223,0,1))*($AZ58-INDEX('Methodology &amp; Sources'!$B$219:$J$223,0,1))*INDEX('Methodology &amp; Sources'!$B$219:$J$223,0,1+2)),IF($AN58="VA",SUMPRODUCT(($AZ58&gt;INDEX('Methodology &amp; Sources'!$B$219:$J$223,0,4))*($AZ58-INDEX('Methodology &amp; Sources'!$B$219:$J$223,0,4))*INDEX('Methodology &amp; Sources'!$B$219:$J$223,0,4+2)),IF($AN58="WI",SUMPRODUCT(($AZ58&gt;INDEX('Methodology &amp; Sources'!$B$228:$J$232,0,4))*($AZ58-INDEX('Methodology &amp; Sources'!$B$228:$J$232,0,4))*INDEX('Methodology &amp; Sources'!$B$228:$J$232,0,4+2)),"")))))))</f>
      </c>
      <c r="BZ58" s="24">
        <f>IF($B58="","",IF($AN58="NJ",IF(Inputs!$C$77="B",SUMPRODUCT(($AZ58&gt;=INDEX('Methodology &amp; Sources'!$B$155:$J$162,0,4))*INDEX('Methodology &amp; Sources'!$B$155:$J$162,0,4+2)),IF(Inputs!$C$77="C",SUMPRODUCT(($AZ58&gt;=INDEX('Methodology &amp; Sources'!$B$155:$J$162,0,7))*INDEX('Methodology &amp; Sources'!$B$155:$J$162,0,7+2)),IF(Inputs!$C$77="D",SUMPRODUCT(($AZ58&gt;=INDEX('Methodology &amp; Sources'!$B$167:$J$179,0,1))*INDEX('Methodology &amp; Sources'!$B$167:$J$179,0,1+2)),IF(Inputs!$C$77="E",SUMPRODUCT(($AZ58&gt;=INDEX('Methodology &amp; Sources'!$B$167:$J$179,0,4))*INDEX('Methodology &amp; Sources'!$B$167:$J$179,0,4+2)),SUMPRODUCT(($AZ58&gt;=INDEX('Methodology &amp; Sources'!$B$155:$J$162,0,1))*INDEX('Methodology &amp; Sources'!$B$155:$J$162,0,1+2)))))),IF($AN58="OR",IF(OR($AU58="Married",AND($AU58="Single",$AS58&gt;=3)),SUMPRODUCT((MAX(0,$AY58-MIN(($P58-'Methodology &amp; Sources'!$C$10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Sources'!$B$211:$J$214,0,4))*INDEX('Methodology &amp; Sources'!$B$211:$J$214,0,4+2)),SUMPRODUCT((MAX(0,$AY58-MIN(($P58-'Methodology &amp; Sources'!$C$10*$D58)*Inputs!$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Sources'!$B$211:$J$214,0,1))*INDEX('Methodology &amp; Sources'!$B$211:$J$214,0,1+2)))*IF(($P58-'Methodology &amp; Sources'!$C$10*$D58)*Inputs!$C$8&gt;=IF(OR($AU58="Married",AND($AU58="Single",$AS58&gt;=3)),IF($AY58&lt;250000,8750,IF($AY58&lt;260000,7000,IF($AY58&lt;270000,5250,IF($AY58&lt;280000,3500,IF($AY58&lt;290000,1750,0))))),IF($AY58&lt;125000,8750,IF($AY58&lt;130000,7000,IF($AY58&lt;135000,5250,IF($AY58&lt;140000,3500,IF($AY58&lt;145000,1750,0)))))),1,1-IF(Inputs!$C$13,SUMPRODUCT(($AH58&gt;=INDEX('Methodology &amp; Sources'!$B$29:$J$36,0,IF(Inputs!$C$12="MFJ",1,IF(Inputs!$C$12="HoH",7,4))))*INDEX('Methodology &amp; Sources'!$B$29:$J$36,0,IF(Inputs!$C$12="MFJ",1,IF(Inputs!$C$12="HoH",7,4))+2)),SUMPRODUCT(($AH58&gt;=INDEX('Methodology &amp; Sources'!$B$19:$J$26,0,IF(Inputs!$C$12="MFJ",1,IF(Inputs!$C$12="HoH",7,4))))*INDEX('Methodology &amp; Sources'!$B$19:$J$26,0,IF(Inputs!$C$12="MFJ",1,IF(Inputs!$C$12="HoH",7,4))+2)))),IF($AN58="MI",IF($AY58&gt;5900*$AS58,0.0425,0),""))))</f>
      </c>
      <c r="CA58" s="24">
        <f>IF($B58="","",IF($AN58="AL",IF(OR($AU58="Married",$AU58="Head of household"),SUMPRODUCT(($AZ58&gt;=INDEX('Methodology &amp; Sources'!$B$82:$J$86,0,4))*INDEX('Methodology &amp; Sources'!$B$82:$J$86,0,4+2)),SUMPRODUCT(($AZ58&gt;=INDEX('Methodology &amp; Sources'!$B$82:$J$86,0,1))*INDEX('Methodology &amp; Sources'!$B$82:$J$86,0,1+2)))*(1-IF(Inputs!$C$13,SUMPRODUCT(($AH58&gt;=INDEX('Methodology &amp; Sources'!$B$29:$J$36,0,IF(Inputs!$C$12="MFJ",1,IF(Inputs!$C$12="HoH",7,4))))*INDEX('Methodology &amp; Sources'!$B$29:$J$36,0,IF(Inputs!$C$12="MFJ",1,IF(Inputs!$C$12="HoH",7,4))+2)),SUMPRODUCT(($AH58&gt;=INDEX('Methodology &amp; Sources'!$B$19:$J$26,0,IF(Inputs!$C$12="MFJ",1,IF(Inputs!$C$12="HoH",7,4))))*INDEX('Methodology &amp; Sources'!$B$19:$J$26,0,IF(Inputs!$C$12="MFJ",1,IF(Inputs!$C$12="HoH",7,4))+2)))),IF($AN58="KS",IF($AU58="Married",SUMPRODUCT(($AZ58&gt;=INDEX('Methodology &amp; Sources'!$B$103:$J$109,0,4))*INDEX('Methodology &amp; Sources'!$B$103:$J$109,0,4+2)),SUMPRODUCT(($AZ58&gt;=INDEX('Methodology &amp; Sources'!$B$103:$J$109,0,1))*INDEX('Methodology &amp; Sources'!$B$103:$J$109,0,1+2))),IF($AN58="MD",IF(OR($AU58="Married",$AU58="Head of household"),SUMPRODUCT(($AZ58&gt;=INDEX('Methodology &amp; Sources'!$B$114:$J$120,0,1))*INDEX('Methodology &amp; Sources'!$B$114:$J$120,0,1+2)),SUMPRODUCT(($AZ58&gt;=INDEX('Methodology &amp; Sources'!$B$103:$J$109,0,7))*INDEX('Methodology &amp; Sources'!$B$103:$J$109,0,7+2)))+Inputs!$C$74,IF($AN58="MT",IF($AU58="Head of household",SUMPRODUCT(($AZ58&gt;=INDEX('Methodology &amp; Sources'!$B$137:$J$139,0,1))*INDEX('Methodology &amp; Sources'!$B$137:$J$139,0,1+2)),IF($AU58="Married",SUMPRODUCT(($AZ58&gt;=INDEX('Methodology &amp; Sources'!$B$125:$J$132,0,7))*INDEX('Methodology &amp; Sources'!$B$125:$J$132,0,7+2)),SUMPRODUCT(($AZ58&gt;=INDEX('Methodology &amp; Sources'!$B$125:$J$132,0,4))*INDEX('Methodology &amp; Sources'!$B$125:$J$132,0,4+2)))),IF($AN58="ND",IF($AU58="Head of household",SUMPRODUCT(($AZ58&gt;=INDEX('Methodology &amp; Sources'!$B$144:$J$150,0,1))*INDEX('Methodology &amp; Sources'!$B$144:$J$150,0,1+2)),IF($AU58="Married",SUMPRODUCT(($AZ58&gt;=INDEX('Methodology &amp; Sources'!$B$137:$J$139,0,7))*INDEX('Methodology &amp; Sources'!$B$137:$J$139,0,7+2)),SUMPRODUCT(($AZ58&gt;=INDEX('Methodology &amp; Sources'!$B$137:$J$139,0,4))*INDEX('Methodology &amp; Sources'!$B$137:$J$139,0,4+2)))),IF($AN58="NY",IF($AU58="Married",IF($AZ58&gt;=2155350,IF($AZ58&gt;25000000,0.117,IF($AZ58&gt;5000000,0.111,0.1045)),SUMPRODUCT(($AZ58&gt;=INDEX('Methodology &amp; Sources'!$B$184:$J$198,0,1))*INDEX('Methodology &amp; Sources'!$B$184:$J$198,0,1+2))),IF($AZ58&gt;=1077550,IF($AZ58&gt;25000000,0.117,IF($AZ58&gt;5000000,0.111,0.1045)),SUMPRODUCT(($AZ58&gt;=INDEX('Methodology &amp; Sources'!$B$167:$J$179,0,7))*INDEX('Methodology &amp; Sources'!$B$167:$J$179,0,7+2)))),"")))))))</f>
      </c>
      <c r="CB58" s="24">
        <f>IF($B58="","",IF($AN58="CA",SUMPRODUCT(($AJ58&gt;=INDEX('Methodology &amp; Sources'!$B$39:$J$48,0,IF($AU58="Married",4,IF($AU58="Head of household",7,1))))*INDEX('Methodology &amp; Sources'!$B$39:$J$48,0,IF($AU58="Married",4,IF($AU58="Head of household",7,1))+2)),IF($AN58="HI",IF($AU58="Married",SUMPRODUCT(($AZ58&gt;=INDEX('Methodology &amp; Sources'!$B$91:$J$98,0,7))*INDEX('Methodology &amp; Sources'!$B$91:$J$98,0,7+2)),SUMPRODUCT(($AZ58&gt;=INDEX('Methodology &amp; Sources'!$B$91:$J$98,0,4))*INDEX('Methodology &amp; Sources'!$B$91:$J$98,0,4+2))),IF($AN58="MN",IF($AU58="Married",SUMPRODUCT(($AZ58&gt;=INDEX('Methodology &amp; Sources'!$B$114:$J$120,0,7))*INDEX('Methodology &amp; Sources'!$B$114:$J$120,0,7+2)),SUMPRODUCT(($AZ58&gt;=INDEX('Methodology &amp; Sources'!$B$114:$J$120,0,4))*INDEX('Methodology &amp; Sources'!$B$114:$J$120,0,4+2))),IF($AN58="MO",SUMPRODUCT(($AZ58&gt;=INDEX('Methodology &amp; Sources'!$B$125:$J$132,0,1))*INDEX('Methodology &amp; Sources'!$B$125:$J$132,0,1+2)),IF($AN58="NE",MAX(IF($AU58="Married",SUMPRODUCT(($AZ58&gt;=INDEX('Methodology &amp; Sources'!$B$144:$J$150,0,7))*INDEX('Methodology &amp; Sources'!$B$144:$J$150,0,7+2)),SUMPRODUCT(($AZ58&gt;=INDEX('Methodology &amp; Sources'!$B$144:$J$150,0,4))*INDEX('Methodology &amp; Sources'!$B$144:$J$150,0,4+2))),0.015),IF($AN58="OH",IF($B58&gt;=DATE(2027,8,1),SUMPRODUCT(($AZ58&gt;=INDEX('Methodology &amp; Sources'!$B$203:$J$206,0,1))*INDEX('Methodology &amp; Sources'!$B$203:$J$206,0,1+2)),SUMPRODUCT(($AZ58&gt;=INDEX('Methodology &amp; Sources'!$B$184:$J$198,0,7))*INDEX('Methodology &amp; Sources'!$B$184:$J$198,0,7+2))),IF($AN58="OK",IF($AU58="Married",SUMPRODUCT(($AZ58&gt;=INDEX('Methodology &amp; Sources'!$B$203:$J$206,0,7))*INDEX('Methodology &amp; Sources'!$B$203:$J$206,0,7+2)),SUMPRODUCT(($AZ58&gt;=INDEX('Methodology &amp; Sources'!$B$203:$J$206,0,4))*INDEX('Methodology &amp; Sources'!$B$203:$J$206,0,4+2))),IF($AN58="RI",SUMPRODUCT(($AZ58&gt;=INDEX('Methodology &amp; Sources'!$B$211:$J$214,0,7))*INDEX('Methodology &amp; Sources'!$B$211:$J$214,0,7+2)),IF($AN58="SC",SUMPRODUCT(($AZ58&gt;=INDEX('Methodology &amp; Sources'!$B$219:$J$223,0,1))*INDEX('Methodology &amp; Sources'!$B$219:$J$223,0,1+2)),IF($AN58="VT",IF($AU58="Married",SUMPRODUCT(($AZ58&gt;=INDEX('Methodology &amp; Sources'!$B$228:$J$232,0,1))*INDEX('Methodology &amp; Sources'!$B$228:$J$232,0,1+2)),SUMPRODUCT(($AZ58&gt;=INDEX('Methodology &amp; Sources'!$B$219:$J$223,0,7))*INDEX('Methodology &amp; Sources'!$B$219:$J$223,0,7+2))),IF($AN58="WV",IF($AU58="Married",SUMPRODUCT(($AZ58&gt;=INDEX('Methodology &amp; Sources'!$B$237:$J$241,0,7))*INDEX('Methodology &amp; Sources'!$B$237:$J$241,0,7+2)),SUMPRODUCT(($AZ58&gt;=INDEX('Methodology &amp; Sources'!$B$228:$J$232,0,7))*INDEX('Methodology &amp; Sources'!$B$228:$J$232,0,7+2))),IF($AN58="IN",(0.0295+Inputs!$C$76),"")))))))))))))</f>
      </c>
      <c r="CC58" s="24">
        <f>IF($B58="","",IF($AN58="AR",SUMPRODUCT(($AZ58&gt;=INDEX('Methodology &amp; Sources'!$B$82:$J$86,0,7))*INDEX('Methodology &amp; Sources'!$B$82:$J$86,0,7+2)),IF($AN58="DE",SUMPRODUCT(($AZ58&gt;=INDEX('Methodology &amp; Sources'!$B$91:$J$98,0,1))*INDEX('Methodology &amp; Sources'!$B$91:$J$98,0,1+2)),IF($AN58="VA",SUMPRODUCT(($AZ58&gt;=INDEX('Methodology &amp; Sources'!$B$219:$J$223,0,4))*INDEX('Methodology &amp; Sources'!$B$219:$J$223,0,4+2)),IF($AN58="WI",SUMPRODUCT(($AZ58&gt;=INDEX('Methodology &amp; Sources'!$B$228:$J$232,0,4))*INDEX('Methodology &amp; Sources'!$B$228:$J$232,0,4+2)),IF($AN58="AZ",Inputs!$C$82,IF($AN58="CO",IF($AY58&gt;IF($AU58="Married",10000,5000),0.044,0),IF($AN58="IA",IF($AY58&gt;IF($AU58="Head of household",19500,IF($AU58="Married",26000,13000)),0.038,0),IF($AN58="ID",IF($AY58&gt;IF($AU58="Married",32000,16094),0.053,0),IF($AN58="IL",IF($AY58&gt;(2925*$AS58+1000*$AT58),0.0495,0),IF($AN58="KY",IF($AI58&gt;3360,0.035,0),IF($AN58="LA",0.0309,IF($AN58="MA",IF(MAX(0,$AY58-MIN(($BD57+$Q58+$R58+$S58),2000)-IF($AS58=0,0,IF($AS58=1,4400,1000*$AS58+3400)))&gt;=1107750,0.09,0.05),IF($AN58="MS",IF($AI58-IF($AU58="Head of household",3400,IF($AU58="Married",4600,2300))-Inputs!$C$85&gt;10000,0.04,0),IF($AN58="PA",0.0307,"")))))))))))))))</f>
      </c>
      <c r="CD58" s="21">
        <f>IF(YEAR(IF(Inputs!$C$7="Weekly",Inputs!$C$90+7*(($BE57+1)-1),IF(Inputs!$C$7="Biweekly",Inputs!$C$90+14*(($BE57+1)-1),IF(Inputs!$C$7="Semimonthly",DATE(YEAR(Inputs!$C$9),MONTH(Inputs!$C$9)+INT((($BE57+1)-1+'Rest of 2026'!$C$2)/2),MIN(DAY(Inputs!$C$9),DAY(EOMONTH(DATE(YEAR(Inputs!$C$9),MONTH(Inputs!$C$9)+INT((($BE57+1)-1+'Rest of 2026'!$C$2)/2),1),0))))+IF(MOD(($BE57+1)-1+'Rest of 2026'!$C$2,2)=1,15,0),EDATE(Inputs!$C$90,($BE57+1)-1)))))&lt;&gt;Inputs!$C$10,"",IF(Inputs!$C$7="Weekly",Inputs!$C$90+7*(($BE57+1)-1),IF(Inputs!$C$7="Biweekly",Inputs!$C$90+14*(($BE57+1)-1),IF(Inputs!$C$7="Semimonthly",DATE(YEAR(Inputs!$C$9),MONTH(Inputs!$C$9)+INT((($BE57+1)-1+'Rest of 2026'!$C$2)/2),MIN(DAY(Inputs!$C$9),DAY(EOMONTH(DATE(YEAR(Inputs!$C$9),MONTH(Inputs!$C$9)+INT((($BE57+1)-1+'Rest of 2026'!$C$2)/2),1),0))))+IF(MOD(($BE57+1)-1+'Rest of 2026'!$C$2,2)=1,15,0),EDATE(Inputs!$C$90,($BE57+1)-1)))))</f>
      </c>
      <c r="CE58" s="21">
        <f>IF(SUMPRODUCT(MIN(IF((Inputs!$C$58:$C$67&gt;MAX($B$6:$B57))*(Inputs!$C$58:$C$67&gt;=DATE(Inputs!$C$10,1,1))*(Inputs!$C$58:$C$67&lt;=DATE(Inputs!$C$10,12,31)),Inputs!$C$58:$C$67,999999)))=999999,"",SUMPRODUCT(MIN(IF((Inputs!$C$58:$C$67&gt;MAX($B$6:$B57))*(Inputs!$C$58:$C$67&gt;=DATE(Inputs!$C$10,1,1))*(Inputs!$C$58:$C$67&lt;=DATE(Inputs!$C$10,12,31)),Inputs!$C$58:$C$67,999999))))</f>
      </c>
    </row>
    <row r="59">
      <c r="A59" t="n">
        <v>54</v>
      </c>
      <c r="B59" s="21">
        <f>IF(AND($CD59="",$CE59=""),"",IF($CE59="",$CD59,IF($CD59="",$CE59,MIN($CD59,$CE59))))</f>
      </c>
      <c r="C59" s="7">
        <f>IF($B59="","",IF($BF59=0,0,IF(Inputs!$C$4="Annual salary",ROUND($AK59/IF(AND(Inputs!$C$88="Actual paydays",MONTH(Inputs!$C$90)=1),MAX(1,MAX($BE$6:$BE$68)),Inputs!$C$8),2),$AK59)))</f>
      </c>
      <c r="D59" s="7">
        <f>IF($B59="","",SUMIF(Inputs!$C$58:$C$67,$B59,Inputs!$D$58:$D$67))</f>
      </c>
      <c r="E59" s="7">
        <f>IF($B59="","",ROUND(MAX(0,MIN(IF($AL59="Percent",$AM59*($C59+$D59),$AM59),MAX(0,Inputs!$C$34-$AC58))),2))</f>
      </c>
      <c r="F59" s="7">
        <f>IF($B59="","",ROUND(MAX(0,MIN(IF(Inputs!$C$32="Percent",Inputs!$D$32*($C59+$D59),Inputs!$D$32),MAX(0,Inputs!$C$34-$AC58-$E59))),2))</f>
      </c>
      <c r="G59" s="7">
        <f>IF($B59="","",IF($BF59=0,0,ROUND(MAX(0,MIN($BL59,Inputs!$C$37-Inputs!$C$99-$BI58)),2)))</f>
      </c>
      <c r="H59" s="7">
        <f>IF($B59="","",IF(OR($BF59=0,$BQ59=1),0,ROUND(MAX(0,MIN(IF($BS59=1,ROUND(MAX(0,MIN($BJ59,'Methodology &amp; Sources'!$C$13)-$BG58)/MAX(1,MAX($BE$6:$BE$68)-($BE58)),2),ROUND(MIN($BJ59,'Methodology &amp; Sources'!$C$13)/Inputs!$C$8,2)),MIN($BJ59,'Methodology &amp; Sources'!$C$13)-$BG58)),2)))</f>
      </c>
      <c r="I59" s="7">
        <f>IF($B59="","",IF(OR($BF59=0,$BR59=1),0,ROUND(MAX(0,MIN(IF($BT59=1,ROUND(MAX(0,MIN($BK59,IF(Inputs!$C$12="MFJ",'Methodology &amp; Sources'!$C$14,'Methodology &amp; Sources'!$C$15))-$BH58)/MAX(1,MAX($BE$6:$BE$68)-($BE58)),2),ROUND(MIN($BK59,IF(Inputs!$C$12="MFJ",'Methodology &amp; Sources'!$C$14,'Methodology &amp; Sources'!$C$15))/Inputs!$C$8,2)),MIN($BK59,IF(Inputs!$C$12="MFJ",'Methodology &amp; Sources'!$C$14,'Methodology &amp; Sources'!$C$15))-$BH58)),2)))</f>
      </c>
      <c r="J59" s="7">
        <f>IF($B59="","",IF($BF59=0,0,$BM59))</f>
      </c>
      <c r="K59" s="7">
        <f>IF($B59="","",IF($BF59=0,0,$BN59+$BO59))</f>
      </c>
      <c r="L59" s="7">
        <f>IF($B59="","",IF($BF59=0,0,Inputs!$D$46))</f>
      </c>
      <c r="M59" s="7">
        <f>IF($B59="","",$C59+$D59+$L59-$E59-$G59-$H59-$I59-$J59-$K59)</f>
      </c>
      <c r="N59" s="7">
        <f>IF($B59="","",$C59+$D59+$L59-$G59-$H59-$I59-$J59-$K59)</f>
      </c>
      <c r="O59" s="7">
        <f>IF($B59="","",$C59+$D59+$L59-$E59-$H59-$I59-$J59-$K59-IF(OR($AN59="CA",$AN59="NJ"),0,$G59))</f>
      </c>
      <c r="P59" s="7">
        <f>IF($B59="","",IF(Inputs!$C$18,0,ROUND(MAX(0,IF(Inputs!$C$13,SUMPRODUCT(($AH59&gt;INDEX('Methodology &amp; Sources'!$B$29:$J$36,0,IF(Inputs!$C$12="MFJ",1,IF(Inputs!$C$12="HoH",7,4))))*($AH59-INDEX('Methodology &amp; Sources'!$B$29:$J$36,0,IF(Inputs!$C$12="MFJ",1,IF(Inputs!$C$12="HoH",7,4))))*INDEX('Methodology &amp; Sources'!$B$29:$J$36,0,IF(Inputs!$C$12="MFJ",1,IF(Inputs!$C$12="HoH",7,4))+2)),SUMPRODUCT(($AH59&gt;INDEX('Methodology &amp; Sources'!$B$19:$J$26,0,IF(Inputs!$C$12="MFJ",1,IF(Inputs!$C$12="HoH",7,4))))*($AH59-INDEX('Methodology &amp; Sources'!$B$19:$J$26,0,IF(Inputs!$C$12="MFJ",1,IF(Inputs!$C$12="HoH",7,4))))*INDEX('Methodology &amp; Sources'!$B$19:$J$26,0,IF(Inputs!$C$12="MFJ",1,IF(Inputs!$C$12="HoH",7,4))+2)))/Inputs!$C$8-$AO59/Inputs!$C$8)+$AR59+IF(Inputs!$C$89="Aggregate",MAX(0,IF(Inputs!$C$13,SUMPRODUCT((($AH59+$D59)&gt;INDEX('Methodology &amp; Sources'!$B$29:$J$36,0,IF(Inputs!$C$12="MFJ",1,IF(Inputs!$C$12="HoH",7,4))))*(($AH59+$D59)-INDEX('Methodology &amp; Sources'!$B$29:$J$36,0,IF(Inputs!$C$12="MFJ",1,IF(Inputs!$C$12="HoH",7,4))))*INDEX('Methodology &amp; Sources'!$B$29:$J$36,0,IF(Inputs!$C$12="MFJ",1,IF(Inputs!$C$12="HoH",7,4))+2)),SUMPRODUCT((($AH59+$D59)&gt;INDEX('Methodology &amp; Sources'!$B$19:$J$26,0,IF(Inputs!$C$12="MFJ",1,IF(Inputs!$C$12="HoH",7,4))))*(($AH59+$D59)-INDEX('Methodology &amp; Sources'!$B$19:$J$26,0,IF(Inputs!$C$12="MFJ",1,IF(Inputs!$C$12="HoH",7,4))))*INDEX('Methodology &amp; Sources'!$B$19:$J$26,0,IF(Inputs!$C$12="MFJ",1,IF(Inputs!$C$12="HoH",7,4))+2)))-IF(Inputs!$C$13,SUMPRODUCT(($AH59&gt;INDEX('Methodology &amp; Sources'!$B$29:$J$36,0,IF(Inputs!$C$12="MFJ",1,IF(Inputs!$C$12="HoH",7,4))))*($AH59-INDEX('Methodology &amp; Sources'!$B$29:$J$36,0,IF(Inputs!$C$12="MFJ",1,IF(Inputs!$C$12="HoH",7,4))))*INDEX('Methodology &amp; Sources'!$B$29:$J$36,0,IF(Inputs!$C$12="MFJ",1,IF(Inputs!$C$12="HoH",7,4))+2)),SUMPRODUCT(($AH59&gt;INDEX('Methodology &amp; Sources'!$B$19:$J$26,0,IF(Inputs!$C$12="MFJ",1,IF(Inputs!$C$12="HoH",7,4))))*($AH59-INDEX('Methodology &amp; Sources'!$B$19:$J$26,0,IF(Inputs!$C$12="MFJ",1,IF(Inputs!$C$12="HoH",7,4))))*INDEX('Methodology &amp; Sources'!$B$19:$J$26,0,IF(Inputs!$C$12="MFJ",1,IF(Inputs!$C$12="HoH",7,4))+2)))),'Methodology &amp; Sources'!$C$10*$D59),2)))</f>
      </c>
      <c r="Q59" s="7">
        <f>IF($B59="","",ROUND('Methodology &amp; Sources'!$C$4*MIN($N59,MAX(0,'Methodology &amp; Sources'!$C$3-($AX59+$AB58-$AW59))),2))</f>
      </c>
      <c r="R59" s="7">
        <f>IF($B59="","",ROUND('Methodology &amp; Sources'!$C$5*$N59,2))</f>
      </c>
      <c r="S59" s="7">
        <f>IF($B59="","",ROUND('Methodology &amp; Sources'!$C$6*MAX(0,MIN($N59,$AG58+$N59-'Methodology &amp; Sources'!$C$7)),2))</f>
      </c>
      <c r="T59" s="7">
        <f>IF($B59="","",IF(Inputs!$C$26,0,IF($AN59="CA",ROUND(IF($AI59&lt;=IF(($AS59+$AT59)&gt;=2,VLOOKUP($AN59,StateTables!$A$6:$AB$56,10,FALSE),VLOOKUP($AN59,StateTables!$A$6:$AB$56,9,FALSE)),0,MAX(0,SUMPRODUCT(($AJ59&gt;INDEX('Methodology &amp; Sources'!$B$39:$J$48,0,IF($AU59="Married",4,IF($AU59="Head of household",7,1))))*($AJ59-INDEX('Methodology &amp; Sources'!$B$39:$J$48,0,IF($AU59="Married",4,IF($AU59="Head of household",7,1))))*INDEX('Methodology &amp; Sources'!$B$39:$J$48,0,IF($AU59="Married",4,IF($AU59="Head of household",7,1))+2))-VLOOKUP($AN59,StateTables!$A$6:$AB$56,11,FALSE)*$AS59)/Inputs!$C$8)+Inputs!$C$25+VLOOKUP($AN59,StateTables!$A$6:$AB$56,13,FALSE)*$D59,2),IF(VLOOKUP($AN59,StateTables!$A$6:$AB$56,4,FALSE)="None",0,IF(ISNUMBER(SEARCH("MANUAL",VLOOKUP($AN59,StateTables!$A$6:$AB$56,5,FALSE))),Inputs!$C$28,ROUND(MAX(0,$BA59+$BB59)/Inputs!$C$8+Inputs!$C$25+$BC59,2))))))</f>
      </c>
      <c r="U59" s="7">
        <f>IF($B59="","",IF(VLOOKUP($AN59,StateTables!$A$6:$AB$56,24,FALSE)="flatq",IF(OR(MONTH($B59)=1,MONTH($B59)=4,MONTH($B59)=7,MONTH($B59)=10),VLOOKUP($AN59,StateTables!$A$6:$AB$56,25,FALSE),0),IF(VLOOKUP($AN59,StateTables!$A$6:$AB$56,24,FALSE)="dbl",MIN(ROUND(0.005*$N59,2),ROUND(0.6*52/Inputs!$C$8,2)),IF(OR(VLOOKUP($AN59,StateTables!$A$6:$AB$56,15,FALSE)="",VLOOKUP($AN59,StateTables!$A$6:$AB$56,15,FALSE)=0),0,ROUND(VLOOKUP($AN59,StateTables!$A$6:$AB$56,15,FALSE)*IF(OR(VLOOKUP($AN59,StateTables!$A$6:$AB$56,16,FALSE)="",VLOOKUP($AN59,StateTables!$A$6:$AB$56,16,FALSE)=0),$N59,MIN($N59,MAX(0,VLOOKUP($AN59,StateTables!$A$6:$AB$56,16,FALSE)-($AX59+$AB58-$AW59)))),2))))+IF(VLOOKUP($AN59,StateTables!$A$6:$AB$56,27,FALSE)="flatq",IF(OR(MONTH($B59)=1,MONTH($B59)=4,MONTH($B59)=7,MONTH($B59)=10),VLOOKUP($AN59,StateTables!$A$6:$AB$56,28,FALSE),0),IF(VLOOKUP($AN59,StateTables!$A$6:$AB$56,27,FALSE)="dbl",MIN(ROUND(0.005*$N59,2),ROUND(0.6*52/Inputs!$C$8,2)),IF(OR(VLOOKUP($AN59,StateTables!$A$6:$AB$56,18,FALSE)="",VLOOKUP($AN59,StateTables!$A$6:$AB$56,18,FALSE)=0),0,ROUND(VLOOKUP($AN59,StateTables!$A$6:$AB$56,18,FALSE)*IF(OR(VLOOKUP($AN59,StateTables!$A$6:$AB$56,19,FALSE)="",VLOOKUP($AN59,StateTables!$A$6:$AB$56,19,FALSE)=0),$N59,MIN($N59,MAX(0,VLOOKUP($AN59,StateTables!$A$6:$AB$56,19,FALSE)-($AX59+$AB58-$AW59)))),2)))))</f>
      </c>
      <c r="V59" s="7">
        <f>IF($B59="","",IF($AN59="NY",IF(Inputs!$C$78,ROUND(SUMPRODUCT((MAX(0,($O59-$D59)*Inputs!$C$8-(IF($AU59="Married",5500,5000)+1000*$AS59))&gt;INDEX('Methodology &amp; Sources'!$B$184:$J$198,0,4))*(MAX(0,($O59-$D59)*Inputs!$C$8-(IF($AU59="Married",5500,5000)+1000*$AS59))-INDEX('Methodology &amp; Sources'!$B$184:$J$198,0,4))*INDEX('Methodology &amp; Sources'!$B$184:$J$198,0,4+2))/Inputs!$C$8+0.0425*$D59,2),0)+IF(Inputs!$C$79="Resident",ROUND(0.1675*$T59,2),IF(Inputs!$C$79="Nonresident",ROUND(0.005*MAX(0,($O59-$D59)-(IF($AU59="Married",7950,7400)+1000*$AS59)/Inputs!$C$8),2),0)),IF($AN59="PA",IF(Inputs!$C$80="None",Inputs!$C$27+ROUND(Inputs!$C$81*($C59+$D59),2),ROUND(IF(Inputs!$C$80="Resident",IF($B59&lt;DATE(2027,7,1),0.03735,0.03735),IF($B59&lt;DATE(2027,7,1),0.03425,0.03425))*($C59+$D59),2)),IF($BF59=0,ROUND(Inputs!$C$81*($C59+$D59),2),Inputs!$C$27+ROUND(Inputs!$C$81*($C59+$D59),2)))))</f>
      </c>
      <c r="W59" s="7">
        <f>IF($B59="","",IF($BF59=0,0,$BP59))</f>
      </c>
      <c r="X59" s="7">
        <f>IF($B59="","",SUM($E59:$K59)+$P59+$Q59+$R59+$S59+$T59+$U59+$V59+$W59)</f>
      </c>
      <c r="Y59" s="22">
        <f>IF($B59="","",$C59+$D59-$X59)</f>
      </c>
      <c r="Z59" s="7">
        <f>IF($B59="","",$Z58+$C59+$D59)</f>
      </c>
      <c r="AA59" s="7">
        <f>IF($B59="","",$AA58+$Y59)</f>
      </c>
      <c r="AB59" s="7">
        <f>IF($B59="","",$AB58+MIN($N59,MAX(0,'Methodology &amp; Sources'!$C$3-($AX59+$AB58-$AW59))))</f>
      </c>
      <c r="AC59" s="7">
        <f>IF($B59="","",$AC58+$E59+$F59)</f>
      </c>
      <c r="AD59" s="3">
        <f>IF($B59="","",IF(AND($AB58&lt;'Methodology &amp; Sources'!$C$3,$AB59&gt;='Methodology &amp; Sources'!$C$3),"★ Social Security maxed on this check — from the next check your net rises by about $"&amp;TEXT(ROUND('Methodology &amp; Sources'!$C$4*$N59,2),"#,##0.00")&amp;". ","")&amp;IF(AND($AC58&lt;Inputs!$C$34,$AC59&gt;=Inputs!$C$34),"★ 401(k) reaches the $"&amp;TEXT(Inputs!$C$34,"#,##0")&amp;" cap on this check — deferrals stop and net pay rises. ","")&amp;IF(AND($AG58&lt;'Methodology &amp; Sources'!$C$7,$AG59&gt;='Methodology &amp; Sources'!$C$7),"★ Wages pass $200,000 — the 0.9% Additional Medicare Tax starts here. ","")&amp;IF(AND($BJ59&gt;0,$H59&gt;0,$BG58&lt;MIN($BJ59,'Methodology &amp; Sources'!$C$13),$BG58+$H59&gt;=MIN($BJ59,'Methodology &amp; Sources'!$C$13)),"★ Health FSA election is now fully deferred for the year. ",""))</f>
      </c>
      <c r="AE59" s="41" t="n"/>
      <c r="AF59" s="7">
        <f>IF(OR($B59="",$AE59=""),"",$AE59-$Y59)</f>
      </c>
      <c r="AG59" s="7">
        <f>IF($B59="","",$AG58+$N59)</f>
      </c>
      <c r="AH59" s="7">
        <f>IF($B59="","",MAX(0,($M59-$D59)*Inputs!$C$8+$AP59-$AQ59-IF(Inputs!$C$13,0,IF(Inputs!$C$12="MFJ",'Methodology &amp; Sources'!$C$8,'Methodology &amp; Sources'!$C$9))))</f>
      </c>
      <c r="AI59" s="7">
        <f>IF($B59="","",$O59*Inputs!$C$8)</f>
      </c>
      <c r="AJ59" s="7">
        <f>IF($B59="","",MAX(0,$AI59-VLOOKUP($AN59,StateTables!$A$6:$AB$56,12,FALSE)*$AT59-IF(($AS59+$AT59)&gt;=2,VLOOKUP($AN59,StateTables!$A$6:$AB$56,8,FALSE),VLOOKUP($AN59,StateTables!$A$6:$AB$56,7,FALSE))))</f>
      </c>
      <c r="AK59" s="7">
        <f>IF($B59="","",IFERROR(LOOKUP(2,1/((Events!$C$6:$C$17="Salary change")*(Events!$B$6:$B$17&lt;=$B59)*(Events!$B$6:$B$17&lt;&gt;"")),Events!$D$6:$D$17),IF(Inputs!$C$4="Annual salary",Inputs!$C$5,Inputs!$C$6)))</f>
      </c>
      <c r="AL59">
        <f>IF($B59="","",IFERROR(LOOKUP(2,1/((Events!$C$6:$C$17="401(k) change")*(Events!$B$6:$B$17&lt;=$B59)*(Events!$B$6:$B$17&lt;&gt;"")),Events!$D$6:$D$17),Inputs!$C$30))</f>
      </c>
      <c r="AM59" s="7">
        <f>IF($B59="","",IFERROR(LOOKUP(2,1/((Events!$C$6:$C$17="401(k) change")*(Events!$B$6:$B$17&lt;=$B59)*(Events!$B$6:$B$17&lt;&gt;"")),Events!$E$6:$E$17),Inputs!$D$30))</f>
      </c>
      <c r="AN59">
        <f>IF($B59="","",IFERROR(LOOKUP(2,1/((Events!$C$6:$C$17="State move")*(Events!$B$6:$B$17&lt;=$B59)*(Events!$B$6:$B$17&lt;&gt;"")),Events!$D$6:$D$17),Inputs!$C$21))</f>
      </c>
      <c r="AO59" s="7">
        <f>IF($B59="","",IFERROR(LOOKUP(2,1/((Events!$C$6:$C$17="W-4 change")*(Events!$B$6:$B$17&lt;=$B59)*(Events!$B$6:$B$17&lt;&gt;"")),Events!$D$6:$D$17),Inputs!$C$14))</f>
      </c>
      <c r="AP59" s="7">
        <f>IF($B59="","",IFERROR(LOOKUP(2,1/((Events!$C$6:$C$17="W-4 change")*(Events!$B$6:$B$17&lt;=$B59)*(Events!$B$6:$B$17&lt;&gt;"")),Events!$E$6:$E$17),Inputs!$C$15))</f>
      </c>
      <c r="AQ59" s="7">
        <f>IF($B59="","",IFERROR(LOOKUP(2,1/((Events!$C$6:$C$17="W-4 change")*(Events!$B$6:$B$17&lt;=$B59)*(Events!$B$6:$B$17&lt;&gt;"")),Events!$F$6:$F$17),Inputs!$C$16))</f>
      </c>
      <c r="AR59" s="7">
        <f>IF($B59="","",IFERROR(LOOKUP(2,1/((Events!$C$6:$C$17="W-4 change")*(Events!$B$6:$B$17&lt;=$B59)*(Events!$B$6:$B$17&lt;&gt;"")),Events!$G$6:$G$17),Inputs!$C$17))</f>
      </c>
      <c r="AS59" s="6">
        <f>IF($B59="","",IFERROR(LOOKUP(2,1/(((Events!$C$6:$C$17="State move")+(Events!$C$6:$C$17="State cert change"))*(Events!$B$6:$B$17&lt;=$B59)*(Events!$B$6:$B$17&lt;&gt;"")),Events!$F$6:$F$17),Inputs!$C$23))</f>
      </c>
      <c r="AT59" s="6">
        <f>IF($B59="","",IFERROR(LOOKUP(2,1/(((Events!$C$6:$C$17="State move")+(Events!$C$6:$C$17="State cert change"))*(Events!$B$6:$B$17&lt;=$B59)*(Events!$B$6:$B$17&lt;&gt;"")),Events!$G$6:$G$17),Inputs!$C$24))</f>
      </c>
      <c r="AU59">
        <f>IF($B59="","",IFERROR(LOOKUP(2,1/((Events!$C$6:$C$17="State move")*(Events!$B$6:$B$17&lt;=$B59)*(Events!$B$6:$B$17&lt;&gt;"")),Events!$E$6:$E$17),Inputs!$C$22))</f>
      </c>
      <c r="AV59" s="6">
        <f>IF($B59="","",1+COUNTIFS(Events!$C$6:$C$17,"Employer change",Events!$B$6:$B$17,"&lt;="&amp;$B59,Events!$B$6:$B$17,"&lt;&gt;"))</f>
      </c>
      <c r="AW59" s="7">
        <f>IF($B59="","",IF($AV59=1,Inputs!$C$94,IF(IFERROR(MATCH(IFERROR(LOOKUP(2,1/((Events!$C$6:$C$17="Employer change")*(Events!$B$6:$B$17&lt;=$B59)*(Events!$B$6:$B$17&lt;&gt;"")),Events!$B$6:$B$17),""),$B$6:$B$68,1),1)&lt;=1,Inputs!$C$94,INDEX($AB$6:$AB$68,MATCH(IFERROR(LOOKUP(2,1/((Events!$C$6:$C$17="Employer change")*(Events!$B$6:$B$17&lt;=$B59)*(Events!$B$6:$B$17&lt;&gt;"")),Events!$B$6:$B$17),""),$B$6:$B$68,1)-1))))</f>
      </c>
      <c r="AX59" s="7">
        <f>IF($B59="","",IF($AV59=1,Inputs!$C$94,IFERROR(LOOKUP(2,1/((Events!$C$6:$C$17="Employer change")*(Events!$B$6:$B$17&lt;=$B59)*(Events!$B$6:$B$17&lt;&gt;"")),Events!$D$6:$D$17),0)))</f>
      </c>
      <c r="AY59" s="7">
        <f>IF($B59="","",($O59-$D59)*Inputs!$C$8)</f>
      </c>
      <c r="AZ59" s="7">
        <f>IF($B59="","",IF($AN59="AL",MAX(0,$AY59-IF($AU59="Married",IF($AY59&lt;=25999,8500,MAX(5000,8500-175*CEILING(($AY59-25999)/500,1))),IF($AU59="Head of household",IF($AY59&lt;=25999,5200,MAX(2500,5200-135*CEILING(($AY59-25999)/500,1))),IF($AY59&lt;=25999,3000,MAX(2500,3000-25*CEILING(($AY59-25999)/500,1)))))-($P59-'Methodology &amp; Sources'!$C$10*$D59)*Inputs!$C$8-IF(OR($AU59="Married",$AU59="Head of household"),3000,1500)-$AT59*IF($AY59&lt;=50000,1000,IF($AY59&lt;=100000,500,300))),IF($AN59="AR",IF(MAX(0,$AY59-2470)&lt;97701,INT(MAX(0,$AY59-2470)/100)*100+50,MAX(0,$AY59-2470)),IF($AN59="DE",MAX(0,$AI59-3250),IF($AN59="HI",MAX(0,$AI59-1144*$AS59-4350),IF($AN59="KS",MAX(0,$AI59-(9160*IF($AU59="Married",2,1)+2320*$AT59+IF($AU59="Head of household",2320,0))),IF($AN59="MD",MAX(0,$AI59-3400-3200*$AS59),IF($AN59="MN",MAX(0,$AY59-5300*$AS59),IF($AN59="MO",MAX(0,$AI59-IF($AU59="Head of household",24150,IF($AU59="Married",IF(Inputs!$C$83,16100,32200),16100))),IF($AN59="MT",$AY59,IF($AN59="ND",($C59+$L59)*Inputs!$C$8,IF($AN59="NE",MAX(0,$AY59-2440*$AS59),IF($AN59="NJ",MAX(0,$AY59-1000*$AS59),IF($AN59="NY",MAX(0,$AY59-(IF($AU59="Married",7950,7400)+1000*$AS59)),IF($AN59="OH",MAX(0,$AY59-650*$AS59),IF($AN59="OK",MAX(0,$AY59-1000*$AS59),IF($AN59="RI",MAX(0,$AI59-1000*$AS59),IF($AN59="SC",MAX(0,$AI59-5000*$AS59-IF($AS59=0,0,MIN(0.1*$AI59,7500))),IF($AN59="VA",MAX(0,$AI59-IF($AU59="Married",17500,8750)-930*$AS59-800*$AT59),IF($AN59="VT",MAX(0,$AI59-5400*$AS59),IF($AN59="WI",MAX(0,$AI59-MAX(0,IF($AU59="Married",9461-0.2*MAX(0,$AI59-25727),6702-0.12*MAX(0,$AI59-17780)))-400*$AS59),IF($AN59="WV",MAX(0,$AI59-2000*$AS59),$AI59))))))))))))))))))))))</f>
      </c>
      <c r="BA59" s="7">
        <f>IF($B59="","",IF($BW59&lt;&gt;"",$BW59,IF($BX59&lt;&gt;"",$BX59,IF($BY59&lt;&gt;"",$BY59,0))))</f>
      </c>
      <c r="BB59" s="7">
        <f>IF($B59="","",IF($AN59="AR",-29*$AS59,IF($AN59="DE",-110*$AS59,IF($AN59="MD",$AZ59*Inputs!$C$74,IF($AN59="AZ",Inputs!$C$82*($M59-$D59)*Inputs!$C$8,IF($AN59="CO",0.044*MAX(0,$AY59-IF($AU59="Married",10000,5000)),IF($AN59="IA",MAX(0,0.038*MAX(0,$AY59-IF($AU59="Head of household",19500,IF($AU59="Married",26000,13000)))-40*$AS59),IF($AN59="ID",0.053*MAX(0,$AY59-IF($AU59="Married",32000,16094)),IF($AN59="IL",0.0495*MAX(0,$AY59-(2925*$AS59+1000*$AT59)),IF($AN59="IN",(0.0295+Inputs!$C$76)*MAX(0,$AY59-(1000*$AS59+1500*$AT59+3000*Inputs!$C$86)),IF($AN59="KY",0.035*MAX(0,$AI59-3360),IF($AN59="LA",IF(Inputs!$C$84="0",0.0309*$AI59,0.0309*MAX(0,$AI59-IF(Inputs!$C$84="2",25750,12875))),IF($AN59="MA",0.05*MIN(MAX(0,$AY59-MIN(($BD58+$Q59+$R59+$S59),2000)-IF($AS59=0,0,IF($AS59=1,4400,1000*$AS59+3400))),1107750)+0.09*MAX(0,MAX(0,$AY59-MIN(($BD58+$Q59+$R59+$S59),2000)-IF($AS59=0,0,IF($AS59=1,4400,1000*$AS59+3400)))-1107750)-IF($AU59="Head of household",120,0)-110*Inputs!$C$75,IF($AN59="MI",0.0425*MAX(0,$AY59-5900*$AS59),IF($AN59="MS",0.04*MAX(0,$AI59-IF($AU59="Head of household",3400,IF($AU59="Married",4600,2300))-Inputs!$C$85-10000),IF($AN59="OR",IF(OR($AU59="Married",AND($AU59="Single",$AS59&gt;=3)),SUMPRODUCT((MAX(0,$AY59-MIN(($P59-'Methodology &amp; Sources'!$C$10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Sources'!$B$211:$J$214,0,4))*(MAX(0,$AY59-MIN(($P59-'Methodology &amp; Sources'!$C$10*$D59)*Inputs!$C$8,IF(OR($AU59="Married",AND($AU59="Single",$AS59&gt;=3)),IF($AY59&lt;250000,8750,IF($AY59&lt;260000,7000,IF($AY59&lt;270000,5250,IF($AY59&lt;280000,3500,IF($AY59&lt;290000,1750,0))))),IF($AY59&lt;125000,8750,IF($AY59&lt;130000,7000,IF($AY59&lt;135000,5250,IF($AY59&lt;140000,3500,IF($AY59&lt;145000,1750,0)))))))-IF(OR($AU59="Married",AND($AU59="Single",$AS59&gt;=3)),5820,2910))-INDEX('Methodology &amp; Sources'!$B$211:$J$214,0,4))*INDEX('Methodology &amp; Sources'!$B$211:$J$214,0,4+2)),SUMPRODUCT((MAX(0,$AY59-MIN(($P59-'Methodology &amp; Sources'!$C$10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Sources'!$B$211:$J$214,0,1))*(MAX(0,$AY59-MIN(($P59-'Methodology &amp; Sources'!$C$10*$D59)*Inputs!$C$8,IF(OR($AU59="Married",AND($AU59="Single",$AS59&gt;=3)),IF($AY59&lt;250000,8750,IF($AY59&lt;260000,7000,IF($AY59&lt;270000,5250,IF($AY59&lt;280000,3500,IF($AY59&lt;290000,1750,0))))),IF($AY59&lt;125000,8750,IF($AY59&lt;130000,7000,IF($AY59&lt;135000,5250,IF($AY59&lt;140000,3500,IF($AY59&lt;145000,1750,0)))))))-IF(OR($AU59="Married",AND($AU59="Single",$AS59&gt;=3)),5820,2910))-INDEX('Methodology &amp; Sources'!$B$211:$J$214,0,1))*INDEX('Methodology &amp; Sources'!$B$211:$J$214,0,1+2)))+263-263*IF(IF($AU59="Married",$AY59&gt;200000,$AY59&gt;100000),0,$AS59),IF($AN59="PA",0.0307*(($O59+$E59+$G59)*Inputs!$C$8),IF($AN59="NY",IF($AU59="Married",IF($AZ59&gt;=2155350,0,IF($AZ59&gt;=1077550,0.48,IF($AZ59&gt;=373200,1.21,IF($AZ59&gt;=323200,0.21,IF($AZ59&gt;=211550,-0.19,IF($AZ59&gt;=157650,-2.8,IF($AZ59&gt;=107650,-0.8,IF($AZ59&gt;=96800,0.05,IF($AZ59&gt;=80650,-0.1,IF($AZ59&gt;=13900,0.4,IF($AZ59&gt;=11700,-0.3,IF($AZ59&gt;=8500,0.5,0)))))))))))),IF($AZ59&gt;=1077550,0,IF($AZ59&gt;=265400,4.29,IF($AZ59&gt;=215400,2.29,IF($AZ59&gt;=157650,2.29,IF($AZ59&gt;=107650,0.29,IF($AZ59&gt;=96800,0.05,IF($AZ59&gt;=80650,-0.1,IF($AZ59&gt;=13900,0.4,IF($AZ59&gt;=11700,-0.3,IF($AZ59&gt;=8500,0.5,0))))))))))),0))))))))))))))))))</f>
      </c>
      <c r="BC59" s="7">
        <f>IF($B59="","",IF($AN59="AL",0.05*$D59,IF($AN59="AR",0.039*$D59,IF($AN59="ID",0.053*$D59,IF($AN59="IN",(0.0295+Inputs!$C$76)*$D59,IF($AN59="KS",0.05*$D59,IF($AN59="MA",0.09*MIN($D59,MAX(0,MAX(0,$AY59-MIN(($BD58+$Q59+$R59+$S59),2000)-IF($AS59=0,0,IF($AS59=1,4400,1000*$AS59+3400)))+$D59-1107750))+0.05*($D59-MIN($D59,MAX(0,MAX(0,$AY59-MIN(($BD58+$Q59+$R59+$S59),2000)-IF($AS59=0,0,IF($AS59=1,4400,1000*$AS59+3400)))+$D59-1107750))),IF($AN59="MD",(0.065+Inputs!$C$74)*$D59,IF($AN59="MI",0.0425*$D59,IF($AN59="MN",0.0625*$D59,IF($AN59="MO",0.047*$D59,IF($AN59="MT",0.05*$D59,IF($AN59="ND",0.015*$D59,IF($AN59="NE",0.035*$D59,IF($AN59="NJ",IF(Inputs!$C$77="B",SUMPRODUCT(($D59*Inputs!$C$8&gt;INDEX('Methodology &amp; Sources'!$B$155:$J$162,0,4))*($D59*Inputs!$C$8-INDEX('Methodology &amp; Sources'!$B$155:$J$162,0,4))*INDEX('Methodology &amp; Sources'!$B$155:$J$162,0,4+2)),IF(Inputs!$C$77="C",SUMPRODUCT(($D59*Inputs!$C$8&gt;INDEX('Methodology &amp; Sources'!$B$155:$J$162,0,7))*($D59*Inputs!$C$8-INDEX('Methodology &amp; Sources'!$B$155:$J$162,0,7))*INDEX('Methodology &amp; Sources'!$B$155:$J$162,0,7+2)),IF(Inputs!$C$77="D",SUMPRODUCT(($D59*Inputs!$C$8&gt;INDEX('Methodology &amp; Sources'!$B$167:$J$179,0,1))*($D59*Inputs!$C$8-INDEX('Methodology &amp; Sources'!$B$167:$J$179,0,1))*INDEX('Methodology &amp; Sources'!$B$167:$J$179,0,1+2)),IF(Inputs!$C$77="E",SUMPRODUCT(($D59*Inputs!$C$8&gt;INDEX('Methodology &amp; Sources'!$B$167:$J$179,0,4))*($D59*Inputs!$C$8-INDEX('Methodology &amp; Sources'!$B$167:$J$179,0,4))*INDEX('Methodology &amp; Sources'!$B$167:$J$179,0,4+2)),SUMPRODUCT(($D59*Inputs!$C$8&gt;INDEX('Methodology &amp; Sources'!$B$155:$J$162,0,1))*($D59*Inputs!$C$8-INDEX('Methodology &amp; Sources'!$B$155:$J$162,0,1))*INDEX('Methodology &amp; Sources'!$B$155:$J$162,0,1+2))))))/Inputs!$C$8,IF($AN59="NY",0.117*$D59,IF($AN59="OH",0.0275*$D59,IF($AN59="OK",0.045*$D59,IF($AN59="OR",0.08*$D59,IF($AN59="WI",IF($AY59&lt;12760,0.0354,IF($AY59&lt;25520,0.0465,IF($AY59&lt;280950,0.053,0.0765)))*$D59,0))))))))))))))))))))</f>
      </c>
      <c r="BD59" s="7">
        <f>IF($B59="","",$BD58+$Q59+$R59+$S59)</f>
      </c>
      <c r="BE59" s="6">
        <f>IF($B59="",$BE58,$BE58+$BF59)</f>
      </c>
      <c r="BF59" s="6">
        <f>IF($B59="","",IF(AND(IF(YEAR(IF(Inputs!$C$7="Weekly",Inputs!$C$90+7*(($BE58+1)-1),IF(Inputs!$C$7="Biweekly",Inputs!$C$90+14*(($BE58+1)-1),IF(Inputs!$C$7="Semimonthly",DATE(YEAR(Inputs!$C$9),MONTH(Inputs!$C$9)+INT((($BE58+1)-1+'Rest of 2026'!$C$2)/2),MIN(DAY(Inputs!$C$9),DAY(EOMONTH(DATE(YEAR(Inputs!$C$9),MONTH(Inputs!$C$9)+INT((($BE58+1)-1+'Rest of 2026'!$C$2)/2),1),0))))+IF(MOD(($BE58+1)-1+'Rest of 2026'!$C$2,2)=1,15,0),EDATE(Inputs!$C$90,($BE58+1)-1)))))&lt;&gt;Inputs!$C$10,"",IF(Inputs!$C$7="Weekly",Inputs!$C$90+7*(($BE58+1)-1),IF(Inputs!$C$7="Biweekly",Inputs!$C$90+14*(($BE58+1)-1),IF(Inputs!$C$7="Semimonthly",DATE(YEAR(Inputs!$C$9),MONTH(Inputs!$C$9)+INT((($BE58+1)-1+'Rest of 2026'!$C$2)/2),MIN(DAY(Inputs!$C$9),DAY(EOMONTH(DATE(YEAR(Inputs!$C$9),MONTH(Inputs!$C$9)+INT((($BE58+1)-1+'Rest of 2026'!$C$2)/2),1),0))))+IF(MOD(($BE58+1)-1+'Rest of 2026'!$C$2,2)=1,15,0),EDATE(Inputs!$C$90,($BE58+1)-1)))))&lt;&gt;"",$B59=IF(YEAR(IF(Inputs!$C$7="Weekly",Inputs!$C$90+7*(($BE58+1)-1),IF(Inputs!$C$7="Biweekly",Inputs!$C$90+14*(($BE58+1)-1),IF(Inputs!$C$7="Semimonthly",DATE(YEAR(Inputs!$C$9),MONTH(Inputs!$C$9)+INT((($BE58+1)-1+'Rest of 2026'!$C$2)/2),MIN(DAY(Inputs!$C$9),DAY(EOMONTH(DATE(YEAR(Inputs!$C$9),MONTH(Inputs!$C$9)+INT((($BE58+1)-1+'Rest of 2026'!$C$2)/2),1),0))))+IF(MOD(($BE58+1)-1+'Rest of 2026'!$C$2,2)=1,15,0),EDATE(Inputs!$C$90,($BE58+1)-1)))))&lt;&gt;Inputs!$C$10,"",IF(Inputs!$C$7="Weekly",Inputs!$C$90+7*(($BE58+1)-1),IF(Inputs!$C$7="Biweekly",Inputs!$C$90+14*(($BE58+1)-1),IF(Inputs!$C$7="Semimonthly",DATE(YEAR(Inputs!$C$9),MONTH(Inputs!$C$9)+INT((($BE58+1)-1+'Rest of 2026'!$C$2)/2),MIN(DAY(Inputs!$C$9),DAY(EOMONTH(DATE(YEAR(Inputs!$C$9),MONTH(Inputs!$C$9)+INT((($BE58+1)-1+'Rest of 2026'!$C$2)/2),1),0))))+IF(MOD(($BE58+1)-1+'Rest of 2026'!$C$2,2)=1,15,0),EDATE(Inputs!$C$90,($BE58+1)-1)))))),1,0))</f>
      </c>
      <c r="BG59" s="7">
        <f>IF($B59="","",$BG58+$H59)</f>
      </c>
      <c r="BH59" s="7">
        <f>IF($B59="","",$BH58+$I59)</f>
      </c>
      <c r="BI59" s="7">
        <f>IF($B59="","",$BI58+$G59)</f>
      </c>
      <c r="BJ59" s="7">
        <f>IF($B59="","",IFERROR(LOOKUP(2,1/((((Events!$C$6:$C$17="Deduction start"))*(Events!$D$6:$D$17="Health FSA"))*(Events!$B$6:$B$17&lt;=$B59)*(Events!$B$6:$B$17&lt;&gt;"")),Events!$E$6:$E$17),Inputs!$D$38))</f>
      </c>
      <c r="BK59" s="7">
        <f>IF($B59="","",IFERROR(LOOKUP(2,1/((((Events!$C$6:$C$17="Deduction start"))*(Events!$D$6:$D$17="Dependent-care FSA"))*(Events!$B$6:$B$17&lt;=$B59)*(Events!$B$6:$B$17&lt;&gt;"")),Events!$E$6:$E$17),Inputs!$D$39))</f>
      </c>
      <c r="BL59" s="7">
        <f>IF($B59="","",IFERROR(LOOKUP(2,1/((((Events!$C$6:$C$17="Deduction start")+(Events!$C$6:$C$17="Deduction stop"))*(Events!$D$6:$D$17="HSA"))*(Events!$B$6:$B$17&lt;=$B59)*(Events!$B$6:$B$17&lt;&gt;"")),Events!$I$6:$I$17),Inputs!$D$35))</f>
      </c>
      <c r="BM59" s="7">
        <f>IF($B59="","",IFERROR(LOOKUP(2,1/((((Events!$C$6:$C$17="Deduction start")+(Events!$C$6:$C$17="Deduction stop"))*(Events!$D$6:$D$17="Premiums"))*(Events!$B$6:$B$17&lt;=$B59)*(Events!$B$6:$B$17&lt;&gt;"")),Events!$I$6:$I$17),Inputs!$D$40+Inputs!$D$41+Inputs!$D$42))</f>
      </c>
      <c r="BN59" s="7">
        <f>IF($B59="","",IFERROR(LOOKUP(2,1/((((Events!$C$6:$C$17="Deduction start")+(Events!$C$6:$C$17="Deduction stop"))*(Events!$D$6:$D$17="Commuter"))*(Events!$B$6:$B$17&lt;=$B59)*(Events!$B$6:$B$17&lt;&gt;"")),Events!$I$6:$I$17),Inputs!$D$43))</f>
      </c>
      <c r="BO59" s="7">
        <f>IF($B59="","",IFERROR(LOOKUP(2,1/((((Events!$C$6:$C$17="Deduction start")+(Events!$C$6:$C$17="Deduction stop"))*(Events!$D$6:$D$17="Other pre-tax"))*(Events!$B$6:$B$17&lt;=$B59)*(Events!$B$6:$B$17&lt;&gt;"")),Events!$I$6:$I$17),Inputs!$D$44))</f>
      </c>
      <c r="BP59" s="7">
        <f>IF($B59="","",IFERROR(LOOKUP(2,1/((((Events!$C$6:$C$17="Deduction start")+(Events!$C$6:$C$17="Deduction stop"))*(Events!$D$6:$D$17="Other post-tax"))*(Events!$B$6:$B$17&lt;=$B59)*(Events!$B$6:$B$17&lt;&gt;"")),Events!$I$6:$I$17),Inputs!$D$45))</f>
      </c>
      <c r="BQ59" s="6">
        <f>IF($B59="","",IFERROR(LOOKUP(2,1/((((Events!$C$6:$C$17="Deduction start")+(Events!$C$6:$C$17="Deduction stop"))*(Events!$D$6:$D$17="Health FSA"))*(Events!$B$6:$B$17&lt;=$B59)*(Events!$B$6:$B$17&lt;&gt;"")),Events!$J$6:$J$17),0))</f>
      </c>
      <c r="BR59" s="6">
        <f>IF($B59="","",IFERROR(LOOKUP(2,1/((((Events!$C$6:$C$17="Deduction start")+(Events!$C$6:$C$17="Deduction stop"))*(Events!$D$6:$D$17="Dependent-care FSA"))*(Events!$B$6:$B$17&lt;=$B59)*(Events!$B$6:$B$17&lt;&gt;"")),Events!$J$6:$J$17),0))</f>
      </c>
      <c r="BS59" s="6">
        <f>IF($B59="","",IF(SUMPRODUCT((Events!$C$6:$C$17="Deduction start")*(Events!$B$6:$B$17&lt;=$B59)*(Events!$B$6:$B$17&lt;&gt;"")*(Events!$D$6:$D$17="Health FSA"))&gt;0,1,0))</f>
      </c>
      <c r="BT59" s="6">
        <f>IF($B59="","",IF(SUMPRODUCT((Events!$C$6:$C$17="Deduction start")*(Events!$B$6:$B$17&lt;=$B59)*(Events!$B$6:$B$17&lt;&gt;"")*(Events!$D$6:$D$17="Dependent-care FSA"))&gt;0,1,0))</f>
      </c>
      <c r="BU59" s="24">
        <f>IF($B59="","",IF(Inputs!$C$13,SUMPRODUCT(($AH59&gt;=INDEX('Methodology &amp; Sources'!$B$29:$J$36,0,IF(Inputs!$C$12="MFJ",1,IF(Inputs!$C$12="HoH",7,4))))*INDEX('Methodology &amp; Sources'!$B$29:$J$36,0,IF(Inputs!$C$12="MFJ",1,IF(Inputs!$C$12="HoH",7,4))+2)),SUMPRODUCT(($AH59&gt;=INDEX('Methodology &amp; Sources'!$B$19:$J$26,0,IF(Inputs!$C$12="MFJ",1,IF(Inputs!$C$12="HoH",7,4))))*INDEX('Methodology &amp; Sources'!$B$19:$J$26,0,IF(Inputs!$C$12="MFJ",1,IF(Inputs!$C$12="HoH",7,4))+2))))</f>
      </c>
      <c r="BV59" s="24">
        <f>IF($B59="","",IF($BZ59&lt;&gt;"",$BZ59,IF($CA59&lt;&gt;"",$CA59,IF($CB59&lt;&gt;"",$CB59,IF($CC59&lt;&gt;"",$CC59,0)))))</f>
      </c>
      <c r="BW59" s="7">
        <f>IF($B59="","",IF($AN59="MD",IF(OR($AU59="Married",$AU59="Head of household"),SUMPRODUCT(($AZ59&gt;INDEX('Methodology &amp; Sources'!$B$114:$J$120,0,1))*($AZ59-INDEX('Methodology &amp; Sources'!$B$114:$J$120,0,1))*INDEX('Methodology &amp; Sources'!$B$114:$J$120,0,1+2)),SUMPRODUCT(($AZ59&gt;INDEX('Methodology &amp; Sources'!$B$103:$J$109,0,7))*($AZ59-INDEX('Methodology &amp; Sources'!$B$103:$J$109,0,7))*INDEX('Methodology &amp; Sources'!$B$103:$J$109,0,7+2))),IF($AN59="MO",SUMPRODUCT(($AZ59&gt;INDEX('Methodology &amp; Sources'!$B$125:$J$132,0,1))*($AZ59-INDEX('Methodology &amp; Sources'!$B$125:$J$132,0,1))*INDEX('Methodology &amp; Sources'!$B$125:$J$132,0,1+2)),IF($AN59="MT",IF($AU59="Head of household",SUMPRODUCT(($AZ59&gt;INDEX('Methodology &amp; Sources'!$B$137:$J$139,0,1))*($AZ59-INDEX('Methodology &amp; Sources'!$B$137:$J$139,0,1))*INDEX('Methodology &amp; Sources'!$B$137:$J$139,0,1+2)),IF($AU59="Married",SUMPRODUCT(($AZ59&gt;INDEX('Methodology &amp; Sources'!$B$125:$J$132,0,7))*($AZ59-INDEX('Methodology &amp; Sources'!$B$125:$J$132,0,7))*INDEX('Methodology &amp; Sources'!$B$125:$J$132,0,7+2)),SUMPRODUCT(($AZ59&gt;INDEX('Methodology &amp; Sources'!$B$125:$J$132,0,4))*($AZ59-INDEX('Methodology &amp; Sources'!$B$125:$J$132,0,4))*INDEX('Methodology &amp; Sources'!$B$125:$J$132,0,4+2)))),IF($AN59="ND",IF($AU59="Head of household",SUMPRODUCT(($AZ59&gt;INDEX('Methodology &amp; Sources'!$B$144:$J$150,0,1))*($AZ59-INDEX('Methodology &amp; Sources'!$B$144:$J$150,0,1))*INDEX('Methodology &amp; Sources'!$B$144:$J$150,0,1+2)),IF($AU59="Married",SUMPRODUCT(($AZ59&gt;INDEX('Methodology &amp; Sources'!$B$137:$J$139,0,7))*($AZ59-INDEX('Methodology &amp; Sources'!$B$137:$J$139,0,7))*INDEX('Methodology &amp; Sources'!$B$137:$J$139,0,7+2)),SUMPRODUCT(($AZ59&gt;INDEX('Methodology &amp; Sources'!$B$137:$J$139,0,4))*($AZ59-INDEX('Methodology &amp; Sources'!$B$137:$J$139,0,4))*INDEX('Methodology &amp; Sources'!$B$137:$J$139,0,4+2)))),IF($AN59="NJ",IF(Inputs!$C$77="B",SUMPRODUCT(($AZ59&gt;INDEX('Methodology &amp; Sources'!$B$155:$J$162,0,4))*($AZ59-INDEX('Methodology &amp; Sources'!$B$155:$J$162,0,4))*INDEX('Methodology &amp; Sources'!$B$155:$J$162,0,4+2)),IF(Inputs!$C$77="C",SUMPRODUCT(($AZ59&gt;INDEX('Methodology &amp; Sources'!$B$155:$J$162,0,7))*($AZ59-INDEX('Methodology &amp; Sources'!$B$155:$J$162,0,7))*INDEX('Methodology &amp; Sources'!$B$155:$J$162,0,7+2)),IF(Inputs!$C$77="D",SUMPRODUCT(($AZ59&gt;INDEX('Methodology &amp; Sources'!$B$167:$J$179,0,1))*($AZ59-INDEX('Methodology &amp; Sources'!$B$167:$J$179,0,1))*INDEX('Methodology &amp; Sources'!$B$167:$J$179,0,1+2)),IF(Inputs!$C$77="E",SUMPRODUCT(($AZ59&gt;INDEX('Methodology &amp; Sources'!$B$167:$J$179,0,4))*($AZ59-INDEX('Methodology &amp; Sources'!$B$167:$J$179,0,4))*INDEX('Methodology &amp; Sources'!$B$167:$J$179,0,4+2)),SUMPRODUCT(($AZ59&gt;INDEX('Methodology &amp; Sources'!$B$155:$J$162,0,1))*($AZ59-INDEX('Methodology &amp; Sources'!$B$155:$J$162,0,1))*INDEX('Methodology &amp; Sources'!$B$155:$J$162,0,1+2)))))),IF($AN59="NY",IF($AU59="Married",IF($AZ59&gt;=2155350,$AZ59*IF($AZ59&gt;25000000,0.117,IF($AZ59&gt;5000000,0.111,0.1045)),SUMPRODUCT(($AZ59&gt;INDEX('Methodology &amp; Sources'!$B$184:$J$198,0,1))*($AZ59-INDEX('Methodology &amp; Sources'!$B$184:$J$198,0,1))*INDEX('Methodology &amp; Sources'!$B$184:$J$198,0,1+2))),IF($AZ59&gt;=1077550,$AZ59*IF($AZ59&gt;25000000,0.117,IF($AZ59&gt;5000000,0.111,0.1045)),SUMPRODUCT(($AZ59&gt;INDEX('Methodology &amp; Sources'!$B$167:$J$179,0,7))*($AZ59-INDEX('Methodology &amp; Sources'!$B$167:$J$179,0,7))*INDEX('Methodology &amp; Sources'!$B$167:$J$179,0,7+2)))),"")))))))</f>
      </c>
      <c r="BX59" s="7">
        <f>IF($B59="","",IF($AN59="AL",IF(OR($AU59="Married",$AU59="Head of household"),SUMPRODUCT(($AZ59&gt;INDEX('Methodology &amp; Sources'!$B$82:$J$86,0,4))*($AZ59-INDEX('Methodology &amp; Sources'!$B$82:$J$86,0,4))*INDEX('Methodology &amp; Sources'!$B$82:$J$86,0,4+2)),SUMPRODUCT(($AZ59&gt;INDEX('Methodology &amp; Sources'!$B$82:$J$86,0,1))*($AZ59-INDEX('Methodology &amp; Sources'!$B$82:$J$86,0,1))*INDEX('Methodology &amp; Sources'!$B$82:$J$86,0,1+2))),IF($AN59="KS",IF($AU59="Married",SUMPRODUCT(($AZ59&gt;INDEX('Methodology &amp; Sources'!$B$103:$J$109,0,4))*($AZ59-INDEX('Methodology &amp; Sources'!$B$103:$J$109,0,4))*INDEX('Methodology &amp; Sources'!$B$103:$J$109,0,4+2)),SUMPRODUCT(($AZ59&gt;INDEX('Methodology &amp; Sources'!$B$103:$J$109,0,1))*($AZ59-INDEX('Methodology &amp; Sources'!$B$103:$J$109,0,1))*INDEX('Methodology &amp; Sources'!$B$103:$J$109,0,1+2))),IF($AN59="MN",IF($AU59="Married",SUMPRODUCT(($AZ59&gt;INDEX('Methodology &amp; Sources'!$B$114:$J$120,0,7))*($AZ59-INDEX('Methodology &amp; Sources'!$B$114:$J$120,0,7))*INDEX('Methodology &amp; Sources'!$B$114:$J$120,0,7+2)),SUMPRODUCT(($AZ59&gt;INDEX('Methodology &amp; Sources'!$B$114:$J$120,0,4))*($AZ59-INDEX('Methodology &amp; Sources'!$B$114:$J$120,0,4))*INDEX('Methodology &amp; Sources'!$B$114:$J$120,0,4+2))),IF($AN59="NE",MAX(IF($AU59="Married",SUMPRODUCT(($AZ59&gt;INDEX('Methodology &amp; Sources'!$B$144:$J$150,0,7))*($AZ59-INDEX('Methodology &amp; Sources'!$B$144:$J$150,0,7))*INDEX('Methodology &amp; Sources'!$B$144:$J$150,0,7+2)),SUMPRODUCT(($AZ59&gt;INDEX('Methodology &amp; Sources'!$B$144:$J$150,0,4))*($AZ59-INDEX('Methodology &amp; Sources'!$B$144:$J$150,0,4))*INDEX('Methodology &amp; Sources'!$B$144:$J$150,0,4+2))),0.015*$AZ59),IF($AN59="OH",IF($B59&gt;=DATE(2027,8,1),SUMPRODUCT(($AZ59&gt;INDEX('Methodology &amp; Sources'!$B$203:$J$206,0,1))*($AZ59-INDEX('Methodology &amp; Sources'!$B$203:$J$206,0,1))*INDEX('Methodology &amp; Sources'!$B$203:$J$206,0,1+2)),SUMPRODUCT(($AZ59&gt;INDEX('Methodology &amp; Sources'!$B$184:$J$198,0,7))*($AZ59-INDEX('Methodology &amp; Sources'!$B$184:$J$198,0,7))*INDEX('Methodology &amp; Sources'!$B$184:$J$198,0,7+2))),IF($AN59="OK",IF($AU59="Married",SUMPRODUCT(($AZ59&gt;INDEX('Methodology &amp; Sources'!$B$203:$J$206,0,7))*($AZ59-INDEX('Methodology &amp; Sources'!$B$203:$J$206,0,7))*INDEX('Methodology &amp; Sources'!$B$203:$J$206,0,7+2)),SUMPRODUCT(($AZ59&gt;INDEX('Methodology &amp; Sources'!$B$203:$J$206,0,4))*($AZ59-INDEX('Methodology &amp; Sources'!$B$203:$J$206,0,4))*INDEX('Methodology &amp; Sources'!$B$203:$J$206,0,4+2))),IF($AN59="RI",SUMPRODUCT(($AZ59&gt;INDEX('Methodology &amp; Sources'!$B$211:$J$214,0,7))*($AZ59-INDEX('Methodology &amp; Sources'!$B$211:$J$214,0,7))*INDEX('Methodology &amp; Sources'!$B$211:$J$214,0,7+2)),IF($AN59="VT",IF($AU59="Married",SUMPRODUCT(($AZ59&gt;INDEX('Methodology &amp; Sources'!$B$228:$J$232,0,1))*($AZ59-INDEX('Methodology &amp; Sources'!$B$228:$J$232,0,1))*INDEX('Methodology &amp; Sources'!$B$228:$J$232,0,1+2)),SUMPRODUCT(($AZ59&gt;INDEX('Methodology &amp; Sources'!$B$219:$J$223,0,7))*($AZ59-INDEX('Methodology &amp; Sources'!$B$219:$J$223,0,7))*INDEX('Methodology &amp; Sources'!$B$219:$J$223,0,7+2))),IF($AN59="WV",IF($AU59="Married",SUMPRODUCT(($AZ59&gt;INDEX('Methodology &amp; Sources'!$B$237:$J$241,0,7))*($AZ59-INDEX('Methodology &amp; Sources'!$B$237:$J$241,0,7))*INDEX('Methodology &amp; Sources'!$B$237:$J$241,0,7+2)),SUMPRODUCT(($AZ59&gt;INDEX('Methodology &amp; Sources'!$B$228:$J$232,0,7))*($AZ59-INDEX('Methodology &amp; Sources'!$B$228:$J$232,0,7))*INDEX('Methodology &amp; Sources'!$B$228:$J$232,0,7+2))),""))))))))))</f>
      </c>
      <c r="BY59" s="7">
        <f>IF($B59="","",IF($AN59="AR",SUMPRODUCT(($AZ59&gt;INDEX('Methodology &amp; Sources'!$B$82:$J$86,0,7))*($AZ59-INDEX('Methodology &amp; Sources'!$B$82:$J$86,0,7))*INDEX('Methodology &amp; Sources'!$B$82:$J$86,0,7+2)),IF($AN59="DE",SUMPRODUCT(($AZ59&gt;INDEX('Methodology &amp; Sources'!$B$91:$J$98,0,1))*($AZ59-INDEX('Methodology &amp; Sources'!$B$91:$J$98,0,1))*INDEX('Methodology &amp; Sources'!$B$91:$J$98,0,1+2)),IF($AN59="HI",IF($AU59="Married",SUMPRODUCT(($AZ59&gt;INDEX('Methodology &amp; Sources'!$B$91:$J$98,0,7))*($AZ59-INDEX('Methodology &amp; Sources'!$B$91:$J$98,0,7))*INDEX('Methodology &amp; Sources'!$B$91:$J$98,0,7+2)),SUMPRODUCT(($AZ59&gt;INDEX('Methodology &amp; Sources'!$B$91:$J$98,0,4))*($AZ59-INDEX('Methodology &amp; Sources'!$B$91:$J$98,0,4))*INDEX('Methodology &amp; Sources'!$B$91:$J$98,0,4+2))),IF($AN59="SC",SUMPRODUCT(($AZ59&gt;INDEX('Methodology &amp; Sources'!$B$219:$J$223,0,1))*($AZ59-INDEX('Methodology &amp; Sources'!$B$219:$J$223,0,1))*INDEX('Methodology &amp; Sources'!$B$219:$J$223,0,1+2)),IF($AN59="VA",SUMPRODUCT(($AZ59&gt;INDEX('Methodology &amp; Sources'!$B$219:$J$223,0,4))*($AZ59-INDEX('Methodology &amp; Sources'!$B$219:$J$223,0,4))*INDEX('Methodology &amp; Sources'!$B$219:$J$223,0,4+2)),IF($AN59="WI",SUMPRODUCT(($AZ59&gt;INDEX('Methodology &amp; Sources'!$B$228:$J$232,0,4))*($AZ59-INDEX('Methodology &amp; Sources'!$B$228:$J$232,0,4))*INDEX('Methodology &amp; Sources'!$B$228:$J$232,0,4+2)),"")))))))</f>
      </c>
      <c r="BZ59" s="24">
        <f>IF($B59="","",IF($AN59="NJ",IF(Inputs!$C$77="B",SUMPRODUCT(($AZ59&gt;=INDEX('Methodology &amp; Sources'!$B$155:$J$162,0,4))*INDEX('Methodology &amp; Sources'!$B$155:$J$162,0,4+2)),IF(Inputs!$C$77="C",SUMPRODUCT(($AZ59&gt;=INDEX('Methodology &amp; Sources'!$B$155:$J$162,0,7))*INDEX('Methodology &amp; Sources'!$B$155:$J$162,0,7+2)),IF(Inputs!$C$77="D",SUMPRODUCT(($AZ59&gt;=INDEX('Methodology &amp; Sources'!$B$167:$J$179,0,1))*INDEX('Methodology &amp; Sources'!$B$167:$J$179,0,1+2)),IF(Inputs!$C$77="E",SUMPRODUCT(($AZ59&gt;=INDEX('Methodology &amp; Sources'!$B$167:$J$179,0,4))*INDEX('Methodology &amp; Sources'!$B$167:$J$179,0,4+2)),SUMPRODUCT(($AZ59&gt;=INDEX('Methodology &amp; Sources'!$B$155:$J$162,0,1))*INDEX('Methodology &amp; Sources'!$B$155:$J$162,0,1+2)))))),IF($AN59="OR",IF(OR($AU59="Married",AND($AU59="Single",$AS59&gt;=3)),SUMPRODUCT((MAX(0,$AY59-MIN(($P59-'Methodology &amp; Sources'!$C$10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Sources'!$B$211:$J$214,0,4))*INDEX('Methodology &amp; Sources'!$B$211:$J$214,0,4+2)),SUMPRODUCT((MAX(0,$AY59-MIN(($P59-'Methodology &amp; Sources'!$C$10*$D59)*Inputs!$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Sources'!$B$211:$J$214,0,1))*INDEX('Methodology &amp; Sources'!$B$211:$J$214,0,1+2)))*IF(($P59-'Methodology &amp; Sources'!$C$10*$D59)*Inputs!$C$8&gt;=IF(OR($AU59="Married",AND($AU59="Single",$AS59&gt;=3)),IF($AY59&lt;250000,8750,IF($AY59&lt;260000,7000,IF($AY59&lt;270000,5250,IF($AY59&lt;280000,3500,IF($AY59&lt;290000,1750,0))))),IF($AY59&lt;125000,8750,IF($AY59&lt;130000,7000,IF($AY59&lt;135000,5250,IF($AY59&lt;140000,3500,IF($AY59&lt;145000,1750,0)))))),1,1-IF(Inputs!$C$13,SUMPRODUCT(($AH59&gt;=INDEX('Methodology &amp; Sources'!$B$29:$J$36,0,IF(Inputs!$C$12="MFJ",1,IF(Inputs!$C$12="HoH",7,4))))*INDEX('Methodology &amp; Sources'!$B$29:$J$36,0,IF(Inputs!$C$12="MFJ",1,IF(Inputs!$C$12="HoH",7,4))+2)),SUMPRODUCT(($AH59&gt;=INDEX('Methodology &amp; Sources'!$B$19:$J$26,0,IF(Inputs!$C$12="MFJ",1,IF(Inputs!$C$12="HoH",7,4))))*INDEX('Methodology &amp; Sources'!$B$19:$J$26,0,IF(Inputs!$C$12="MFJ",1,IF(Inputs!$C$12="HoH",7,4))+2)))),IF($AN59="MI",IF($AY59&gt;5900*$AS59,0.0425,0),""))))</f>
      </c>
      <c r="CA59" s="24">
        <f>IF($B59="","",IF($AN59="AL",IF(OR($AU59="Married",$AU59="Head of household"),SUMPRODUCT(($AZ59&gt;=INDEX('Methodology &amp; Sources'!$B$82:$J$86,0,4))*INDEX('Methodology &amp; Sources'!$B$82:$J$86,0,4+2)),SUMPRODUCT(($AZ59&gt;=INDEX('Methodology &amp; Sources'!$B$82:$J$86,0,1))*INDEX('Methodology &amp; Sources'!$B$82:$J$86,0,1+2)))*(1-IF(Inputs!$C$13,SUMPRODUCT(($AH59&gt;=INDEX('Methodology &amp; Sources'!$B$29:$J$36,0,IF(Inputs!$C$12="MFJ",1,IF(Inputs!$C$12="HoH",7,4))))*INDEX('Methodology &amp; Sources'!$B$29:$J$36,0,IF(Inputs!$C$12="MFJ",1,IF(Inputs!$C$12="HoH",7,4))+2)),SUMPRODUCT(($AH59&gt;=INDEX('Methodology &amp; Sources'!$B$19:$J$26,0,IF(Inputs!$C$12="MFJ",1,IF(Inputs!$C$12="HoH",7,4))))*INDEX('Methodology &amp; Sources'!$B$19:$J$26,0,IF(Inputs!$C$12="MFJ",1,IF(Inputs!$C$12="HoH",7,4))+2)))),IF($AN59="KS",IF($AU59="Married",SUMPRODUCT(($AZ59&gt;=INDEX('Methodology &amp; Sources'!$B$103:$J$109,0,4))*INDEX('Methodology &amp; Sources'!$B$103:$J$109,0,4+2)),SUMPRODUCT(($AZ59&gt;=INDEX('Methodology &amp; Sources'!$B$103:$J$109,0,1))*INDEX('Methodology &amp; Sources'!$B$103:$J$109,0,1+2))),IF($AN59="MD",IF(OR($AU59="Married",$AU59="Head of household"),SUMPRODUCT(($AZ59&gt;=INDEX('Methodology &amp; Sources'!$B$114:$J$120,0,1))*INDEX('Methodology &amp; Sources'!$B$114:$J$120,0,1+2)),SUMPRODUCT(($AZ59&gt;=INDEX('Methodology &amp; Sources'!$B$103:$J$109,0,7))*INDEX('Methodology &amp; Sources'!$B$103:$J$109,0,7+2)))+Inputs!$C$74,IF($AN59="MT",IF($AU59="Head of household",SUMPRODUCT(($AZ59&gt;=INDEX('Methodology &amp; Sources'!$B$137:$J$139,0,1))*INDEX('Methodology &amp; Sources'!$B$137:$J$139,0,1+2)),IF($AU59="Married",SUMPRODUCT(($AZ59&gt;=INDEX('Methodology &amp; Sources'!$B$125:$J$132,0,7))*INDEX('Methodology &amp; Sources'!$B$125:$J$132,0,7+2)),SUMPRODUCT(($AZ59&gt;=INDEX('Methodology &amp; Sources'!$B$125:$J$132,0,4))*INDEX('Methodology &amp; Sources'!$B$125:$J$132,0,4+2)))),IF($AN59="ND",IF($AU59="Head of household",SUMPRODUCT(($AZ59&gt;=INDEX('Methodology &amp; Sources'!$B$144:$J$150,0,1))*INDEX('Methodology &amp; Sources'!$B$144:$J$150,0,1+2)),IF($AU59="Married",SUMPRODUCT(($AZ59&gt;=INDEX('Methodology &amp; Sources'!$B$137:$J$139,0,7))*INDEX('Methodology &amp; Sources'!$B$137:$J$139,0,7+2)),SUMPRODUCT(($AZ59&gt;=INDEX('Methodology &amp; Sources'!$B$137:$J$139,0,4))*INDEX('Methodology &amp; Sources'!$B$137:$J$139,0,4+2)))),IF($AN59="NY",IF($AU59="Married",IF($AZ59&gt;=2155350,IF($AZ59&gt;25000000,0.117,IF($AZ59&gt;5000000,0.111,0.1045)),SUMPRODUCT(($AZ59&gt;=INDEX('Methodology &amp; Sources'!$B$184:$J$198,0,1))*INDEX('Methodology &amp; Sources'!$B$184:$J$198,0,1+2))),IF($AZ59&gt;=1077550,IF($AZ59&gt;25000000,0.117,IF($AZ59&gt;5000000,0.111,0.1045)),SUMPRODUCT(($AZ59&gt;=INDEX('Methodology &amp; Sources'!$B$167:$J$179,0,7))*INDEX('Methodology &amp; Sources'!$B$167:$J$179,0,7+2)))),"")))))))</f>
      </c>
      <c r="CB59" s="24">
        <f>IF($B59="","",IF($AN59="CA",SUMPRODUCT(($AJ59&gt;=INDEX('Methodology &amp; Sources'!$B$39:$J$48,0,IF($AU59="Married",4,IF($AU59="Head of household",7,1))))*INDEX('Methodology &amp; Sources'!$B$39:$J$48,0,IF($AU59="Married",4,IF($AU59="Head of household",7,1))+2)),IF($AN59="HI",IF($AU59="Married",SUMPRODUCT(($AZ59&gt;=INDEX('Methodology &amp; Sources'!$B$91:$J$98,0,7))*INDEX('Methodology &amp; Sources'!$B$91:$J$98,0,7+2)),SUMPRODUCT(($AZ59&gt;=INDEX('Methodology &amp; Sources'!$B$91:$J$98,0,4))*INDEX('Methodology &amp; Sources'!$B$91:$J$98,0,4+2))),IF($AN59="MN",IF($AU59="Married",SUMPRODUCT(($AZ59&gt;=INDEX('Methodology &amp; Sources'!$B$114:$J$120,0,7))*INDEX('Methodology &amp; Sources'!$B$114:$J$120,0,7+2)),SUMPRODUCT(($AZ59&gt;=INDEX('Methodology &amp; Sources'!$B$114:$J$120,0,4))*INDEX('Methodology &amp; Sources'!$B$114:$J$120,0,4+2))),IF($AN59="MO",SUMPRODUCT(($AZ59&gt;=INDEX('Methodology &amp; Sources'!$B$125:$J$132,0,1))*INDEX('Methodology &amp; Sources'!$B$125:$J$132,0,1+2)),IF($AN59="NE",MAX(IF($AU59="Married",SUMPRODUCT(($AZ59&gt;=INDEX('Methodology &amp; Sources'!$B$144:$J$150,0,7))*INDEX('Methodology &amp; Sources'!$B$144:$J$150,0,7+2)),SUMPRODUCT(($AZ59&gt;=INDEX('Methodology &amp; Sources'!$B$144:$J$150,0,4))*INDEX('Methodology &amp; Sources'!$B$144:$J$150,0,4+2))),0.015),IF($AN59="OH",IF($B59&gt;=DATE(2027,8,1),SUMPRODUCT(($AZ59&gt;=INDEX('Methodology &amp; Sources'!$B$203:$J$206,0,1))*INDEX('Methodology &amp; Sources'!$B$203:$J$206,0,1+2)),SUMPRODUCT(($AZ59&gt;=INDEX('Methodology &amp; Sources'!$B$184:$J$198,0,7))*INDEX('Methodology &amp; Sources'!$B$184:$J$198,0,7+2))),IF($AN59="OK",IF($AU59="Married",SUMPRODUCT(($AZ59&gt;=INDEX('Methodology &amp; Sources'!$B$203:$J$206,0,7))*INDEX('Methodology &amp; Sources'!$B$203:$J$206,0,7+2)),SUMPRODUCT(($AZ59&gt;=INDEX('Methodology &amp; Sources'!$B$203:$J$206,0,4))*INDEX('Methodology &amp; Sources'!$B$203:$J$206,0,4+2))),IF($AN59="RI",SUMPRODUCT(($AZ59&gt;=INDEX('Methodology &amp; Sources'!$B$211:$J$214,0,7))*INDEX('Methodology &amp; Sources'!$B$211:$J$214,0,7+2)),IF($AN59="SC",SUMPRODUCT(($AZ59&gt;=INDEX('Methodology &amp; Sources'!$B$219:$J$223,0,1))*INDEX('Methodology &amp; Sources'!$B$219:$J$223,0,1+2)),IF($AN59="VT",IF($AU59="Married",SUMPRODUCT(($AZ59&gt;=INDEX('Methodology &amp; Sources'!$B$228:$J$232,0,1))*INDEX('Methodology &amp; Sources'!$B$228:$J$232,0,1+2)),SUMPRODUCT(($AZ59&gt;=INDEX('Methodology &amp; Sources'!$B$219:$J$223,0,7))*INDEX('Methodology &amp; Sources'!$B$219:$J$223,0,7+2))),IF($AN59="WV",IF($AU59="Married",SUMPRODUCT(($AZ59&gt;=INDEX('Methodology &amp; Sources'!$B$237:$J$241,0,7))*INDEX('Methodology &amp; Sources'!$B$237:$J$241,0,7+2)),SUMPRODUCT(($AZ59&gt;=INDEX('Methodology &amp; Sources'!$B$228:$J$232,0,7))*INDEX('Methodology &amp; Sources'!$B$228:$J$232,0,7+2))),IF($AN59="IN",(0.0295+Inputs!$C$76),"")))))))))))))</f>
      </c>
      <c r="CC59" s="24">
        <f>IF($B59="","",IF($AN59="AR",SUMPRODUCT(($AZ59&gt;=INDEX('Methodology &amp; Sources'!$B$82:$J$86,0,7))*INDEX('Methodology &amp; Sources'!$B$82:$J$86,0,7+2)),IF($AN59="DE",SUMPRODUCT(($AZ59&gt;=INDEX('Methodology &amp; Sources'!$B$91:$J$98,0,1))*INDEX('Methodology &amp; Sources'!$B$91:$J$98,0,1+2)),IF($AN59="VA",SUMPRODUCT(($AZ59&gt;=INDEX('Methodology &amp; Sources'!$B$219:$J$223,0,4))*INDEX('Methodology &amp; Sources'!$B$219:$J$223,0,4+2)),IF($AN59="WI",SUMPRODUCT(($AZ59&gt;=INDEX('Methodology &amp; Sources'!$B$228:$J$232,0,4))*INDEX('Methodology &amp; Sources'!$B$228:$J$232,0,4+2)),IF($AN59="AZ",Inputs!$C$82,IF($AN59="CO",IF($AY59&gt;IF($AU59="Married",10000,5000),0.044,0),IF($AN59="IA",IF($AY59&gt;IF($AU59="Head of household",19500,IF($AU59="Married",26000,13000)),0.038,0),IF($AN59="ID",IF($AY59&gt;IF($AU59="Married",32000,16094),0.053,0),IF($AN59="IL",IF($AY59&gt;(2925*$AS59+1000*$AT59),0.0495,0),IF($AN59="KY",IF($AI59&gt;3360,0.035,0),IF($AN59="LA",0.0309,IF($AN59="MA",IF(MAX(0,$AY59-MIN(($BD58+$Q59+$R59+$S59),2000)-IF($AS59=0,0,IF($AS59=1,4400,1000*$AS59+3400)))&gt;=1107750,0.09,0.05),IF($AN59="MS",IF($AI59-IF($AU59="Head of household",3400,IF($AU59="Married",4600,2300))-Inputs!$C$85&gt;10000,0.04,0),IF($AN59="PA",0.0307,"")))))))))))))))</f>
      </c>
      <c r="CD59" s="21">
        <f>IF(YEAR(IF(Inputs!$C$7="Weekly",Inputs!$C$90+7*(($BE58+1)-1),IF(Inputs!$C$7="Biweekly",Inputs!$C$90+14*(($BE58+1)-1),IF(Inputs!$C$7="Semimonthly",DATE(YEAR(Inputs!$C$9),MONTH(Inputs!$C$9)+INT((($BE58+1)-1+'Rest of 2026'!$C$2)/2),MIN(DAY(Inputs!$C$9),DAY(EOMONTH(DATE(YEAR(Inputs!$C$9),MONTH(Inputs!$C$9)+INT((($BE58+1)-1+'Rest of 2026'!$C$2)/2),1),0))))+IF(MOD(($BE58+1)-1+'Rest of 2026'!$C$2,2)=1,15,0),EDATE(Inputs!$C$90,($BE58+1)-1)))))&lt;&gt;Inputs!$C$10,"",IF(Inputs!$C$7="Weekly",Inputs!$C$90+7*(($BE58+1)-1),IF(Inputs!$C$7="Biweekly",Inputs!$C$90+14*(($BE58+1)-1),IF(Inputs!$C$7="Semimonthly",DATE(YEAR(Inputs!$C$9),MONTH(Inputs!$C$9)+INT((($BE58+1)-1+'Rest of 2026'!$C$2)/2),MIN(DAY(Inputs!$C$9),DAY(EOMONTH(DATE(YEAR(Inputs!$C$9),MONTH(Inputs!$C$9)+INT((($BE58+1)-1+'Rest of 2026'!$C$2)/2),1),0))))+IF(MOD(($BE58+1)-1+'Rest of 2026'!$C$2,2)=1,15,0),EDATE(Inputs!$C$90,($BE58+1)-1)))))</f>
      </c>
      <c r="CE59" s="21">
        <f>IF(SUMPRODUCT(MIN(IF((Inputs!$C$58:$C$67&gt;MAX($B$6:$B58))*(Inputs!$C$58:$C$67&gt;=DATE(Inputs!$C$10,1,1))*(Inputs!$C$58:$C$67&lt;=DATE(Inputs!$C$10,12,31)),Inputs!$C$58:$C$67,999999)))=999999,"",SUMPRODUCT(MIN(IF((Inputs!$C$58:$C$67&gt;MAX($B$6:$B58))*(Inputs!$C$58:$C$67&gt;=DATE(Inputs!$C$10,1,1))*(Inputs!$C$58:$C$67&lt;=DATE(Inputs!$C$10,12,31)),Inputs!$C$58:$C$67,999999))))</f>
      </c>
    </row>
    <row r="60">
      <c r="A60" t="n">
        <v>55</v>
      </c>
      <c r="B60" s="21">
        <f>IF(AND($CD60="",$CE60=""),"",IF($CE60="",$CD60,IF($CD60="",$CE60,MIN($CD60,$CE60))))</f>
      </c>
      <c r="C60" s="7">
        <f>IF($B60="","",IF($BF60=0,0,IF(Inputs!$C$4="Annual salary",ROUND($AK60/IF(AND(Inputs!$C$88="Actual paydays",MONTH(Inputs!$C$90)=1),MAX(1,MAX($BE$6:$BE$68)),Inputs!$C$8),2),$AK60)))</f>
      </c>
      <c r="D60" s="7">
        <f>IF($B60="","",SUMIF(Inputs!$C$58:$C$67,$B60,Inputs!$D$58:$D$67))</f>
      </c>
      <c r="E60" s="7">
        <f>IF($B60="","",ROUND(MAX(0,MIN(IF($AL60="Percent",$AM60*($C60+$D60),$AM60),MAX(0,Inputs!$C$34-$AC59))),2))</f>
      </c>
      <c r="F60" s="7">
        <f>IF($B60="","",ROUND(MAX(0,MIN(IF(Inputs!$C$32="Percent",Inputs!$D$32*($C60+$D60),Inputs!$D$32),MAX(0,Inputs!$C$34-$AC59-$E60))),2))</f>
      </c>
      <c r="G60" s="7">
        <f>IF($B60="","",IF($BF60=0,0,ROUND(MAX(0,MIN($BL60,Inputs!$C$37-Inputs!$C$99-$BI59)),2)))</f>
      </c>
      <c r="H60" s="7">
        <f>IF($B60="","",IF(OR($BF60=0,$BQ60=1),0,ROUND(MAX(0,MIN(IF($BS60=1,ROUND(MAX(0,MIN($BJ60,'Methodology &amp; Sources'!$C$13)-$BG59)/MAX(1,MAX($BE$6:$BE$68)-($BE59)),2),ROUND(MIN($BJ60,'Methodology &amp; Sources'!$C$13)/Inputs!$C$8,2)),MIN($BJ60,'Methodology &amp; Sources'!$C$13)-$BG59)),2)))</f>
      </c>
      <c r="I60" s="7">
        <f>IF($B60="","",IF(OR($BF60=0,$BR60=1),0,ROUND(MAX(0,MIN(IF($BT60=1,ROUND(MAX(0,MIN($BK60,IF(Inputs!$C$12="MFJ",'Methodology &amp; Sources'!$C$14,'Methodology &amp; Sources'!$C$15))-$BH59)/MAX(1,MAX($BE$6:$BE$68)-($BE59)),2),ROUND(MIN($BK60,IF(Inputs!$C$12="MFJ",'Methodology &amp; Sources'!$C$14,'Methodology &amp; Sources'!$C$15))/Inputs!$C$8,2)),MIN($BK60,IF(Inputs!$C$12="MFJ",'Methodology &amp; Sources'!$C$14,'Methodology &amp; Sources'!$C$15))-$BH59)),2)))</f>
      </c>
      <c r="J60" s="7">
        <f>IF($B60="","",IF($BF60=0,0,$BM60))</f>
      </c>
      <c r="K60" s="7">
        <f>IF($B60="","",IF($BF60=0,0,$BN60+$BO60))</f>
      </c>
      <c r="L60" s="7">
        <f>IF($B60="","",IF($BF60=0,0,Inputs!$D$46))</f>
      </c>
      <c r="M60" s="7">
        <f>IF($B60="","",$C60+$D60+$L60-$E60-$G60-$H60-$I60-$J60-$K60)</f>
      </c>
      <c r="N60" s="7">
        <f>IF($B60="","",$C60+$D60+$L60-$G60-$H60-$I60-$J60-$K60)</f>
      </c>
      <c r="O60" s="7">
        <f>IF($B60="","",$C60+$D60+$L60-$E60-$H60-$I60-$J60-$K60-IF(OR($AN60="CA",$AN60="NJ"),0,$G60))</f>
      </c>
      <c r="P60" s="7">
        <f>IF($B60="","",IF(Inputs!$C$18,0,ROUND(MAX(0,IF(Inputs!$C$13,SUMPRODUCT(($AH60&gt;INDEX('Methodology &amp; Sources'!$B$29:$J$36,0,IF(Inputs!$C$12="MFJ",1,IF(Inputs!$C$12="HoH",7,4))))*($AH60-INDEX('Methodology &amp; Sources'!$B$29:$J$36,0,IF(Inputs!$C$12="MFJ",1,IF(Inputs!$C$12="HoH",7,4))))*INDEX('Methodology &amp; Sources'!$B$29:$J$36,0,IF(Inputs!$C$12="MFJ",1,IF(Inputs!$C$12="HoH",7,4))+2)),SUMPRODUCT(($AH60&gt;INDEX('Methodology &amp; Sources'!$B$19:$J$26,0,IF(Inputs!$C$12="MFJ",1,IF(Inputs!$C$12="HoH",7,4))))*($AH60-INDEX('Methodology &amp; Sources'!$B$19:$J$26,0,IF(Inputs!$C$12="MFJ",1,IF(Inputs!$C$12="HoH",7,4))))*INDEX('Methodology &amp; Sources'!$B$19:$J$26,0,IF(Inputs!$C$12="MFJ",1,IF(Inputs!$C$12="HoH",7,4))+2)))/Inputs!$C$8-$AO60/Inputs!$C$8)+$AR60+IF(Inputs!$C$89="Aggregate",MAX(0,IF(Inputs!$C$13,SUMPRODUCT((($AH60+$D60)&gt;INDEX('Methodology &amp; Sources'!$B$29:$J$36,0,IF(Inputs!$C$12="MFJ",1,IF(Inputs!$C$12="HoH",7,4))))*(($AH60+$D60)-INDEX('Methodology &amp; Sources'!$B$29:$J$36,0,IF(Inputs!$C$12="MFJ",1,IF(Inputs!$C$12="HoH",7,4))))*INDEX('Methodology &amp; Sources'!$B$29:$J$36,0,IF(Inputs!$C$12="MFJ",1,IF(Inputs!$C$12="HoH",7,4))+2)),SUMPRODUCT((($AH60+$D60)&gt;INDEX('Methodology &amp; Sources'!$B$19:$J$26,0,IF(Inputs!$C$12="MFJ",1,IF(Inputs!$C$12="HoH",7,4))))*(($AH60+$D60)-INDEX('Methodology &amp; Sources'!$B$19:$J$26,0,IF(Inputs!$C$12="MFJ",1,IF(Inputs!$C$12="HoH",7,4))))*INDEX('Methodology &amp; Sources'!$B$19:$J$26,0,IF(Inputs!$C$12="MFJ",1,IF(Inputs!$C$12="HoH",7,4))+2)))-IF(Inputs!$C$13,SUMPRODUCT(($AH60&gt;INDEX('Methodology &amp; Sources'!$B$29:$J$36,0,IF(Inputs!$C$12="MFJ",1,IF(Inputs!$C$12="HoH",7,4))))*($AH60-INDEX('Methodology &amp; Sources'!$B$29:$J$36,0,IF(Inputs!$C$12="MFJ",1,IF(Inputs!$C$12="HoH",7,4))))*INDEX('Methodology &amp; Sources'!$B$29:$J$36,0,IF(Inputs!$C$12="MFJ",1,IF(Inputs!$C$12="HoH",7,4))+2)),SUMPRODUCT(($AH60&gt;INDEX('Methodology &amp; Sources'!$B$19:$J$26,0,IF(Inputs!$C$12="MFJ",1,IF(Inputs!$C$12="HoH",7,4))))*($AH60-INDEX('Methodology &amp; Sources'!$B$19:$J$26,0,IF(Inputs!$C$12="MFJ",1,IF(Inputs!$C$12="HoH",7,4))))*INDEX('Methodology &amp; Sources'!$B$19:$J$26,0,IF(Inputs!$C$12="MFJ",1,IF(Inputs!$C$12="HoH",7,4))+2)))),'Methodology &amp; Sources'!$C$10*$D60),2)))</f>
      </c>
      <c r="Q60" s="7">
        <f>IF($B60="","",ROUND('Methodology &amp; Sources'!$C$4*MIN($N60,MAX(0,'Methodology &amp; Sources'!$C$3-($AX60+$AB59-$AW60))),2))</f>
      </c>
      <c r="R60" s="7">
        <f>IF($B60="","",ROUND('Methodology &amp; Sources'!$C$5*$N60,2))</f>
      </c>
      <c r="S60" s="7">
        <f>IF($B60="","",ROUND('Methodology &amp; Sources'!$C$6*MAX(0,MIN($N60,$AG59+$N60-'Methodology &amp; Sources'!$C$7)),2))</f>
      </c>
      <c r="T60" s="7">
        <f>IF($B60="","",IF(Inputs!$C$26,0,IF($AN60="CA",ROUND(IF($AI60&lt;=IF(($AS60+$AT60)&gt;=2,VLOOKUP($AN60,StateTables!$A$6:$AB$56,10,FALSE),VLOOKUP($AN60,StateTables!$A$6:$AB$56,9,FALSE)),0,MAX(0,SUMPRODUCT(($AJ60&gt;INDEX('Methodology &amp; Sources'!$B$39:$J$48,0,IF($AU60="Married",4,IF($AU60="Head of household",7,1))))*($AJ60-INDEX('Methodology &amp; Sources'!$B$39:$J$48,0,IF($AU60="Married",4,IF($AU60="Head of household",7,1))))*INDEX('Methodology &amp; Sources'!$B$39:$J$48,0,IF($AU60="Married",4,IF($AU60="Head of household",7,1))+2))-VLOOKUP($AN60,StateTables!$A$6:$AB$56,11,FALSE)*$AS60)/Inputs!$C$8)+Inputs!$C$25+VLOOKUP($AN60,StateTables!$A$6:$AB$56,13,FALSE)*$D60,2),IF(VLOOKUP($AN60,StateTables!$A$6:$AB$56,4,FALSE)="None",0,IF(ISNUMBER(SEARCH("MANUAL",VLOOKUP($AN60,StateTables!$A$6:$AB$56,5,FALSE))),Inputs!$C$28,ROUND(MAX(0,$BA60+$BB60)/Inputs!$C$8+Inputs!$C$25+$BC60,2))))))</f>
      </c>
      <c r="U60" s="7">
        <f>IF($B60="","",IF(VLOOKUP($AN60,StateTables!$A$6:$AB$56,24,FALSE)="flatq",IF(OR(MONTH($B60)=1,MONTH($B60)=4,MONTH($B60)=7,MONTH($B60)=10),VLOOKUP($AN60,StateTables!$A$6:$AB$56,25,FALSE),0),IF(VLOOKUP($AN60,StateTables!$A$6:$AB$56,24,FALSE)="dbl",MIN(ROUND(0.005*$N60,2),ROUND(0.6*52/Inputs!$C$8,2)),IF(OR(VLOOKUP($AN60,StateTables!$A$6:$AB$56,15,FALSE)="",VLOOKUP($AN60,StateTables!$A$6:$AB$56,15,FALSE)=0),0,ROUND(VLOOKUP($AN60,StateTables!$A$6:$AB$56,15,FALSE)*IF(OR(VLOOKUP($AN60,StateTables!$A$6:$AB$56,16,FALSE)="",VLOOKUP($AN60,StateTables!$A$6:$AB$56,16,FALSE)=0),$N60,MIN($N60,MAX(0,VLOOKUP($AN60,StateTables!$A$6:$AB$56,16,FALSE)-($AX60+$AB59-$AW60)))),2))))+IF(VLOOKUP($AN60,StateTables!$A$6:$AB$56,27,FALSE)="flatq",IF(OR(MONTH($B60)=1,MONTH($B60)=4,MONTH($B60)=7,MONTH($B60)=10),VLOOKUP($AN60,StateTables!$A$6:$AB$56,28,FALSE),0),IF(VLOOKUP($AN60,StateTables!$A$6:$AB$56,27,FALSE)="dbl",MIN(ROUND(0.005*$N60,2),ROUND(0.6*52/Inputs!$C$8,2)),IF(OR(VLOOKUP($AN60,StateTables!$A$6:$AB$56,18,FALSE)="",VLOOKUP($AN60,StateTables!$A$6:$AB$56,18,FALSE)=0),0,ROUND(VLOOKUP($AN60,StateTables!$A$6:$AB$56,18,FALSE)*IF(OR(VLOOKUP($AN60,StateTables!$A$6:$AB$56,19,FALSE)="",VLOOKUP($AN60,StateTables!$A$6:$AB$56,19,FALSE)=0),$N60,MIN($N60,MAX(0,VLOOKUP($AN60,StateTables!$A$6:$AB$56,19,FALSE)-($AX60+$AB59-$AW60)))),2)))))</f>
      </c>
      <c r="V60" s="7">
        <f>IF($B60="","",IF($AN60="NY",IF(Inputs!$C$78,ROUND(SUMPRODUCT((MAX(0,($O60-$D60)*Inputs!$C$8-(IF($AU60="Married",5500,5000)+1000*$AS60))&gt;INDEX('Methodology &amp; Sources'!$B$184:$J$198,0,4))*(MAX(0,($O60-$D60)*Inputs!$C$8-(IF($AU60="Married",5500,5000)+1000*$AS60))-INDEX('Methodology &amp; Sources'!$B$184:$J$198,0,4))*INDEX('Methodology &amp; Sources'!$B$184:$J$198,0,4+2))/Inputs!$C$8+0.0425*$D60,2),0)+IF(Inputs!$C$79="Resident",ROUND(0.1675*$T60,2),IF(Inputs!$C$79="Nonresident",ROUND(0.005*MAX(0,($O60-$D60)-(IF($AU60="Married",7950,7400)+1000*$AS60)/Inputs!$C$8),2),0)),IF($AN60="PA",IF(Inputs!$C$80="None",Inputs!$C$27+ROUND(Inputs!$C$81*($C60+$D60),2),ROUND(IF(Inputs!$C$80="Resident",IF($B60&lt;DATE(2027,7,1),0.03735,0.03735),IF($B60&lt;DATE(2027,7,1),0.03425,0.03425))*($C60+$D60),2)),IF($BF60=0,ROUND(Inputs!$C$81*($C60+$D60),2),Inputs!$C$27+ROUND(Inputs!$C$81*($C60+$D60),2)))))</f>
      </c>
      <c r="W60" s="7">
        <f>IF($B60="","",IF($BF60=0,0,$BP60))</f>
      </c>
      <c r="X60" s="7">
        <f>IF($B60="","",SUM($E60:$K60)+$P60+$Q60+$R60+$S60+$T60+$U60+$V60+$W60)</f>
      </c>
      <c r="Y60" s="22">
        <f>IF($B60="","",$C60+$D60-$X60)</f>
      </c>
      <c r="Z60" s="7">
        <f>IF($B60="","",$Z59+$C60+$D60)</f>
      </c>
      <c r="AA60" s="7">
        <f>IF($B60="","",$AA59+$Y60)</f>
      </c>
      <c r="AB60" s="7">
        <f>IF($B60="","",$AB59+MIN($N60,MAX(0,'Methodology &amp; Sources'!$C$3-($AX60+$AB59-$AW60))))</f>
      </c>
      <c r="AC60" s="7">
        <f>IF($B60="","",$AC59+$E60+$F60)</f>
      </c>
      <c r="AD60" s="3">
        <f>IF($B60="","",IF(AND($AB59&lt;'Methodology &amp; Sources'!$C$3,$AB60&gt;='Methodology &amp; Sources'!$C$3),"★ Social Security maxed on this check — from the next check your net rises by about $"&amp;TEXT(ROUND('Methodology &amp; Sources'!$C$4*$N60,2),"#,##0.00")&amp;". ","")&amp;IF(AND($AC59&lt;Inputs!$C$34,$AC60&gt;=Inputs!$C$34),"★ 401(k) reaches the $"&amp;TEXT(Inputs!$C$34,"#,##0")&amp;" cap on this check — deferrals stop and net pay rises. ","")&amp;IF(AND($AG59&lt;'Methodology &amp; Sources'!$C$7,$AG60&gt;='Methodology &amp; Sources'!$C$7),"★ Wages pass $200,000 — the 0.9% Additional Medicare Tax starts here. ","")&amp;IF(AND($BJ60&gt;0,$H60&gt;0,$BG59&lt;MIN($BJ60,'Methodology &amp; Sources'!$C$13),$BG59+$H60&gt;=MIN($BJ60,'Methodology &amp; Sources'!$C$13)),"★ Health FSA election is now fully deferred for the year. ",""))</f>
      </c>
      <c r="AE60" s="41" t="n"/>
      <c r="AF60" s="7">
        <f>IF(OR($B60="",$AE60=""),"",$AE60-$Y60)</f>
      </c>
      <c r="AG60" s="7">
        <f>IF($B60="","",$AG59+$N60)</f>
      </c>
      <c r="AH60" s="7">
        <f>IF($B60="","",MAX(0,($M60-$D60)*Inputs!$C$8+$AP60-$AQ60-IF(Inputs!$C$13,0,IF(Inputs!$C$12="MFJ",'Methodology &amp; Sources'!$C$8,'Methodology &amp; Sources'!$C$9))))</f>
      </c>
      <c r="AI60" s="7">
        <f>IF($B60="","",$O60*Inputs!$C$8)</f>
      </c>
      <c r="AJ60" s="7">
        <f>IF($B60="","",MAX(0,$AI60-VLOOKUP($AN60,StateTables!$A$6:$AB$56,12,FALSE)*$AT60-IF(($AS60+$AT60)&gt;=2,VLOOKUP($AN60,StateTables!$A$6:$AB$56,8,FALSE),VLOOKUP($AN60,StateTables!$A$6:$AB$56,7,FALSE))))</f>
      </c>
      <c r="AK60" s="7">
        <f>IF($B60="","",IFERROR(LOOKUP(2,1/((Events!$C$6:$C$17="Salary change")*(Events!$B$6:$B$17&lt;=$B60)*(Events!$B$6:$B$17&lt;&gt;"")),Events!$D$6:$D$17),IF(Inputs!$C$4="Annual salary",Inputs!$C$5,Inputs!$C$6)))</f>
      </c>
      <c r="AL60">
        <f>IF($B60="","",IFERROR(LOOKUP(2,1/((Events!$C$6:$C$17="401(k) change")*(Events!$B$6:$B$17&lt;=$B60)*(Events!$B$6:$B$17&lt;&gt;"")),Events!$D$6:$D$17),Inputs!$C$30))</f>
      </c>
      <c r="AM60" s="7">
        <f>IF($B60="","",IFERROR(LOOKUP(2,1/((Events!$C$6:$C$17="401(k) change")*(Events!$B$6:$B$17&lt;=$B60)*(Events!$B$6:$B$17&lt;&gt;"")),Events!$E$6:$E$17),Inputs!$D$30))</f>
      </c>
      <c r="AN60">
        <f>IF($B60="","",IFERROR(LOOKUP(2,1/((Events!$C$6:$C$17="State move")*(Events!$B$6:$B$17&lt;=$B60)*(Events!$B$6:$B$17&lt;&gt;"")),Events!$D$6:$D$17),Inputs!$C$21))</f>
      </c>
      <c r="AO60" s="7">
        <f>IF($B60="","",IFERROR(LOOKUP(2,1/((Events!$C$6:$C$17="W-4 change")*(Events!$B$6:$B$17&lt;=$B60)*(Events!$B$6:$B$17&lt;&gt;"")),Events!$D$6:$D$17),Inputs!$C$14))</f>
      </c>
      <c r="AP60" s="7">
        <f>IF($B60="","",IFERROR(LOOKUP(2,1/((Events!$C$6:$C$17="W-4 change")*(Events!$B$6:$B$17&lt;=$B60)*(Events!$B$6:$B$17&lt;&gt;"")),Events!$E$6:$E$17),Inputs!$C$15))</f>
      </c>
      <c r="AQ60" s="7">
        <f>IF($B60="","",IFERROR(LOOKUP(2,1/((Events!$C$6:$C$17="W-4 change")*(Events!$B$6:$B$17&lt;=$B60)*(Events!$B$6:$B$17&lt;&gt;"")),Events!$F$6:$F$17),Inputs!$C$16))</f>
      </c>
      <c r="AR60" s="7">
        <f>IF($B60="","",IFERROR(LOOKUP(2,1/((Events!$C$6:$C$17="W-4 change")*(Events!$B$6:$B$17&lt;=$B60)*(Events!$B$6:$B$17&lt;&gt;"")),Events!$G$6:$G$17),Inputs!$C$17))</f>
      </c>
      <c r="AS60" s="6">
        <f>IF($B60="","",IFERROR(LOOKUP(2,1/(((Events!$C$6:$C$17="State move")+(Events!$C$6:$C$17="State cert change"))*(Events!$B$6:$B$17&lt;=$B60)*(Events!$B$6:$B$17&lt;&gt;"")),Events!$F$6:$F$17),Inputs!$C$23))</f>
      </c>
      <c r="AT60" s="6">
        <f>IF($B60="","",IFERROR(LOOKUP(2,1/(((Events!$C$6:$C$17="State move")+(Events!$C$6:$C$17="State cert change"))*(Events!$B$6:$B$17&lt;=$B60)*(Events!$B$6:$B$17&lt;&gt;"")),Events!$G$6:$G$17),Inputs!$C$24))</f>
      </c>
      <c r="AU60">
        <f>IF($B60="","",IFERROR(LOOKUP(2,1/((Events!$C$6:$C$17="State move")*(Events!$B$6:$B$17&lt;=$B60)*(Events!$B$6:$B$17&lt;&gt;"")),Events!$E$6:$E$17),Inputs!$C$22))</f>
      </c>
      <c r="AV60" s="6">
        <f>IF($B60="","",1+COUNTIFS(Events!$C$6:$C$17,"Employer change",Events!$B$6:$B$17,"&lt;="&amp;$B60,Events!$B$6:$B$17,"&lt;&gt;"))</f>
      </c>
      <c r="AW60" s="7">
        <f>IF($B60="","",IF($AV60=1,Inputs!$C$94,IF(IFERROR(MATCH(IFERROR(LOOKUP(2,1/((Events!$C$6:$C$17="Employer change")*(Events!$B$6:$B$17&lt;=$B60)*(Events!$B$6:$B$17&lt;&gt;"")),Events!$B$6:$B$17),""),$B$6:$B$68,1),1)&lt;=1,Inputs!$C$94,INDEX($AB$6:$AB$68,MATCH(IFERROR(LOOKUP(2,1/((Events!$C$6:$C$17="Employer change")*(Events!$B$6:$B$17&lt;=$B60)*(Events!$B$6:$B$17&lt;&gt;"")),Events!$B$6:$B$17),""),$B$6:$B$68,1)-1))))</f>
      </c>
      <c r="AX60" s="7">
        <f>IF($B60="","",IF($AV60=1,Inputs!$C$94,IFERROR(LOOKUP(2,1/((Events!$C$6:$C$17="Employer change")*(Events!$B$6:$B$17&lt;=$B60)*(Events!$B$6:$B$17&lt;&gt;"")),Events!$D$6:$D$17),0)))</f>
      </c>
      <c r="AY60" s="7">
        <f>IF($B60="","",($O60-$D60)*Inputs!$C$8)</f>
      </c>
      <c r="AZ60" s="7">
        <f>IF($B60="","",IF($AN60="AL",MAX(0,$AY60-IF($AU60="Married",IF($AY60&lt;=25999,8500,MAX(5000,8500-175*CEILING(($AY60-25999)/500,1))),IF($AU60="Head of household",IF($AY60&lt;=25999,5200,MAX(2500,5200-135*CEILING(($AY60-25999)/500,1))),IF($AY60&lt;=25999,3000,MAX(2500,3000-25*CEILING(($AY60-25999)/500,1)))))-($P60-'Methodology &amp; Sources'!$C$10*$D60)*Inputs!$C$8-IF(OR($AU60="Married",$AU60="Head of household"),3000,1500)-$AT60*IF($AY60&lt;=50000,1000,IF($AY60&lt;=100000,500,300))),IF($AN60="AR",IF(MAX(0,$AY60-2470)&lt;97701,INT(MAX(0,$AY60-2470)/100)*100+50,MAX(0,$AY60-2470)),IF($AN60="DE",MAX(0,$AI60-3250),IF($AN60="HI",MAX(0,$AI60-1144*$AS60-4350),IF($AN60="KS",MAX(0,$AI60-(9160*IF($AU60="Married",2,1)+2320*$AT60+IF($AU60="Head of household",2320,0))),IF($AN60="MD",MAX(0,$AI60-3400-3200*$AS60),IF($AN60="MN",MAX(0,$AY60-5300*$AS60),IF($AN60="MO",MAX(0,$AI60-IF($AU60="Head of household",24150,IF($AU60="Married",IF(Inputs!$C$83,16100,32200),16100))),IF($AN60="MT",$AY60,IF($AN60="ND",($C60+$L60)*Inputs!$C$8,IF($AN60="NE",MAX(0,$AY60-2440*$AS60),IF($AN60="NJ",MAX(0,$AY60-1000*$AS60),IF($AN60="NY",MAX(0,$AY60-(IF($AU60="Married",7950,7400)+1000*$AS60)),IF($AN60="OH",MAX(0,$AY60-650*$AS60),IF($AN60="OK",MAX(0,$AY60-1000*$AS60),IF($AN60="RI",MAX(0,$AI60-1000*$AS60),IF($AN60="SC",MAX(0,$AI60-5000*$AS60-IF($AS60=0,0,MIN(0.1*$AI60,7500))),IF($AN60="VA",MAX(0,$AI60-IF($AU60="Married",17500,8750)-930*$AS60-800*$AT60),IF($AN60="VT",MAX(0,$AI60-5400*$AS60),IF($AN60="WI",MAX(0,$AI60-MAX(0,IF($AU60="Married",9461-0.2*MAX(0,$AI60-25727),6702-0.12*MAX(0,$AI60-17780)))-400*$AS60),IF($AN60="WV",MAX(0,$AI60-2000*$AS60),$AI60))))))))))))))))))))))</f>
      </c>
      <c r="BA60" s="7">
        <f>IF($B60="","",IF($BW60&lt;&gt;"",$BW60,IF($BX60&lt;&gt;"",$BX60,IF($BY60&lt;&gt;"",$BY60,0))))</f>
      </c>
      <c r="BB60" s="7">
        <f>IF($B60="","",IF($AN60="AR",-29*$AS60,IF($AN60="DE",-110*$AS60,IF($AN60="MD",$AZ60*Inputs!$C$74,IF($AN60="AZ",Inputs!$C$82*($M60-$D60)*Inputs!$C$8,IF($AN60="CO",0.044*MAX(0,$AY60-IF($AU60="Married",10000,5000)),IF($AN60="IA",MAX(0,0.038*MAX(0,$AY60-IF($AU60="Head of household",19500,IF($AU60="Married",26000,13000)))-40*$AS60),IF($AN60="ID",0.053*MAX(0,$AY60-IF($AU60="Married",32000,16094)),IF($AN60="IL",0.0495*MAX(0,$AY60-(2925*$AS60+1000*$AT60)),IF($AN60="IN",(0.0295+Inputs!$C$76)*MAX(0,$AY60-(1000*$AS60+1500*$AT60+3000*Inputs!$C$86)),IF($AN60="KY",0.035*MAX(0,$AI60-3360),IF($AN60="LA",IF(Inputs!$C$84="0",0.0309*$AI60,0.0309*MAX(0,$AI60-IF(Inputs!$C$84="2",25750,12875))),IF($AN60="MA",0.05*MIN(MAX(0,$AY60-MIN(($BD59+$Q60+$R60+$S60),2000)-IF($AS60=0,0,IF($AS60=1,4400,1000*$AS60+3400))),1107750)+0.09*MAX(0,MAX(0,$AY60-MIN(($BD59+$Q60+$R60+$S60),2000)-IF($AS60=0,0,IF($AS60=1,4400,1000*$AS60+3400)))-1107750)-IF($AU60="Head of household",120,0)-110*Inputs!$C$75,IF($AN60="MI",0.0425*MAX(0,$AY60-5900*$AS60),IF($AN60="MS",0.04*MAX(0,$AI60-IF($AU60="Head of household",3400,IF($AU60="Married",4600,2300))-Inputs!$C$85-10000),IF($AN60="OR",IF(OR($AU60="Married",AND($AU60="Single",$AS60&gt;=3)),SUMPRODUCT((MAX(0,$AY60-MIN(($P60-'Methodology &amp; Sources'!$C$10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Sources'!$B$211:$J$214,0,4))*(MAX(0,$AY60-MIN(($P60-'Methodology &amp; Sources'!$C$10*$D60)*Inputs!$C$8,IF(OR($AU60="Married",AND($AU60="Single",$AS60&gt;=3)),IF($AY60&lt;250000,8750,IF($AY60&lt;260000,7000,IF($AY60&lt;270000,5250,IF($AY60&lt;280000,3500,IF($AY60&lt;290000,1750,0))))),IF($AY60&lt;125000,8750,IF($AY60&lt;130000,7000,IF($AY60&lt;135000,5250,IF($AY60&lt;140000,3500,IF($AY60&lt;145000,1750,0)))))))-IF(OR($AU60="Married",AND($AU60="Single",$AS60&gt;=3)),5820,2910))-INDEX('Methodology &amp; Sources'!$B$211:$J$214,0,4))*INDEX('Methodology &amp; Sources'!$B$211:$J$214,0,4+2)),SUMPRODUCT((MAX(0,$AY60-MIN(($P60-'Methodology &amp; Sources'!$C$10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Sources'!$B$211:$J$214,0,1))*(MAX(0,$AY60-MIN(($P60-'Methodology &amp; Sources'!$C$10*$D60)*Inputs!$C$8,IF(OR($AU60="Married",AND($AU60="Single",$AS60&gt;=3)),IF($AY60&lt;250000,8750,IF($AY60&lt;260000,7000,IF($AY60&lt;270000,5250,IF($AY60&lt;280000,3500,IF($AY60&lt;290000,1750,0))))),IF($AY60&lt;125000,8750,IF($AY60&lt;130000,7000,IF($AY60&lt;135000,5250,IF($AY60&lt;140000,3500,IF($AY60&lt;145000,1750,0)))))))-IF(OR($AU60="Married",AND($AU60="Single",$AS60&gt;=3)),5820,2910))-INDEX('Methodology &amp; Sources'!$B$211:$J$214,0,1))*INDEX('Methodology &amp; Sources'!$B$211:$J$214,0,1+2)))+263-263*IF(IF($AU60="Married",$AY60&gt;200000,$AY60&gt;100000),0,$AS60),IF($AN60="PA",0.0307*(($O60+$E60+$G60)*Inputs!$C$8),IF($AN60="NY",IF($AU60="Married",IF($AZ60&gt;=2155350,0,IF($AZ60&gt;=1077550,0.48,IF($AZ60&gt;=373200,1.21,IF($AZ60&gt;=323200,0.21,IF($AZ60&gt;=211550,-0.19,IF($AZ60&gt;=157650,-2.8,IF($AZ60&gt;=107650,-0.8,IF($AZ60&gt;=96800,0.05,IF($AZ60&gt;=80650,-0.1,IF($AZ60&gt;=13900,0.4,IF($AZ60&gt;=11700,-0.3,IF($AZ60&gt;=8500,0.5,0)))))))))))),IF($AZ60&gt;=1077550,0,IF($AZ60&gt;=265400,4.29,IF($AZ60&gt;=215400,2.29,IF($AZ60&gt;=157650,2.29,IF($AZ60&gt;=107650,0.29,IF($AZ60&gt;=96800,0.05,IF($AZ60&gt;=80650,-0.1,IF($AZ60&gt;=13900,0.4,IF($AZ60&gt;=11700,-0.3,IF($AZ60&gt;=8500,0.5,0))))))))))),0))))))))))))))))))</f>
      </c>
      <c r="BC60" s="7">
        <f>IF($B60="","",IF($AN60="AL",0.05*$D60,IF($AN60="AR",0.039*$D60,IF($AN60="ID",0.053*$D60,IF($AN60="IN",(0.0295+Inputs!$C$76)*$D60,IF($AN60="KS",0.05*$D60,IF($AN60="MA",0.09*MIN($D60,MAX(0,MAX(0,$AY60-MIN(($BD59+$Q60+$R60+$S60),2000)-IF($AS60=0,0,IF($AS60=1,4400,1000*$AS60+3400)))+$D60-1107750))+0.05*($D60-MIN($D60,MAX(0,MAX(0,$AY60-MIN(($BD59+$Q60+$R60+$S60),2000)-IF($AS60=0,0,IF($AS60=1,4400,1000*$AS60+3400)))+$D60-1107750))),IF($AN60="MD",(0.065+Inputs!$C$74)*$D60,IF($AN60="MI",0.0425*$D60,IF($AN60="MN",0.0625*$D60,IF($AN60="MO",0.047*$D60,IF($AN60="MT",0.05*$D60,IF($AN60="ND",0.015*$D60,IF($AN60="NE",0.035*$D60,IF($AN60="NJ",IF(Inputs!$C$77="B",SUMPRODUCT(($D60*Inputs!$C$8&gt;INDEX('Methodology &amp; Sources'!$B$155:$J$162,0,4))*($D60*Inputs!$C$8-INDEX('Methodology &amp; Sources'!$B$155:$J$162,0,4))*INDEX('Methodology &amp; Sources'!$B$155:$J$162,0,4+2)),IF(Inputs!$C$77="C",SUMPRODUCT(($D60*Inputs!$C$8&gt;INDEX('Methodology &amp; Sources'!$B$155:$J$162,0,7))*($D60*Inputs!$C$8-INDEX('Methodology &amp; Sources'!$B$155:$J$162,0,7))*INDEX('Methodology &amp; Sources'!$B$155:$J$162,0,7+2)),IF(Inputs!$C$77="D",SUMPRODUCT(($D60*Inputs!$C$8&gt;INDEX('Methodology &amp; Sources'!$B$167:$J$179,0,1))*($D60*Inputs!$C$8-INDEX('Methodology &amp; Sources'!$B$167:$J$179,0,1))*INDEX('Methodology &amp; Sources'!$B$167:$J$179,0,1+2)),IF(Inputs!$C$77="E",SUMPRODUCT(($D60*Inputs!$C$8&gt;INDEX('Methodology &amp; Sources'!$B$167:$J$179,0,4))*($D60*Inputs!$C$8-INDEX('Methodology &amp; Sources'!$B$167:$J$179,0,4))*INDEX('Methodology &amp; Sources'!$B$167:$J$179,0,4+2)),SUMPRODUCT(($D60*Inputs!$C$8&gt;INDEX('Methodology &amp; Sources'!$B$155:$J$162,0,1))*($D60*Inputs!$C$8-INDEX('Methodology &amp; Sources'!$B$155:$J$162,0,1))*INDEX('Methodology &amp; Sources'!$B$155:$J$162,0,1+2))))))/Inputs!$C$8,IF($AN60="NY",0.117*$D60,IF($AN60="OH",0.0275*$D60,IF($AN60="OK",0.045*$D60,IF($AN60="OR",0.08*$D60,IF($AN60="WI",IF($AY60&lt;12760,0.0354,IF($AY60&lt;25520,0.0465,IF($AY60&lt;280950,0.053,0.0765)))*$D60,0))))))))))))))))))))</f>
      </c>
      <c r="BD60" s="7">
        <f>IF($B60="","",$BD59+$Q60+$R60+$S60)</f>
      </c>
      <c r="BE60" s="6">
        <f>IF($B60="",$BE59,$BE59+$BF60)</f>
      </c>
      <c r="BF60" s="6">
        <f>IF($B60="","",IF(AND(IF(YEAR(IF(Inputs!$C$7="Weekly",Inputs!$C$90+7*(($BE59+1)-1),IF(Inputs!$C$7="Biweekly",Inputs!$C$90+14*(($BE59+1)-1),IF(Inputs!$C$7="Semimonthly",DATE(YEAR(Inputs!$C$9),MONTH(Inputs!$C$9)+INT((($BE59+1)-1+'Rest of 2026'!$C$2)/2),MIN(DAY(Inputs!$C$9),DAY(EOMONTH(DATE(YEAR(Inputs!$C$9),MONTH(Inputs!$C$9)+INT((($BE59+1)-1+'Rest of 2026'!$C$2)/2),1),0))))+IF(MOD(($BE59+1)-1+'Rest of 2026'!$C$2,2)=1,15,0),EDATE(Inputs!$C$90,($BE59+1)-1)))))&lt;&gt;Inputs!$C$10,"",IF(Inputs!$C$7="Weekly",Inputs!$C$90+7*(($BE59+1)-1),IF(Inputs!$C$7="Biweekly",Inputs!$C$90+14*(($BE59+1)-1),IF(Inputs!$C$7="Semimonthly",DATE(YEAR(Inputs!$C$9),MONTH(Inputs!$C$9)+INT((($BE59+1)-1+'Rest of 2026'!$C$2)/2),MIN(DAY(Inputs!$C$9),DAY(EOMONTH(DATE(YEAR(Inputs!$C$9),MONTH(Inputs!$C$9)+INT((($BE59+1)-1+'Rest of 2026'!$C$2)/2),1),0))))+IF(MOD(($BE59+1)-1+'Rest of 2026'!$C$2,2)=1,15,0),EDATE(Inputs!$C$90,($BE59+1)-1)))))&lt;&gt;"",$B60=IF(YEAR(IF(Inputs!$C$7="Weekly",Inputs!$C$90+7*(($BE59+1)-1),IF(Inputs!$C$7="Biweekly",Inputs!$C$90+14*(($BE59+1)-1),IF(Inputs!$C$7="Semimonthly",DATE(YEAR(Inputs!$C$9),MONTH(Inputs!$C$9)+INT((($BE59+1)-1+'Rest of 2026'!$C$2)/2),MIN(DAY(Inputs!$C$9),DAY(EOMONTH(DATE(YEAR(Inputs!$C$9),MONTH(Inputs!$C$9)+INT((($BE59+1)-1+'Rest of 2026'!$C$2)/2),1),0))))+IF(MOD(($BE59+1)-1+'Rest of 2026'!$C$2,2)=1,15,0),EDATE(Inputs!$C$90,($BE59+1)-1)))))&lt;&gt;Inputs!$C$10,"",IF(Inputs!$C$7="Weekly",Inputs!$C$90+7*(($BE59+1)-1),IF(Inputs!$C$7="Biweekly",Inputs!$C$90+14*(($BE59+1)-1),IF(Inputs!$C$7="Semimonthly",DATE(YEAR(Inputs!$C$9),MONTH(Inputs!$C$9)+INT((($BE59+1)-1+'Rest of 2026'!$C$2)/2),MIN(DAY(Inputs!$C$9),DAY(EOMONTH(DATE(YEAR(Inputs!$C$9),MONTH(Inputs!$C$9)+INT((($BE59+1)-1+'Rest of 2026'!$C$2)/2),1),0))))+IF(MOD(($BE59+1)-1+'Rest of 2026'!$C$2,2)=1,15,0),EDATE(Inputs!$C$90,($BE59+1)-1)))))),1,0))</f>
      </c>
      <c r="BG60" s="7">
        <f>IF($B60="","",$BG59+$H60)</f>
      </c>
      <c r="BH60" s="7">
        <f>IF($B60="","",$BH59+$I60)</f>
      </c>
      <c r="BI60" s="7">
        <f>IF($B60="","",$BI59+$G60)</f>
      </c>
      <c r="BJ60" s="7">
        <f>IF($B60="","",IFERROR(LOOKUP(2,1/((((Events!$C$6:$C$17="Deduction start"))*(Events!$D$6:$D$17="Health FSA"))*(Events!$B$6:$B$17&lt;=$B60)*(Events!$B$6:$B$17&lt;&gt;"")),Events!$E$6:$E$17),Inputs!$D$38))</f>
      </c>
      <c r="BK60" s="7">
        <f>IF($B60="","",IFERROR(LOOKUP(2,1/((((Events!$C$6:$C$17="Deduction start"))*(Events!$D$6:$D$17="Dependent-care FSA"))*(Events!$B$6:$B$17&lt;=$B60)*(Events!$B$6:$B$17&lt;&gt;"")),Events!$E$6:$E$17),Inputs!$D$39))</f>
      </c>
      <c r="BL60" s="7">
        <f>IF($B60="","",IFERROR(LOOKUP(2,1/((((Events!$C$6:$C$17="Deduction start")+(Events!$C$6:$C$17="Deduction stop"))*(Events!$D$6:$D$17="HSA"))*(Events!$B$6:$B$17&lt;=$B60)*(Events!$B$6:$B$17&lt;&gt;"")),Events!$I$6:$I$17),Inputs!$D$35))</f>
      </c>
      <c r="BM60" s="7">
        <f>IF($B60="","",IFERROR(LOOKUP(2,1/((((Events!$C$6:$C$17="Deduction start")+(Events!$C$6:$C$17="Deduction stop"))*(Events!$D$6:$D$17="Premiums"))*(Events!$B$6:$B$17&lt;=$B60)*(Events!$B$6:$B$17&lt;&gt;"")),Events!$I$6:$I$17),Inputs!$D$40+Inputs!$D$41+Inputs!$D$42))</f>
      </c>
      <c r="BN60" s="7">
        <f>IF($B60="","",IFERROR(LOOKUP(2,1/((((Events!$C$6:$C$17="Deduction start")+(Events!$C$6:$C$17="Deduction stop"))*(Events!$D$6:$D$17="Commuter"))*(Events!$B$6:$B$17&lt;=$B60)*(Events!$B$6:$B$17&lt;&gt;"")),Events!$I$6:$I$17),Inputs!$D$43))</f>
      </c>
      <c r="BO60" s="7">
        <f>IF($B60="","",IFERROR(LOOKUP(2,1/((((Events!$C$6:$C$17="Deduction start")+(Events!$C$6:$C$17="Deduction stop"))*(Events!$D$6:$D$17="Other pre-tax"))*(Events!$B$6:$B$17&lt;=$B60)*(Events!$B$6:$B$17&lt;&gt;"")),Events!$I$6:$I$17),Inputs!$D$44))</f>
      </c>
      <c r="BP60" s="7">
        <f>IF($B60="","",IFERROR(LOOKUP(2,1/((((Events!$C$6:$C$17="Deduction start")+(Events!$C$6:$C$17="Deduction stop"))*(Events!$D$6:$D$17="Other post-tax"))*(Events!$B$6:$B$17&lt;=$B60)*(Events!$B$6:$B$17&lt;&gt;"")),Events!$I$6:$I$17),Inputs!$D$45))</f>
      </c>
      <c r="BQ60" s="6">
        <f>IF($B60="","",IFERROR(LOOKUP(2,1/((((Events!$C$6:$C$17="Deduction start")+(Events!$C$6:$C$17="Deduction stop"))*(Events!$D$6:$D$17="Health FSA"))*(Events!$B$6:$B$17&lt;=$B60)*(Events!$B$6:$B$17&lt;&gt;"")),Events!$J$6:$J$17),0))</f>
      </c>
      <c r="BR60" s="6">
        <f>IF($B60="","",IFERROR(LOOKUP(2,1/((((Events!$C$6:$C$17="Deduction start")+(Events!$C$6:$C$17="Deduction stop"))*(Events!$D$6:$D$17="Dependent-care FSA"))*(Events!$B$6:$B$17&lt;=$B60)*(Events!$B$6:$B$17&lt;&gt;"")),Events!$J$6:$J$17),0))</f>
      </c>
      <c r="BS60" s="6">
        <f>IF($B60="","",IF(SUMPRODUCT((Events!$C$6:$C$17="Deduction start")*(Events!$B$6:$B$17&lt;=$B60)*(Events!$B$6:$B$17&lt;&gt;"")*(Events!$D$6:$D$17="Health FSA"))&gt;0,1,0))</f>
      </c>
      <c r="BT60" s="6">
        <f>IF($B60="","",IF(SUMPRODUCT((Events!$C$6:$C$17="Deduction start")*(Events!$B$6:$B$17&lt;=$B60)*(Events!$B$6:$B$17&lt;&gt;"")*(Events!$D$6:$D$17="Dependent-care FSA"))&gt;0,1,0))</f>
      </c>
      <c r="BU60" s="24">
        <f>IF($B60="","",IF(Inputs!$C$13,SUMPRODUCT(($AH60&gt;=INDEX('Methodology &amp; Sources'!$B$29:$J$36,0,IF(Inputs!$C$12="MFJ",1,IF(Inputs!$C$12="HoH",7,4))))*INDEX('Methodology &amp; Sources'!$B$29:$J$36,0,IF(Inputs!$C$12="MFJ",1,IF(Inputs!$C$12="HoH",7,4))+2)),SUMPRODUCT(($AH60&gt;=INDEX('Methodology &amp; Sources'!$B$19:$J$26,0,IF(Inputs!$C$12="MFJ",1,IF(Inputs!$C$12="HoH",7,4))))*INDEX('Methodology &amp; Sources'!$B$19:$J$26,0,IF(Inputs!$C$12="MFJ",1,IF(Inputs!$C$12="HoH",7,4))+2))))</f>
      </c>
      <c r="BV60" s="24">
        <f>IF($B60="","",IF($BZ60&lt;&gt;"",$BZ60,IF($CA60&lt;&gt;"",$CA60,IF($CB60&lt;&gt;"",$CB60,IF($CC60&lt;&gt;"",$CC60,0)))))</f>
      </c>
      <c r="BW60" s="7">
        <f>IF($B60="","",IF($AN60="MD",IF(OR($AU60="Married",$AU60="Head of household"),SUMPRODUCT(($AZ60&gt;INDEX('Methodology &amp; Sources'!$B$114:$J$120,0,1))*($AZ60-INDEX('Methodology &amp; Sources'!$B$114:$J$120,0,1))*INDEX('Methodology &amp; Sources'!$B$114:$J$120,0,1+2)),SUMPRODUCT(($AZ60&gt;INDEX('Methodology &amp; Sources'!$B$103:$J$109,0,7))*($AZ60-INDEX('Methodology &amp; Sources'!$B$103:$J$109,0,7))*INDEX('Methodology &amp; Sources'!$B$103:$J$109,0,7+2))),IF($AN60="MO",SUMPRODUCT(($AZ60&gt;INDEX('Methodology &amp; Sources'!$B$125:$J$132,0,1))*($AZ60-INDEX('Methodology &amp; Sources'!$B$125:$J$132,0,1))*INDEX('Methodology &amp; Sources'!$B$125:$J$132,0,1+2)),IF($AN60="MT",IF($AU60="Head of household",SUMPRODUCT(($AZ60&gt;INDEX('Methodology &amp; Sources'!$B$137:$J$139,0,1))*($AZ60-INDEX('Methodology &amp; Sources'!$B$137:$J$139,0,1))*INDEX('Methodology &amp; Sources'!$B$137:$J$139,0,1+2)),IF($AU60="Married",SUMPRODUCT(($AZ60&gt;INDEX('Methodology &amp; Sources'!$B$125:$J$132,0,7))*($AZ60-INDEX('Methodology &amp; Sources'!$B$125:$J$132,0,7))*INDEX('Methodology &amp; Sources'!$B$125:$J$132,0,7+2)),SUMPRODUCT(($AZ60&gt;INDEX('Methodology &amp; Sources'!$B$125:$J$132,0,4))*($AZ60-INDEX('Methodology &amp; Sources'!$B$125:$J$132,0,4))*INDEX('Methodology &amp; Sources'!$B$125:$J$132,0,4+2)))),IF($AN60="ND",IF($AU60="Head of household",SUMPRODUCT(($AZ60&gt;INDEX('Methodology &amp; Sources'!$B$144:$J$150,0,1))*($AZ60-INDEX('Methodology &amp; Sources'!$B$144:$J$150,0,1))*INDEX('Methodology &amp; Sources'!$B$144:$J$150,0,1+2)),IF($AU60="Married",SUMPRODUCT(($AZ60&gt;INDEX('Methodology &amp; Sources'!$B$137:$J$139,0,7))*($AZ60-INDEX('Methodology &amp; Sources'!$B$137:$J$139,0,7))*INDEX('Methodology &amp; Sources'!$B$137:$J$139,0,7+2)),SUMPRODUCT(($AZ60&gt;INDEX('Methodology &amp; Sources'!$B$137:$J$139,0,4))*($AZ60-INDEX('Methodology &amp; Sources'!$B$137:$J$139,0,4))*INDEX('Methodology &amp; Sources'!$B$137:$J$139,0,4+2)))),IF($AN60="NJ",IF(Inputs!$C$77="B",SUMPRODUCT(($AZ60&gt;INDEX('Methodology &amp; Sources'!$B$155:$J$162,0,4))*($AZ60-INDEX('Methodology &amp; Sources'!$B$155:$J$162,0,4))*INDEX('Methodology &amp; Sources'!$B$155:$J$162,0,4+2)),IF(Inputs!$C$77="C",SUMPRODUCT(($AZ60&gt;INDEX('Methodology &amp; Sources'!$B$155:$J$162,0,7))*($AZ60-INDEX('Methodology &amp; Sources'!$B$155:$J$162,0,7))*INDEX('Methodology &amp; Sources'!$B$155:$J$162,0,7+2)),IF(Inputs!$C$77="D",SUMPRODUCT(($AZ60&gt;INDEX('Methodology &amp; Sources'!$B$167:$J$179,0,1))*($AZ60-INDEX('Methodology &amp; Sources'!$B$167:$J$179,0,1))*INDEX('Methodology &amp; Sources'!$B$167:$J$179,0,1+2)),IF(Inputs!$C$77="E",SUMPRODUCT(($AZ60&gt;INDEX('Methodology &amp; Sources'!$B$167:$J$179,0,4))*($AZ60-INDEX('Methodology &amp; Sources'!$B$167:$J$179,0,4))*INDEX('Methodology &amp; Sources'!$B$167:$J$179,0,4+2)),SUMPRODUCT(($AZ60&gt;INDEX('Methodology &amp; Sources'!$B$155:$J$162,0,1))*($AZ60-INDEX('Methodology &amp; Sources'!$B$155:$J$162,0,1))*INDEX('Methodology &amp; Sources'!$B$155:$J$162,0,1+2)))))),IF($AN60="NY",IF($AU60="Married",IF($AZ60&gt;=2155350,$AZ60*IF($AZ60&gt;25000000,0.117,IF($AZ60&gt;5000000,0.111,0.1045)),SUMPRODUCT(($AZ60&gt;INDEX('Methodology &amp; Sources'!$B$184:$J$198,0,1))*($AZ60-INDEX('Methodology &amp; Sources'!$B$184:$J$198,0,1))*INDEX('Methodology &amp; Sources'!$B$184:$J$198,0,1+2))),IF($AZ60&gt;=1077550,$AZ60*IF($AZ60&gt;25000000,0.117,IF($AZ60&gt;5000000,0.111,0.1045)),SUMPRODUCT(($AZ60&gt;INDEX('Methodology &amp; Sources'!$B$167:$J$179,0,7))*($AZ60-INDEX('Methodology &amp; Sources'!$B$167:$J$179,0,7))*INDEX('Methodology &amp; Sources'!$B$167:$J$179,0,7+2)))),"")))))))</f>
      </c>
      <c r="BX60" s="7">
        <f>IF($B60="","",IF($AN60="AL",IF(OR($AU60="Married",$AU60="Head of household"),SUMPRODUCT(($AZ60&gt;INDEX('Methodology &amp; Sources'!$B$82:$J$86,0,4))*($AZ60-INDEX('Methodology &amp; Sources'!$B$82:$J$86,0,4))*INDEX('Methodology &amp; Sources'!$B$82:$J$86,0,4+2)),SUMPRODUCT(($AZ60&gt;INDEX('Methodology &amp; Sources'!$B$82:$J$86,0,1))*($AZ60-INDEX('Methodology &amp; Sources'!$B$82:$J$86,0,1))*INDEX('Methodology &amp; Sources'!$B$82:$J$86,0,1+2))),IF($AN60="KS",IF($AU60="Married",SUMPRODUCT(($AZ60&gt;INDEX('Methodology &amp; Sources'!$B$103:$J$109,0,4))*($AZ60-INDEX('Methodology &amp; Sources'!$B$103:$J$109,0,4))*INDEX('Methodology &amp; Sources'!$B$103:$J$109,0,4+2)),SUMPRODUCT(($AZ60&gt;INDEX('Methodology &amp; Sources'!$B$103:$J$109,0,1))*($AZ60-INDEX('Methodology &amp; Sources'!$B$103:$J$109,0,1))*INDEX('Methodology &amp; Sources'!$B$103:$J$109,0,1+2))),IF($AN60="MN",IF($AU60="Married",SUMPRODUCT(($AZ60&gt;INDEX('Methodology &amp; Sources'!$B$114:$J$120,0,7))*($AZ60-INDEX('Methodology &amp; Sources'!$B$114:$J$120,0,7))*INDEX('Methodology &amp; Sources'!$B$114:$J$120,0,7+2)),SUMPRODUCT(($AZ60&gt;INDEX('Methodology &amp; Sources'!$B$114:$J$120,0,4))*($AZ60-INDEX('Methodology &amp; Sources'!$B$114:$J$120,0,4))*INDEX('Methodology &amp; Sources'!$B$114:$J$120,0,4+2))),IF($AN60="NE",MAX(IF($AU60="Married",SUMPRODUCT(($AZ60&gt;INDEX('Methodology &amp; Sources'!$B$144:$J$150,0,7))*($AZ60-INDEX('Methodology &amp; Sources'!$B$144:$J$150,0,7))*INDEX('Methodology &amp; Sources'!$B$144:$J$150,0,7+2)),SUMPRODUCT(($AZ60&gt;INDEX('Methodology &amp; Sources'!$B$144:$J$150,0,4))*($AZ60-INDEX('Methodology &amp; Sources'!$B$144:$J$150,0,4))*INDEX('Methodology &amp; Sources'!$B$144:$J$150,0,4+2))),0.015*$AZ60),IF($AN60="OH",IF($B60&gt;=DATE(2027,8,1),SUMPRODUCT(($AZ60&gt;INDEX('Methodology &amp; Sources'!$B$203:$J$206,0,1))*($AZ60-INDEX('Methodology &amp; Sources'!$B$203:$J$206,0,1))*INDEX('Methodology &amp; Sources'!$B$203:$J$206,0,1+2)),SUMPRODUCT(($AZ60&gt;INDEX('Methodology &amp; Sources'!$B$184:$J$198,0,7))*($AZ60-INDEX('Methodology &amp; Sources'!$B$184:$J$198,0,7))*INDEX('Methodology &amp; Sources'!$B$184:$J$198,0,7+2))),IF($AN60="OK",IF($AU60="Married",SUMPRODUCT(($AZ60&gt;INDEX('Methodology &amp; Sources'!$B$203:$J$206,0,7))*($AZ60-INDEX('Methodology &amp; Sources'!$B$203:$J$206,0,7))*INDEX('Methodology &amp; Sources'!$B$203:$J$206,0,7+2)),SUMPRODUCT(($AZ60&gt;INDEX('Methodology &amp; Sources'!$B$203:$J$206,0,4))*($AZ60-INDEX('Methodology &amp; Sources'!$B$203:$J$206,0,4))*INDEX('Methodology &amp; Sources'!$B$203:$J$206,0,4+2))),IF($AN60="RI",SUMPRODUCT(($AZ60&gt;INDEX('Methodology &amp; Sources'!$B$211:$J$214,0,7))*($AZ60-INDEX('Methodology &amp; Sources'!$B$211:$J$214,0,7))*INDEX('Methodology &amp; Sources'!$B$211:$J$214,0,7+2)),IF($AN60="VT",IF($AU60="Married",SUMPRODUCT(($AZ60&gt;INDEX('Methodology &amp; Sources'!$B$228:$J$232,0,1))*($AZ60-INDEX('Methodology &amp; Sources'!$B$228:$J$232,0,1))*INDEX('Methodology &amp; Sources'!$B$228:$J$232,0,1+2)),SUMPRODUCT(($AZ60&gt;INDEX('Methodology &amp; Sources'!$B$219:$J$223,0,7))*($AZ60-INDEX('Methodology &amp; Sources'!$B$219:$J$223,0,7))*INDEX('Methodology &amp; Sources'!$B$219:$J$223,0,7+2))),IF($AN60="WV",IF($AU60="Married",SUMPRODUCT(($AZ60&gt;INDEX('Methodology &amp; Sources'!$B$237:$J$241,0,7))*($AZ60-INDEX('Methodology &amp; Sources'!$B$237:$J$241,0,7))*INDEX('Methodology &amp; Sources'!$B$237:$J$241,0,7+2)),SUMPRODUCT(($AZ60&gt;INDEX('Methodology &amp; Sources'!$B$228:$J$232,0,7))*($AZ60-INDEX('Methodology &amp; Sources'!$B$228:$J$232,0,7))*INDEX('Methodology &amp; Sources'!$B$228:$J$232,0,7+2))),""))))))))))</f>
      </c>
      <c r="BY60" s="7">
        <f>IF($B60="","",IF($AN60="AR",SUMPRODUCT(($AZ60&gt;INDEX('Methodology &amp; Sources'!$B$82:$J$86,0,7))*($AZ60-INDEX('Methodology &amp; Sources'!$B$82:$J$86,0,7))*INDEX('Methodology &amp; Sources'!$B$82:$J$86,0,7+2)),IF($AN60="DE",SUMPRODUCT(($AZ60&gt;INDEX('Methodology &amp; Sources'!$B$91:$J$98,0,1))*($AZ60-INDEX('Methodology &amp; Sources'!$B$91:$J$98,0,1))*INDEX('Methodology &amp; Sources'!$B$91:$J$98,0,1+2)),IF($AN60="HI",IF($AU60="Married",SUMPRODUCT(($AZ60&gt;INDEX('Methodology &amp; Sources'!$B$91:$J$98,0,7))*($AZ60-INDEX('Methodology &amp; Sources'!$B$91:$J$98,0,7))*INDEX('Methodology &amp; Sources'!$B$91:$J$98,0,7+2)),SUMPRODUCT(($AZ60&gt;INDEX('Methodology &amp; Sources'!$B$91:$J$98,0,4))*($AZ60-INDEX('Methodology &amp; Sources'!$B$91:$J$98,0,4))*INDEX('Methodology &amp; Sources'!$B$91:$J$98,0,4+2))),IF($AN60="SC",SUMPRODUCT(($AZ60&gt;INDEX('Methodology &amp; Sources'!$B$219:$J$223,0,1))*($AZ60-INDEX('Methodology &amp; Sources'!$B$219:$J$223,0,1))*INDEX('Methodology &amp; Sources'!$B$219:$J$223,0,1+2)),IF($AN60="VA",SUMPRODUCT(($AZ60&gt;INDEX('Methodology &amp; Sources'!$B$219:$J$223,0,4))*($AZ60-INDEX('Methodology &amp; Sources'!$B$219:$J$223,0,4))*INDEX('Methodology &amp; Sources'!$B$219:$J$223,0,4+2)),IF($AN60="WI",SUMPRODUCT(($AZ60&gt;INDEX('Methodology &amp; Sources'!$B$228:$J$232,0,4))*($AZ60-INDEX('Methodology &amp; Sources'!$B$228:$J$232,0,4))*INDEX('Methodology &amp; Sources'!$B$228:$J$232,0,4+2)),"")))))))</f>
      </c>
      <c r="BZ60" s="24">
        <f>IF($B60="","",IF($AN60="NJ",IF(Inputs!$C$77="B",SUMPRODUCT(($AZ60&gt;=INDEX('Methodology &amp; Sources'!$B$155:$J$162,0,4))*INDEX('Methodology &amp; Sources'!$B$155:$J$162,0,4+2)),IF(Inputs!$C$77="C",SUMPRODUCT(($AZ60&gt;=INDEX('Methodology &amp; Sources'!$B$155:$J$162,0,7))*INDEX('Methodology &amp; Sources'!$B$155:$J$162,0,7+2)),IF(Inputs!$C$77="D",SUMPRODUCT(($AZ60&gt;=INDEX('Methodology &amp; Sources'!$B$167:$J$179,0,1))*INDEX('Methodology &amp; Sources'!$B$167:$J$179,0,1+2)),IF(Inputs!$C$77="E",SUMPRODUCT(($AZ60&gt;=INDEX('Methodology &amp; Sources'!$B$167:$J$179,0,4))*INDEX('Methodology &amp; Sources'!$B$167:$J$179,0,4+2)),SUMPRODUCT(($AZ60&gt;=INDEX('Methodology &amp; Sources'!$B$155:$J$162,0,1))*INDEX('Methodology &amp; Sources'!$B$155:$J$162,0,1+2)))))),IF($AN60="OR",IF(OR($AU60="Married",AND($AU60="Single",$AS60&gt;=3)),SUMPRODUCT((MAX(0,$AY60-MIN(($P60-'Methodology &amp; Sources'!$C$10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Sources'!$B$211:$J$214,0,4))*INDEX('Methodology &amp; Sources'!$B$211:$J$214,0,4+2)),SUMPRODUCT((MAX(0,$AY60-MIN(($P60-'Methodology &amp; Sources'!$C$10*$D60)*Inputs!$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Sources'!$B$211:$J$214,0,1))*INDEX('Methodology &amp; Sources'!$B$211:$J$214,0,1+2)))*IF(($P60-'Methodology &amp; Sources'!$C$10*$D60)*Inputs!$C$8&gt;=IF(OR($AU60="Married",AND($AU60="Single",$AS60&gt;=3)),IF($AY60&lt;250000,8750,IF($AY60&lt;260000,7000,IF($AY60&lt;270000,5250,IF($AY60&lt;280000,3500,IF($AY60&lt;290000,1750,0))))),IF($AY60&lt;125000,8750,IF($AY60&lt;130000,7000,IF($AY60&lt;135000,5250,IF($AY60&lt;140000,3500,IF($AY60&lt;145000,1750,0)))))),1,1-IF(Inputs!$C$13,SUMPRODUCT(($AH60&gt;=INDEX('Methodology &amp; Sources'!$B$29:$J$36,0,IF(Inputs!$C$12="MFJ",1,IF(Inputs!$C$12="HoH",7,4))))*INDEX('Methodology &amp; Sources'!$B$29:$J$36,0,IF(Inputs!$C$12="MFJ",1,IF(Inputs!$C$12="HoH",7,4))+2)),SUMPRODUCT(($AH60&gt;=INDEX('Methodology &amp; Sources'!$B$19:$J$26,0,IF(Inputs!$C$12="MFJ",1,IF(Inputs!$C$12="HoH",7,4))))*INDEX('Methodology &amp; Sources'!$B$19:$J$26,0,IF(Inputs!$C$12="MFJ",1,IF(Inputs!$C$12="HoH",7,4))+2)))),IF($AN60="MI",IF($AY60&gt;5900*$AS60,0.0425,0),""))))</f>
      </c>
      <c r="CA60" s="24">
        <f>IF($B60="","",IF($AN60="AL",IF(OR($AU60="Married",$AU60="Head of household"),SUMPRODUCT(($AZ60&gt;=INDEX('Methodology &amp; Sources'!$B$82:$J$86,0,4))*INDEX('Methodology &amp; Sources'!$B$82:$J$86,0,4+2)),SUMPRODUCT(($AZ60&gt;=INDEX('Methodology &amp; Sources'!$B$82:$J$86,0,1))*INDEX('Methodology &amp; Sources'!$B$82:$J$86,0,1+2)))*(1-IF(Inputs!$C$13,SUMPRODUCT(($AH60&gt;=INDEX('Methodology &amp; Sources'!$B$29:$J$36,0,IF(Inputs!$C$12="MFJ",1,IF(Inputs!$C$12="HoH",7,4))))*INDEX('Methodology &amp; Sources'!$B$29:$J$36,0,IF(Inputs!$C$12="MFJ",1,IF(Inputs!$C$12="HoH",7,4))+2)),SUMPRODUCT(($AH60&gt;=INDEX('Methodology &amp; Sources'!$B$19:$J$26,0,IF(Inputs!$C$12="MFJ",1,IF(Inputs!$C$12="HoH",7,4))))*INDEX('Methodology &amp; Sources'!$B$19:$J$26,0,IF(Inputs!$C$12="MFJ",1,IF(Inputs!$C$12="HoH",7,4))+2)))),IF($AN60="KS",IF($AU60="Married",SUMPRODUCT(($AZ60&gt;=INDEX('Methodology &amp; Sources'!$B$103:$J$109,0,4))*INDEX('Methodology &amp; Sources'!$B$103:$J$109,0,4+2)),SUMPRODUCT(($AZ60&gt;=INDEX('Methodology &amp; Sources'!$B$103:$J$109,0,1))*INDEX('Methodology &amp; Sources'!$B$103:$J$109,0,1+2))),IF($AN60="MD",IF(OR($AU60="Married",$AU60="Head of household"),SUMPRODUCT(($AZ60&gt;=INDEX('Methodology &amp; Sources'!$B$114:$J$120,0,1))*INDEX('Methodology &amp; Sources'!$B$114:$J$120,0,1+2)),SUMPRODUCT(($AZ60&gt;=INDEX('Methodology &amp; Sources'!$B$103:$J$109,0,7))*INDEX('Methodology &amp; Sources'!$B$103:$J$109,0,7+2)))+Inputs!$C$74,IF($AN60="MT",IF($AU60="Head of household",SUMPRODUCT(($AZ60&gt;=INDEX('Methodology &amp; Sources'!$B$137:$J$139,0,1))*INDEX('Methodology &amp; Sources'!$B$137:$J$139,0,1+2)),IF($AU60="Married",SUMPRODUCT(($AZ60&gt;=INDEX('Methodology &amp; Sources'!$B$125:$J$132,0,7))*INDEX('Methodology &amp; Sources'!$B$125:$J$132,0,7+2)),SUMPRODUCT(($AZ60&gt;=INDEX('Methodology &amp; Sources'!$B$125:$J$132,0,4))*INDEX('Methodology &amp; Sources'!$B$125:$J$132,0,4+2)))),IF($AN60="ND",IF($AU60="Head of household",SUMPRODUCT(($AZ60&gt;=INDEX('Methodology &amp; Sources'!$B$144:$J$150,0,1))*INDEX('Methodology &amp; Sources'!$B$144:$J$150,0,1+2)),IF($AU60="Married",SUMPRODUCT(($AZ60&gt;=INDEX('Methodology &amp; Sources'!$B$137:$J$139,0,7))*INDEX('Methodology &amp; Sources'!$B$137:$J$139,0,7+2)),SUMPRODUCT(($AZ60&gt;=INDEX('Methodology &amp; Sources'!$B$137:$J$139,0,4))*INDEX('Methodology &amp; Sources'!$B$137:$J$139,0,4+2)))),IF($AN60="NY",IF($AU60="Married",IF($AZ60&gt;=2155350,IF($AZ60&gt;25000000,0.117,IF($AZ60&gt;5000000,0.111,0.1045)),SUMPRODUCT(($AZ60&gt;=INDEX('Methodology &amp; Sources'!$B$184:$J$198,0,1))*INDEX('Methodology &amp; Sources'!$B$184:$J$198,0,1+2))),IF($AZ60&gt;=1077550,IF($AZ60&gt;25000000,0.117,IF($AZ60&gt;5000000,0.111,0.1045)),SUMPRODUCT(($AZ60&gt;=INDEX('Methodology &amp; Sources'!$B$167:$J$179,0,7))*INDEX('Methodology &amp; Sources'!$B$167:$J$179,0,7+2)))),"")))))))</f>
      </c>
      <c r="CB60" s="24">
        <f>IF($B60="","",IF($AN60="CA",SUMPRODUCT(($AJ60&gt;=INDEX('Methodology &amp; Sources'!$B$39:$J$48,0,IF($AU60="Married",4,IF($AU60="Head of household",7,1))))*INDEX('Methodology &amp; Sources'!$B$39:$J$48,0,IF($AU60="Married",4,IF($AU60="Head of household",7,1))+2)),IF($AN60="HI",IF($AU60="Married",SUMPRODUCT(($AZ60&gt;=INDEX('Methodology &amp; Sources'!$B$91:$J$98,0,7))*INDEX('Methodology &amp; Sources'!$B$91:$J$98,0,7+2)),SUMPRODUCT(($AZ60&gt;=INDEX('Methodology &amp; Sources'!$B$91:$J$98,0,4))*INDEX('Methodology &amp; Sources'!$B$91:$J$98,0,4+2))),IF($AN60="MN",IF($AU60="Married",SUMPRODUCT(($AZ60&gt;=INDEX('Methodology &amp; Sources'!$B$114:$J$120,0,7))*INDEX('Methodology &amp; Sources'!$B$114:$J$120,0,7+2)),SUMPRODUCT(($AZ60&gt;=INDEX('Methodology &amp; Sources'!$B$114:$J$120,0,4))*INDEX('Methodology &amp; Sources'!$B$114:$J$120,0,4+2))),IF($AN60="MO",SUMPRODUCT(($AZ60&gt;=INDEX('Methodology &amp; Sources'!$B$125:$J$132,0,1))*INDEX('Methodology &amp; Sources'!$B$125:$J$132,0,1+2)),IF($AN60="NE",MAX(IF($AU60="Married",SUMPRODUCT(($AZ60&gt;=INDEX('Methodology &amp; Sources'!$B$144:$J$150,0,7))*INDEX('Methodology &amp; Sources'!$B$144:$J$150,0,7+2)),SUMPRODUCT(($AZ60&gt;=INDEX('Methodology &amp; Sources'!$B$144:$J$150,0,4))*INDEX('Methodology &amp; Sources'!$B$144:$J$150,0,4+2))),0.015),IF($AN60="OH",IF($B60&gt;=DATE(2027,8,1),SUMPRODUCT(($AZ60&gt;=INDEX('Methodology &amp; Sources'!$B$203:$J$206,0,1))*INDEX('Methodology &amp; Sources'!$B$203:$J$206,0,1+2)),SUMPRODUCT(($AZ60&gt;=INDEX('Methodology &amp; Sources'!$B$184:$J$198,0,7))*INDEX('Methodology &amp; Sources'!$B$184:$J$198,0,7+2))),IF($AN60="OK",IF($AU60="Married",SUMPRODUCT(($AZ60&gt;=INDEX('Methodology &amp; Sources'!$B$203:$J$206,0,7))*INDEX('Methodology &amp; Sources'!$B$203:$J$206,0,7+2)),SUMPRODUCT(($AZ60&gt;=INDEX('Methodology &amp; Sources'!$B$203:$J$206,0,4))*INDEX('Methodology &amp; Sources'!$B$203:$J$206,0,4+2))),IF($AN60="RI",SUMPRODUCT(($AZ60&gt;=INDEX('Methodology &amp; Sources'!$B$211:$J$214,0,7))*INDEX('Methodology &amp; Sources'!$B$211:$J$214,0,7+2)),IF($AN60="SC",SUMPRODUCT(($AZ60&gt;=INDEX('Methodology &amp; Sources'!$B$219:$J$223,0,1))*INDEX('Methodology &amp; Sources'!$B$219:$J$223,0,1+2)),IF($AN60="VT",IF($AU60="Married",SUMPRODUCT(($AZ60&gt;=INDEX('Methodology &amp; Sources'!$B$228:$J$232,0,1))*INDEX('Methodology &amp; Sources'!$B$228:$J$232,0,1+2)),SUMPRODUCT(($AZ60&gt;=INDEX('Methodology &amp; Sources'!$B$219:$J$223,0,7))*INDEX('Methodology &amp; Sources'!$B$219:$J$223,0,7+2))),IF($AN60="WV",IF($AU60="Married",SUMPRODUCT(($AZ60&gt;=INDEX('Methodology &amp; Sources'!$B$237:$J$241,0,7))*INDEX('Methodology &amp; Sources'!$B$237:$J$241,0,7+2)),SUMPRODUCT(($AZ60&gt;=INDEX('Methodology &amp; Sources'!$B$228:$J$232,0,7))*INDEX('Methodology &amp; Sources'!$B$228:$J$232,0,7+2))),IF($AN60="IN",(0.0295+Inputs!$C$76),"")))))))))))))</f>
      </c>
      <c r="CC60" s="24">
        <f>IF($B60="","",IF($AN60="AR",SUMPRODUCT(($AZ60&gt;=INDEX('Methodology &amp; Sources'!$B$82:$J$86,0,7))*INDEX('Methodology &amp; Sources'!$B$82:$J$86,0,7+2)),IF($AN60="DE",SUMPRODUCT(($AZ60&gt;=INDEX('Methodology &amp; Sources'!$B$91:$J$98,0,1))*INDEX('Methodology &amp; Sources'!$B$91:$J$98,0,1+2)),IF($AN60="VA",SUMPRODUCT(($AZ60&gt;=INDEX('Methodology &amp; Sources'!$B$219:$J$223,0,4))*INDEX('Methodology &amp; Sources'!$B$219:$J$223,0,4+2)),IF($AN60="WI",SUMPRODUCT(($AZ60&gt;=INDEX('Methodology &amp; Sources'!$B$228:$J$232,0,4))*INDEX('Methodology &amp; Sources'!$B$228:$J$232,0,4+2)),IF($AN60="AZ",Inputs!$C$82,IF($AN60="CO",IF($AY60&gt;IF($AU60="Married",10000,5000),0.044,0),IF($AN60="IA",IF($AY60&gt;IF($AU60="Head of household",19500,IF($AU60="Married",26000,13000)),0.038,0),IF($AN60="ID",IF($AY60&gt;IF($AU60="Married",32000,16094),0.053,0),IF($AN60="IL",IF($AY60&gt;(2925*$AS60+1000*$AT60),0.0495,0),IF($AN60="KY",IF($AI60&gt;3360,0.035,0),IF($AN60="LA",0.0309,IF($AN60="MA",IF(MAX(0,$AY60-MIN(($BD59+$Q60+$R60+$S60),2000)-IF($AS60=0,0,IF($AS60=1,4400,1000*$AS60+3400)))&gt;=1107750,0.09,0.05),IF($AN60="MS",IF($AI60-IF($AU60="Head of household",3400,IF($AU60="Married",4600,2300))-Inputs!$C$85&gt;10000,0.04,0),IF($AN60="PA",0.0307,"")))))))))))))))</f>
      </c>
      <c r="CD60" s="21">
        <f>IF(YEAR(IF(Inputs!$C$7="Weekly",Inputs!$C$90+7*(($BE59+1)-1),IF(Inputs!$C$7="Biweekly",Inputs!$C$90+14*(($BE59+1)-1),IF(Inputs!$C$7="Semimonthly",DATE(YEAR(Inputs!$C$9),MONTH(Inputs!$C$9)+INT((($BE59+1)-1+'Rest of 2026'!$C$2)/2),MIN(DAY(Inputs!$C$9),DAY(EOMONTH(DATE(YEAR(Inputs!$C$9),MONTH(Inputs!$C$9)+INT((($BE59+1)-1+'Rest of 2026'!$C$2)/2),1),0))))+IF(MOD(($BE59+1)-1+'Rest of 2026'!$C$2,2)=1,15,0),EDATE(Inputs!$C$90,($BE59+1)-1)))))&lt;&gt;Inputs!$C$10,"",IF(Inputs!$C$7="Weekly",Inputs!$C$90+7*(($BE59+1)-1),IF(Inputs!$C$7="Biweekly",Inputs!$C$90+14*(($BE59+1)-1),IF(Inputs!$C$7="Semimonthly",DATE(YEAR(Inputs!$C$9),MONTH(Inputs!$C$9)+INT((($BE59+1)-1+'Rest of 2026'!$C$2)/2),MIN(DAY(Inputs!$C$9),DAY(EOMONTH(DATE(YEAR(Inputs!$C$9),MONTH(Inputs!$C$9)+INT((($BE59+1)-1+'Rest of 2026'!$C$2)/2),1),0))))+IF(MOD(($BE59+1)-1+'Rest of 2026'!$C$2,2)=1,15,0),EDATE(Inputs!$C$90,($BE59+1)-1)))))</f>
      </c>
      <c r="CE60" s="21">
        <f>IF(SUMPRODUCT(MIN(IF((Inputs!$C$58:$C$67&gt;MAX($B$6:$B59))*(Inputs!$C$58:$C$67&gt;=DATE(Inputs!$C$10,1,1))*(Inputs!$C$58:$C$67&lt;=DATE(Inputs!$C$10,12,31)),Inputs!$C$58:$C$67,999999)))=999999,"",SUMPRODUCT(MIN(IF((Inputs!$C$58:$C$67&gt;MAX($B$6:$B59))*(Inputs!$C$58:$C$67&gt;=DATE(Inputs!$C$10,1,1))*(Inputs!$C$58:$C$67&lt;=DATE(Inputs!$C$10,12,31)),Inputs!$C$58:$C$67,999999))))</f>
      </c>
    </row>
    <row r="61">
      <c r="A61" t="n">
        <v>56</v>
      </c>
      <c r="B61" s="21">
        <f>IF(AND($CD61="",$CE61=""),"",IF($CE61="",$CD61,IF($CD61="",$CE61,MIN($CD61,$CE61))))</f>
      </c>
      <c r="C61" s="7">
        <f>IF($B61="","",IF($BF61=0,0,IF(Inputs!$C$4="Annual salary",ROUND($AK61/IF(AND(Inputs!$C$88="Actual paydays",MONTH(Inputs!$C$90)=1),MAX(1,MAX($BE$6:$BE$68)),Inputs!$C$8),2),$AK61)))</f>
      </c>
      <c r="D61" s="7">
        <f>IF($B61="","",SUMIF(Inputs!$C$58:$C$67,$B61,Inputs!$D$58:$D$67))</f>
      </c>
      <c r="E61" s="7">
        <f>IF($B61="","",ROUND(MAX(0,MIN(IF($AL61="Percent",$AM61*($C61+$D61),$AM61),MAX(0,Inputs!$C$34-$AC60))),2))</f>
      </c>
      <c r="F61" s="7">
        <f>IF($B61="","",ROUND(MAX(0,MIN(IF(Inputs!$C$32="Percent",Inputs!$D$32*($C61+$D61),Inputs!$D$32),MAX(0,Inputs!$C$34-$AC60-$E61))),2))</f>
      </c>
      <c r="G61" s="7">
        <f>IF($B61="","",IF($BF61=0,0,ROUND(MAX(0,MIN($BL61,Inputs!$C$37-Inputs!$C$99-$BI60)),2)))</f>
      </c>
      <c r="H61" s="7">
        <f>IF($B61="","",IF(OR($BF61=0,$BQ61=1),0,ROUND(MAX(0,MIN(IF($BS61=1,ROUND(MAX(0,MIN($BJ61,'Methodology &amp; Sources'!$C$13)-$BG60)/MAX(1,MAX($BE$6:$BE$68)-($BE60)),2),ROUND(MIN($BJ61,'Methodology &amp; Sources'!$C$13)/Inputs!$C$8,2)),MIN($BJ61,'Methodology &amp; Sources'!$C$13)-$BG60)),2)))</f>
      </c>
      <c r="I61" s="7">
        <f>IF($B61="","",IF(OR($BF61=0,$BR61=1),0,ROUND(MAX(0,MIN(IF($BT61=1,ROUND(MAX(0,MIN($BK61,IF(Inputs!$C$12="MFJ",'Methodology &amp; Sources'!$C$14,'Methodology &amp; Sources'!$C$15))-$BH60)/MAX(1,MAX($BE$6:$BE$68)-($BE60)),2),ROUND(MIN($BK61,IF(Inputs!$C$12="MFJ",'Methodology &amp; Sources'!$C$14,'Methodology &amp; Sources'!$C$15))/Inputs!$C$8,2)),MIN($BK61,IF(Inputs!$C$12="MFJ",'Methodology &amp; Sources'!$C$14,'Methodology &amp; Sources'!$C$15))-$BH60)),2)))</f>
      </c>
      <c r="J61" s="7">
        <f>IF($B61="","",IF($BF61=0,0,$BM61))</f>
      </c>
      <c r="K61" s="7">
        <f>IF($B61="","",IF($BF61=0,0,$BN61+$BO61))</f>
      </c>
      <c r="L61" s="7">
        <f>IF($B61="","",IF($BF61=0,0,Inputs!$D$46))</f>
      </c>
      <c r="M61" s="7">
        <f>IF($B61="","",$C61+$D61+$L61-$E61-$G61-$H61-$I61-$J61-$K61)</f>
      </c>
      <c r="N61" s="7">
        <f>IF($B61="","",$C61+$D61+$L61-$G61-$H61-$I61-$J61-$K61)</f>
      </c>
      <c r="O61" s="7">
        <f>IF($B61="","",$C61+$D61+$L61-$E61-$H61-$I61-$J61-$K61-IF(OR($AN61="CA",$AN61="NJ"),0,$G61))</f>
      </c>
      <c r="P61" s="7">
        <f>IF($B61="","",IF(Inputs!$C$18,0,ROUND(MAX(0,IF(Inputs!$C$13,SUMPRODUCT(($AH61&gt;INDEX('Methodology &amp; Sources'!$B$29:$J$36,0,IF(Inputs!$C$12="MFJ",1,IF(Inputs!$C$12="HoH",7,4))))*($AH61-INDEX('Methodology &amp; Sources'!$B$29:$J$36,0,IF(Inputs!$C$12="MFJ",1,IF(Inputs!$C$12="HoH",7,4))))*INDEX('Methodology &amp; Sources'!$B$29:$J$36,0,IF(Inputs!$C$12="MFJ",1,IF(Inputs!$C$12="HoH",7,4))+2)),SUMPRODUCT(($AH61&gt;INDEX('Methodology &amp; Sources'!$B$19:$J$26,0,IF(Inputs!$C$12="MFJ",1,IF(Inputs!$C$12="HoH",7,4))))*($AH61-INDEX('Methodology &amp; Sources'!$B$19:$J$26,0,IF(Inputs!$C$12="MFJ",1,IF(Inputs!$C$12="HoH",7,4))))*INDEX('Methodology &amp; Sources'!$B$19:$J$26,0,IF(Inputs!$C$12="MFJ",1,IF(Inputs!$C$12="HoH",7,4))+2)))/Inputs!$C$8-$AO61/Inputs!$C$8)+$AR61+IF(Inputs!$C$89="Aggregate",MAX(0,IF(Inputs!$C$13,SUMPRODUCT((($AH61+$D61)&gt;INDEX('Methodology &amp; Sources'!$B$29:$J$36,0,IF(Inputs!$C$12="MFJ",1,IF(Inputs!$C$12="HoH",7,4))))*(($AH61+$D61)-INDEX('Methodology &amp; Sources'!$B$29:$J$36,0,IF(Inputs!$C$12="MFJ",1,IF(Inputs!$C$12="HoH",7,4))))*INDEX('Methodology &amp; Sources'!$B$29:$J$36,0,IF(Inputs!$C$12="MFJ",1,IF(Inputs!$C$12="HoH",7,4))+2)),SUMPRODUCT((($AH61+$D61)&gt;INDEX('Methodology &amp; Sources'!$B$19:$J$26,0,IF(Inputs!$C$12="MFJ",1,IF(Inputs!$C$12="HoH",7,4))))*(($AH61+$D61)-INDEX('Methodology &amp; Sources'!$B$19:$J$26,0,IF(Inputs!$C$12="MFJ",1,IF(Inputs!$C$12="HoH",7,4))))*INDEX('Methodology &amp; Sources'!$B$19:$J$26,0,IF(Inputs!$C$12="MFJ",1,IF(Inputs!$C$12="HoH",7,4))+2)))-IF(Inputs!$C$13,SUMPRODUCT(($AH61&gt;INDEX('Methodology &amp; Sources'!$B$29:$J$36,0,IF(Inputs!$C$12="MFJ",1,IF(Inputs!$C$12="HoH",7,4))))*($AH61-INDEX('Methodology &amp; Sources'!$B$29:$J$36,0,IF(Inputs!$C$12="MFJ",1,IF(Inputs!$C$12="HoH",7,4))))*INDEX('Methodology &amp; Sources'!$B$29:$J$36,0,IF(Inputs!$C$12="MFJ",1,IF(Inputs!$C$12="HoH",7,4))+2)),SUMPRODUCT(($AH61&gt;INDEX('Methodology &amp; Sources'!$B$19:$J$26,0,IF(Inputs!$C$12="MFJ",1,IF(Inputs!$C$12="HoH",7,4))))*($AH61-INDEX('Methodology &amp; Sources'!$B$19:$J$26,0,IF(Inputs!$C$12="MFJ",1,IF(Inputs!$C$12="HoH",7,4))))*INDEX('Methodology &amp; Sources'!$B$19:$J$26,0,IF(Inputs!$C$12="MFJ",1,IF(Inputs!$C$12="HoH",7,4))+2)))),'Methodology &amp; Sources'!$C$10*$D61),2)))</f>
      </c>
      <c r="Q61" s="7">
        <f>IF($B61="","",ROUND('Methodology &amp; Sources'!$C$4*MIN($N61,MAX(0,'Methodology &amp; Sources'!$C$3-($AX61+$AB60-$AW61))),2))</f>
      </c>
      <c r="R61" s="7">
        <f>IF($B61="","",ROUND('Methodology &amp; Sources'!$C$5*$N61,2))</f>
      </c>
      <c r="S61" s="7">
        <f>IF($B61="","",ROUND('Methodology &amp; Sources'!$C$6*MAX(0,MIN($N61,$AG60+$N61-'Methodology &amp; Sources'!$C$7)),2))</f>
      </c>
      <c r="T61" s="7">
        <f>IF($B61="","",IF(Inputs!$C$26,0,IF($AN61="CA",ROUND(IF($AI61&lt;=IF(($AS61+$AT61)&gt;=2,VLOOKUP($AN61,StateTables!$A$6:$AB$56,10,FALSE),VLOOKUP($AN61,StateTables!$A$6:$AB$56,9,FALSE)),0,MAX(0,SUMPRODUCT(($AJ61&gt;INDEX('Methodology &amp; Sources'!$B$39:$J$48,0,IF($AU61="Married",4,IF($AU61="Head of household",7,1))))*($AJ61-INDEX('Methodology &amp; Sources'!$B$39:$J$48,0,IF($AU61="Married",4,IF($AU61="Head of household",7,1))))*INDEX('Methodology &amp; Sources'!$B$39:$J$48,0,IF($AU61="Married",4,IF($AU61="Head of household",7,1))+2))-VLOOKUP($AN61,StateTables!$A$6:$AB$56,11,FALSE)*$AS61)/Inputs!$C$8)+Inputs!$C$25+VLOOKUP($AN61,StateTables!$A$6:$AB$56,13,FALSE)*$D61,2),IF(VLOOKUP($AN61,StateTables!$A$6:$AB$56,4,FALSE)="None",0,IF(ISNUMBER(SEARCH("MANUAL",VLOOKUP($AN61,StateTables!$A$6:$AB$56,5,FALSE))),Inputs!$C$28,ROUND(MAX(0,$BA61+$BB61)/Inputs!$C$8+Inputs!$C$25+$BC61,2))))))</f>
      </c>
      <c r="U61" s="7">
        <f>IF($B61="","",IF(VLOOKUP($AN61,StateTables!$A$6:$AB$56,24,FALSE)="flatq",IF(OR(MONTH($B61)=1,MONTH($B61)=4,MONTH($B61)=7,MONTH($B61)=10),VLOOKUP($AN61,StateTables!$A$6:$AB$56,25,FALSE),0),IF(VLOOKUP($AN61,StateTables!$A$6:$AB$56,24,FALSE)="dbl",MIN(ROUND(0.005*$N61,2),ROUND(0.6*52/Inputs!$C$8,2)),IF(OR(VLOOKUP($AN61,StateTables!$A$6:$AB$56,15,FALSE)="",VLOOKUP($AN61,StateTables!$A$6:$AB$56,15,FALSE)=0),0,ROUND(VLOOKUP($AN61,StateTables!$A$6:$AB$56,15,FALSE)*IF(OR(VLOOKUP($AN61,StateTables!$A$6:$AB$56,16,FALSE)="",VLOOKUP($AN61,StateTables!$A$6:$AB$56,16,FALSE)=0),$N61,MIN($N61,MAX(0,VLOOKUP($AN61,StateTables!$A$6:$AB$56,16,FALSE)-($AX61+$AB60-$AW61)))),2))))+IF(VLOOKUP($AN61,StateTables!$A$6:$AB$56,27,FALSE)="flatq",IF(OR(MONTH($B61)=1,MONTH($B61)=4,MONTH($B61)=7,MONTH($B61)=10),VLOOKUP($AN61,StateTables!$A$6:$AB$56,28,FALSE),0),IF(VLOOKUP($AN61,StateTables!$A$6:$AB$56,27,FALSE)="dbl",MIN(ROUND(0.005*$N61,2),ROUND(0.6*52/Inputs!$C$8,2)),IF(OR(VLOOKUP($AN61,StateTables!$A$6:$AB$56,18,FALSE)="",VLOOKUP($AN61,StateTables!$A$6:$AB$56,18,FALSE)=0),0,ROUND(VLOOKUP($AN61,StateTables!$A$6:$AB$56,18,FALSE)*IF(OR(VLOOKUP($AN61,StateTables!$A$6:$AB$56,19,FALSE)="",VLOOKUP($AN61,StateTables!$A$6:$AB$56,19,FALSE)=0),$N61,MIN($N61,MAX(0,VLOOKUP($AN61,StateTables!$A$6:$AB$56,19,FALSE)-($AX61+$AB60-$AW61)))),2)))))</f>
      </c>
      <c r="V61" s="7">
        <f>IF($B61="","",IF($AN61="NY",IF(Inputs!$C$78,ROUND(SUMPRODUCT((MAX(0,($O61-$D61)*Inputs!$C$8-(IF($AU61="Married",5500,5000)+1000*$AS61))&gt;INDEX('Methodology &amp; Sources'!$B$184:$J$198,0,4))*(MAX(0,($O61-$D61)*Inputs!$C$8-(IF($AU61="Married",5500,5000)+1000*$AS61))-INDEX('Methodology &amp; Sources'!$B$184:$J$198,0,4))*INDEX('Methodology &amp; Sources'!$B$184:$J$198,0,4+2))/Inputs!$C$8+0.0425*$D61,2),0)+IF(Inputs!$C$79="Resident",ROUND(0.1675*$T61,2),IF(Inputs!$C$79="Nonresident",ROUND(0.005*MAX(0,($O61-$D61)-(IF($AU61="Married",7950,7400)+1000*$AS61)/Inputs!$C$8),2),0)),IF($AN61="PA",IF(Inputs!$C$80="None",Inputs!$C$27+ROUND(Inputs!$C$81*($C61+$D61),2),ROUND(IF(Inputs!$C$80="Resident",IF($B61&lt;DATE(2027,7,1),0.03735,0.03735),IF($B61&lt;DATE(2027,7,1),0.03425,0.03425))*($C61+$D61),2)),IF($BF61=0,ROUND(Inputs!$C$81*($C61+$D61),2),Inputs!$C$27+ROUND(Inputs!$C$81*($C61+$D61),2)))))</f>
      </c>
      <c r="W61" s="7">
        <f>IF($B61="","",IF($BF61=0,0,$BP61))</f>
      </c>
      <c r="X61" s="7">
        <f>IF($B61="","",SUM($E61:$K61)+$P61+$Q61+$R61+$S61+$T61+$U61+$V61+$W61)</f>
      </c>
      <c r="Y61" s="22">
        <f>IF($B61="","",$C61+$D61-$X61)</f>
      </c>
      <c r="Z61" s="7">
        <f>IF($B61="","",$Z60+$C61+$D61)</f>
      </c>
      <c r="AA61" s="7">
        <f>IF($B61="","",$AA60+$Y61)</f>
      </c>
      <c r="AB61" s="7">
        <f>IF($B61="","",$AB60+MIN($N61,MAX(0,'Methodology &amp; Sources'!$C$3-($AX61+$AB60-$AW61))))</f>
      </c>
      <c r="AC61" s="7">
        <f>IF($B61="","",$AC60+$E61+$F61)</f>
      </c>
      <c r="AD61" s="3">
        <f>IF($B61="","",IF(AND($AB60&lt;'Methodology &amp; Sources'!$C$3,$AB61&gt;='Methodology &amp; Sources'!$C$3),"★ Social Security maxed on this check — from the next check your net rises by about $"&amp;TEXT(ROUND('Methodology &amp; Sources'!$C$4*$N61,2),"#,##0.00")&amp;". ","")&amp;IF(AND($AC60&lt;Inputs!$C$34,$AC61&gt;=Inputs!$C$34),"★ 401(k) reaches the $"&amp;TEXT(Inputs!$C$34,"#,##0")&amp;" cap on this check — deferrals stop and net pay rises. ","")&amp;IF(AND($AG60&lt;'Methodology &amp; Sources'!$C$7,$AG61&gt;='Methodology &amp; Sources'!$C$7),"★ Wages pass $200,000 — the 0.9% Additional Medicare Tax starts here. ","")&amp;IF(AND($BJ61&gt;0,$H61&gt;0,$BG60&lt;MIN($BJ61,'Methodology &amp; Sources'!$C$13),$BG60+$H61&gt;=MIN($BJ61,'Methodology &amp; Sources'!$C$13)),"★ Health FSA election is now fully deferred for the year. ",""))</f>
      </c>
      <c r="AE61" s="41" t="n"/>
      <c r="AF61" s="7">
        <f>IF(OR($B61="",$AE61=""),"",$AE61-$Y61)</f>
      </c>
      <c r="AG61" s="7">
        <f>IF($B61="","",$AG60+$N61)</f>
      </c>
      <c r="AH61" s="7">
        <f>IF($B61="","",MAX(0,($M61-$D61)*Inputs!$C$8+$AP61-$AQ61-IF(Inputs!$C$13,0,IF(Inputs!$C$12="MFJ",'Methodology &amp; Sources'!$C$8,'Methodology &amp; Sources'!$C$9))))</f>
      </c>
      <c r="AI61" s="7">
        <f>IF($B61="","",$O61*Inputs!$C$8)</f>
      </c>
      <c r="AJ61" s="7">
        <f>IF($B61="","",MAX(0,$AI61-VLOOKUP($AN61,StateTables!$A$6:$AB$56,12,FALSE)*$AT61-IF(($AS61+$AT61)&gt;=2,VLOOKUP($AN61,StateTables!$A$6:$AB$56,8,FALSE),VLOOKUP($AN61,StateTables!$A$6:$AB$56,7,FALSE))))</f>
      </c>
      <c r="AK61" s="7">
        <f>IF($B61="","",IFERROR(LOOKUP(2,1/((Events!$C$6:$C$17="Salary change")*(Events!$B$6:$B$17&lt;=$B61)*(Events!$B$6:$B$17&lt;&gt;"")),Events!$D$6:$D$17),IF(Inputs!$C$4="Annual salary",Inputs!$C$5,Inputs!$C$6)))</f>
      </c>
      <c r="AL61">
        <f>IF($B61="","",IFERROR(LOOKUP(2,1/((Events!$C$6:$C$17="401(k) change")*(Events!$B$6:$B$17&lt;=$B61)*(Events!$B$6:$B$17&lt;&gt;"")),Events!$D$6:$D$17),Inputs!$C$30))</f>
      </c>
      <c r="AM61" s="7">
        <f>IF($B61="","",IFERROR(LOOKUP(2,1/((Events!$C$6:$C$17="401(k) change")*(Events!$B$6:$B$17&lt;=$B61)*(Events!$B$6:$B$17&lt;&gt;"")),Events!$E$6:$E$17),Inputs!$D$30))</f>
      </c>
      <c r="AN61">
        <f>IF($B61="","",IFERROR(LOOKUP(2,1/((Events!$C$6:$C$17="State move")*(Events!$B$6:$B$17&lt;=$B61)*(Events!$B$6:$B$17&lt;&gt;"")),Events!$D$6:$D$17),Inputs!$C$21))</f>
      </c>
      <c r="AO61" s="7">
        <f>IF($B61="","",IFERROR(LOOKUP(2,1/((Events!$C$6:$C$17="W-4 change")*(Events!$B$6:$B$17&lt;=$B61)*(Events!$B$6:$B$17&lt;&gt;"")),Events!$D$6:$D$17),Inputs!$C$14))</f>
      </c>
      <c r="AP61" s="7">
        <f>IF($B61="","",IFERROR(LOOKUP(2,1/((Events!$C$6:$C$17="W-4 change")*(Events!$B$6:$B$17&lt;=$B61)*(Events!$B$6:$B$17&lt;&gt;"")),Events!$E$6:$E$17),Inputs!$C$15))</f>
      </c>
      <c r="AQ61" s="7">
        <f>IF($B61="","",IFERROR(LOOKUP(2,1/((Events!$C$6:$C$17="W-4 change")*(Events!$B$6:$B$17&lt;=$B61)*(Events!$B$6:$B$17&lt;&gt;"")),Events!$F$6:$F$17),Inputs!$C$16))</f>
      </c>
      <c r="AR61" s="7">
        <f>IF($B61="","",IFERROR(LOOKUP(2,1/((Events!$C$6:$C$17="W-4 change")*(Events!$B$6:$B$17&lt;=$B61)*(Events!$B$6:$B$17&lt;&gt;"")),Events!$G$6:$G$17),Inputs!$C$17))</f>
      </c>
      <c r="AS61" s="6">
        <f>IF($B61="","",IFERROR(LOOKUP(2,1/(((Events!$C$6:$C$17="State move")+(Events!$C$6:$C$17="State cert change"))*(Events!$B$6:$B$17&lt;=$B61)*(Events!$B$6:$B$17&lt;&gt;"")),Events!$F$6:$F$17),Inputs!$C$23))</f>
      </c>
      <c r="AT61" s="6">
        <f>IF($B61="","",IFERROR(LOOKUP(2,1/(((Events!$C$6:$C$17="State move")+(Events!$C$6:$C$17="State cert change"))*(Events!$B$6:$B$17&lt;=$B61)*(Events!$B$6:$B$17&lt;&gt;"")),Events!$G$6:$G$17),Inputs!$C$24))</f>
      </c>
      <c r="AU61">
        <f>IF($B61="","",IFERROR(LOOKUP(2,1/((Events!$C$6:$C$17="State move")*(Events!$B$6:$B$17&lt;=$B61)*(Events!$B$6:$B$17&lt;&gt;"")),Events!$E$6:$E$17),Inputs!$C$22))</f>
      </c>
      <c r="AV61" s="6">
        <f>IF($B61="","",1+COUNTIFS(Events!$C$6:$C$17,"Employer change",Events!$B$6:$B$17,"&lt;="&amp;$B61,Events!$B$6:$B$17,"&lt;&gt;"))</f>
      </c>
      <c r="AW61" s="7">
        <f>IF($B61="","",IF($AV61=1,Inputs!$C$94,IF(IFERROR(MATCH(IFERROR(LOOKUP(2,1/((Events!$C$6:$C$17="Employer change")*(Events!$B$6:$B$17&lt;=$B61)*(Events!$B$6:$B$17&lt;&gt;"")),Events!$B$6:$B$17),""),$B$6:$B$68,1),1)&lt;=1,Inputs!$C$94,INDEX($AB$6:$AB$68,MATCH(IFERROR(LOOKUP(2,1/((Events!$C$6:$C$17="Employer change")*(Events!$B$6:$B$17&lt;=$B61)*(Events!$B$6:$B$17&lt;&gt;"")),Events!$B$6:$B$17),""),$B$6:$B$68,1)-1))))</f>
      </c>
      <c r="AX61" s="7">
        <f>IF($B61="","",IF($AV61=1,Inputs!$C$94,IFERROR(LOOKUP(2,1/((Events!$C$6:$C$17="Employer change")*(Events!$B$6:$B$17&lt;=$B61)*(Events!$B$6:$B$17&lt;&gt;"")),Events!$D$6:$D$17),0)))</f>
      </c>
      <c r="AY61" s="7">
        <f>IF($B61="","",($O61-$D61)*Inputs!$C$8)</f>
      </c>
      <c r="AZ61" s="7">
        <f>IF($B61="","",IF($AN61="AL",MAX(0,$AY61-IF($AU61="Married",IF($AY61&lt;=25999,8500,MAX(5000,8500-175*CEILING(($AY61-25999)/500,1))),IF($AU61="Head of household",IF($AY61&lt;=25999,5200,MAX(2500,5200-135*CEILING(($AY61-25999)/500,1))),IF($AY61&lt;=25999,3000,MAX(2500,3000-25*CEILING(($AY61-25999)/500,1)))))-($P61-'Methodology &amp; Sources'!$C$10*$D61)*Inputs!$C$8-IF(OR($AU61="Married",$AU61="Head of household"),3000,1500)-$AT61*IF($AY61&lt;=50000,1000,IF($AY61&lt;=100000,500,300))),IF($AN61="AR",IF(MAX(0,$AY61-2470)&lt;97701,INT(MAX(0,$AY61-2470)/100)*100+50,MAX(0,$AY61-2470)),IF($AN61="DE",MAX(0,$AI61-3250),IF($AN61="HI",MAX(0,$AI61-1144*$AS61-4350),IF($AN61="KS",MAX(0,$AI61-(9160*IF($AU61="Married",2,1)+2320*$AT61+IF($AU61="Head of household",2320,0))),IF($AN61="MD",MAX(0,$AI61-3400-3200*$AS61),IF($AN61="MN",MAX(0,$AY61-5300*$AS61),IF($AN61="MO",MAX(0,$AI61-IF($AU61="Head of household",24150,IF($AU61="Married",IF(Inputs!$C$83,16100,32200),16100))),IF($AN61="MT",$AY61,IF($AN61="ND",($C61+$L61)*Inputs!$C$8,IF($AN61="NE",MAX(0,$AY61-2440*$AS61),IF($AN61="NJ",MAX(0,$AY61-1000*$AS61),IF($AN61="NY",MAX(0,$AY61-(IF($AU61="Married",7950,7400)+1000*$AS61)),IF($AN61="OH",MAX(0,$AY61-650*$AS61),IF($AN61="OK",MAX(0,$AY61-1000*$AS61),IF($AN61="RI",MAX(0,$AI61-1000*$AS61),IF($AN61="SC",MAX(0,$AI61-5000*$AS61-IF($AS61=0,0,MIN(0.1*$AI61,7500))),IF($AN61="VA",MAX(0,$AI61-IF($AU61="Married",17500,8750)-930*$AS61-800*$AT61),IF($AN61="VT",MAX(0,$AI61-5400*$AS61),IF($AN61="WI",MAX(0,$AI61-MAX(0,IF($AU61="Married",9461-0.2*MAX(0,$AI61-25727),6702-0.12*MAX(0,$AI61-17780)))-400*$AS61),IF($AN61="WV",MAX(0,$AI61-2000*$AS61),$AI61))))))))))))))))))))))</f>
      </c>
      <c r="BA61" s="7">
        <f>IF($B61="","",IF($BW61&lt;&gt;"",$BW61,IF($BX61&lt;&gt;"",$BX61,IF($BY61&lt;&gt;"",$BY61,0))))</f>
      </c>
      <c r="BB61" s="7">
        <f>IF($B61="","",IF($AN61="AR",-29*$AS61,IF($AN61="DE",-110*$AS61,IF($AN61="MD",$AZ61*Inputs!$C$74,IF($AN61="AZ",Inputs!$C$82*($M61-$D61)*Inputs!$C$8,IF($AN61="CO",0.044*MAX(0,$AY61-IF($AU61="Married",10000,5000)),IF($AN61="IA",MAX(0,0.038*MAX(0,$AY61-IF($AU61="Head of household",19500,IF($AU61="Married",26000,13000)))-40*$AS61),IF($AN61="ID",0.053*MAX(0,$AY61-IF($AU61="Married",32000,16094)),IF($AN61="IL",0.0495*MAX(0,$AY61-(2925*$AS61+1000*$AT61)),IF($AN61="IN",(0.0295+Inputs!$C$76)*MAX(0,$AY61-(1000*$AS61+1500*$AT61+3000*Inputs!$C$86)),IF($AN61="KY",0.035*MAX(0,$AI61-3360),IF($AN61="LA",IF(Inputs!$C$84="0",0.0309*$AI61,0.0309*MAX(0,$AI61-IF(Inputs!$C$84="2",25750,12875))),IF($AN61="MA",0.05*MIN(MAX(0,$AY61-MIN(($BD60+$Q61+$R61+$S61),2000)-IF($AS61=0,0,IF($AS61=1,4400,1000*$AS61+3400))),1107750)+0.09*MAX(0,MAX(0,$AY61-MIN(($BD60+$Q61+$R61+$S61),2000)-IF($AS61=0,0,IF($AS61=1,4400,1000*$AS61+3400)))-1107750)-IF($AU61="Head of household",120,0)-110*Inputs!$C$75,IF($AN61="MI",0.0425*MAX(0,$AY61-5900*$AS61),IF($AN61="MS",0.04*MAX(0,$AI61-IF($AU61="Head of household",3400,IF($AU61="Married",4600,2300))-Inputs!$C$85-10000),IF($AN61="OR",IF(OR($AU61="Married",AND($AU61="Single",$AS61&gt;=3)),SUMPRODUCT((MAX(0,$AY61-MIN(($P61-'Methodology &amp; Sources'!$C$10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Sources'!$B$211:$J$214,0,4))*(MAX(0,$AY61-MIN(($P61-'Methodology &amp; Sources'!$C$10*$D61)*Inputs!$C$8,IF(OR($AU61="Married",AND($AU61="Single",$AS61&gt;=3)),IF($AY61&lt;250000,8750,IF($AY61&lt;260000,7000,IF($AY61&lt;270000,5250,IF($AY61&lt;280000,3500,IF($AY61&lt;290000,1750,0))))),IF($AY61&lt;125000,8750,IF($AY61&lt;130000,7000,IF($AY61&lt;135000,5250,IF($AY61&lt;140000,3500,IF($AY61&lt;145000,1750,0)))))))-IF(OR($AU61="Married",AND($AU61="Single",$AS61&gt;=3)),5820,2910))-INDEX('Methodology &amp; Sources'!$B$211:$J$214,0,4))*INDEX('Methodology &amp; Sources'!$B$211:$J$214,0,4+2)),SUMPRODUCT((MAX(0,$AY61-MIN(($P61-'Methodology &amp; Sources'!$C$10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Sources'!$B$211:$J$214,0,1))*(MAX(0,$AY61-MIN(($P61-'Methodology &amp; Sources'!$C$10*$D61)*Inputs!$C$8,IF(OR($AU61="Married",AND($AU61="Single",$AS61&gt;=3)),IF($AY61&lt;250000,8750,IF($AY61&lt;260000,7000,IF($AY61&lt;270000,5250,IF($AY61&lt;280000,3500,IF($AY61&lt;290000,1750,0))))),IF($AY61&lt;125000,8750,IF($AY61&lt;130000,7000,IF($AY61&lt;135000,5250,IF($AY61&lt;140000,3500,IF($AY61&lt;145000,1750,0)))))))-IF(OR($AU61="Married",AND($AU61="Single",$AS61&gt;=3)),5820,2910))-INDEX('Methodology &amp; Sources'!$B$211:$J$214,0,1))*INDEX('Methodology &amp; Sources'!$B$211:$J$214,0,1+2)))+263-263*IF(IF($AU61="Married",$AY61&gt;200000,$AY61&gt;100000),0,$AS61),IF($AN61="PA",0.0307*(($O61+$E61+$G61)*Inputs!$C$8),IF($AN61="NY",IF($AU61="Married",IF($AZ61&gt;=2155350,0,IF($AZ61&gt;=1077550,0.48,IF($AZ61&gt;=373200,1.21,IF($AZ61&gt;=323200,0.21,IF($AZ61&gt;=211550,-0.19,IF($AZ61&gt;=157650,-2.8,IF($AZ61&gt;=107650,-0.8,IF($AZ61&gt;=96800,0.05,IF($AZ61&gt;=80650,-0.1,IF($AZ61&gt;=13900,0.4,IF($AZ61&gt;=11700,-0.3,IF($AZ61&gt;=8500,0.5,0)))))))))))),IF($AZ61&gt;=1077550,0,IF($AZ61&gt;=265400,4.29,IF($AZ61&gt;=215400,2.29,IF($AZ61&gt;=157650,2.29,IF($AZ61&gt;=107650,0.29,IF($AZ61&gt;=96800,0.05,IF($AZ61&gt;=80650,-0.1,IF($AZ61&gt;=13900,0.4,IF($AZ61&gt;=11700,-0.3,IF($AZ61&gt;=8500,0.5,0))))))))))),0))))))))))))))))))</f>
      </c>
      <c r="BC61" s="7">
        <f>IF($B61="","",IF($AN61="AL",0.05*$D61,IF($AN61="AR",0.039*$D61,IF($AN61="ID",0.053*$D61,IF($AN61="IN",(0.0295+Inputs!$C$76)*$D61,IF($AN61="KS",0.05*$D61,IF($AN61="MA",0.09*MIN($D61,MAX(0,MAX(0,$AY61-MIN(($BD60+$Q61+$R61+$S61),2000)-IF($AS61=0,0,IF($AS61=1,4400,1000*$AS61+3400)))+$D61-1107750))+0.05*($D61-MIN($D61,MAX(0,MAX(0,$AY61-MIN(($BD60+$Q61+$R61+$S61),2000)-IF($AS61=0,0,IF($AS61=1,4400,1000*$AS61+3400)))+$D61-1107750))),IF($AN61="MD",(0.065+Inputs!$C$74)*$D61,IF($AN61="MI",0.0425*$D61,IF($AN61="MN",0.0625*$D61,IF($AN61="MO",0.047*$D61,IF($AN61="MT",0.05*$D61,IF($AN61="ND",0.015*$D61,IF($AN61="NE",0.035*$D61,IF($AN61="NJ",IF(Inputs!$C$77="B",SUMPRODUCT(($D61*Inputs!$C$8&gt;INDEX('Methodology &amp; Sources'!$B$155:$J$162,0,4))*($D61*Inputs!$C$8-INDEX('Methodology &amp; Sources'!$B$155:$J$162,0,4))*INDEX('Methodology &amp; Sources'!$B$155:$J$162,0,4+2)),IF(Inputs!$C$77="C",SUMPRODUCT(($D61*Inputs!$C$8&gt;INDEX('Methodology &amp; Sources'!$B$155:$J$162,0,7))*($D61*Inputs!$C$8-INDEX('Methodology &amp; Sources'!$B$155:$J$162,0,7))*INDEX('Methodology &amp; Sources'!$B$155:$J$162,0,7+2)),IF(Inputs!$C$77="D",SUMPRODUCT(($D61*Inputs!$C$8&gt;INDEX('Methodology &amp; Sources'!$B$167:$J$179,0,1))*($D61*Inputs!$C$8-INDEX('Methodology &amp; Sources'!$B$167:$J$179,0,1))*INDEX('Methodology &amp; Sources'!$B$167:$J$179,0,1+2)),IF(Inputs!$C$77="E",SUMPRODUCT(($D61*Inputs!$C$8&gt;INDEX('Methodology &amp; Sources'!$B$167:$J$179,0,4))*($D61*Inputs!$C$8-INDEX('Methodology &amp; Sources'!$B$167:$J$179,0,4))*INDEX('Methodology &amp; Sources'!$B$167:$J$179,0,4+2)),SUMPRODUCT(($D61*Inputs!$C$8&gt;INDEX('Methodology &amp; Sources'!$B$155:$J$162,0,1))*($D61*Inputs!$C$8-INDEX('Methodology &amp; Sources'!$B$155:$J$162,0,1))*INDEX('Methodology &amp; Sources'!$B$155:$J$162,0,1+2))))))/Inputs!$C$8,IF($AN61="NY",0.117*$D61,IF($AN61="OH",0.0275*$D61,IF($AN61="OK",0.045*$D61,IF($AN61="OR",0.08*$D61,IF($AN61="WI",IF($AY61&lt;12760,0.0354,IF($AY61&lt;25520,0.0465,IF($AY61&lt;280950,0.053,0.0765)))*$D61,0))))))))))))))))))))</f>
      </c>
      <c r="BD61" s="7">
        <f>IF($B61="","",$BD60+$Q61+$R61+$S61)</f>
      </c>
      <c r="BE61" s="6">
        <f>IF($B61="",$BE60,$BE60+$BF61)</f>
      </c>
      <c r="BF61" s="6">
        <f>IF($B61="","",IF(AND(IF(YEAR(IF(Inputs!$C$7="Weekly",Inputs!$C$90+7*(($BE60+1)-1),IF(Inputs!$C$7="Biweekly",Inputs!$C$90+14*(($BE60+1)-1),IF(Inputs!$C$7="Semimonthly",DATE(YEAR(Inputs!$C$9),MONTH(Inputs!$C$9)+INT((($BE60+1)-1+'Rest of 2026'!$C$2)/2),MIN(DAY(Inputs!$C$9),DAY(EOMONTH(DATE(YEAR(Inputs!$C$9),MONTH(Inputs!$C$9)+INT((($BE60+1)-1+'Rest of 2026'!$C$2)/2),1),0))))+IF(MOD(($BE60+1)-1+'Rest of 2026'!$C$2,2)=1,15,0),EDATE(Inputs!$C$90,($BE60+1)-1)))))&lt;&gt;Inputs!$C$10,"",IF(Inputs!$C$7="Weekly",Inputs!$C$90+7*(($BE60+1)-1),IF(Inputs!$C$7="Biweekly",Inputs!$C$90+14*(($BE60+1)-1),IF(Inputs!$C$7="Semimonthly",DATE(YEAR(Inputs!$C$9),MONTH(Inputs!$C$9)+INT((($BE60+1)-1+'Rest of 2026'!$C$2)/2),MIN(DAY(Inputs!$C$9),DAY(EOMONTH(DATE(YEAR(Inputs!$C$9),MONTH(Inputs!$C$9)+INT((($BE60+1)-1+'Rest of 2026'!$C$2)/2),1),0))))+IF(MOD(($BE60+1)-1+'Rest of 2026'!$C$2,2)=1,15,0),EDATE(Inputs!$C$90,($BE60+1)-1)))))&lt;&gt;"",$B61=IF(YEAR(IF(Inputs!$C$7="Weekly",Inputs!$C$90+7*(($BE60+1)-1),IF(Inputs!$C$7="Biweekly",Inputs!$C$90+14*(($BE60+1)-1),IF(Inputs!$C$7="Semimonthly",DATE(YEAR(Inputs!$C$9),MONTH(Inputs!$C$9)+INT((($BE60+1)-1+'Rest of 2026'!$C$2)/2),MIN(DAY(Inputs!$C$9),DAY(EOMONTH(DATE(YEAR(Inputs!$C$9),MONTH(Inputs!$C$9)+INT((($BE60+1)-1+'Rest of 2026'!$C$2)/2),1),0))))+IF(MOD(($BE60+1)-1+'Rest of 2026'!$C$2,2)=1,15,0),EDATE(Inputs!$C$90,($BE60+1)-1)))))&lt;&gt;Inputs!$C$10,"",IF(Inputs!$C$7="Weekly",Inputs!$C$90+7*(($BE60+1)-1),IF(Inputs!$C$7="Biweekly",Inputs!$C$90+14*(($BE60+1)-1),IF(Inputs!$C$7="Semimonthly",DATE(YEAR(Inputs!$C$9),MONTH(Inputs!$C$9)+INT((($BE60+1)-1+'Rest of 2026'!$C$2)/2),MIN(DAY(Inputs!$C$9),DAY(EOMONTH(DATE(YEAR(Inputs!$C$9),MONTH(Inputs!$C$9)+INT((($BE60+1)-1+'Rest of 2026'!$C$2)/2),1),0))))+IF(MOD(($BE60+1)-1+'Rest of 2026'!$C$2,2)=1,15,0),EDATE(Inputs!$C$90,($BE60+1)-1)))))),1,0))</f>
      </c>
      <c r="BG61" s="7">
        <f>IF($B61="","",$BG60+$H61)</f>
      </c>
      <c r="BH61" s="7">
        <f>IF($B61="","",$BH60+$I61)</f>
      </c>
      <c r="BI61" s="7">
        <f>IF($B61="","",$BI60+$G61)</f>
      </c>
      <c r="BJ61" s="7">
        <f>IF($B61="","",IFERROR(LOOKUP(2,1/((((Events!$C$6:$C$17="Deduction start"))*(Events!$D$6:$D$17="Health FSA"))*(Events!$B$6:$B$17&lt;=$B61)*(Events!$B$6:$B$17&lt;&gt;"")),Events!$E$6:$E$17),Inputs!$D$38))</f>
      </c>
      <c r="BK61" s="7">
        <f>IF($B61="","",IFERROR(LOOKUP(2,1/((((Events!$C$6:$C$17="Deduction start"))*(Events!$D$6:$D$17="Dependent-care FSA"))*(Events!$B$6:$B$17&lt;=$B61)*(Events!$B$6:$B$17&lt;&gt;"")),Events!$E$6:$E$17),Inputs!$D$39))</f>
      </c>
      <c r="BL61" s="7">
        <f>IF($B61="","",IFERROR(LOOKUP(2,1/((((Events!$C$6:$C$17="Deduction start")+(Events!$C$6:$C$17="Deduction stop"))*(Events!$D$6:$D$17="HSA"))*(Events!$B$6:$B$17&lt;=$B61)*(Events!$B$6:$B$17&lt;&gt;"")),Events!$I$6:$I$17),Inputs!$D$35))</f>
      </c>
      <c r="BM61" s="7">
        <f>IF($B61="","",IFERROR(LOOKUP(2,1/((((Events!$C$6:$C$17="Deduction start")+(Events!$C$6:$C$17="Deduction stop"))*(Events!$D$6:$D$17="Premiums"))*(Events!$B$6:$B$17&lt;=$B61)*(Events!$B$6:$B$17&lt;&gt;"")),Events!$I$6:$I$17),Inputs!$D$40+Inputs!$D$41+Inputs!$D$42))</f>
      </c>
      <c r="BN61" s="7">
        <f>IF($B61="","",IFERROR(LOOKUP(2,1/((((Events!$C$6:$C$17="Deduction start")+(Events!$C$6:$C$17="Deduction stop"))*(Events!$D$6:$D$17="Commuter"))*(Events!$B$6:$B$17&lt;=$B61)*(Events!$B$6:$B$17&lt;&gt;"")),Events!$I$6:$I$17),Inputs!$D$43))</f>
      </c>
      <c r="BO61" s="7">
        <f>IF($B61="","",IFERROR(LOOKUP(2,1/((((Events!$C$6:$C$17="Deduction start")+(Events!$C$6:$C$17="Deduction stop"))*(Events!$D$6:$D$17="Other pre-tax"))*(Events!$B$6:$B$17&lt;=$B61)*(Events!$B$6:$B$17&lt;&gt;"")),Events!$I$6:$I$17),Inputs!$D$44))</f>
      </c>
      <c r="BP61" s="7">
        <f>IF($B61="","",IFERROR(LOOKUP(2,1/((((Events!$C$6:$C$17="Deduction start")+(Events!$C$6:$C$17="Deduction stop"))*(Events!$D$6:$D$17="Other post-tax"))*(Events!$B$6:$B$17&lt;=$B61)*(Events!$B$6:$B$17&lt;&gt;"")),Events!$I$6:$I$17),Inputs!$D$45))</f>
      </c>
      <c r="BQ61" s="6">
        <f>IF($B61="","",IFERROR(LOOKUP(2,1/((((Events!$C$6:$C$17="Deduction start")+(Events!$C$6:$C$17="Deduction stop"))*(Events!$D$6:$D$17="Health FSA"))*(Events!$B$6:$B$17&lt;=$B61)*(Events!$B$6:$B$17&lt;&gt;"")),Events!$J$6:$J$17),0))</f>
      </c>
      <c r="BR61" s="6">
        <f>IF($B61="","",IFERROR(LOOKUP(2,1/((((Events!$C$6:$C$17="Deduction start")+(Events!$C$6:$C$17="Deduction stop"))*(Events!$D$6:$D$17="Dependent-care FSA"))*(Events!$B$6:$B$17&lt;=$B61)*(Events!$B$6:$B$17&lt;&gt;"")),Events!$J$6:$J$17),0))</f>
      </c>
      <c r="BS61" s="6">
        <f>IF($B61="","",IF(SUMPRODUCT((Events!$C$6:$C$17="Deduction start")*(Events!$B$6:$B$17&lt;=$B61)*(Events!$B$6:$B$17&lt;&gt;"")*(Events!$D$6:$D$17="Health FSA"))&gt;0,1,0))</f>
      </c>
      <c r="BT61" s="6">
        <f>IF($B61="","",IF(SUMPRODUCT((Events!$C$6:$C$17="Deduction start")*(Events!$B$6:$B$17&lt;=$B61)*(Events!$B$6:$B$17&lt;&gt;"")*(Events!$D$6:$D$17="Dependent-care FSA"))&gt;0,1,0))</f>
      </c>
      <c r="BU61" s="24">
        <f>IF($B61="","",IF(Inputs!$C$13,SUMPRODUCT(($AH61&gt;=INDEX('Methodology &amp; Sources'!$B$29:$J$36,0,IF(Inputs!$C$12="MFJ",1,IF(Inputs!$C$12="HoH",7,4))))*INDEX('Methodology &amp; Sources'!$B$29:$J$36,0,IF(Inputs!$C$12="MFJ",1,IF(Inputs!$C$12="HoH",7,4))+2)),SUMPRODUCT(($AH61&gt;=INDEX('Methodology &amp; Sources'!$B$19:$J$26,0,IF(Inputs!$C$12="MFJ",1,IF(Inputs!$C$12="HoH",7,4))))*INDEX('Methodology &amp; Sources'!$B$19:$J$26,0,IF(Inputs!$C$12="MFJ",1,IF(Inputs!$C$12="HoH",7,4))+2))))</f>
      </c>
      <c r="BV61" s="24">
        <f>IF($B61="","",IF($BZ61&lt;&gt;"",$BZ61,IF($CA61&lt;&gt;"",$CA61,IF($CB61&lt;&gt;"",$CB61,IF($CC61&lt;&gt;"",$CC61,0)))))</f>
      </c>
      <c r="BW61" s="7">
        <f>IF($B61="","",IF($AN61="MD",IF(OR($AU61="Married",$AU61="Head of household"),SUMPRODUCT(($AZ61&gt;INDEX('Methodology &amp; Sources'!$B$114:$J$120,0,1))*($AZ61-INDEX('Methodology &amp; Sources'!$B$114:$J$120,0,1))*INDEX('Methodology &amp; Sources'!$B$114:$J$120,0,1+2)),SUMPRODUCT(($AZ61&gt;INDEX('Methodology &amp; Sources'!$B$103:$J$109,0,7))*($AZ61-INDEX('Methodology &amp; Sources'!$B$103:$J$109,0,7))*INDEX('Methodology &amp; Sources'!$B$103:$J$109,0,7+2))),IF($AN61="MO",SUMPRODUCT(($AZ61&gt;INDEX('Methodology &amp; Sources'!$B$125:$J$132,0,1))*($AZ61-INDEX('Methodology &amp; Sources'!$B$125:$J$132,0,1))*INDEX('Methodology &amp; Sources'!$B$125:$J$132,0,1+2)),IF($AN61="MT",IF($AU61="Head of household",SUMPRODUCT(($AZ61&gt;INDEX('Methodology &amp; Sources'!$B$137:$J$139,0,1))*($AZ61-INDEX('Methodology &amp; Sources'!$B$137:$J$139,0,1))*INDEX('Methodology &amp; Sources'!$B$137:$J$139,0,1+2)),IF($AU61="Married",SUMPRODUCT(($AZ61&gt;INDEX('Methodology &amp; Sources'!$B$125:$J$132,0,7))*($AZ61-INDEX('Methodology &amp; Sources'!$B$125:$J$132,0,7))*INDEX('Methodology &amp; Sources'!$B$125:$J$132,0,7+2)),SUMPRODUCT(($AZ61&gt;INDEX('Methodology &amp; Sources'!$B$125:$J$132,0,4))*($AZ61-INDEX('Methodology &amp; Sources'!$B$125:$J$132,0,4))*INDEX('Methodology &amp; Sources'!$B$125:$J$132,0,4+2)))),IF($AN61="ND",IF($AU61="Head of household",SUMPRODUCT(($AZ61&gt;INDEX('Methodology &amp; Sources'!$B$144:$J$150,0,1))*($AZ61-INDEX('Methodology &amp; Sources'!$B$144:$J$150,0,1))*INDEX('Methodology &amp; Sources'!$B$144:$J$150,0,1+2)),IF($AU61="Married",SUMPRODUCT(($AZ61&gt;INDEX('Methodology &amp; Sources'!$B$137:$J$139,0,7))*($AZ61-INDEX('Methodology &amp; Sources'!$B$137:$J$139,0,7))*INDEX('Methodology &amp; Sources'!$B$137:$J$139,0,7+2)),SUMPRODUCT(($AZ61&gt;INDEX('Methodology &amp; Sources'!$B$137:$J$139,0,4))*($AZ61-INDEX('Methodology &amp; Sources'!$B$137:$J$139,0,4))*INDEX('Methodology &amp; Sources'!$B$137:$J$139,0,4+2)))),IF($AN61="NJ",IF(Inputs!$C$77="B",SUMPRODUCT(($AZ61&gt;INDEX('Methodology &amp; Sources'!$B$155:$J$162,0,4))*($AZ61-INDEX('Methodology &amp; Sources'!$B$155:$J$162,0,4))*INDEX('Methodology &amp; Sources'!$B$155:$J$162,0,4+2)),IF(Inputs!$C$77="C",SUMPRODUCT(($AZ61&gt;INDEX('Methodology &amp; Sources'!$B$155:$J$162,0,7))*($AZ61-INDEX('Methodology &amp; Sources'!$B$155:$J$162,0,7))*INDEX('Methodology &amp; Sources'!$B$155:$J$162,0,7+2)),IF(Inputs!$C$77="D",SUMPRODUCT(($AZ61&gt;INDEX('Methodology &amp; Sources'!$B$167:$J$179,0,1))*($AZ61-INDEX('Methodology &amp; Sources'!$B$167:$J$179,0,1))*INDEX('Methodology &amp; Sources'!$B$167:$J$179,0,1+2)),IF(Inputs!$C$77="E",SUMPRODUCT(($AZ61&gt;INDEX('Methodology &amp; Sources'!$B$167:$J$179,0,4))*($AZ61-INDEX('Methodology &amp; Sources'!$B$167:$J$179,0,4))*INDEX('Methodology &amp; Sources'!$B$167:$J$179,0,4+2)),SUMPRODUCT(($AZ61&gt;INDEX('Methodology &amp; Sources'!$B$155:$J$162,0,1))*($AZ61-INDEX('Methodology &amp; Sources'!$B$155:$J$162,0,1))*INDEX('Methodology &amp; Sources'!$B$155:$J$162,0,1+2)))))),IF($AN61="NY",IF($AU61="Married",IF($AZ61&gt;=2155350,$AZ61*IF($AZ61&gt;25000000,0.117,IF($AZ61&gt;5000000,0.111,0.1045)),SUMPRODUCT(($AZ61&gt;INDEX('Methodology &amp; Sources'!$B$184:$J$198,0,1))*($AZ61-INDEX('Methodology &amp; Sources'!$B$184:$J$198,0,1))*INDEX('Methodology &amp; Sources'!$B$184:$J$198,0,1+2))),IF($AZ61&gt;=1077550,$AZ61*IF($AZ61&gt;25000000,0.117,IF($AZ61&gt;5000000,0.111,0.1045)),SUMPRODUCT(($AZ61&gt;INDEX('Methodology &amp; Sources'!$B$167:$J$179,0,7))*($AZ61-INDEX('Methodology &amp; Sources'!$B$167:$J$179,0,7))*INDEX('Methodology &amp; Sources'!$B$167:$J$179,0,7+2)))),"")))))))</f>
      </c>
      <c r="BX61" s="7">
        <f>IF($B61="","",IF($AN61="AL",IF(OR($AU61="Married",$AU61="Head of household"),SUMPRODUCT(($AZ61&gt;INDEX('Methodology &amp; Sources'!$B$82:$J$86,0,4))*($AZ61-INDEX('Methodology &amp; Sources'!$B$82:$J$86,0,4))*INDEX('Methodology &amp; Sources'!$B$82:$J$86,0,4+2)),SUMPRODUCT(($AZ61&gt;INDEX('Methodology &amp; Sources'!$B$82:$J$86,0,1))*($AZ61-INDEX('Methodology &amp; Sources'!$B$82:$J$86,0,1))*INDEX('Methodology &amp; Sources'!$B$82:$J$86,0,1+2))),IF($AN61="KS",IF($AU61="Married",SUMPRODUCT(($AZ61&gt;INDEX('Methodology &amp; Sources'!$B$103:$J$109,0,4))*($AZ61-INDEX('Methodology &amp; Sources'!$B$103:$J$109,0,4))*INDEX('Methodology &amp; Sources'!$B$103:$J$109,0,4+2)),SUMPRODUCT(($AZ61&gt;INDEX('Methodology &amp; Sources'!$B$103:$J$109,0,1))*($AZ61-INDEX('Methodology &amp; Sources'!$B$103:$J$109,0,1))*INDEX('Methodology &amp; Sources'!$B$103:$J$109,0,1+2))),IF($AN61="MN",IF($AU61="Married",SUMPRODUCT(($AZ61&gt;INDEX('Methodology &amp; Sources'!$B$114:$J$120,0,7))*($AZ61-INDEX('Methodology &amp; Sources'!$B$114:$J$120,0,7))*INDEX('Methodology &amp; Sources'!$B$114:$J$120,0,7+2)),SUMPRODUCT(($AZ61&gt;INDEX('Methodology &amp; Sources'!$B$114:$J$120,0,4))*($AZ61-INDEX('Methodology &amp; Sources'!$B$114:$J$120,0,4))*INDEX('Methodology &amp; Sources'!$B$114:$J$120,0,4+2))),IF($AN61="NE",MAX(IF($AU61="Married",SUMPRODUCT(($AZ61&gt;INDEX('Methodology &amp; Sources'!$B$144:$J$150,0,7))*($AZ61-INDEX('Methodology &amp; Sources'!$B$144:$J$150,0,7))*INDEX('Methodology &amp; Sources'!$B$144:$J$150,0,7+2)),SUMPRODUCT(($AZ61&gt;INDEX('Methodology &amp; Sources'!$B$144:$J$150,0,4))*($AZ61-INDEX('Methodology &amp; Sources'!$B$144:$J$150,0,4))*INDEX('Methodology &amp; Sources'!$B$144:$J$150,0,4+2))),0.015*$AZ61),IF($AN61="OH",IF($B61&gt;=DATE(2027,8,1),SUMPRODUCT(($AZ61&gt;INDEX('Methodology &amp; Sources'!$B$203:$J$206,0,1))*($AZ61-INDEX('Methodology &amp; Sources'!$B$203:$J$206,0,1))*INDEX('Methodology &amp; Sources'!$B$203:$J$206,0,1+2)),SUMPRODUCT(($AZ61&gt;INDEX('Methodology &amp; Sources'!$B$184:$J$198,0,7))*($AZ61-INDEX('Methodology &amp; Sources'!$B$184:$J$198,0,7))*INDEX('Methodology &amp; Sources'!$B$184:$J$198,0,7+2))),IF($AN61="OK",IF($AU61="Married",SUMPRODUCT(($AZ61&gt;INDEX('Methodology &amp; Sources'!$B$203:$J$206,0,7))*($AZ61-INDEX('Methodology &amp; Sources'!$B$203:$J$206,0,7))*INDEX('Methodology &amp; Sources'!$B$203:$J$206,0,7+2)),SUMPRODUCT(($AZ61&gt;INDEX('Methodology &amp; Sources'!$B$203:$J$206,0,4))*($AZ61-INDEX('Methodology &amp; Sources'!$B$203:$J$206,0,4))*INDEX('Methodology &amp; Sources'!$B$203:$J$206,0,4+2))),IF($AN61="RI",SUMPRODUCT(($AZ61&gt;INDEX('Methodology &amp; Sources'!$B$211:$J$214,0,7))*($AZ61-INDEX('Methodology &amp; Sources'!$B$211:$J$214,0,7))*INDEX('Methodology &amp; Sources'!$B$211:$J$214,0,7+2)),IF($AN61="VT",IF($AU61="Married",SUMPRODUCT(($AZ61&gt;INDEX('Methodology &amp; Sources'!$B$228:$J$232,0,1))*($AZ61-INDEX('Methodology &amp; Sources'!$B$228:$J$232,0,1))*INDEX('Methodology &amp; Sources'!$B$228:$J$232,0,1+2)),SUMPRODUCT(($AZ61&gt;INDEX('Methodology &amp; Sources'!$B$219:$J$223,0,7))*($AZ61-INDEX('Methodology &amp; Sources'!$B$219:$J$223,0,7))*INDEX('Methodology &amp; Sources'!$B$219:$J$223,0,7+2))),IF($AN61="WV",IF($AU61="Married",SUMPRODUCT(($AZ61&gt;INDEX('Methodology &amp; Sources'!$B$237:$J$241,0,7))*($AZ61-INDEX('Methodology &amp; Sources'!$B$237:$J$241,0,7))*INDEX('Methodology &amp; Sources'!$B$237:$J$241,0,7+2)),SUMPRODUCT(($AZ61&gt;INDEX('Methodology &amp; Sources'!$B$228:$J$232,0,7))*($AZ61-INDEX('Methodology &amp; Sources'!$B$228:$J$232,0,7))*INDEX('Methodology &amp; Sources'!$B$228:$J$232,0,7+2))),""))))))))))</f>
      </c>
      <c r="BY61" s="7">
        <f>IF($B61="","",IF($AN61="AR",SUMPRODUCT(($AZ61&gt;INDEX('Methodology &amp; Sources'!$B$82:$J$86,0,7))*($AZ61-INDEX('Methodology &amp; Sources'!$B$82:$J$86,0,7))*INDEX('Methodology &amp; Sources'!$B$82:$J$86,0,7+2)),IF($AN61="DE",SUMPRODUCT(($AZ61&gt;INDEX('Methodology &amp; Sources'!$B$91:$J$98,0,1))*($AZ61-INDEX('Methodology &amp; Sources'!$B$91:$J$98,0,1))*INDEX('Methodology &amp; Sources'!$B$91:$J$98,0,1+2)),IF($AN61="HI",IF($AU61="Married",SUMPRODUCT(($AZ61&gt;INDEX('Methodology &amp; Sources'!$B$91:$J$98,0,7))*($AZ61-INDEX('Methodology &amp; Sources'!$B$91:$J$98,0,7))*INDEX('Methodology &amp; Sources'!$B$91:$J$98,0,7+2)),SUMPRODUCT(($AZ61&gt;INDEX('Methodology &amp; Sources'!$B$91:$J$98,0,4))*($AZ61-INDEX('Methodology &amp; Sources'!$B$91:$J$98,0,4))*INDEX('Methodology &amp; Sources'!$B$91:$J$98,0,4+2))),IF($AN61="SC",SUMPRODUCT(($AZ61&gt;INDEX('Methodology &amp; Sources'!$B$219:$J$223,0,1))*($AZ61-INDEX('Methodology &amp; Sources'!$B$219:$J$223,0,1))*INDEX('Methodology &amp; Sources'!$B$219:$J$223,0,1+2)),IF($AN61="VA",SUMPRODUCT(($AZ61&gt;INDEX('Methodology &amp; Sources'!$B$219:$J$223,0,4))*($AZ61-INDEX('Methodology &amp; Sources'!$B$219:$J$223,0,4))*INDEX('Methodology &amp; Sources'!$B$219:$J$223,0,4+2)),IF($AN61="WI",SUMPRODUCT(($AZ61&gt;INDEX('Methodology &amp; Sources'!$B$228:$J$232,0,4))*($AZ61-INDEX('Methodology &amp; Sources'!$B$228:$J$232,0,4))*INDEX('Methodology &amp; Sources'!$B$228:$J$232,0,4+2)),"")))))))</f>
      </c>
      <c r="BZ61" s="24">
        <f>IF($B61="","",IF($AN61="NJ",IF(Inputs!$C$77="B",SUMPRODUCT(($AZ61&gt;=INDEX('Methodology &amp; Sources'!$B$155:$J$162,0,4))*INDEX('Methodology &amp; Sources'!$B$155:$J$162,0,4+2)),IF(Inputs!$C$77="C",SUMPRODUCT(($AZ61&gt;=INDEX('Methodology &amp; Sources'!$B$155:$J$162,0,7))*INDEX('Methodology &amp; Sources'!$B$155:$J$162,0,7+2)),IF(Inputs!$C$77="D",SUMPRODUCT(($AZ61&gt;=INDEX('Methodology &amp; Sources'!$B$167:$J$179,0,1))*INDEX('Methodology &amp; Sources'!$B$167:$J$179,0,1+2)),IF(Inputs!$C$77="E",SUMPRODUCT(($AZ61&gt;=INDEX('Methodology &amp; Sources'!$B$167:$J$179,0,4))*INDEX('Methodology &amp; Sources'!$B$167:$J$179,0,4+2)),SUMPRODUCT(($AZ61&gt;=INDEX('Methodology &amp; Sources'!$B$155:$J$162,0,1))*INDEX('Methodology &amp; Sources'!$B$155:$J$162,0,1+2)))))),IF($AN61="OR",IF(OR($AU61="Married",AND($AU61="Single",$AS61&gt;=3)),SUMPRODUCT((MAX(0,$AY61-MIN(($P61-'Methodology &amp; Sources'!$C$10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Sources'!$B$211:$J$214,0,4))*INDEX('Methodology &amp; Sources'!$B$211:$J$214,0,4+2)),SUMPRODUCT((MAX(0,$AY61-MIN(($P61-'Methodology &amp; Sources'!$C$10*$D61)*Inputs!$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Sources'!$B$211:$J$214,0,1))*INDEX('Methodology &amp; Sources'!$B$211:$J$214,0,1+2)))*IF(($P61-'Methodology &amp; Sources'!$C$10*$D61)*Inputs!$C$8&gt;=IF(OR($AU61="Married",AND($AU61="Single",$AS61&gt;=3)),IF($AY61&lt;250000,8750,IF($AY61&lt;260000,7000,IF($AY61&lt;270000,5250,IF($AY61&lt;280000,3500,IF($AY61&lt;290000,1750,0))))),IF($AY61&lt;125000,8750,IF($AY61&lt;130000,7000,IF($AY61&lt;135000,5250,IF($AY61&lt;140000,3500,IF($AY61&lt;145000,1750,0)))))),1,1-IF(Inputs!$C$13,SUMPRODUCT(($AH61&gt;=INDEX('Methodology &amp; Sources'!$B$29:$J$36,0,IF(Inputs!$C$12="MFJ",1,IF(Inputs!$C$12="HoH",7,4))))*INDEX('Methodology &amp; Sources'!$B$29:$J$36,0,IF(Inputs!$C$12="MFJ",1,IF(Inputs!$C$12="HoH",7,4))+2)),SUMPRODUCT(($AH61&gt;=INDEX('Methodology &amp; Sources'!$B$19:$J$26,0,IF(Inputs!$C$12="MFJ",1,IF(Inputs!$C$12="HoH",7,4))))*INDEX('Methodology &amp; Sources'!$B$19:$J$26,0,IF(Inputs!$C$12="MFJ",1,IF(Inputs!$C$12="HoH",7,4))+2)))),IF($AN61="MI",IF($AY61&gt;5900*$AS61,0.0425,0),""))))</f>
      </c>
      <c r="CA61" s="24">
        <f>IF($B61="","",IF($AN61="AL",IF(OR($AU61="Married",$AU61="Head of household"),SUMPRODUCT(($AZ61&gt;=INDEX('Methodology &amp; Sources'!$B$82:$J$86,0,4))*INDEX('Methodology &amp; Sources'!$B$82:$J$86,0,4+2)),SUMPRODUCT(($AZ61&gt;=INDEX('Methodology &amp; Sources'!$B$82:$J$86,0,1))*INDEX('Methodology &amp; Sources'!$B$82:$J$86,0,1+2)))*(1-IF(Inputs!$C$13,SUMPRODUCT(($AH61&gt;=INDEX('Methodology &amp; Sources'!$B$29:$J$36,0,IF(Inputs!$C$12="MFJ",1,IF(Inputs!$C$12="HoH",7,4))))*INDEX('Methodology &amp; Sources'!$B$29:$J$36,0,IF(Inputs!$C$12="MFJ",1,IF(Inputs!$C$12="HoH",7,4))+2)),SUMPRODUCT(($AH61&gt;=INDEX('Methodology &amp; Sources'!$B$19:$J$26,0,IF(Inputs!$C$12="MFJ",1,IF(Inputs!$C$12="HoH",7,4))))*INDEX('Methodology &amp; Sources'!$B$19:$J$26,0,IF(Inputs!$C$12="MFJ",1,IF(Inputs!$C$12="HoH",7,4))+2)))),IF($AN61="KS",IF($AU61="Married",SUMPRODUCT(($AZ61&gt;=INDEX('Methodology &amp; Sources'!$B$103:$J$109,0,4))*INDEX('Methodology &amp; Sources'!$B$103:$J$109,0,4+2)),SUMPRODUCT(($AZ61&gt;=INDEX('Methodology &amp; Sources'!$B$103:$J$109,0,1))*INDEX('Methodology &amp; Sources'!$B$103:$J$109,0,1+2))),IF($AN61="MD",IF(OR($AU61="Married",$AU61="Head of household"),SUMPRODUCT(($AZ61&gt;=INDEX('Methodology &amp; Sources'!$B$114:$J$120,0,1))*INDEX('Methodology &amp; Sources'!$B$114:$J$120,0,1+2)),SUMPRODUCT(($AZ61&gt;=INDEX('Methodology &amp; Sources'!$B$103:$J$109,0,7))*INDEX('Methodology &amp; Sources'!$B$103:$J$109,0,7+2)))+Inputs!$C$74,IF($AN61="MT",IF($AU61="Head of household",SUMPRODUCT(($AZ61&gt;=INDEX('Methodology &amp; Sources'!$B$137:$J$139,0,1))*INDEX('Methodology &amp; Sources'!$B$137:$J$139,0,1+2)),IF($AU61="Married",SUMPRODUCT(($AZ61&gt;=INDEX('Methodology &amp; Sources'!$B$125:$J$132,0,7))*INDEX('Methodology &amp; Sources'!$B$125:$J$132,0,7+2)),SUMPRODUCT(($AZ61&gt;=INDEX('Methodology &amp; Sources'!$B$125:$J$132,0,4))*INDEX('Methodology &amp; Sources'!$B$125:$J$132,0,4+2)))),IF($AN61="ND",IF($AU61="Head of household",SUMPRODUCT(($AZ61&gt;=INDEX('Methodology &amp; Sources'!$B$144:$J$150,0,1))*INDEX('Methodology &amp; Sources'!$B$144:$J$150,0,1+2)),IF($AU61="Married",SUMPRODUCT(($AZ61&gt;=INDEX('Methodology &amp; Sources'!$B$137:$J$139,0,7))*INDEX('Methodology &amp; Sources'!$B$137:$J$139,0,7+2)),SUMPRODUCT(($AZ61&gt;=INDEX('Methodology &amp; Sources'!$B$137:$J$139,0,4))*INDEX('Methodology &amp; Sources'!$B$137:$J$139,0,4+2)))),IF($AN61="NY",IF($AU61="Married",IF($AZ61&gt;=2155350,IF($AZ61&gt;25000000,0.117,IF($AZ61&gt;5000000,0.111,0.1045)),SUMPRODUCT(($AZ61&gt;=INDEX('Methodology &amp; Sources'!$B$184:$J$198,0,1))*INDEX('Methodology &amp; Sources'!$B$184:$J$198,0,1+2))),IF($AZ61&gt;=1077550,IF($AZ61&gt;25000000,0.117,IF($AZ61&gt;5000000,0.111,0.1045)),SUMPRODUCT(($AZ61&gt;=INDEX('Methodology &amp; Sources'!$B$167:$J$179,0,7))*INDEX('Methodology &amp; Sources'!$B$167:$J$179,0,7+2)))),"")))))))</f>
      </c>
      <c r="CB61" s="24">
        <f>IF($B61="","",IF($AN61="CA",SUMPRODUCT(($AJ61&gt;=INDEX('Methodology &amp; Sources'!$B$39:$J$48,0,IF($AU61="Married",4,IF($AU61="Head of household",7,1))))*INDEX('Methodology &amp; Sources'!$B$39:$J$48,0,IF($AU61="Married",4,IF($AU61="Head of household",7,1))+2)),IF($AN61="HI",IF($AU61="Married",SUMPRODUCT(($AZ61&gt;=INDEX('Methodology &amp; Sources'!$B$91:$J$98,0,7))*INDEX('Methodology &amp; Sources'!$B$91:$J$98,0,7+2)),SUMPRODUCT(($AZ61&gt;=INDEX('Methodology &amp; Sources'!$B$91:$J$98,0,4))*INDEX('Methodology &amp; Sources'!$B$91:$J$98,0,4+2))),IF($AN61="MN",IF($AU61="Married",SUMPRODUCT(($AZ61&gt;=INDEX('Methodology &amp; Sources'!$B$114:$J$120,0,7))*INDEX('Methodology &amp; Sources'!$B$114:$J$120,0,7+2)),SUMPRODUCT(($AZ61&gt;=INDEX('Methodology &amp; Sources'!$B$114:$J$120,0,4))*INDEX('Methodology &amp; Sources'!$B$114:$J$120,0,4+2))),IF($AN61="MO",SUMPRODUCT(($AZ61&gt;=INDEX('Methodology &amp; Sources'!$B$125:$J$132,0,1))*INDEX('Methodology &amp; Sources'!$B$125:$J$132,0,1+2)),IF($AN61="NE",MAX(IF($AU61="Married",SUMPRODUCT(($AZ61&gt;=INDEX('Methodology &amp; Sources'!$B$144:$J$150,0,7))*INDEX('Methodology &amp; Sources'!$B$144:$J$150,0,7+2)),SUMPRODUCT(($AZ61&gt;=INDEX('Methodology &amp; Sources'!$B$144:$J$150,0,4))*INDEX('Methodology &amp; Sources'!$B$144:$J$150,0,4+2))),0.015),IF($AN61="OH",IF($B61&gt;=DATE(2027,8,1),SUMPRODUCT(($AZ61&gt;=INDEX('Methodology &amp; Sources'!$B$203:$J$206,0,1))*INDEX('Methodology &amp; Sources'!$B$203:$J$206,0,1+2)),SUMPRODUCT(($AZ61&gt;=INDEX('Methodology &amp; Sources'!$B$184:$J$198,0,7))*INDEX('Methodology &amp; Sources'!$B$184:$J$198,0,7+2))),IF($AN61="OK",IF($AU61="Married",SUMPRODUCT(($AZ61&gt;=INDEX('Methodology &amp; Sources'!$B$203:$J$206,0,7))*INDEX('Methodology &amp; Sources'!$B$203:$J$206,0,7+2)),SUMPRODUCT(($AZ61&gt;=INDEX('Methodology &amp; Sources'!$B$203:$J$206,0,4))*INDEX('Methodology &amp; Sources'!$B$203:$J$206,0,4+2))),IF($AN61="RI",SUMPRODUCT(($AZ61&gt;=INDEX('Methodology &amp; Sources'!$B$211:$J$214,0,7))*INDEX('Methodology &amp; Sources'!$B$211:$J$214,0,7+2)),IF($AN61="SC",SUMPRODUCT(($AZ61&gt;=INDEX('Methodology &amp; Sources'!$B$219:$J$223,0,1))*INDEX('Methodology &amp; Sources'!$B$219:$J$223,0,1+2)),IF($AN61="VT",IF($AU61="Married",SUMPRODUCT(($AZ61&gt;=INDEX('Methodology &amp; Sources'!$B$228:$J$232,0,1))*INDEX('Methodology &amp; Sources'!$B$228:$J$232,0,1+2)),SUMPRODUCT(($AZ61&gt;=INDEX('Methodology &amp; Sources'!$B$219:$J$223,0,7))*INDEX('Methodology &amp; Sources'!$B$219:$J$223,0,7+2))),IF($AN61="WV",IF($AU61="Married",SUMPRODUCT(($AZ61&gt;=INDEX('Methodology &amp; Sources'!$B$237:$J$241,0,7))*INDEX('Methodology &amp; Sources'!$B$237:$J$241,0,7+2)),SUMPRODUCT(($AZ61&gt;=INDEX('Methodology &amp; Sources'!$B$228:$J$232,0,7))*INDEX('Methodology &amp; Sources'!$B$228:$J$232,0,7+2))),IF($AN61="IN",(0.0295+Inputs!$C$76),"")))))))))))))</f>
      </c>
      <c r="CC61" s="24">
        <f>IF($B61="","",IF($AN61="AR",SUMPRODUCT(($AZ61&gt;=INDEX('Methodology &amp; Sources'!$B$82:$J$86,0,7))*INDEX('Methodology &amp; Sources'!$B$82:$J$86,0,7+2)),IF($AN61="DE",SUMPRODUCT(($AZ61&gt;=INDEX('Methodology &amp; Sources'!$B$91:$J$98,0,1))*INDEX('Methodology &amp; Sources'!$B$91:$J$98,0,1+2)),IF($AN61="VA",SUMPRODUCT(($AZ61&gt;=INDEX('Methodology &amp; Sources'!$B$219:$J$223,0,4))*INDEX('Methodology &amp; Sources'!$B$219:$J$223,0,4+2)),IF($AN61="WI",SUMPRODUCT(($AZ61&gt;=INDEX('Methodology &amp; Sources'!$B$228:$J$232,0,4))*INDEX('Methodology &amp; Sources'!$B$228:$J$232,0,4+2)),IF($AN61="AZ",Inputs!$C$82,IF($AN61="CO",IF($AY61&gt;IF($AU61="Married",10000,5000),0.044,0),IF($AN61="IA",IF($AY61&gt;IF($AU61="Head of household",19500,IF($AU61="Married",26000,13000)),0.038,0),IF($AN61="ID",IF($AY61&gt;IF($AU61="Married",32000,16094),0.053,0),IF($AN61="IL",IF($AY61&gt;(2925*$AS61+1000*$AT61),0.0495,0),IF($AN61="KY",IF($AI61&gt;3360,0.035,0),IF($AN61="LA",0.0309,IF($AN61="MA",IF(MAX(0,$AY61-MIN(($BD60+$Q61+$R61+$S61),2000)-IF($AS61=0,0,IF($AS61=1,4400,1000*$AS61+3400)))&gt;=1107750,0.09,0.05),IF($AN61="MS",IF($AI61-IF($AU61="Head of household",3400,IF($AU61="Married",4600,2300))-Inputs!$C$85&gt;10000,0.04,0),IF($AN61="PA",0.0307,"")))))))))))))))</f>
      </c>
      <c r="CD61" s="21">
        <f>IF(YEAR(IF(Inputs!$C$7="Weekly",Inputs!$C$90+7*(($BE60+1)-1),IF(Inputs!$C$7="Biweekly",Inputs!$C$90+14*(($BE60+1)-1),IF(Inputs!$C$7="Semimonthly",DATE(YEAR(Inputs!$C$9),MONTH(Inputs!$C$9)+INT((($BE60+1)-1+'Rest of 2026'!$C$2)/2),MIN(DAY(Inputs!$C$9),DAY(EOMONTH(DATE(YEAR(Inputs!$C$9),MONTH(Inputs!$C$9)+INT((($BE60+1)-1+'Rest of 2026'!$C$2)/2),1),0))))+IF(MOD(($BE60+1)-1+'Rest of 2026'!$C$2,2)=1,15,0),EDATE(Inputs!$C$90,($BE60+1)-1)))))&lt;&gt;Inputs!$C$10,"",IF(Inputs!$C$7="Weekly",Inputs!$C$90+7*(($BE60+1)-1),IF(Inputs!$C$7="Biweekly",Inputs!$C$90+14*(($BE60+1)-1),IF(Inputs!$C$7="Semimonthly",DATE(YEAR(Inputs!$C$9),MONTH(Inputs!$C$9)+INT((($BE60+1)-1+'Rest of 2026'!$C$2)/2),MIN(DAY(Inputs!$C$9),DAY(EOMONTH(DATE(YEAR(Inputs!$C$9),MONTH(Inputs!$C$9)+INT((($BE60+1)-1+'Rest of 2026'!$C$2)/2),1),0))))+IF(MOD(($BE60+1)-1+'Rest of 2026'!$C$2,2)=1,15,0),EDATE(Inputs!$C$90,($BE60+1)-1)))))</f>
      </c>
      <c r="CE61" s="21">
        <f>IF(SUMPRODUCT(MIN(IF((Inputs!$C$58:$C$67&gt;MAX($B$6:$B60))*(Inputs!$C$58:$C$67&gt;=DATE(Inputs!$C$10,1,1))*(Inputs!$C$58:$C$67&lt;=DATE(Inputs!$C$10,12,31)),Inputs!$C$58:$C$67,999999)))=999999,"",SUMPRODUCT(MIN(IF((Inputs!$C$58:$C$67&gt;MAX($B$6:$B60))*(Inputs!$C$58:$C$67&gt;=DATE(Inputs!$C$10,1,1))*(Inputs!$C$58:$C$67&lt;=DATE(Inputs!$C$10,12,31)),Inputs!$C$58:$C$67,999999))))</f>
      </c>
    </row>
    <row r="62">
      <c r="A62" t="n">
        <v>57</v>
      </c>
      <c r="B62" s="21">
        <f>IF(AND($CD62="",$CE62=""),"",IF($CE62="",$CD62,IF($CD62="",$CE62,MIN($CD62,$CE62))))</f>
      </c>
      <c r="C62" s="7">
        <f>IF($B62="","",IF($BF62=0,0,IF(Inputs!$C$4="Annual salary",ROUND($AK62/IF(AND(Inputs!$C$88="Actual paydays",MONTH(Inputs!$C$90)=1),MAX(1,MAX($BE$6:$BE$68)),Inputs!$C$8),2),$AK62)))</f>
      </c>
      <c r="D62" s="7">
        <f>IF($B62="","",SUMIF(Inputs!$C$58:$C$67,$B62,Inputs!$D$58:$D$67))</f>
      </c>
      <c r="E62" s="7">
        <f>IF($B62="","",ROUND(MAX(0,MIN(IF($AL62="Percent",$AM62*($C62+$D62),$AM62),MAX(0,Inputs!$C$34-$AC61))),2))</f>
      </c>
      <c r="F62" s="7">
        <f>IF($B62="","",ROUND(MAX(0,MIN(IF(Inputs!$C$32="Percent",Inputs!$D$32*($C62+$D62),Inputs!$D$32),MAX(0,Inputs!$C$34-$AC61-$E62))),2))</f>
      </c>
      <c r="G62" s="7">
        <f>IF($B62="","",IF($BF62=0,0,ROUND(MAX(0,MIN($BL62,Inputs!$C$37-Inputs!$C$99-$BI61)),2)))</f>
      </c>
      <c r="H62" s="7">
        <f>IF($B62="","",IF(OR($BF62=0,$BQ62=1),0,ROUND(MAX(0,MIN(IF($BS62=1,ROUND(MAX(0,MIN($BJ62,'Methodology &amp; Sources'!$C$13)-$BG61)/MAX(1,MAX($BE$6:$BE$68)-($BE61)),2),ROUND(MIN($BJ62,'Methodology &amp; Sources'!$C$13)/Inputs!$C$8,2)),MIN($BJ62,'Methodology &amp; Sources'!$C$13)-$BG61)),2)))</f>
      </c>
      <c r="I62" s="7">
        <f>IF($B62="","",IF(OR($BF62=0,$BR62=1),0,ROUND(MAX(0,MIN(IF($BT62=1,ROUND(MAX(0,MIN($BK62,IF(Inputs!$C$12="MFJ",'Methodology &amp; Sources'!$C$14,'Methodology &amp; Sources'!$C$15))-$BH61)/MAX(1,MAX($BE$6:$BE$68)-($BE61)),2),ROUND(MIN($BK62,IF(Inputs!$C$12="MFJ",'Methodology &amp; Sources'!$C$14,'Methodology &amp; Sources'!$C$15))/Inputs!$C$8,2)),MIN($BK62,IF(Inputs!$C$12="MFJ",'Methodology &amp; Sources'!$C$14,'Methodology &amp; Sources'!$C$15))-$BH61)),2)))</f>
      </c>
      <c r="J62" s="7">
        <f>IF($B62="","",IF($BF62=0,0,$BM62))</f>
      </c>
      <c r="K62" s="7">
        <f>IF($B62="","",IF($BF62=0,0,$BN62+$BO62))</f>
      </c>
      <c r="L62" s="7">
        <f>IF($B62="","",IF($BF62=0,0,Inputs!$D$46))</f>
      </c>
      <c r="M62" s="7">
        <f>IF($B62="","",$C62+$D62+$L62-$E62-$G62-$H62-$I62-$J62-$K62)</f>
      </c>
      <c r="N62" s="7">
        <f>IF($B62="","",$C62+$D62+$L62-$G62-$H62-$I62-$J62-$K62)</f>
      </c>
      <c r="O62" s="7">
        <f>IF($B62="","",$C62+$D62+$L62-$E62-$H62-$I62-$J62-$K62-IF(OR($AN62="CA",$AN62="NJ"),0,$G62))</f>
      </c>
      <c r="P62" s="7">
        <f>IF($B62="","",IF(Inputs!$C$18,0,ROUND(MAX(0,IF(Inputs!$C$13,SUMPRODUCT(($AH62&gt;INDEX('Methodology &amp; Sources'!$B$29:$J$36,0,IF(Inputs!$C$12="MFJ",1,IF(Inputs!$C$12="HoH",7,4))))*($AH62-INDEX('Methodology &amp; Sources'!$B$29:$J$36,0,IF(Inputs!$C$12="MFJ",1,IF(Inputs!$C$12="HoH",7,4))))*INDEX('Methodology &amp; Sources'!$B$29:$J$36,0,IF(Inputs!$C$12="MFJ",1,IF(Inputs!$C$12="HoH",7,4))+2)),SUMPRODUCT(($AH62&gt;INDEX('Methodology &amp; Sources'!$B$19:$J$26,0,IF(Inputs!$C$12="MFJ",1,IF(Inputs!$C$12="HoH",7,4))))*($AH62-INDEX('Methodology &amp; Sources'!$B$19:$J$26,0,IF(Inputs!$C$12="MFJ",1,IF(Inputs!$C$12="HoH",7,4))))*INDEX('Methodology &amp; Sources'!$B$19:$J$26,0,IF(Inputs!$C$12="MFJ",1,IF(Inputs!$C$12="HoH",7,4))+2)))/Inputs!$C$8-$AO62/Inputs!$C$8)+$AR62+IF(Inputs!$C$89="Aggregate",MAX(0,IF(Inputs!$C$13,SUMPRODUCT((($AH62+$D62)&gt;INDEX('Methodology &amp; Sources'!$B$29:$J$36,0,IF(Inputs!$C$12="MFJ",1,IF(Inputs!$C$12="HoH",7,4))))*(($AH62+$D62)-INDEX('Methodology &amp; Sources'!$B$29:$J$36,0,IF(Inputs!$C$12="MFJ",1,IF(Inputs!$C$12="HoH",7,4))))*INDEX('Methodology &amp; Sources'!$B$29:$J$36,0,IF(Inputs!$C$12="MFJ",1,IF(Inputs!$C$12="HoH",7,4))+2)),SUMPRODUCT((($AH62+$D62)&gt;INDEX('Methodology &amp; Sources'!$B$19:$J$26,0,IF(Inputs!$C$12="MFJ",1,IF(Inputs!$C$12="HoH",7,4))))*(($AH62+$D62)-INDEX('Methodology &amp; Sources'!$B$19:$J$26,0,IF(Inputs!$C$12="MFJ",1,IF(Inputs!$C$12="HoH",7,4))))*INDEX('Methodology &amp; Sources'!$B$19:$J$26,0,IF(Inputs!$C$12="MFJ",1,IF(Inputs!$C$12="HoH",7,4))+2)))-IF(Inputs!$C$13,SUMPRODUCT(($AH62&gt;INDEX('Methodology &amp; Sources'!$B$29:$J$36,0,IF(Inputs!$C$12="MFJ",1,IF(Inputs!$C$12="HoH",7,4))))*($AH62-INDEX('Methodology &amp; Sources'!$B$29:$J$36,0,IF(Inputs!$C$12="MFJ",1,IF(Inputs!$C$12="HoH",7,4))))*INDEX('Methodology &amp; Sources'!$B$29:$J$36,0,IF(Inputs!$C$12="MFJ",1,IF(Inputs!$C$12="HoH",7,4))+2)),SUMPRODUCT(($AH62&gt;INDEX('Methodology &amp; Sources'!$B$19:$J$26,0,IF(Inputs!$C$12="MFJ",1,IF(Inputs!$C$12="HoH",7,4))))*($AH62-INDEX('Methodology &amp; Sources'!$B$19:$J$26,0,IF(Inputs!$C$12="MFJ",1,IF(Inputs!$C$12="HoH",7,4))))*INDEX('Methodology &amp; Sources'!$B$19:$J$26,0,IF(Inputs!$C$12="MFJ",1,IF(Inputs!$C$12="HoH",7,4))+2)))),'Methodology &amp; Sources'!$C$10*$D62),2)))</f>
      </c>
      <c r="Q62" s="7">
        <f>IF($B62="","",ROUND('Methodology &amp; Sources'!$C$4*MIN($N62,MAX(0,'Methodology &amp; Sources'!$C$3-($AX62+$AB61-$AW62))),2))</f>
      </c>
      <c r="R62" s="7">
        <f>IF($B62="","",ROUND('Methodology &amp; Sources'!$C$5*$N62,2))</f>
      </c>
      <c r="S62" s="7">
        <f>IF($B62="","",ROUND('Methodology &amp; Sources'!$C$6*MAX(0,MIN($N62,$AG61+$N62-'Methodology &amp; Sources'!$C$7)),2))</f>
      </c>
      <c r="T62" s="7">
        <f>IF($B62="","",IF(Inputs!$C$26,0,IF($AN62="CA",ROUND(IF($AI62&lt;=IF(($AS62+$AT62)&gt;=2,VLOOKUP($AN62,StateTables!$A$6:$AB$56,10,FALSE),VLOOKUP($AN62,StateTables!$A$6:$AB$56,9,FALSE)),0,MAX(0,SUMPRODUCT(($AJ62&gt;INDEX('Methodology &amp; Sources'!$B$39:$J$48,0,IF($AU62="Married",4,IF($AU62="Head of household",7,1))))*($AJ62-INDEX('Methodology &amp; Sources'!$B$39:$J$48,0,IF($AU62="Married",4,IF($AU62="Head of household",7,1))))*INDEX('Methodology &amp; Sources'!$B$39:$J$48,0,IF($AU62="Married",4,IF($AU62="Head of household",7,1))+2))-VLOOKUP($AN62,StateTables!$A$6:$AB$56,11,FALSE)*$AS62)/Inputs!$C$8)+Inputs!$C$25+VLOOKUP($AN62,StateTables!$A$6:$AB$56,13,FALSE)*$D62,2),IF(VLOOKUP($AN62,StateTables!$A$6:$AB$56,4,FALSE)="None",0,IF(ISNUMBER(SEARCH("MANUAL",VLOOKUP($AN62,StateTables!$A$6:$AB$56,5,FALSE))),Inputs!$C$28,ROUND(MAX(0,$BA62+$BB62)/Inputs!$C$8+Inputs!$C$25+$BC62,2))))))</f>
      </c>
      <c r="U62" s="7">
        <f>IF($B62="","",IF(VLOOKUP($AN62,StateTables!$A$6:$AB$56,24,FALSE)="flatq",IF(OR(MONTH($B62)=1,MONTH($B62)=4,MONTH($B62)=7,MONTH($B62)=10),VLOOKUP($AN62,StateTables!$A$6:$AB$56,25,FALSE),0),IF(VLOOKUP($AN62,StateTables!$A$6:$AB$56,24,FALSE)="dbl",MIN(ROUND(0.005*$N62,2),ROUND(0.6*52/Inputs!$C$8,2)),IF(OR(VLOOKUP($AN62,StateTables!$A$6:$AB$56,15,FALSE)="",VLOOKUP($AN62,StateTables!$A$6:$AB$56,15,FALSE)=0),0,ROUND(VLOOKUP($AN62,StateTables!$A$6:$AB$56,15,FALSE)*IF(OR(VLOOKUP($AN62,StateTables!$A$6:$AB$56,16,FALSE)="",VLOOKUP($AN62,StateTables!$A$6:$AB$56,16,FALSE)=0),$N62,MIN($N62,MAX(0,VLOOKUP($AN62,StateTables!$A$6:$AB$56,16,FALSE)-($AX62+$AB61-$AW62)))),2))))+IF(VLOOKUP($AN62,StateTables!$A$6:$AB$56,27,FALSE)="flatq",IF(OR(MONTH($B62)=1,MONTH($B62)=4,MONTH($B62)=7,MONTH($B62)=10),VLOOKUP($AN62,StateTables!$A$6:$AB$56,28,FALSE),0),IF(VLOOKUP($AN62,StateTables!$A$6:$AB$56,27,FALSE)="dbl",MIN(ROUND(0.005*$N62,2),ROUND(0.6*52/Inputs!$C$8,2)),IF(OR(VLOOKUP($AN62,StateTables!$A$6:$AB$56,18,FALSE)="",VLOOKUP($AN62,StateTables!$A$6:$AB$56,18,FALSE)=0),0,ROUND(VLOOKUP($AN62,StateTables!$A$6:$AB$56,18,FALSE)*IF(OR(VLOOKUP($AN62,StateTables!$A$6:$AB$56,19,FALSE)="",VLOOKUP($AN62,StateTables!$A$6:$AB$56,19,FALSE)=0),$N62,MIN($N62,MAX(0,VLOOKUP($AN62,StateTables!$A$6:$AB$56,19,FALSE)-($AX62+$AB61-$AW62)))),2)))))</f>
      </c>
      <c r="V62" s="7">
        <f>IF($B62="","",IF($AN62="NY",IF(Inputs!$C$78,ROUND(SUMPRODUCT((MAX(0,($O62-$D62)*Inputs!$C$8-(IF($AU62="Married",5500,5000)+1000*$AS62))&gt;INDEX('Methodology &amp; Sources'!$B$184:$J$198,0,4))*(MAX(0,($O62-$D62)*Inputs!$C$8-(IF($AU62="Married",5500,5000)+1000*$AS62))-INDEX('Methodology &amp; Sources'!$B$184:$J$198,0,4))*INDEX('Methodology &amp; Sources'!$B$184:$J$198,0,4+2))/Inputs!$C$8+0.0425*$D62,2),0)+IF(Inputs!$C$79="Resident",ROUND(0.1675*$T62,2),IF(Inputs!$C$79="Nonresident",ROUND(0.005*MAX(0,($O62-$D62)-(IF($AU62="Married",7950,7400)+1000*$AS62)/Inputs!$C$8),2),0)),IF($AN62="PA",IF(Inputs!$C$80="None",Inputs!$C$27+ROUND(Inputs!$C$81*($C62+$D62),2),ROUND(IF(Inputs!$C$80="Resident",IF($B62&lt;DATE(2027,7,1),0.03735,0.03735),IF($B62&lt;DATE(2027,7,1),0.03425,0.03425))*($C62+$D62),2)),IF($BF62=0,ROUND(Inputs!$C$81*($C62+$D62),2),Inputs!$C$27+ROUND(Inputs!$C$81*($C62+$D62),2)))))</f>
      </c>
      <c r="W62" s="7">
        <f>IF($B62="","",IF($BF62=0,0,$BP62))</f>
      </c>
      <c r="X62" s="7">
        <f>IF($B62="","",SUM($E62:$K62)+$P62+$Q62+$R62+$S62+$T62+$U62+$V62+$W62)</f>
      </c>
      <c r="Y62" s="22">
        <f>IF($B62="","",$C62+$D62-$X62)</f>
      </c>
      <c r="Z62" s="7">
        <f>IF($B62="","",$Z61+$C62+$D62)</f>
      </c>
      <c r="AA62" s="7">
        <f>IF($B62="","",$AA61+$Y62)</f>
      </c>
      <c r="AB62" s="7">
        <f>IF($B62="","",$AB61+MIN($N62,MAX(0,'Methodology &amp; Sources'!$C$3-($AX62+$AB61-$AW62))))</f>
      </c>
      <c r="AC62" s="7">
        <f>IF($B62="","",$AC61+$E62+$F62)</f>
      </c>
      <c r="AD62" s="3">
        <f>IF($B62="","",IF(AND($AB61&lt;'Methodology &amp; Sources'!$C$3,$AB62&gt;='Methodology &amp; Sources'!$C$3),"★ Social Security maxed on this check — from the next check your net rises by about $"&amp;TEXT(ROUND('Methodology &amp; Sources'!$C$4*$N62,2),"#,##0.00")&amp;". ","")&amp;IF(AND($AC61&lt;Inputs!$C$34,$AC62&gt;=Inputs!$C$34),"★ 401(k) reaches the $"&amp;TEXT(Inputs!$C$34,"#,##0")&amp;" cap on this check — deferrals stop and net pay rises. ","")&amp;IF(AND($AG61&lt;'Methodology &amp; Sources'!$C$7,$AG62&gt;='Methodology &amp; Sources'!$C$7),"★ Wages pass $200,000 — the 0.9% Additional Medicare Tax starts here. ","")&amp;IF(AND($BJ62&gt;0,$H62&gt;0,$BG61&lt;MIN($BJ62,'Methodology &amp; Sources'!$C$13),$BG61+$H62&gt;=MIN($BJ62,'Methodology &amp; Sources'!$C$13)),"★ Health FSA election is now fully deferred for the year. ",""))</f>
      </c>
      <c r="AE62" s="41" t="n"/>
      <c r="AF62" s="7">
        <f>IF(OR($B62="",$AE62=""),"",$AE62-$Y62)</f>
      </c>
      <c r="AG62" s="7">
        <f>IF($B62="","",$AG61+$N62)</f>
      </c>
      <c r="AH62" s="7">
        <f>IF($B62="","",MAX(0,($M62-$D62)*Inputs!$C$8+$AP62-$AQ62-IF(Inputs!$C$13,0,IF(Inputs!$C$12="MFJ",'Methodology &amp; Sources'!$C$8,'Methodology &amp; Sources'!$C$9))))</f>
      </c>
      <c r="AI62" s="7">
        <f>IF($B62="","",$O62*Inputs!$C$8)</f>
      </c>
      <c r="AJ62" s="7">
        <f>IF($B62="","",MAX(0,$AI62-VLOOKUP($AN62,StateTables!$A$6:$AB$56,12,FALSE)*$AT62-IF(($AS62+$AT62)&gt;=2,VLOOKUP($AN62,StateTables!$A$6:$AB$56,8,FALSE),VLOOKUP($AN62,StateTables!$A$6:$AB$56,7,FALSE))))</f>
      </c>
      <c r="AK62" s="7">
        <f>IF($B62="","",IFERROR(LOOKUP(2,1/((Events!$C$6:$C$17="Salary change")*(Events!$B$6:$B$17&lt;=$B62)*(Events!$B$6:$B$17&lt;&gt;"")),Events!$D$6:$D$17),IF(Inputs!$C$4="Annual salary",Inputs!$C$5,Inputs!$C$6)))</f>
      </c>
      <c r="AL62">
        <f>IF($B62="","",IFERROR(LOOKUP(2,1/((Events!$C$6:$C$17="401(k) change")*(Events!$B$6:$B$17&lt;=$B62)*(Events!$B$6:$B$17&lt;&gt;"")),Events!$D$6:$D$17),Inputs!$C$30))</f>
      </c>
      <c r="AM62" s="7">
        <f>IF($B62="","",IFERROR(LOOKUP(2,1/((Events!$C$6:$C$17="401(k) change")*(Events!$B$6:$B$17&lt;=$B62)*(Events!$B$6:$B$17&lt;&gt;"")),Events!$E$6:$E$17),Inputs!$D$30))</f>
      </c>
      <c r="AN62">
        <f>IF($B62="","",IFERROR(LOOKUP(2,1/((Events!$C$6:$C$17="State move")*(Events!$B$6:$B$17&lt;=$B62)*(Events!$B$6:$B$17&lt;&gt;"")),Events!$D$6:$D$17),Inputs!$C$21))</f>
      </c>
      <c r="AO62" s="7">
        <f>IF($B62="","",IFERROR(LOOKUP(2,1/((Events!$C$6:$C$17="W-4 change")*(Events!$B$6:$B$17&lt;=$B62)*(Events!$B$6:$B$17&lt;&gt;"")),Events!$D$6:$D$17),Inputs!$C$14))</f>
      </c>
      <c r="AP62" s="7">
        <f>IF($B62="","",IFERROR(LOOKUP(2,1/((Events!$C$6:$C$17="W-4 change")*(Events!$B$6:$B$17&lt;=$B62)*(Events!$B$6:$B$17&lt;&gt;"")),Events!$E$6:$E$17),Inputs!$C$15))</f>
      </c>
      <c r="AQ62" s="7">
        <f>IF($B62="","",IFERROR(LOOKUP(2,1/((Events!$C$6:$C$17="W-4 change")*(Events!$B$6:$B$17&lt;=$B62)*(Events!$B$6:$B$17&lt;&gt;"")),Events!$F$6:$F$17),Inputs!$C$16))</f>
      </c>
      <c r="AR62" s="7">
        <f>IF($B62="","",IFERROR(LOOKUP(2,1/((Events!$C$6:$C$17="W-4 change")*(Events!$B$6:$B$17&lt;=$B62)*(Events!$B$6:$B$17&lt;&gt;"")),Events!$G$6:$G$17),Inputs!$C$17))</f>
      </c>
      <c r="AS62" s="6">
        <f>IF($B62="","",IFERROR(LOOKUP(2,1/(((Events!$C$6:$C$17="State move")+(Events!$C$6:$C$17="State cert change"))*(Events!$B$6:$B$17&lt;=$B62)*(Events!$B$6:$B$17&lt;&gt;"")),Events!$F$6:$F$17),Inputs!$C$23))</f>
      </c>
      <c r="AT62" s="6">
        <f>IF($B62="","",IFERROR(LOOKUP(2,1/(((Events!$C$6:$C$17="State move")+(Events!$C$6:$C$17="State cert change"))*(Events!$B$6:$B$17&lt;=$B62)*(Events!$B$6:$B$17&lt;&gt;"")),Events!$G$6:$G$17),Inputs!$C$24))</f>
      </c>
      <c r="AU62">
        <f>IF($B62="","",IFERROR(LOOKUP(2,1/((Events!$C$6:$C$17="State move")*(Events!$B$6:$B$17&lt;=$B62)*(Events!$B$6:$B$17&lt;&gt;"")),Events!$E$6:$E$17),Inputs!$C$22))</f>
      </c>
      <c r="AV62" s="6">
        <f>IF($B62="","",1+COUNTIFS(Events!$C$6:$C$17,"Employer change",Events!$B$6:$B$17,"&lt;="&amp;$B62,Events!$B$6:$B$17,"&lt;&gt;"))</f>
      </c>
      <c r="AW62" s="7">
        <f>IF($B62="","",IF($AV62=1,Inputs!$C$94,IF(IFERROR(MATCH(IFERROR(LOOKUP(2,1/((Events!$C$6:$C$17="Employer change")*(Events!$B$6:$B$17&lt;=$B62)*(Events!$B$6:$B$17&lt;&gt;"")),Events!$B$6:$B$17),""),$B$6:$B$68,1),1)&lt;=1,Inputs!$C$94,INDEX($AB$6:$AB$68,MATCH(IFERROR(LOOKUP(2,1/((Events!$C$6:$C$17="Employer change")*(Events!$B$6:$B$17&lt;=$B62)*(Events!$B$6:$B$17&lt;&gt;"")),Events!$B$6:$B$17),""),$B$6:$B$68,1)-1))))</f>
      </c>
      <c r="AX62" s="7">
        <f>IF($B62="","",IF($AV62=1,Inputs!$C$94,IFERROR(LOOKUP(2,1/((Events!$C$6:$C$17="Employer change")*(Events!$B$6:$B$17&lt;=$B62)*(Events!$B$6:$B$17&lt;&gt;"")),Events!$D$6:$D$17),0)))</f>
      </c>
      <c r="AY62" s="7">
        <f>IF($B62="","",($O62-$D62)*Inputs!$C$8)</f>
      </c>
      <c r="AZ62" s="7">
        <f>IF($B62="","",IF($AN62="AL",MAX(0,$AY62-IF($AU62="Married",IF($AY62&lt;=25999,8500,MAX(5000,8500-175*CEILING(($AY62-25999)/500,1))),IF($AU62="Head of household",IF($AY62&lt;=25999,5200,MAX(2500,5200-135*CEILING(($AY62-25999)/500,1))),IF($AY62&lt;=25999,3000,MAX(2500,3000-25*CEILING(($AY62-25999)/500,1)))))-($P62-'Methodology &amp; Sources'!$C$10*$D62)*Inputs!$C$8-IF(OR($AU62="Married",$AU62="Head of household"),3000,1500)-$AT62*IF($AY62&lt;=50000,1000,IF($AY62&lt;=100000,500,300))),IF($AN62="AR",IF(MAX(0,$AY62-2470)&lt;97701,INT(MAX(0,$AY62-2470)/100)*100+50,MAX(0,$AY62-2470)),IF($AN62="DE",MAX(0,$AI62-3250),IF($AN62="HI",MAX(0,$AI62-1144*$AS62-4350),IF($AN62="KS",MAX(0,$AI62-(9160*IF($AU62="Married",2,1)+2320*$AT62+IF($AU62="Head of household",2320,0))),IF($AN62="MD",MAX(0,$AI62-3400-3200*$AS62),IF($AN62="MN",MAX(0,$AY62-5300*$AS62),IF($AN62="MO",MAX(0,$AI62-IF($AU62="Head of household",24150,IF($AU62="Married",IF(Inputs!$C$83,16100,32200),16100))),IF($AN62="MT",$AY62,IF($AN62="ND",($C62+$L62)*Inputs!$C$8,IF($AN62="NE",MAX(0,$AY62-2440*$AS62),IF($AN62="NJ",MAX(0,$AY62-1000*$AS62),IF($AN62="NY",MAX(0,$AY62-(IF($AU62="Married",7950,7400)+1000*$AS62)),IF($AN62="OH",MAX(0,$AY62-650*$AS62),IF($AN62="OK",MAX(0,$AY62-1000*$AS62),IF($AN62="RI",MAX(0,$AI62-1000*$AS62),IF($AN62="SC",MAX(0,$AI62-5000*$AS62-IF($AS62=0,0,MIN(0.1*$AI62,7500))),IF($AN62="VA",MAX(0,$AI62-IF($AU62="Married",17500,8750)-930*$AS62-800*$AT62),IF($AN62="VT",MAX(0,$AI62-5400*$AS62),IF($AN62="WI",MAX(0,$AI62-MAX(0,IF($AU62="Married",9461-0.2*MAX(0,$AI62-25727),6702-0.12*MAX(0,$AI62-17780)))-400*$AS62),IF($AN62="WV",MAX(0,$AI62-2000*$AS62),$AI62))))))))))))))))))))))</f>
      </c>
      <c r="BA62" s="7">
        <f>IF($B62="","",IF($BW62&lt;&gt;"",$BW62,IF($BX62&lt;&gt;"",$BX62,IF($BY62&lt;&gt;"",$BY62,0))))</f>
      </c>
      <c r="BB62" s="7">
        <f>IF($B62="","",IF($AN62="AR",-29*$AS62,IF($AN62="DE",-110*$AS62,IF($AN62="MD",$AZ62*Inputs!$C$74,IF($AN62="AZ",Inputs!$C$82*($M62-$D62)*Inputs!$C$8,IF($AN62="CO",0.044*MAX(0,$AY62-IF($AU62="Married",10000,5000)),IF($AN62="IA",MAX(0,0.038*MAX(0,$AY62-IF($AU62="Head of household",19500,IF($AU62="Married",26000,13000)))-40*$AS62),IF($AN62="ID",0.053*MAX(0,$AY62-IF($AU62="Married",32000,16094)),IF($AN62="IL",0.0495*MAX(0,$AY62-(2925*$AS62+1000*$AT62)),IF($AN62="IN",(0.0295+Inputs!$C$76)*MAX(0,$AY62-(1000*$AS62+1500*$AT62+3000*Inputs!$C$86)),IF($AN62="KY",0.035*MAX(0,$AI62-3360),IF($AN62="LA",IF(Inputs!$C$84="0",0.0309*$AI62,0.0309*MAX(0,$AI62-IF(Inputs!$C$84="2",25750,12875))),IF($AN62="MA",0.05*MIN(MAX(0,$AY62-MIN(($BD61+$Q62+$R62+$S62),2000)-IF($AS62=0,0,IF($AS62=1,4400,1000*$AS62+3400))),1107750)+0.09*MAX(0,MAX(0,$AY62-MIN(($BD61+$Q62+$R62+$S62),2000)-IF($AS62=0,0,IF($AS62=1,4400,1000*$AS62+3400)))-1107750)-IF($AU62="Head of household",120,0)-110*Inputs!$C$75,IF($AN62="MI",0.0425*MAX(0,$AY62-5900*$AS62),IF($AN62="MS",0.04*MAX(0,$AI62-IF($AU62="Head of household",3400,IF($AU62="Married",4600,2300))-Inputs!$C$85-10000),IF($AN62="OR",IF(OR($AU62="Married",AND($AU62="Single",$AS62&gt;=3)),SUMPRODUCT((MAX(0,$AY62-MIN(($P62-'Methodology &amp; Sources'!$C$10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Sources'!$B$211:$J$214,0,4))*(MAX(0,$AY62-MIN(($P62-'Methodology &amp; Sources'!$C$10*$D62)*Inputs!$C$8,IF(OR($AU62="Married",AND($AU62="Single",$AS62&gt;=3)),IF($AY62&lt;250000,8750,IF($AY62&lt;260000,7000,IF($AY62&lt;270000,5250,IF($AY62&lt;280000,3500,IF($AY62&lt;290000,1750,0))))),IF($AY62&lt;125000,8750,IF($AY62&lt;130000,7000,IF($AY62&lt;135000,5250,IF($AY62&lt;140000,3500,IF($AY62&lt;145000,1750,0)))))))-IF(OR($AU62="Married",AND($AU62="Single",$AS62&gt;=3)),5820,2910))-INDEX('Methodology &amp; Sources'!$B$211:$J$214,0,4))*INDEX('Methodology &amp; Sources'!$B$211:$J$214,0,4+2)),SUMPRODUCT((MAX(0,$AY62-MIN(($P62-'Methodology &amp; Sources'!$C$10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Sources'!$B$211:$J$214,0,1))*(MAX(0,$AY62-MIN(($P62-'Methodology &amp; Sources'!$C$10*$D62)*Inputs!$C$8,IF(OR($AU62="Married",AND($AU62="Single",$AS62&gt;=3)),IF($AY62&lt;250000,8750,IF($AY62&lt;260000,7000,IF($AY62&lt;270000,5250,IF($AY62&lt;280000,3500,IF($AY62&lt;290000,1750,0))))),IF($AY62&lt;125000,8750,IF($AY62&lt;130000,7000,IF($AY62&lt;135000,5250,IF($AY62&lt;140000,3500,IF($AY62&lt;145000,1750,0)))))))-IF(OR($AU62="Married",AND($AU62="Single",$AS62&gt;=3)),5820,2910))-INDEX('Methodology &amp; Sources'!$B$211:$J$214,0,1))*INDEX('Methodology &amp; Sources'!$B$211:$J$214,0,1+2)))+263-263*IF(IF($AU62="Married",$AY62&gt;200000,$AY62&gt;100000),0,$AS62),IF($AN62="PA",0.0307*(($O62+$E62+$G62)*Inputs!$C$8),IF($AN62="NY",IF($AU62="Married",IF($AZ62&gt;=2155350,0,IF($AZ62&gt;=1077550,0.48,IF($AZ62&gt;=373200,1.21,IF($AZ62&gt;=323200,0.21,IF($AZ62&gt;=211550,-0.19,IF($AZ62&gt;=157650,-2.8,IF($AZ62&gt;=107650,-0.8,IF($AZ62&gt;=96800,0.05,IF($AZ62&gt;=80650,-0.1,IF($AZ62&gt;=13900,0.4,IF($AZ62&gt;=11700,-0.3,IF($AZ62&gt;=8500,0.5,0)))))))))))),IF($AZ62&gt;=1077550,0,IF($AZ62&gt;=265400,4.29,IF($AZ62&gt;=215400,2.29,IF($AZ62&gt;=157650,2.29,IF($AZ62&gt;=107650,0.29,IF($AZ62&gt;=96800,0.05,IF($AZ62&gt;=80650,-0.1,IF($AZ62&gt;=13900,0.4,IF($AZ62&gt;=11700,-0.3,IF($AZ62&gt;=8500,0.5,0))))))))))),0))))))))))))))))))</f>
      </c>
      <c r="BC62" s="7">
        <f>IF($B62="","",IF($AN62="AL",0.05*$D62,IF($AN62="AR",0.039*$D62,IF($AN62="ID",0.053*$D62,IF($AN62="IN",(0.0295+Inputs!$C$76)*$D62,IF($AN62="KS",0.05*$D62,IF($AN62="MA",0.09*MIN($D62,MAX(0,MAX(0,$AY62-MIN(($BD61+$Q62+$R62+$S62),2000)-IF($AS62=0,0,IF($AS62=1,4400,1000*$AS62+3400)))+$D62-1107750))+0.05*($D62-MIN($D62,MAX(0,MAX(0,$AY62-MIN(($BD61+$Q62+$R62+$S62),2000)-IF($AS62=0,0,IF($AS62=1,4400,1000*$AS62+3400)))+$D62-1107750))),IF($AN62="MD",(0.065+Inputs!$C$74)*$D62,IF($AN62="MI",0.0425*$D62,IF($AN62="MN",0.0625*$D62,IF($AN62="MO",0.047*$D62,IF($AN62="MT",0.05*$D62,IF($AN62="ND",0.015*$D62,IF($AN62="NE",0.035*$D62,IF($AN62="NJ",IF(Inputs!$C$77="B",SUMPRODUCT(($D62*Inputs!$C$8&gt;INDEX('Methodology &amp; Sources'!$B$155:$J$162,0,4))*($D62*Inputs!$C$8-INDEX('Methodology &amp; Sources'!$B$155:$J$162,0,4))*INDEX('Methodology &amp; Sources'!$B$155:$J$162,0,4+2)),IF(Inputs!$C$77="C",SUMPRODUCT(($D62*Inputs!$C$8&gt;INDEX('Methodology &amp; Sources'!$B$155:$J$162,0,7))*($D62*Inputs!$C$8-INDEX('Methodology &amp; Sources'!$B$155:$J$162,0,7))*INDEX('Methodology &amp; Sources'!$B$155:$J$162,0,7+2)),IF(Inputs!$C$77="D",SUMPRODUCT(($D62*Inputs!$C$8&gt;INDEX('Methodology &amp; Sources'!$B$167:$J$179,0,1))*($D62*Inputs!$C$8-INDEX('Methodology &amp; Sources'!$B$167:$J$179,0,1))*INDEX('Methodology &amp; Sources'!$B$167:$J$179,0,1+2)),IF(Inputs!$C$77="E",SUMPRODUCT(($D62*Inputs!$C$8&gt;INDEX('Methodology &amp; Sources'!$B$167:$J$179,0,4))*($D62*Inputs!$C$8-INDEX('Methodology &amp; Sources'!$B$167:$J$179,0,4))*INDEX('Methodology &amp; Sources'!$B$167:$J$179,0,4+2)),SUMPRODUCT(($D62*Inputs!$C$8&gt;INDEX('Methodology &amp; Sources'!$B$155:$J$162,0,1))*($D62*Inputs!$C$8-INDEX('Methodology &amp; Sources'!$B$155:$J$162,0,1))*INDEX('Methodology &amp; Sources'!$B$155:$J$162,0,1+2))))))/Inputs!$C$8,IF($AN62="NY",0.117*$D62,IF($AN62="OH",0.0275*$D62,IF($AN62="OK",0.045*$D62,IF($AN62="OR",0.08*$D62,IF($AN62="WI",IF($AY62&lt;12760,0.0354,IF($AY62&lt;25520,0.0465,IF($AY62&lt;280950,0.053,0.0765)))*$D62,0))))))))))))))))))))</f>
      </c>
      <c r="BD62" s="7">
        <f>IF($B62="","",$BD61+$Q62+$R62+$S62)</f>
      </c>
      <c r="BE62" s="6">
        <f>IF($B62="",$BE61,$BE61+$BF62)</f>
      </c>
      <c r="BF62" s="6">
        <f>IF($B62="","",IF(AND(IF(YEAR(IF(Inputs!$C$7="Weekly",Inputs!$C$90+7*(($BE61+1)-1),IF(Inputs!$C$7="Biweekly",Inputs!$C$90+14*(($BE61+1)-1),IF(Inputs!$C$7="Semimonthly",DATE(YEAR(Inputs!$C$9),MONTH(Inputs!$C$9)+INT((($BE61+1)-1+'Rest of 2026'!$C$2)/2),MIN(DAY(Inputs!$C$9),DAY(EOMONTH(DATE(YEAR(Inputs!$C$9),MONTH(Inputs!$C$9)+INT((($BE61+1)-1+'Rest of 2026'!$C$2)/2),1),0))))+IF(MOD(($BE61+1)-1+'Rest of 2026'!$C$2,2)=1,15,0),EDATE(Inputs!$C$90,($BE61+1)-1)))))&lt;&gt;Inputs!$C$10,"",IF(Inputs!$C$7="Weekly",Inputs!$C$90+7*(($BE61+1)-1),IF(Inputs!$C$7="Biweekly",Inputs!$C$90+14*(($BE61+1)-1),IF(Inputs!$C$7="Semimonthly",DATE(YEAR(Inputs!$C$9),MONTH(Inputs!$C$9)+INT((($BE61+1)-1+'Rest of 2026'!$C$2)/2),MIN(DAY(Inputs!$C$9),DAY(EOMONTH(DATE(YEAR(Inputs!$C$9),MONTH(Inputs!$C$9)+INT((($BE61+1)-1+'Rest of 2026'!$C$2)/2),1),0))))+IF(MOD(($BE61+1)-1+'Rest of 2026'!$C$2,2)=1,15,0),EDATE(Inputs!$C$90,($BE61+1)-1)))))&lt;&gt;"",$B62=IF(YEAR(IF(Inputs!$C$7="Weekly",Inputs!$C$90+7*(($BE61+1)-1),IF(Inputs!$C$7="Biweekly",Inputs!$C$90+14*(($BE61+1)-1),IF(Inputs!$C$7="Semimonthly",DATE(YEAR(Inputs!$C$9),MONTH(Inputs!$C$9)+INT((($BE61+1)-1+'Rest of 2026'!$C$2)/2),MIN(DAY(Inputs!$C$9),DAY(EOMONTH(DATE(YEAR(Inputs!$C$9),MONTH(Inputs!$C$9)+INT((($BE61+1)-1+'Rest of 2026'!$C$2)/2),1),0))))+IF(MOD(($BE61+1)-1+'Rest of 2026'!$C$2,2)=1,15,0),EDATE(Inputs!$C$90,($BE61+1)-1)))))&lt;&gt;Inputs!$C$10,"",IF(Inputs!$C$7="Weekly",Inputs!$C$90+7*(($BE61+1)-1),IF(Inputs!$C$7="Biweekly",Inputs!$C$90+14*(($BE61+1)-1),IF(Inputs!$C$7="Semimonthly",DATE(YEAR(Inputs!$C$9),MONTH(Inputs!$C$9)+INT((($BE61+1)-1+'Rest of 2026'!$C$2)/2),MIN(DAY(Inputs!$C$9),DAY(EOMONTH(DATE(YEAR(Inputs!$C$9),MONTH(Inputs!$C$9)+INT((($BE61+1)-1+'Rest of 2026'!$C$2)/2),1),0))))+IF(MOD(($BE61+1)-1+'Rest of 2026'!$C$2,2)=1,15,0),EDATE(Inputs!$C$90,($BE61+1)-1)))))),1,0))</f>
      </c>
      <c r="BG62" s="7">
        <f>IF($B62="","",$BG61+$H62)</f>
      </c>
      <c r="BH62" s="7">
        <f>IF($B62="","",$BH61+$I62)</f>
      </c>
      <c r="BI62" s="7">
        <f>IF($B62="","",$BI61+$G62)</f>
      </c>
      <c r="BJ62" s="7">
        <f>IF($B62="","",IFERROR(LOOKUP(2,1/((((Events!$C$6:$C$17="Deduction start"))*(Events!$D$6:$D$17="Health FSA"))*(Events!$B$6:$B$17&lt;=$B62)*(Events!$B$6:$B$17&lt;&gt;"")),Events!$E$6:$E$17),Inputs!$D$38))</f>
      </c>
      <c r="BK62" s="7">
        <f>IF($B62="","",IFERROR(LOOKUP(2,1/((((Events!$C$6:$C$17="Deduction start"))*(Events!$D$6:$D$17="Dependent-care FSA"))*(Events!$B$6:$B$17&lt;=$B62)*(Events!$B$6:$B$17&lt;&gt;"")),Events!$E$6:$E$17),Inputs!$D$39))</f>
      </c>
      <c r="BL62" s="7">
        <f>IF($B62="","",IFERROR(LOOKUP(2,1/((((Events!$C$6:$C$17="Deduction start")+(Events!$C$6:$C$17="Deduction stop"))*(Events!$D$6:$D$17="HSA"))*(Events!$B$6:$B$17&lt;=$B62)*(Events!$B$6:$B$17&lt;&gt;"")),Events!$I$6:$I$17),Inputs!$D$35))</f>
      </c>
      <c r="BM62" s="7">
        <f>IF($B62="","",IFERROR(LOOKUP(2,1/((((Events!$C$6:$C$17="Deduction start")+(Events!$C$6:$C$17="Deduction stop"))*(Events!$D$6:$D$17="Premiums"))*(Events!$B$6:$B$17&lt;=$B62)*(Events!$B$6:$B$17&lt;&gt;"")),Events!$I$6:$I$17),Inputs!$D$40+Inputs!$D$41+Inputs!$D$42))</f>
      </c>
      <c r="BN62" s="7">
        <f>IF($B62="","",IFERROR(LOOKUP(2,1/((((Events!$C$6:$C$17="Deduction start")+(Events!$C$6:$C$17="Deduction stop"))*(Events!$D$6:$D$17="Commuter"))*(Events!$B$6:$B$17&lt;=$B62)*(Events!$B$6:$B$17&lt;&gt;"")),Events!$I$6:$I$17),Inputs!$D$43))</f>
      </c>
      <c r="BO62" s="7">
        <f>IF($B62="","",IFERROR(LOOKUP(2,1/((((Events!$C$6:$C$17="Deduction start")+(Events!$C$6:$C$17="Deduction stop"))*(Events!$D$6:$D$17="Other pre-tax"))*(Events!$B$6:$B$17&lt;=$B62)*(Events!$B$6:$B$17&lt;&gt;"")),Events!$I$6:$I$17),Inputs!$D$44))</f>
      </c>
      <c r="BP62" s="7">
        <f>IF($B62="","",IFERROR(LOOKUP(2,1/((((Events!$C$6:$C$17="Deduction start")+(Events!$C$6:$C$17="Deduction stop"))*(Events!$D$6:$D$17="Other post-tax"))*(Events!$B$6:$B$17&lt;=$B62)*(Events!$B$6:$B$17&lt;&gt;"")),Events!$I$6:$I$17),Inputs!$D$45))</f>
      </c>
      <c r="BQ62" s="6">
        <f>IF($B62="","",IFERROR(LOOKUP(2,1/((((Events!$C$6:$C$17="Deduction start")+(Events!$C$6:$C$17="Deduction stop"))*(Events!$D$6:$D$17="Health FSA"))*(Events!$B$6:$B$17&lt;=$B62)*(Events!$B$6:$B$17&lt;&gt;"")),Events!$J$6:$J$17),0))</f>
      </c>
      <c r="BR62" s="6">
        <f>IF($B62="","",IFERROR(LOOKUP(2,1/((((Events!$C$6:$C$17="Deduction start")+(Events!$C$6:$C$17="Deduction stop"))*(Events!$D$6:$D$17="Dependent-care FSA"))*(Events!$B$6:$B$17&lt;=$B62)*(Events!$B$6:$B$17&lt;&gt;"")),Events!$J$6:$J$17),0))</f>
      </c>
      <c r="BS62" s="6">
        <f>IF($B62="","",IF(SUMPRODUCT((Events!$C$6:$C$17="Deduction start")*(Events!$B$6:$B$17&lt;=$B62)*(Events!$B$6:$B$17&lt;&gt;"")*(Events!$D$6:$D$17="Health FSA"))&gt;0,1,0))</f>
      </c>
      <c r="BT62" s="6">
        <f>IF($B62="","",IF(SUMPRODUCT((Events!$C$6:$C$17="Deduction start")*(Events!$B$6:$B$17&lt;=$B62)*(Events!$B$6:$B$17&lt;&gt;"")*(Events!$D$6:$D$17="Dependent-care FSA"))&gt;0,1,0))</f>
      </c>
      <c r="BU62" s="24">
        <f>IF($B62="","",IF(Inputs!$C$13,SUMPRODUCT(($AH62&gt;=INDEX('Methodology &amp; Sources'!$B$29:$J$36,0,IF(Inputs!$C$12="MFJ",1,IF(Inputs!$C$12="HoH",7,4))))*INDEX('Methodology &amp; Sources'!$B$29:$J$36,0,IF(Inputs!$C$12="MFJ",1,IF(Inputs!$C$12="HoH",7,4))+2)),SUMPRODUCT(($AH62&gt;=INDEX('Methodology &amp; Sources'!$B$19:$J$26,0,IF(Inputs!$C$12="MFJ",1,IF(Inputs!$C$12="HoH",7,4))))*INDEX('Methodology &amp; Sources'!$B$19:$J$26,0,IF(Inputs!$C$12="MFJ",1,IF(Inputs!$C$12="HoH",7,4))+2))))</f>
      </c>
      <c r="BV62" s="24">
        <f>IF($B62="","",IF($BZ62&lt;&gt;"",$BZ62,IF($CA62&lt;&gt;"",$CA62,IF($CB62&lt;&gt;"",$CB62,IF($CC62&lt;&gt;"",$CC62,0)))))</f>
      </c>
      <c r="BW62" s="7">
        <f>IF($B62="","",IF($AN62="MD",IF(OR($AU62="Married",$AU62="Head of household"),SUMPRODUCT(($AZ62&gt;INDEX('Methodology &amp; Sources'!$B$114:$J$120,0,1))*($AZ62-INDEX('Methodology &amp; Sources'!$B$114:$J$120,0,1))*INDEX('Methodology &amp; Sources'!$B$114:$J$120,0,1+2)),SUMPRODUCT(($AZ62&gt;INDEX('Methodology &amp; Sources'!$B$103:$J$109,0,7))*($AZ62-INDEX('Methodology &amp; Sources'!$B$103:$J$109,0,7))*INDEX('Methodology &amp; Sources'!$B$103:$J$109,0,7+2))),IF($AN62="MO",SUMPRODUCT(($AZ62&gt;INDEX('Methodology &amp; Sources'!$B$125:$J$132,0,1))*($AZ62-INDEX('Methodology &amp; Sources'!$B$125:$J$132,0,1))*INDEX('Methodology &amp; Sources'!$B$125:$J$132,0,1+2)),IF($AN62="MT",IF($AU62="Head of household",SUMPRODUCT(($AZ62&gt;INDEX('Methodology &amp; Sources'!$B$137:$J$139,0,1))*($AZ62-INDEX('Methodology &amp; Sources'!$B$137:$J$139,0,1))*INDEX('Methodology &amp; Sources'!$B$137:$J$139,0,1+2)),IF($AU62="Married",SUMPRODUCT(($AZ62&gt;INDEX('Methodology &amp; Sources'!$B$125:$J$132,0,7))*($AZ62-INDEX('Methodology &amp; Sources'!$B$125:$J$132,0,7))*INDEX('Methodology &amp; Sources'!$B$125:$J$132,0,7+2)),SUMPRODUCT(($AZ62&gt;INDEX('Methodology &amp; Sources'!$B$125:$J$132,0,4))*($AZ62-INDEX('Methodology &amp; Sources'!$B$125:$J$132,0,4))*INDEX('Methodology &amp; Sources'!$B$125:$J$132,0,4+2)))),IF($AN62="ND",IF($AU62="Head of household",SUMPRODUCT(($AZ62&gt;INDEX('Methodology &amp; Sources'!$B$144:$J$150,0,1))*($AZ62-INDEX('Methodology &amp; Sources'!$B$144:$J$150,0,1))*INDEX('Methodology &amp; Sources'!$B$144:$J$150,0,1+2)),IF($AU62="Married",SUMPRODUCT(($AZ62&gt;INDEX('Methodology &amp; Sources'!$B$137:$J$139,0,7))*($AZ62-INDEX('Methodology &amp; Sources'!$B$137:$J$139,0,7))*INDEX('Methodology &amp; Sources'!$B$137:$J$139,0,7+2)),SUMPRODUCT(($AZ62&gt;INDEX('Methodology &amp; Sources'!$B$137:$J$139,0,4))*($AZ62-INDEX('Methodology &amp; Sources'!$B$137:$J$139,0,4))*INDEX('Methodology &amp; Sources'!$B$137:$J$139,0,4+2)))),IF($AN62="NJ",IF(Inputs!$C$77="B",SUMPRODUCT(($AZ62&gt;INDEX('Methodology &amp; Sources'!$B$155:$J$162,0,4))*($AZ62-INDEX('Methodology &amp; Sources'!$B$155:$J$162,0,4))*INDEX('Methodology &amp; Sources'!$B$155:$J$162,0,4+2)),IF(Inputs!$C$77="C",SUMPRODUCT(($AZ62&gt;INDEX('Methodology &amp; Sources'!$B$155:$J$162,0,7))*($AZ62-INDEX('Methodology &amp; Sources'!$B$155:$J$162,0,7))*INDEX('Methodology &amp; Sources'!$B$155:$J$162,0,7+2)),IF(Inputs!$C$77="D",SUMPRODUCT(($AZ62&gt;INDEX('Methodology &amp; Sources'!$B$167:$J$179,0,1))*($AZ62-INDEX('Methodology &amp; Sources'!$B$167:$J$179,0,1))*INDEX('Methodology &amp; Sources'!$B$167:$J$179,0,1+2)),IF(Inputs!$C$77="E",SUMPRODUCT(($AZ62&gt;INDEX('Methodology &amp; Sources'!$B$167:$J$179,0,4))*($AZ62-INDEX('Methodology &amp; Sources'!$B$167:$J$179,0,4))*INDEX('Methodology &amp; Sources'!$B$167:$J$179,0,4+2)),SUMPRODUCT(($AZ62&gt;INDEX('Methodology &amp; Sources'!$B$155:$J$162,0,1))*($AZ62-INDEX('Methodology &amp; Sources'!$B$155:$J$162,0,1))*INDEX('Methodology &amp; Sources'!$B$155:$J$162,0,1+2)))))),IF($AN62="NY",IF($AU62="Married",IF($AZ62&gt;=2155350,$AZ62*IF($AZ62&gt;25000000,0.117,IF($AZ62&gt;5000000,0.111,0.1045)),SUMPRODUCT(($AZ62&gt;INDEX('Methodology &amp; Sources'!$B$184:$J$198,0,1))*($AZ62-INDEX('Methodology &amp; Sources'!$B$184:$J$198,0,1))*INDEX('Methodology &amp; Sources'!$B$184:$J$198,0,1+2))),IF($AZ62&gt;=1077550,$AZ62*IF($AZ62&gt;25000000,0.117,IF($AZ62&gt;5000000,0.111,0.1045)),SUMPRODUCT(($AZ62&gt;INDEX('Methodology &amp; Sources'!$B$167:$J$179,0,7))*($AZ62-INDEX('Methodology &amp; Sources'!$B$167:$J$179,0,7))*INDEX('Methodology &amp; Sources'!$B$167:$J$179,0,7+2)))),"")))))))</f>
      </c>
      <c r="BX62" s="7">
        <f>IF($B62="","",IF($AN62="AL",IF(OR($AU62="Married",$AU62="Head of household"),SUMPRODUCT(($AZ62&gt;INDEX('Methodology &amp; Sources'!$B$82:$J$86,0,4))*($AZ62-INDEX('Methodology &amp; Sources'!$B$82:$J$86,0,4))*INDEX('Methodology &amp; Sources'!$B$82:$J$86,0,4+2)),SUMPRODUCT(($AZ62&gt;INDEX('Methodology &amp; Sources'!$B$82:$J$86,0,1))*($AZ62-INDEX('Methodology &amp; Sources'!$B$82:$J$86,0,1))*INDEX('Methodology &amp; Sources'!$B$82:$J$86,0,1+2))),IF($AN62="KS",IF($AU62="Married",SUMPRODUCT(($AZ62&gt;INDEX('Methodology &amp; Sources'!$B$103:$J$109,0,4))*($AZ62-INDEX('Methodology &amp; Sources'!$B$103:$J$109,0,4))*INDEX('Methodology &amp; Sources'!$B$103:$J$109,0,4+2)),SUMPRODUCT(($AZ62&gt;INDEX('Methodology &amp; Sources'!$B$103:$J$109,0,1))*($AZ62-INDEX('Methodology &amp; Sources'!$B$103:$J$109,0,1))*INDEX('Methodology &amp; Sources'!$B$103:$J$109,0,1+2))),IF($AN62="MN",IF($AU62="Married",SUMPRODUCT(($AZ62&gt;INDEX('Methodology &amp; Sources'!$B$114:$J$120,0,7))*($AZ62-INDEX('Methodology &amp; Sources'!$B$114:$J$120,0,7))*INDEX('Methodology &amp; Sources'!$B$114:$J$120,0,7+2)),SUMPRODUCT(($AZ62&gt;INDEX('Methodology &amp; Sources'!$B$114:$J$120,0,4))*($AZ62-INDEX('Methodology &amp; Sources'!$B$114:$J$120,0,4))*INDEX('Methodology &amp; Sources'!$B$114:$J$120,0,4+2))),IF($AN62="NE",MAX(IF($AU62="Married",SUMPRODUCT(($AZ62&gt;INDEX('Methodology &amp; Sources'!$B$144:$J$150,0,7))*($AZ62-INDEX('Methodology &amp; Sources'!$B$144:$J$150,0,7))*INDEX('Methodology &amp; Sources'!$B$144:$J$150,0,7+2)),SUMPRODUCT(($AZ62&gt;INDEX('Methodology &amp; Sources'!$B$144:$J$150,0,4))*($AZ62-INDEX('Methodology &amp; Sources'!$B$144:$J$150,0,4))*INDEX('Methodology &amp; Sources'!$B$144:$J$150,0,4+2))),0.015*$AZ62),IF($AN62="OH",IF($B62&gt;=DATE(2027,8,1),SUMPRODUCT(($AZ62&gt;INDEX('Methodology &amp; Sources'!$B$203:$J$206,0,1))*($AZ62-INDEX('Methodology &amp; Sources'!$B$203:$J$206,0,1))*INDEX('Methodology &amp; Sources'!$B$203:$J$206,0,1+2)),SUMPRODUCT(($AZ62&gt;INDEX('Methodology &amp; Sources'!$B$184:$J$198,0,7))*($AZ62-INDEX('Methodology &amp; Sources'!$B$184:$J$198,0,7))*INDEX('Methodology &amp; Sources'!$B$184:$J$198,0,7+2))),IF($AN62="OK",IF($AU62="Married",SUMPRODUCT(($AZ62&gt;INDEX('Methodology &amp; Sources'!$B$203:$J$206,0,7))*($AZ62-INDEX('Methodology &amp; Sources'!$B$203:$J$206,0,7))*INDEX('Methodology &amp; Sources'!$B$203:$J$206,0,7+2)),SUMPRODUCT(($AZ62&gt;INDEX('Methodology &amp; Sources'!$B$203:$J$206,0,4))*($AZ62-INDEX('Methodology &amp; Sources'!$B$203:$J$206,0,4))*INDEX('Methodology &amp; Sources'!$B$203:$J$206,0,4+2))),IF($AN62="RI",SUMPRODUCT(($AZ62&gt;INDEX('Methodology &amp; Sources'!$B$211:$J$214,0,7))*($AZ62-INDEX('Methodology &amp; Sources'!$B$211:$J$214,0,7))*INDEX('Methodology &amp; Sources'!$B$211:$J$214,0,7+2)),IF($AN62="VT",IF($AU62="Married",SUMPRODUCT(($AZ62&gt;INDEX('Methodology &amp; Sources'!$B$228:$J$232,0,1))*($AZ62-INDEX('Methodology &amp; Sources'!$B$228:$J$232,0,1))*INDEX('Methodology &amp; Sources'!$B$228:$J$232,0,1+2)),SUMPRODUCT(($AZ62&gt;INDEX('Methodology &amp; Sources'!$B$219:$J$223,0,7))*($AZ62-INDEX('Methodology &amp; Sources'!$B$219:$J$223,0,7))*INDEX('Methodology &amp; Sources'!$B$219:$J$223,0,7+2))),IF($AN62="WV",IF($AU62="Married",SUMPRODUCT(($AZ62&gt;INDEX('Methodology &amp; Sources'!$B$237:$J$241,0,7))*($AZ62-INDEX('Methodology &amp; Sources'!$B$237:$J$241,0,7))*INDEX('Methodology &amp; Sources'!$B$237:$J$241,0,7+2)),SUMPRODUCT(($AZ62&gt;INDEX('Methodology &amp; Sources'!$B$228:$J$232,0,7))*($AZ62-INDEX('Methodology &amp; Sources'!$B$228:$J$232,0,7))*INDEX('Methodology &amp; Sources'!$B$228:$J$232,0,7+2))),""))))))))))</f>
      </c>
      <c r="BY62" s="7">
        <f>IF($B62="","",IF($AN62="AR",SUMPRODUCT(($AZ62&gt;INDEX('Methodology &amp; Sources'!$B$82:$J$86,0,7))*($AZ62-INDEX('Methodology &amp; Sources'!$B$82:$J$86,0,7))*INDEX('Methodology &amp; Sources'!$B$82:$J$86,0,7+2)),IF($AN62="DE",SUMPRODUCT(($AZ62&gt;INDEX('Methodology &amp; Sources'!$B$91:$J$98,0,1))*($AZ62-INDEX('Methodology &amp; Sources'!$B$91:$J$98,0,1))*INDEX('Methodology &amp; Sources'!$B$91:$J$98,0,1+2)),IF($AN62="HI",IF($AU62="Married",SUMPRODUCT(($AZ62&gt;INDEX('Methodology &amp; Sources'!$B$91:$J$98,0,7))*($AZ62-INDEX('Methodology &amp; Sources'!$B$91:$J$98,0,7))*INDEX('Methodology &amp; Sources'!$B$91:$J$98,0,7+2)),SUMPRODUCT(($AZ62&gt;INDEX('Methodology &amp; Sources'!$B$91:$J$98,0,4))*($AZ62-INDEX('Methodology &amp; Sources'!$B$91:$J$98,0,4))*INDEX('Methodology &amp; Sources'!$B$91:$J$98,0,4+2))),IF($AN62="SC",SUMPRODUCT(($AZ62&gt;INDEX('Methodology &amp; Sources'!$B$219:$J$223,0,1))*($AZ62-INDEX('Methodology &amp; Sources'!$B$219:$J$223,0,1))*INDEX('Methodology &amp; Sources'!$B$219:$J$223,0,1+2)),IF($AN62="VA",SUMPRODUCT(($AZ62&gt;INDEX('Methodology &amp; Sources'!$B$219:$J$223,0,4))*($AZ62-INDEX('Methodology &amp; Sources'!$B$219:$J$223,0,4))*INDEX('Methodology &amp; Sources'!$B$219:$J$223,0,4+2)),IF($AN62="WI",SUMPRODUCT(($AZ62&gt;INDEX('Methodology &amp; Sources'!$B$228:$J$232,0,4))*($AZ62-INDEX('Methodology &amp; Sources'!$B$228:$J$232,0,4))*INDEX('Methodology &amp; Sources'!$B$228:$J$232,0,4+2)),"")))))))</f>
      </c>
      <c r="BZ62" s="24">
        <f>IF($B62="","",IF($AN62="NJ",IF(Inputs!$C$77="B",SUMPRODUCT(($AZ62&gt;=INDEX('Methodology &amp; Sources'!$B$155:$J$162,0,4))*INDEX('Methodology &amp; Sources'!$B$155:$J$162,0,4+2)),IF(Inputs!$C$77="C",SUMPRODUCT(($AZ62&gt;=INDEX('Methodology &amp; Sources'!$B$155:$J$162,0,7))*INDEX('Methodology &amp; Sources'!$B$155:$J$162,0,7+2)),IF(Inputs!$C$77="D",SUMPRODUCT(($AZ62&gt;=INDEX('Methodology &amp; Sources'!$B$167:$J$179,0,1))*INDEX('Methodology &amp; Sources'!$B$167:$J$179,0,1+2)),IF(Inputs!$C$77="E",SUMPRODUCT(($AZ62&gt;=INDEX('Methodology &amp; Sources'!$B$167:$J$179,0,4))*INDEX('Methodology &amp; Sources'!$B$167:$J$179,0,4+2)),SUMPRODUCT(($AZ62&gt;=INDEX('Methodology &amp; Sources'!$B$155:$J$162,0,1))*INDEX('Methodology &amp; Sources'!$B$155:$J$162,0,1+2)))))),IF($AN62="OR",IF(OR($AU62="Married",AND($AU62="Single",$AS62&gt;=3)),SUMPRODUCT((MAX(0,$AY62-MIN(($P62-'Methodology &amp; Sources'!$C$10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Sources'!$B$211:$J$214,0,4))*INDEX('Methodology &amp; Sources'!$B$211:$J$214,0,4+2)),SUMPRODUCT((MAX(0,$AY62-MIN(($P62-'Methodology &amp; Sources'!$C$10*$D62)*Inputs!$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Sources'!$B$211:$J$214,0,1))*INDEX('Methodology &amp; Sources'!$B$211:$J$214,0,1+2)))*IF(($P62-'Methodology &amp; Sources'!$C$10*$D62)*Inputs!$C$8&gt;=IF(OR($AU62="Married",AND($AU62="Single",$AS62&gt;=3)),IF($AY62&lt;250000,8750,IF($AY62&lt;260000,7000,IF($AY62&lt;270000,5250,IF($AY62&lt;280000,3500,IF($AY62&lt;290000,1750,0))))),IF($AY62&lt;125000,8750,IF($AY62&lt;130000,7000,IF($AY62&lt;135000,5250,IF($AY62&lt;140000,3500,IF($AY62&lt;145000,1750,0)))))),1,1-IF(Inputs!$C$13,SUMPRODUCT(($AH62&gt;=INDEX('Methodology &amp; Sources'!$B$29:$J$36,0,IF(Inputs!$C$12="MFJ",1,IF(Inputs!$C$12="HoH",7,4))))*INDEX('Methodology &amp; Sources'!$B$29:$J$36,0,IF(Inputs!$C$12="MFJ",1,IF(Inputs!$C$12="HoH",7,4))+2)),SUMPRODUCT(($AH62&gt;=INDEX('Methodology &amp; Sources'!$B$19:$J$26,0,IF(Inputs!$C$12="MFJ",1,IF(Inputs!$C$12="HoH",7,4))))*INDEX('Methodology &amp; Sources'!$B$19:$J$26,0,IF(Inputs!$C$12="MFJ",1,IF(Inputs!$C$12="HoH",7,4))+2)))),IF($AN62="MI",IF($AY62&gt;5900*$AS62,0.0425,0),""))))</f>
      </c>
      <c r="CA62" s="24">
        <f>IF($B62="","",IF($AN62="AL",IF(OR($AU62="Married",$AU62="Head of household"),SUMPRODUCT(($AZ62&gt;=INDEX('Methodology &amp; Sources'!$B$82:$J$86,0,4))*INDEX('Methodology &amp; Sources'!$B$82:$J$86,0,4+2)),SUMPRODUCT(($AZ62&gt;=INDEX('Methodology &amp; Sources'!$B$82:$J$86,0,1))*INDEX('Methodology &amp; Sources'!$B$82:$J$86,0,1+2)))*(1-IF(Inputs!$C$13,SUMPRODUCT(($AH62&gt;=INDEX('Methodology &amp; Sources'!$B$29:$J$36,0,IF(Inputs!$C$12="MFJ",1,IF(Inputs!$C$12="HoH",7,4))))*INDEX('Methodology &amp; Sources'!$B$29:$J$36,0,IF(Inputs!$C$12="MFJ",1,IF(Inputs!$C$12="HoH",7,4))+2)),SUMPRODUCT(($AH62&gt;=INDEX('Methodology &amp; Sources'!$B$19:$J$26,0,IF(Inputs!$C$12="MFJ",1,IF(Inputs!$C$12="HoH",7,4))))*INDEX('Methodology &amp; Sources'!$B$19:$J$26,0,IF(Inputs!$C$12="MFJ",1,IF(Inputs!$C$12="HoH",7,4))+2)))),IF($AN62="KS",IF($AU62="Married",SUMPRODUCT(($AZ62&gt;=INDEX('Methodology &amp; Sources'!$B$103:$J$109,0,4))*INDEX('Methodology &amp; Sources'!$B$103:$J$109,0,4+2)),SUMPRODUCT(($AZ62&gt;=INDEX('Methodology &amp; Sources'!$B$103:$J$109,0,1))*INDEX('Methodology &amp; Sources'!$B$103:$J$109,0,1+2))),IF($AN62="MD",IF(OR($AU62="Married",$AU62="Head of household"),SUMPRODUCT(($AZ62&gt;=INDEX('Methodology &amp; Sources'!$B$114:$J$120,0,1))*INDEX('Methodology &amp; Sources'!$B$114:$J$120,0,1+2)),SUMPRODUCT(($AZ62&gt;=INDEX('Methodology &amp; Sources'!$B$103:$J$109,0,7))*INDEX('Methodology &amp; Sources'!$B$103:$J$109,0,7+2)))+Inputs!$C$74,IF($AN62="MT",IF($AU62="Head of household",SUMPRODUCT(($AZ62&gt;=INDEX('Methodology &amp; Sources'!$B$137:$J$139,0,1))*INDEX('Methodology &amp; Sources'!$B$137:$J$139,0,1+2)),IF($AU62="Married",SUMPRODUCT(($AZ62&gt;=INDEX('Methodology &amp; Sources'!$B$125:$J$132,0,7))*INDEX('Methodology &amp; Sources'!$B$125:$J$132,0,7+2)),SUMPRODUCT(($AZ62&gt;=INDEX('Methodology &amp; Sources'!$B$125:$J$132,0,4))*INDEX('Methodology &amp; Sources'!$B$125:$J$132,0,4+2)))),IF($AN62="ND",IF($AU62="Head of household",SUMPRODUCT(($AZ62&gt;=INDEX('Methodology &amp; Sources'!$B$144:$J$150,0,1))*INDEX('Methodology &amp; Sources'!$B$144:$J$150,0,1+2)),IF($AU62="Married",SUMPRODUCT(($AZ62&gt;=INDEX('Methodology &amp; Sources'!$B$137:$J$139,0,7))*INDEX('Methodology &amp; Sources'!$B$137:$J$139,0,7+2)),SUMPRODUCT(($AZ62&gt;=INDEX('Methodology &amp; Sources'!$B$137:$J$139,0,4))*INDEX('Methodology &amp; Sources'!$B$137:$J$139,0,4+2)))),IF($AN62="NY",IF($AU62="Married",IF($AZ62&gt;=2155350,IF($AZ62&gt;25000000,0.117,IF($AZ62&gt;5000000,0.111,0.1045)),SUMPRODUCT(($AZ62&gt;=INDEX('Methodology &amp; Sources'!$B$184:$J$198,0,1))*INDEX('Methodology &amp; Sources'!$B$184:$J$198,0,1+2))),IF($AZ62&gt;=1077550,IF($AZ62&gt;25000000,0.117,IF($AZ62&gt;5000000,0.111,0.1045)),SUMPRODUCT(($AZ62&gt;=INDEX('Methodology &amp; Sources'!$B$167:$J$179,0,7))*INDEX('Methodology &amp; Sources'!$B$167:$J$179,0,7+2)))),"")))))))</f>
      </c>
      <c r="CB62" s="24">
        <f>IF($B62="","",IF($AN62="CA",SUMPRODUCT(($AJ62&gt;=INDEX('Methodology &amp; Sources'!$B$39:$J$48,0,IF($AU62="Married",4,IF($AU62="Head of household",7,1))))*INDEX('Methodology &amp; Sources'!$B$39:$J$48,0,IF($AU62="Married",4,IF($AU62="Head of household",7,1))+2)),IF($AN62="HI",IF($AU62="Married",SUMPRODUCT(($AZ62&gt;=INDEX('Methodology &amp; Sources'!$B$91:$J$98,0,7))*INDEX('Methodology &amp; Sources'!$B$91:$J$98,0,7+2)),SUMPRODUCT(($AZ62&gt;=INDEX('Methodology &amp; Sources'!$B$91:$J$98,0,4))*INDEX('Methodology &amp; Sources'!$B$91:$J$98,0,4+2))),IF($AN62="MN",IF($AU62="Married",SUMPRODUCT(($AZ62&gt;=INDEX('Methodology &amp; Sources'!$B$114:$J$120,0,7))*INDEX('Methodology &amp; Sources'!$B$114:$J$120,0,7+2)),SUMPRODUCT(($AZ62&gt;=INDEX('Methodology &amp; Sources'!$B$114:$J$120,0,4))*INDEX('Methodology &amp; Sources'!$B$114:$J$120,0,4+2))),IF($AN62="MO",SUMPRODUCT(($AZ62&gt;=INDEX('Methodology &amp; Sources'!$B$125:$J$132,0,1))*INDEX('Methodology &amp; Sources'!$B$125:$J$132,0,1+2)),IF($AN62="NE",MAX(IF($AU62="Married",SUMPRODUCT(($AZ62&gt;=INDEX('Methodology &amp; Sources'!$B$144:$J$150,0,7))*INDEX('Methodology &amp; Sources'!$B$144:$J$150,0,7+2)),SUMPRODUCT(($AZ62&gt;=INDEX('Methodology &amp; Sources'!$B$144:$J$150,0,4))*INDEX('Methodology &amp; Sources'!$B$144:$J$150,0,4+2))),0.015),IF($AN62="OH",IF($B62&gt;=DATE(2027,8,1),SUMPRODUCT(($AZ62&gt;=INDEX('Methodology &amp; Sources'!$B$203:$J$206,0,1))*INDEX('Methodology &amp; Sources'!$B$203:$J$206,0,1+2)),SUMPRODUCT(($AZ62&gt;=INDEX('Methodology &amp; Sources'!$B$184:$J$198,0,7))*INDEX('Methodology &amp; Sources'!$B$184:$J$198,0,7+2))),IF($AN62="OK",IF($AU62="Married",SUMPRODUCT(($AZ62&gt;=INDEX('Methodology &amp; Sources'!$B$203:$J$206,0,7))*INDEX('Methodology &amp; Sources'!$B$203:$J$206,0,7+2)),SUMPRODUCT(($AZ62&gt;=INDEX('Methodology &amp; Sources'!$B$203:$J$206,0,4))*INDEX('Methodology &amp; Sources'!$B$203:$J$206,0,4+2))),IF($AN62="RI",SUMPRODUCT(($AZ62&gt;=INDEX('Methodology &amp; Sources'!$B$211:$J$214,0,7))*INDEX('Methodology &amp; Sources'!$B$211:$J$214,0,7+2)),IF($AN62="SC",SUMPRODUCT(($AZ62&gt;=INDEX('Methodology &amp; Sources'!$B$219:$J$223,0,1))*INDEX('Methodology &amp; Sources'!$B$219:$J$223,0,1+2)),IF($AN62="VT",IF($AU62="Married",SUMPRODUCT(($AZ62&gt;=INDEX('Methodology &amp; Sources'!$B$228:$J$232,0,1))*INDEX('Methodology &amp; Sources'!$B$228:$J$232,0,1+2)),SUMPRODUCT(($AZ62&gt;=INDEX('Methodology &amp; Sources'!$B$219:$J$223,0,7))*INDEX('Methodology &amp; Sources'!$B$219:$J$223,0,7+2))),IF($AN62="WV",IF($AU62="Married",SUMPRODUCT(($AZ62&gt;=INDEX('Methodology &amp; Sources'!$B$237:$J$241,0,7))*INDEX('Methodology &amp; Sources'!$B$237:$J$241,0,7+2)),SUMPRODUCT(($AZ62&gt;=INDEX('Methodology &amp; Sources'!$B$228:$J$232,0,7))*INDEX('Methodology &amp; Sources'!$B$228:$J$232,0,7+2))),IF($AN62="IN",(0.0295+Inputs!$C$76),"")))))))))))))</f>
      </c>
      <c r="CC62" s="24">
        <f>IF($B62="","",IF($AN62="AR",SUMPRODUCT(($AZ62&gt;=INDEX('Methodology &amp; Sources'!$B$82:$J$86,0,7))*INDEX('Methodology &amp; Sources'!$B$82:$J$86,0,7+2)),IF($AN62="DE",SUMPRODUCT(($AZ62&gt;=INDEX('Methodology &amp; Sources'!$B$91:$J$98,0,1))*INDEX('Methodology &amp; Sources'!$B$91:$J$98,0,1+2)),IF($AN62="VA",SUMPRODUCT(($AZ62&gt;=INDEX('Methodology &amp; Sources'!$B$219:$J$223,0,4))*INDEX('Methodology &amp; Sources'!$B$219:$J$223,0,4+2)),IF($AN62="WI",SUMPRODUCT(($AZ62&gt;=INDEX('Methodology &amp; Sources'!$B$228:$J$232,0,4))*INDEX('Methodology &amp; Sources'!$B$228:$J$232,0,4+2)),IF($AN62="AZ",Inputs!$C$82,IF($AN62="CO",IF($AY62&gt;IF($AU62="Married",10000,5000),0.044,0),IF($AN62="IA",IF($AY62&gt;IF($AU62="Head of household",19500,IF($AU62="Married",26000,13000)),0.038,0),IF($AN62="ID",IF($AY62&gt;IF($AU62="Married",32000,16094),0.053,0),IF($AN62="IL",IF($AY62&gt;(2925*$AS62+1000*$AT62),0.0495,0),IF($AN62="KY",IF($AI62&gt;3360,0.035,0),IF($AN62="LA",0.0309,IF($AN62="MA",IF(MAX(0,$AY62-MIN(($BD61+$Q62+$R62+$S62),2000)-IF($AS62=0,0,IF($AS62=1,4400,1000*$AS62+3400)))&gt;=1107750,0.09,0.05),IF($AN62="MS",IF($AI62-IF($AU62="Head of household",3400,IF($AU62="Married",4600,2300))-Inputs!$C$85&gt;10000,0.04,0),IF($AN62="PA",0.0307,"")))))))))))))))</f>
      </c>
      <c r="CD62" s="21">
        <f>IF(YEAR(IF(Inputs!$C$7="Weekly",Inputs!$C$90+7*(($BE61+1)-1),IF(Inputs!$C$7="Biweekly",Inputs!$C$90+14*(($BE61+1)-1),IF(Inputs!$C$7="Semimonthly",DATE(YEAR(Inputs!$C$9),MONTH(Inputs!$C$9)+INT((($BE61+1)-1+'Rest of 2026'!$C$2)/2),MIN(DAY(Inputs!$C$9),DAY(EOMONTH(DATE(YEAR(Inputs!$C$9),MONTH(Inputs!$C$9)+INT((($BE61+1)-1+'Rest of 2026'!$C$2)/2),1),0))))+IF(MOD(($BE61+1)-1+'Rest of 2026'!$C$2,2)=1,15,0),EDATE(Inputs!$C$90,($BE61+1)-1)))))&lt;&gt;Inputs!$C$10,"",IF(Inputs!$C$7="Weekly",Inputs!$C$90+7*(($BE61+1)-1),IF(Inputs!$C$7="Biweekly",Inputs!$C$90+14*(($BE61+1)-1),IF(Inputs!$C$7="Semimonthly",DATE(YEAR(Inputs!$C$9),MONTH(Inputs!$C$9)+INT((($BE61+1)-1+'Rest of 2026'!$C$2)/2),MIN(DAY(Inputs!$C$9),DAY(EOMONTH(DATE(YEAR(Inputs!$C$9),MONTH(Inputs!$C$9)+INT((($BE61+1)-1+'Rest of 2026'!$C$2)/2),1),0))))+IF(MOD(($BE61+1)-1+'Rest of 2026'!$C$2,2)=1,15,0),EDATE(Inputs!$C$90,($BE61+1)-1)))))</f>
      </c>
      <c r="CE62" s="21">
        <f>IF(SUMPRODUCT(MIN(IF((Inputs!$C$58:$C$67&gt;MAX($B$6:$B61))*(Inputs!$C$58:$C$67&gt;=DATE(Inputs!$C$10,1,1))*(Inputs!$C$58:$C$67&lt;=DATE(Inputs!$C$10,12,31)),Inputs!$C$58:$C$67,999999)))=999999,"",SUMPRODUCT(MIN(IF((Inputs!$C$58:$C$67&gt;MAX($B$6:$B61))*(Inputs!$C$58:$C$67&gt;=DATE(Inputs!$C$10,1,1))*(Inputs!$C$58:$C$67&lt;=DATE(Inputs!$C$10,12,31)),Inputs!$C$58:$C$67,999999))))</f>
      </c>
    </row>
    <row r="63">
      <c r="A63" t="n">
        <v>58</v>
      </c>
      <c r="B63" s="21">
        <f>IF(AND($CD63="",$CE63=""),"",IF($CE63="",$CD63,IF($CD63="",$CE63,MIN($CD63,$CE63))))</f>
      </c>
      <c r="C63" s="7">
        <f>IF($B63="","",IF($BF63=0,0,IF(Inputs!$C$4="Annual salary",ROUND($AK63/IF(AND(Inputs!$C$88="Actual paydays",MONTH(Inputs!$C$90)=1),MAX(1,MAX($BE$6:$BE$68)),Inputs!$C$8),2),$AK63)))</f>
      </c>
      <c r="D63" s="7">
        <f>IF($B63="","",SUMIF(Inputs!$C$58:$C$67,$B63,Inputs!$D$58:$D$67))</f>
      </c>
      <c r="E63" s="7">
        <f>IF($B63="","",ROUND(MAX(0,MIN(IF($AL63="Percent",$AM63*($C63+$D63),$AM63),MAX(0,Inputs!$C$34-$AC62))),2))</f>
      </c>
      <c r="F63" s="7">
        <f>IF($B63="","",ROUND(MAX(0,MIN(IF(Inputs!$C$32="Percent",Inputs!$D$32*($C63+$D63),Inputs!$D$32),MAX(0,Inputs!$C$34-$AC62-$E63))),2))</f>
      </c>
      <c r="G63" s="7">
        <f>IF($B63="","",IF($BF63=0,0,ROUND(MAX(0,MIN($BL63,Inputs!$C$37-Inputs!$C$99-$BI62)),2)))</f>
      </c>
      <c r="H63" s="7">
        <f>IF($B63="","",IF(OR($BF63=0,$BQ63=1),0,ROUND(MAX(0,MIN(IF($BS63=1,ROUND(MAX(0,MIN($BJ63,'Methodology &amp; Sources'!$C$13)-$BG62)/MAX(1,MAX($BE$6:$BE$68)-($BE62)),2),ROUND(MIN($BJ63,'Methodology &amp; Sources'!$C$13)/Inputs!$C$8,2)),MIN($BJ63,'Methodology &amp; Sources'!$C$13)-$BG62)),2)))</f>
      </c>
      <c r="I63" s="7">
        <f>IF($B63="","",IF(OR($BF63=0,$BR63=1),0,ROUND(MAX(0,MIN(IF($BT63=1,ROUND(MAX(0,MIN($BK63,IF(Inputs!$C$12="MFJ",'Methodology &amp; Sources'!$C$14,'Methodology &amp; Sources'!$C$15))-$BH62)/MAX(1,MAX($BE$6:$BE$68)-($BE62)),2),ROUND(MIN($BK63,IF(Inputs!$C$12="MFJ",'Methodology &amp; Sources'!$C$14,'Methodology &amp; Sources'!$C$15))/Inputs!$C$8,2)),MIN($BK63,IF(Inputs!$C$12="MFJ",'Methodology &amp; Sources'!$C$14,'Methodology &amp; Sources'!$C$15))-$BH62)),2)))</f>
      </c>
      <c r="J63" s="7">
        <f>IF($B63="","",IF($BF63=0,0,$BM63))</f>
      </c>
      <c r="K63" s="7">
        <f>IF($B63="","",IF($BF63=0,0,$BN63+$BO63))</f>
      </c>
      <c r="L63" s="7">
        <f>IF($B63="","",IF($BF63=0,0,Inputs!$D$46))</f>
      </c>
      <c r="M63" s="7">
        <f>IF($B63="","",$C63+$D63+$L63-$E63-$G63-$H63-$I63-$J63-$K63)</f>
      </c>
      <c r="N63" s="7">
        <f>IF($B63="","",$C63+$D63+$L63-$G63-$H63-$I63-$J63-$K63)</f>
      </c>
      <c r="O63" s="7">
        <f>IF($B63="","",$C63+$D63+$L63-$E63-$H63-$I63-$J63-$K63-IF(OR($AN63="CA",$AN63="NJ"),0,$G63))</f>
      </c>
      <c r="P63" s="7">
        <f>IF($B63="","",IF(Inputs!$C$18,0,ROUND(MAX(0,IF(Inputs!$C$13,SUMPRODUCT(($AH63&gt;INDEX('Methodology &amp; Sources'!$B$29:$J$36,0,IF(Inputs!$C$12="MFJ",1,IF(Inputs!$C$12="HoH",7,4))))*($AH63-INDEX('Methodology &amp; Sources'!$B$29:$J$36,0,IF(Inputs!$C$12="MFJ",1,IF(Inputs!$C$12="HoH",7,4))))*INDEX('Methodology &amp; Sources'!$B$29:$J$36,0,IF(Inputs!$C$12="MFJ",1,IF(Inputs!$C$12="HoH",7,4))+2)),SUMPRODUCT(($AH63&gt;INDEX('Methodology &amp; Sources'!$B$19:$J$26,0,IF(Inputs!$C$12="MFJ",1,IF(Inputs!$C$12="HoH",7,4))))*($AH63-INDEX('Methodology &amp; Sources'!$B$19:$J$26,0,IF(Inputs!$C$12="MFJ",1,IF(Inputs!$C$12="HoH",7,4))))*INDEX('Methodology &amp; Sources'!$B$19:$J$26,0,IF(Inputs!$C$12="MFJ",1,IF(Inputs!$C$12="HoH",7,4))+2)))/Inputs!$C$8-$AO63/Inputs!$C$8)+$AR63+IF(Inputs!$C$89="Aggregate",MAX(0,IF(Inputs!$C$13,SUMPRODUCT((($AH63+$D63)&gt;INDEX('Methodology &amp; Sources'!$B$29:$J$36,0,IF(Inputs!$C$12="MFJ",1,IF(Inputs!$C$12="HoH",7,4))))*(($AH63+$D63)-INDEX('Methodology &amp; Sources'!$B$29:$J$36,0,IF(Inputs!$C$12="MFJ",1,IF(Inputs!$C$12="HoH",7,4))))*INDEX('Methodology &amp; Sources'!$B$29:$J$36,0,IF(Inputs!$C$12="MFJ",1,IF(Inputs!$C$12="HoH",7,4))+2)),SUMPRODUCT((($AH63+$D63)&gt;INDEX('Methodology &amp; Sources'!$B$19:$J$26,0,IF(Inputs!$C$12="MFJ",1,IF(Inputs!$C$12="HoH",7,4))))*(($AH63+$D63)-INDEX('Methodology &amp; Sources'!$B$19:$J$26,0,IF(Inputs!$C$12="MFJ",1,IF(Inputs!$C$12="HoH",7,4))))*INDEX('Methodology &amp; Sources'!$B$19:$J$26,0,IF(Inputs!$C$12="MFJ",1,IF(Inputs!$C$12="HoH",7,4))+2)))-IF(Inputs!$C$13,SUMPRODUCT(($AH63&gt;INDEX('Methodology &amp; Sources'!$B$29:$J$36,0,IF(Inputs!$C$12="MFJ",1,IF(Inputs!$C$12="HoH",7,4))))*($AH63-INDEX('Methodology &amp; Sources'!$B$29:$J$36,0,IF(Inputs!$C$12="MFJ",1,IF(Inputs!$C$12="HoH",7,4))))*INDEX('Methodology &amp; Sources'!$B$29:$J$36,0,IF(Inputs!$C$12="MFJ",1,IF(Inputs!$C$12="HoH",7,4))+2)),SUMPRODUCT(($AH63&gt;INDEX('Methodology &amp; Sources'!$B$19:$J$26,0,IF(Inputs!$C$12="MFJ",1,IF(Inputs!$C$12="HoH",7,4))))*($AH63-INDEX('Methodology &amp; Sources'!$B$19:$J$26,0,IF(Inputs!$C$12="MFJ",1,IF(Inputs!$C$12="HoH",7,4))))*INDEX('Methodology &amp; Sources'!$B$19:$J$26,0,IF(Inputs!$C$12="MFJ",1,IF(Inputs!$C$12="HoH",7,4))+2)))),'Methodology &amp; Sources'!$C$10*$D63),2)))</f>
      </c>
      <c r="Q63" s="7">
        <f>IF($B63="","",ROUND('Methodology &amp; Sources'!$C$4*MIN($N63,MAX(0,'Methodology &amp; Sources'!$C$3-($AX63+$AB62-$AW63))),2))</f>
      </c>
      <c r="R63" s="7">
        <f>IF($B63="","",ROUND('Methodology &amp; Sources'!$C$5*$N63,2))</f>
      </c>
      <c r="S63" s="7">
        <f>IF($B63="","",ROUND('Methodology &amp; Sources'!$C$6*MAX(0,MIN($N63,$AG62+$N63-'Methodology &amp; Sources'!$C$7)),2))</f>
      </c>
      <c r="T63" s="7">
        <f>IF($B63="","",IF(Inputs!$C$26,0,IF($AN63="CA",ROUND(IF($AI63&lt;=IF(($AS63+$AT63)&gt;=2,VLOOKUP($AN63,StateTables!$A$6:$AB$56,10,FALSE),VLOOKUP($AN63,StateTables!$A$6:$AB$56,9,FALSE)),0,MAX(0,SUMPRODUCT(($AJ63&gt;INDEX('Methodology &amp; Sources'!$B$39:$J$48,0,IF($AU63="Married",4,IF($AU63="Head of household",7,1))))*($AJ63-INDEX('Methodology &amp; Sources'!$B$39:$J$48,0,IF($AU63="Married",4,IF($AU63="Head of household",7,1))))*INDEX('Methodology &amp; Sources'!$B$39:$J$48,0,IF($AU63="Married",4,IF($AU63="Head of household",7,1))+2))-VLOOKUP($AN63,StateTables!$A$6:$AB$56,11,FALSE)*$AS63)/Inputs!$C$8)+Inputs!$C$25+VLOOKUP($AN63,StateTables!$A$6:$AB$56,13,FALSE)*$D63,2),IF(VLOOKUP($AN63,StateTables!$A$6:$AB$56,4,FALSE)="None",0,IF(ISNUMBER(SEARCH("MANUAL",VLOOKUP($AN63,StateTables!$A$6:$AB$56,5,FALSE))),Inputs!$C$28,ROUND(MAX(0,$BA63+$BB63)/Inputs!$C$8+Inputs!$C$25+$BC63,2))))))</f>
      </c>
      <c r="U63" s="7">
        <f>IF($B63="","",IF(VLOOKUP($AN63,StateTables!$A$6:$AB$56,24,FALSE)="flatq",IF(OR(MONTH($B63)=1,MONTH($B63)=4,MONTH($B63)=7,MONTH($B63)=10),VLOOKUP($AN63,StateTables!$A$6:$AB$56,25,FALSE),0),IF(VLOOKUP($AN63,StateTables!$A$6:$AB$56,24,FALSE)="dbl",MIN(ROUND(0.005*$N63,2),ROUND(0.6*52/Inputs!$C$8,2)),IF(OR(VLOOKUP($AN63,StateTables!$A$6:$AB$56,15,FALSE)="",VLOOKUP($AN63,StateTables!$A$6:$AB$56,15,FALSE)=0),0,ROUND(VLOOKUP($AN63,StateTables!$A$6:$AB$56,15,FALSE)*IF(OR(VLOOKUP($AN63,StateTables!$A$6:$AB$56,16,FALSE)="",VLOOKUP($AN63,StateTables!$A$6:$AB$56,16,FALSE)=0),$N63,MIN($N63,MAX(0,VLOOKUP($AN63,StateTables!$A$6:$AB$56,16,FALSE)-($AX63+$AB62-$AW63)))),2))))+IF(VLOOKUP($AN63,StateTables!$A$6:$AB$56,27,FALSE)="flatq",IF(OR(MONTH($B63)=1,MONTH($B63)=4,MONTH($B63)=7,MONTH($B63)=10),VLOOKUP($AN63,StateTables!$A$6:$AB$56,28,FALSE),0),IF(VLOOKUP($AN63,StateTables!$A$6:$AB$56,27,FALSE)="dbl",MIN(ROUND(0.005*$N63,2),ROUND(0.6*52/Inputs!$C$8,2)),IF(OR(VLOOKUP($AN63,StateTables!$A$6:$AB$56,18,FALSE)="",VLOOKUP($AN63,StateTables!$A$6:$AB$56,18,FALSE)=0),0,ROUND(VLOOKUP($AN63,StateTables!$A$6:$AB$56,18,FALSE)*IF(OR(VLOOKUP($AN63,StateTables!$A$6:$AB$56,19,FALSE)="",VLOOKUP($AN63,StateTables!$A$6:$AB$56,19,FALSE)=0),$N63,MIN($N63,MAX(0,VLOOKUP($AN63,StateTables!$A$6:$AB$56,19,FALSE)-($AX63+$AB62-$AW63)))),2)))))</f>
      </c>
      <c r="V63" s="7">
        <f>IF($B63="","",IF($AN63="NY",IF(Inputs!$C$78,ROUND(SUMPRODUCT((MAX(0,($O63-$D63)*Inputs!$C$8-(IF($AU63="Married",5500,5000)+1000*$AS63))&gt;INDEX('Methodology &amp; Sources'!$B$184:$J$198,0,4))*(MAX(0,($O63-$D63)*Inputs!$C$8-(IF($AU63="Married",5500,5000)+1000*$AS63))-INDEX('Methodology &amp; Sources'!$B$184:$J$198,0,4))*INDEX('Methodology &amp; Sources'!$B$184:$J$198,0,4+2))/Inputs!$C$8+0.0425*$D63,2),0)+IF(Inputs!$C$79="Resident",ROUND(0.1675*$T63,2),IF(Inputs!$C$79="Nonresident",ROUND(0.005*MAX(0,($O63-$D63)-(IF($AU63="Married",7950,7400)+1000*$AS63)/Inputs!$C$8),2),0)),IF($AN63="PA",IF(Inputs!$C$80="None",Inputs!$C$27+ROUND(Inputs!$C$81*($C63+$D63),2),ROUND(IF(Inputs!$C$80="Resident",IF($B63&lt;DATE(2027,7,1),0.03735,0.03735),IF($B63&lt;DATE(2027,7,1),0.03425,0.03425))*($C63+$D63),2)),IF($BF63=0,ROUND(Inputs!$C$81*($C63+$D63),2),Inputs!$C$27+ROUND(Inputs!$C$81*($C63+$D63),2)))))</f>
      </c>
      <c r="W63" s="7">
        <f>IF($B63="","",IF($BF63=0,0,$BP63))</f>
      </c>
      <c r="X63" s="7">
        <f>IF($B63="","",SUM($E63:$K63)+$P63+$Q63+$R63+$S63+$T63+$U63+$V63+$W63)</f>
      </c>
      <c r="Y63" s="22">
        <f>IF($B63="","",$C63+$D63-$X63)</f>
      </c>
      <c r="Z63" s="7">
        <f>IF($B63="","",$Z62+$C63+$D63)</f>
      </c>
      <c r="AA63" s="7">
        <f>IF($B63="","",$AA62+$Y63)</f>
      </c>
      <c r="AB63" s="7">
        <f>IF($B63="","",$AB62+MIN($N63,MAX(0,'Methodology &amp; Sources'!$C$3-($AX63+$AB62-$AW63))))</f>
      </c>
      <c r="AC63" s="7">
        <f>IF($B63="","",$AC62+$E63+$F63)</f>
      </c>
      <c r="AD63" s="3">
        <f>IF($B63="","",IF(AND($AB62&lt;'Methodology &amp; Sources'!$C$3,$AB63&gt;='Methodology &amp; Sources'!$C$3),"★ Social Security maxed on this check — from the next check your net rises by about $"&amp;TEXT(ROUND('Methodology &amp; Sources'!$C$4*$N63,2),"#,##0.00")&amp;". ","")&amp;IF(AND($AC62&lt;Inputs!$C$34,$AC63&gt;=Inputs!$C$34),"★ 401(k) reaches the $"&amp;TEXT(Inputs!$C$34,"#,##0")&amp;" cap on this check — deferrals stop and net pay rises. ","")&amp;IF(AND($AG62&lt;'Methodology &amp; Sources'!$C$7,$AG63&gt;='Methodology &amp; Sources'!$C$7),"★ Wages pass $200,000 — the 0.9% Additional Medicare Tax starts here. ","")&amp;IF(AND($BJ63&gt;0,$H63&gt;0,$BG62&lt;MIN($BJ63,'Methodology &amp; Sources'!$C$13),$BG62+$H63&gt;=MIN($BJ63,'Methodology &amp; Sources'!$C$13)),"★ Health FSA election is now fully deferred for the year. ",""))</f>
      </c>
      <c r="AE63" s="41" t="n"/>
      <c r="AF63" s="7">
        <f>IF(OR($B63="",$AE63=""),"",$AE63-$Y63)</f>
      </c>
      <c r="AG63" s="7">
        <f>IF($B63="","",$AG62+$N63)</f>
      </c>
      <c r="AH63" s="7">
        <f>IF($B63="","",MAX(0,($M63-$D63)*Inputs!$C$8+$AP63-$AQ63-IF(Inputs!$C$13,0,IF(Inputs!$C$12="MFJ",'Methodology &amp; Sources'!$C$8,'Methodology &amp; Sources'!$C$9))))</f>
      </c>
      <c r="AI63" s="7">
        <f>IF($B63="","",$O63*Inputs!$C$8)</f>
      </c>
      <c r="AJ63" s="7">
        <f>IF($B63="","",MAX(0,$AI63-VLOOKUP($AN63,StateTables!$A$6:$AB$56,12,FALSE)*$AT63-IF(($AS63+$AT63)&gt;=2,VLOOKUP($AN63,StateTables!$A$6:$AB$56,8,FALSE),VLOOKUP($AN63,StateTables!$A$6:$AB$56,7,FALSE))))</f>
      </c>
      <c r="AK63" s="7">
        <f>IF($B63="","",IFERROR(LOOKUP(2,1/((Events!$C$6:$C$17="Salary change")*(Events!$B$6:$B$17&lt;=$B63)*(Events!$B$6:$B$17&lt;&gt;"")),Events!$D$6:$D$17),IF(Inputs!$C$4="Annual salary",Inputs!$C$5,Inputs!$C$6)))</f>
      </c>
      <c r="AL63">
        <f>IF($B63="","",IFERROR(LOOKUP(2,1/((Events!$C$6:$C$17="401(k) change")*(Events!$B$6:$B$17&lt;=$B63)*(Events!$B$6:$B$17&lt;&gt;"")),Events!$D$6:$D$17),Inputs!$C$30))</f>
      </c>
      <c r="AM63" s="7">
        <f>IF($B63="","",IFERROR(LOOKUP(2,1/((Events!$C$6:$C$17="401(k) change")*(Events!$B$6:$B$17&lt;=$B63)*(Events!$B$6:$B$17&lt;&gt;"")),Events!$E$6:$E$17),Inputs!$D$30))</f>
      </c>
      <c r="AN63">
        <f>IF($B63="","",IFERROR(LOOKUP(2,1/((Events!$C$6:$C$17="State move")*(Events!$B$6:$B$17&lt;=$B63)*(Events!$B$6:$B$17&lt;&gt;"")),Events!$D$6:$D$17),Inputs!$C$21))</f>
      </c>
      <c r="AO63" s="7">
        <f>IF($B63="","",IFERROR(LOOKUP(2,1/((Events!$C$6:$C$17="W-4 change")*(Events!$B$6:$B$17&lt;=$B63)*(Events!$B$6:$B$17&lt;&gt;"")),Events!$D$6:$D$17),Inputs!$C$14))</f>
      </c>
      <c r="AP63" s="7">
        <f>IF($B63="","",IFERROR(LOOKUP(2,1/((Events!$C$6:$C$17="W-4 change")*(Events!$B$6:$B$17&lt;=$B63)*(Events!$B$6:$B$17&lt;&gt;"")),Events!$E$6:$E$17),Inputs!$C$15))</f>
      </c>
      <c r="AQ63" s="7">
        <f>IF($B63="","",IFERROR(LOOKUP(2,1/((Events!$C$6:$C$17="W-4 change")*(Events!$B$6:$B$17&lt;=$B63)*(Events!$B$6:$B$17&lt;&gt;"")),Events!$F$6:$F$17),Inputs!$C$16))</f>
      </c>
      <c r="AR63" s="7">
        <f>IF($B63="","",IFERROR(LOOKUP(2,1/((Events!$C$6:$C$17="W-4 change")*(Events!$B$6:$B$17&lt;=$B63)*(Events!$B$6:$B$17&lt;&gt;"")),Events!$G$6:$G$17),Inputs!$C$17))</f>
      </c>
      <c r="AS63" s="6">
        <f>IF($B63="","",IFERROR(LOOKUP(2,1/(((Events!$C$6:$C$17="State move")+(Events!$C$6:$C$17="State cert change"))*(Events!$B$6:$B$17&lt;=$B63)*(Events!$B$6:$B$17&lt;&gt;"")),Events!$F$6:$F$17),Inputs!$C$23))</f>
      </c>
      <c r="AT63" s="6">
        <f>IF($B63="","",IFERROR(LOOKUP(2,1/(((Events!$C$6:$C$17="State move")+(Events!$C$6:$C$17="State cert change"))*(Events!$B$6:$B$17&lt;=$B63)*(Events!$B$6:$B$17&lt;&gt;"")),Events!$G$6:$G$17),Inputs!$C$24))</f>
      </c>
      <c r="AU63">
        <f>IF($B63="","",IFERROR(LOOKUP(2,1/((Events!$C$6:$C$17="State move")*(Events!$B$6:$B$17&lt;=$B63)*(Events!$B$6:$B$17&lt;&gt;"")),Events!$E$6:$E$17),Inputs!$C$22))</f>
      </c>
      <c r="AV63" s="6">
        <f>IF($B63="","",1+COUNTIFS(Events!$C$6:$C$17,"Employer change",Events!$B$6:$B$17,"&lt;="&amp;$B63,Events!$B$6:$B$17,"&lt;&gt;"))</f>
      </c>
      <c r="AW63" s="7">
        <f>IF($B63="","",IF($AV63=1,Inputs!$C$94,IF(IFERROR(MATCH(IFERROR(LOOKUP(2,1/((Events!$C$6:$C$17="Employer change")*(Events!$B$6:$B$17&lt;=$B63)*(Events!$B$6:$B$17&lt;&gt;"")),Events!$B$6:$B$17),""),$B$6:$B$68,1),1)&lt;=1,Inputs!$C$94,INDEX($AB$6:$AB$68,MATCH(IFERROR(LOOKUP(2,1/((Events!$C$6:$C$17="Employer change")*(Events!$B$6:$B$17&lt;=$B63)*(Events!$B$6:$B$17&lt;&gt;"")),Events!$B$6:$B$17),""),$B$6:$B$68,1)-1))))</f>
      </c>
      <c r="AX63" s="7">
        <f>IF($B63="","",IF($AV63=1,Inputs!$C$94,IFERROR(LOOKUP(2,1/((Events!$C$6:$C$17="Employer change")*(Events!$B$6:$B$17&lt;=$B63)*(Events!$B$6:$B$17&lt;&gt;"")),Events!$D$6:$D$17),0)))</f>
      </c>
      <c r="AY63" s="7">
        <f>IF($B63="","",($O63-$D63)*Inputs!$C$8)</f>
      </c>
      <c r="AZ63" s="7">
        <f>IF($B63="","",IF($AN63="AL",MAX(0,$AY63-IF($AU63="Married",IF($AY63&lt;=25999,8500,MAX(5000,8500-175*CEILING(($AY63-25999)/500,1))),IF($AU63="Head of household",IF($AY63&lt;=25999,5200,MAX(2500,5200-135*CEILING(($AY63-25999)/500,1))),IF($AY63&lt;=25999,3000,MAX(2500,3000-25*CEILING(($AY63-25999)/500,1)))))-($P63-'Methodology &amp; Sources'!$C$10*$D63)*Inputs!$C$8-IF(OR($AU63="Married",$AU63="Head of household"),3000,1500)-$AT63*IF($AY63&lt;=50000,1000,IF($AY63&lt;=100000,500,300))),IF($AN63="AR",IF(MAX(0,$AY63-2470)&lt;97701,INT(MAX(0,$AY63-2470)/100)*100+50,MAX(0,$AY63-2470)),IF($AN63="DE",MAX(0,$AI63-3250),IF($AN63="HI",MAX(0,$AI63-1144*$AS63-4350),IF($AN63="KS",MAX(0,$AI63-(9160*IF($AU63="Married",2,1)+2320*$AT63+IF($AU63="Head of household",2320,0))),IF($AN63="MD",MAX(0,$AI63-3400-3200*$AS63),IF($AN63="MN",MAX(0,$AY63-5300*$AS63),IF($AN63="MO",MAX(0,$AI63-IF($AU63="Head of household",24150,IF($AU63="Married",IF(Inputs!$C$83,16100,32200),16100))),IF($AN63="MT",$AY63,IF($AN63="ND",($C63+$L63)*Inputs!$C$8,IF($AN63="NE",MAX(0,$AY63-2440*$AS63),IF($AN63="NJ",MAX(0,$AY63-1000*$AS63),IF($AN63="NY",MAX(0,$AY63-(IF($AU63="Married",7950,7400)+1000*$AS63)),IF($AN63="OH",MAX(0,$AY63-650*$AS63),IF($AN63="OK",MAX(0,$AY63-1000*$AS63),IF($AN63="RI",MAX(0,$AI63-1000*$AS63),IF($AN63="SC",MAX(0,$AI63-5000*$AS63-IF($AS63=0,0,MIN(0.1*$AI63,7500))),IF($AN63="VA",MAX(0,$AI63-IF($AU63="Married",17500,8750)-930*$AS63-800*$AT63),IF($AN63="VT",MAX(0,$AI63-5400*$AS63),IF($AN63="WI",MAX(0,$AI63-MAX(0,IF($AU63="Married",9461-0.2*MAX(0,$AI63-25727),6702-0.12*MAX(0,$AI63-17780)))-400*$AS63),IF($AN63="WV",MAX(0,$AI63-2000*$AS63),$AI63))))))))))))))))))))))</f>
      </c>
      <c r="BA63" s="7">
        <f>IF($B63="","",IF($BW63&lt;&gt;"",$BW63,IF($BX63&lt;&gt;"",$BX63,IF($BY63&lt;&gt;"",$BY63,0))))</f>
      </c>
      <c r="BB63" s="7">
        <f>IF($B63="","",IF($AN63="AR",-29*$AS63,IF($AN63="DE",-110*$AS63,IF($AN63="MD",$AZ63*Inputs!$C$74,IF($AN63="AZ",Inputs!$C$82*($M63-$D63)*Inputs!$C$8,IF($AN63="CO",0.044*MAX(0,$AY63-IF($AU63="Married",10000,5000)),IF($AN63="IA",MAX(0,0.038*MAX(0,$AY63-IF($AU63="Head of household",19500,IF($AU63="Married",26000,13000)))-40*$AS63),IF($AN63="ID",0.053*MAX(0,$AY63-IF($AU63="Married",32000,16094)),IF($AN63="IL",0.0495*MAX(0,$AY63-(2925*$AS63+1000*$AT63)),IF($AN63="IN",(0.0295+Inputs!$C$76)*MAX(0,$AY63-(1000*$AS63+1500*$AT63+3000*Inputs!$C$86)),IF($AN63="KY",0.035*MAX(0,$AI63-3360),IF($AN63="LA",IF(Inputs!$C$84="0",0.0309*$AI63,0.0309*MAX(0,$AI63-IF(Inputs!$C$84="2",25750,12875))),IF($AN63="MA",0.05*MIN(MAX(0,$AY63-MIN(($BD62+$Q63+$R63+$S63),2000)-IF($AS63=0,0,IF($AS63=1,4400,1000*$AS63+3400))),1107750)+0.09*MAX(0,MAX(0,$AY63-MIN(($BD62+$Q63+$R63+$S63),2000)-IF($AS63=0,0,IF($AS63=1,4400,1000*$AS63+3400)))-1107750)-IF($AU63="Head of household",120,0)-110*Inputs!$C$75,IF($AN63="MI",0.0425*MAX(0,$AY63-5900*$AS63),IF($AN63="MS",0.04*MAX(0,$AI63-IF($AU63="Head of household",3400,IF($AU63="Married",4600,2300))-Inputs!$C$85-10000),IF($AN63="OR",IF(OR($AU63="Married",AND($AU63="Single",$AS63&gt;=3)),SUMPRODUCT((MAX(0,$AY63-MIN(($P63-'Methodology &amp; Sources'!$C$10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Sources'!$B$211:$J$214,0,4))*(MAX(0,$AY63-MIN(($P63-'Methodology &amp; Sources'!$C$10*$D63)*Inputs!$C$8,IF(OR($AU63="Married",AND($AU63="Single",$AS63&gt;=3)),IF($AY63&lt;250000,8750,IF($AY63&lt;260000,7000,IF($AY63&lt;270000,5250,IF($AY63&lt;280000,3500,IF($AY63&lt;290000,1750,0))))),IF($AY63&lt;125000,8750,IF($AY63&lt;130000,7000,IF($AY63&lt;135000,5250,IF($AY63&lt;140000,3500,IF($AY63&lt;145000,1750,0)))))))-IF(OR($AU63="Married",AND($AU63="Single",$AS63&gt;=3)),5820,2910))-INDEX('Methodology &amp; Sources'!$B$211:$J$214,0,4))*INDEX('Methodology &amp; Sources'!$B$211:$J$214,0,4+2)),SUMPRODUCT((MAX(0,$AY63-MIN(($P63-'Methodology &amp; Sources'!$C$10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Sources'!$B$211:$J$214,0,1))*(MAX(0,$AY63-MIN(($P63-'Methodology &amp; Sources'!$C$10*$D63)*Inputs!$C$8,IF(OR($AU63="Married",AND($AU63="Single",$AS63&gt;=3)),IF($AY63&lt;250000,8750,IF($AY63&lt;260000,7000,IF($AY63&lt;270000,5250,IF($AY63&lt;280000,3500,IF($AY63&lt;290000,1750,0))))),IF($AY63&lt;125000,8750,IF($AY63&lt;130000,7000,IF($AY63&lt;135000,5250,IF($AY63&lt;140000,3500,IF($AY63&lt;145000,1750,0)))))))-IF(OR($AU63="Married",AND($AU63="Single",$AS63&gt;=3)),5820,2910))-INDEX('Methodology &amp; Sources'!$B$211:$J$214,0,1))*INDEX('Methodology &amp; Sources'!$B$211:$J$214,0,1+2)))+263-263*IF(IF($AU63="Married",$AY63&gt;200000,$AY63&gt;100000),0,$AS63),IF($AN63="PA",0.0307*(($O63+$E63+$G63)*Inputs!$C$8),IF($AN63="NY",IF($AU63="Married",IF($AZ63&gt;=2155350,0,IF($AZ63&gt;=1077550,0.48,IF($AZ63&gt;=373200,1.21,IF($AZ63&gt;=323200,0.21,IF($AZ63&gt;=211550,-0.19,IF($AZ63&gt;=157650,-2.8,IF($AZ63&gt;=107650,-0.8,IF($AZ63&gt;=96800,0.05,IF($AZ63&gt;=80650,-0.1,IF($AZ63&gt;=13900,0.4,IF($AZ63&gt;=11700,-0.3,IF($AZ63&gt;=8500,0.5,0)))))))))))),IF($AZ63&gt;=1077550,0,IF($AZ63&gt;=265400,4.29,IF($AZ63&gt;=215400,2.29,IF($AZ63&gt;=157650,2.29,IF($AZ63&gt;=107650,0.29,IF($AZ63&gt;=96800,0.05,IF($AZ63&gt;=80650,-0.1,IF($AZ63&gt;=13900,0.4,IF($AZ63&gt;=11700,-0.3,IF($AZ63&gt;=8500,0.5,0))))))))))),0))))))))))))))))))</f>
      </c>
      <c r="BC63" s="7">
        <f>IF($B63="","",IF($AN63="AL",0.05*$D63,IF($AN63="AR",0.039*$D63,IF($AN63="ID",0.053*$D63,IF($AN63="IN",(0.0295+Inputs!$C$76)*$D63,IF($AN63="KS",0.05*$D63,IF($AN63="MA",0.09*MIN($D63,MAX(0,MAX(0,$AY63-MIN(($BD62+$Q63+$R63+$S63),2000)-IF($AS63=0,0,IF($AS63=1,4400,1000*$AS63+3400)))+$D63-1107750))+0.05*($D63-MIN($D63,MAX(0,MAX(0,$AY63-MIN(($BD62+$Q63+$R63+$S63),2000)-IF($AS63=0,0,IF($AS63=1,4400,1000*$AS63+3400)))+$D63-1107750))),IF($AN63="MD",(0.065+Inputs!$C$74)*$D63,IF($AN63="MI",0.0425*$D63,IF($AN63="MN",0.0625*$D63,IF($AN63="MO",0.047*$D63,IF($AN63="MT",0.05*$D63,IF($AN63="ND",0.015*$D63,IF($AN63="NE",0.035*$D63,IF($AN63="NJ",IF(Inputs!$C$77="B",SUMPRODUCT(($D63*Inputs!$C$8&gt;INDEX('Methodology &amp; Sources'!$B$155:$J$162,0,4))*($D63*Inputs!$C$8-INDEX('Methodology &amp; Sources'!$B$155:$J$162,0,4))*INDEX('Methodology &amp; Sources'!$B$155:$J$162,0,4+2)),IF(Inputs!$C$77="C",SUMPRODUCT(($D63*Inputs!$C$8&gt;INDEX('Methodology &amp; Sources'!$B$155:$J$162,0,7))*($D63*Inputs!$C$8-INDEX('Methodology &amp; Sources'!$B$155:$J$162,0,7))*INDEX('Methodology &amp; Sources'!$B$155:$J$162,0,7+2)),IF(Inputs!$C$77="D",SUMPRODUCT(($D63*Inputs!$C$8&gt;INDEX('Methodology &amp; Sources'!$B$167:$J$179,0,1))*($D63*Inputs!$C$8-INDEX('Methodology &amp; Sources'!$B$167:$J$179,0,1))*INDEX('Methodology &amp; Sources'!$B$167:$J$179,0,1+2)),IF(Inputs!$C$77="E",SUMPRODUCT(($D63*Inputs!$C$8&gt;INDEX('Methodology &amp; Sources'!$B$167:$J$179,0,4))*($D63*Inputs!$C$8-INDEX('Methodology &amp; Sources'!$B$167:$J$179,0,4))*INDEX('Methodology &amp; Sources'!$B$167:$J$179,0,4+2)),SUMPRODUCT(($D63*Inputs!$C$8&gt;INDEX('Methodology &amp; Sources'!$B$155:$J$162,0,1))*($D63*Inputs!$C$8-INDEX('Methodology &amp; Sources'!$B$155:$J$162,0,1))*INDEX('Methodology &amp; Sources'!$B$155:$J$162,0,1+2))))))/Inputs!$C$8,IF($AN63="NY",0.117*$D63,IF($AN63="OH",0.0275*$D63,IF($AN63="OK",0.045*$D63,IF($AN63="OR",0.08*$D63,IF($AN63="WI",IF($AY63&lt;12760,0.0354,IF($AY63&lt;25520,0.0465,IF($AY63&lt;280950,0.053,0.0765)))*$D63,0))))))))))))))))))))</f>
      </c>
      <c r="BD63" s="7">
        <f>IF($B63="","",$BD62+$Q63+$R63+$S63)</f>
      </c>
      <c r="BE63" s="6">
        <f>IF($B63="",$BE62,$BE62+$BF63)</f>
      </c>
      <c r="BF63" s="6">
        <f>IF($B63="","",IF(AND(IF(YEAR(IF(Inputs!$C$7="Weekly",Inputs!$C$90+7*(($BE62+1)-1),IF(Inputs!$C$7="Biweekly",Inputs!$C$90+14*(($BE62+1)-1),IF(Inputs!$C$7="Semimonthly",DATE(YEAR(Inputs!$C$9),MONTH(Inputs!$C$9)+INT((($BE62+1)-1+'Rest of 2026'!$C$2)/2),MIN(DAY(Inputs!$C$9),DAY(EOMONTH(DATE(YEAR(Inputs!$C$9),MONTH(Inputs!$C$9)+INT((($BE62+1)-1+'Rest of 2026'!$C$2)/2),1),0))))+IF(MOD(($BE62+1)-1+'Rest of 2026'!$C$2,2)=1,15,0),EDATE(Inputs!$C$90,($BE62+1)-1)))))&lt;&gt;Inputs!$C$10,"",IF(Inputs!$C$7="Weekly",Inputs!$C$90+7*(($BE62+1)-1),IF(Inputs!$C$7="Biweekly",Inputs!$C$90+14*(($BE62+1)-1),IF(Inputs!$C$7="Semimonthly",DATE(YEAR(Inputs!$C$9),MONTH(Inputs!$C$9)+INT((($BE62+1)-1+'Rest of 2026'!$C$2)/2),MIN(DAY(Inputs!$C$9),DAY(EOMONTH(DATE(YEAR(Inputs!$C$9),MONTH(Inputs!$C$9)+INT((($BE62+1)-1+'Rest of 2026'!$C$2)/2),1),0))))+IF(MOD(($BE62+1)-1+'Rest of 2026'!$C$2,2)=1,15,0),EDATE(Inputs!$C$90,($BE62+1)-1)))))&lt;&gt;"",$B63=IF(YEAR(IF(Inputs!$C$7="Weekly",Inputs!$C$90+7*(($BE62+1)-1),IF(Inputs!$C$7="Biweekly",Inputs!$C$90+14*(($BE62+1)-1),IF(Inputs!$C$7="Semimonthly",DATE(YEAR(Inputs!$C$9),MONTH(Inputs!$C$9)+INT((($BE62+1)-1+'Rest of 2026'!$C$2)/2),MIN(DAY(Inputs!$C$9),DAY(EOMONTH(DATE(YEAR(Inputs!$C$9),MONTH(Inputs!$C$9)+INT((($BE62+1)-1+'Rest of 2026'!$C$2)/2),1),0))))+IF(MOD(($BE62+1)-1+'Rest of 2026'!$C$2,2)=1,15,0),EDATE(Inputs!$C$90,($BE62+1)-1)))))&lt;&gt;Inputs!$C$10,"",IF(Inputs!$C$7="Weekly",Inputs!$C$90+7*(($BE62+1)-1),IF(Inputs!$C$7="Biweekly",Inputs!$C$90+14*(($BE62+1)-1),IF(Inputs!$C$7="Semimonthly",DATE(YEAR(Inputs!$C$9),MONTH(Inputs!$C$9)+INT((($BE62+1)-1+'Rest of 2026'!$C$2)/2),MIN(DAY(Inputs!$C$9),DAY(EOMONTH(DATE(YEAR(Inputs!$C$9),MONTH(Inputs!$C$9)+INT((($BE62+1)-1+'Rest of 2026'!$C$2)/2),1),0))))+IF(MOD(($BE62+1)-1+'Rest of 2026'!$C$2,2)=1,15,0),EDATE(Inputs!$C$90,($BE62+1)-1)))))),1,0))</f>
      </c>
      <c r="BG63" s="7">
        <f>IF($B63="","",$BG62+$H63)</f>
      </c>
      <c r="BH63" s="7">
        <f>IF($B63="","",$BH62+$I63)</f>
      </c>
      <c r="BI63" s="7">
        <f>IF($B63="","",$BI62+$G63)</f>
      </c>
      <c r="BJ63" s="7">
        <f>IF($B63="","",IFERROR(LOOKUP(2,1/((((Events!$C$6:$C$17="Deduction start"))*(Events!$D$6:$D$17="Health FSA"))*(Events!$B$6:$B$17&lt;=$B63)*(Events!$B$6:$B$17&lt;&gt;"")),Events!$E$6:$E$17),Inputs!$D$38))</f>
      </c>
      <c r="BK63" s="7">
        <f>IF($B63="","",IFERROR(LOOKUP(2,1/((((Events!$C$6:$C$17="Deduction start"))*(Events!$D$6:$D$17="Dependent-care FSA"))*(Events!$B$6:$B$17&lt;=$B63)*(Events!$B$6:$B$17&lt;&gt;"")),Events!$E$6:$E$17),Inputs!$D$39))</f>
      </c>
      <c r="BL63" s="7">
        <f>IF($B63="","",IFERROR(LOOKUP(2,1/((((Events!$C$6:$C$17="Deduction start")+(Events!$C$6:$C$17="Deduction stop"))*(Events!$D$6:$D$17="HSA"))*(Events!$B$6:$B$17&lt;=$B63)*(Events!$B$6:$B$17&lt;&gt;"")),Events!$I$6:$I$17),Inputs!$D$35))</f>
      </c>
      <c r="BM63" s="7">
        <f>IF($B63="","",IFERROR(LOOKUP(2,1/((((Events!$C$6:$C$17="Deduction start")+(Events!$C$6:$C$17="Deduction stop"))*(Events!$D$6:$D$17="Premiums"))*(Events!$B$6:$B$17&lt;=$B63)*(Events!$B$6:$B$17&lt;&gt;"")),Events!$I$6:$I$17),Inputs!$D$40+Inputs!$D$41+Inputs!$D$42))</f>
      </c>
      <c r="BN63" s="7">
        <f>IF($B63="","",IFERROR(LOOKUP(2,1/((((Events!$C$6:$C$17="Deduction start")+(Events!$C$6:$C$17="Deduction stop"))*(Events!$D$6:$D$17="Commuter"))*(Events!$B$6:$B$17&lt;=$B63)*(Events!$B$6:$B$17&lt;&gt;"")),Events!$I$6:$I$17),Inputs!$D$43))</f>
      </c>
      <c r="BO63" s="7">
        <f>IF($B63="","",IFERROR(LOOKUP(2,1/((((Events!$C$6:$C$17="Deduction start")+(Events!$C$6:$C$17="Deduction stop"))*(Events!$D$6:$D$17="Other pre-tax"))*(Events!$B$6:$B$17&lt;=$B63)*(Events!$B$6:$B$17&lt;&gt;"")),Events!$I$6:$I$17),Inputs!$D$44))</f>
      </c>
      <c r="BP63" s="7">
        <f>IF($B63="","",IFERROR(LOOKUP(2,1/((((Events!$C$6:$C$17="Deduction start")+(Events!$C$6:$C$17="Deduction stop"))*(Events!$D$6:$D$17="Other post-tax"))*(Events!$B$6:$B$17&lt;=$B63)*(Events!$B$6:$B$17&lt;&gt;"")),Events!$I$6:$I$17),Inputs!$D$45))</f>
      </c>
      <c r="BQ63" s="6">
        <f>IF($B63="","",IFERROR(LOOKUP(2,1/((((Events!$C$6:$C$17="Deduction start")+(Events!$C$6:$C$17="Deduction stop"))*(Events!$D$6:$D$17="Health FSA"))*(Events!$B$6:$B$17&lt;=$B63)*(Events!$B$6:$B$17&lt;&gt;"")),Events!$J$6:$J$17),0))</f>
      </c>
      <c r="BR63" s="6">
        <f>IF($B63="","",IFERROR(LOOKUP(2,1/((((Events!$C$6:$C$17="Deduction start")+(Events!$C$6:$C$17="Deduction stop"))*(Events!$D$6:$D$17="Dependent-care FSA"))*(Events!$B$6:$B$17&lt;=$B63)*(Events!$B$6:$B$17&lt;&gt;"")),Events!$J$6:$J$17),0))</f>
      </c>
      <c r="BS63" s="6">
        <f>IF($B63="","",IF(SUMPRODUCT((Events!$C$6:$C$17="Deduction start")*(Events!$B$6:$B$17&lt;=$B63)*(Events!$B$6:$B$17&lt;&gt;"")*(Events!$D$6:$D$17="Health FSA"))&gt;0,1,0))</f>
      </c>
      <c r="BT63" s="6">
        <f>IF($B63="","",IF(SUMPRODUCT((Events!$C$6:$C$17="Deduction start")*(Events!$B$6:$B$17&lt;=$B63)*(Events!$B$6:$B$17&lt;&gt;"")*(Events!$D$6:$D$17="Dependent-care FSA"))&gt;0,1,0))</f>
      </c>
      <c r="BU63" s="24">
        <f>IF($B63="","",IF(Inputs!$C$13,SUMPRODUCT(($AH63&gt;=INDEX('Methodology &amp; Sources'!$B$29:$J$36,0,IF(Inputs!$C$12="MFJ",1,IF(Inputs!$C$12="HoH",7,4))))*INDEX('Methodology &amp; Sources'!$B$29:$J$36,0,IF(Inputs!$C$12="MFJ",1,IF(Inputs!$C$12="HoH",7,4))+2)),SUMPRODUCT(($AH63&gt;=INDEX('Methodology &amp; Sources'!$B$19:$J$26,0,IF(Inputs!$C$12="MFJ",1,IF(Inputs!$C$12="HoH",7,4))))*INDEX('Methodology &amp; Sources'!$B$19:$J$26,0,IF(Inputs!$C$12="MFJ",1,IF(Inputs!$C$12="HoH",7,4))+2))))</f>
      </c>
      <c r="BV63" s="24">
        <f>IF($B63="","",IF($BZ63&lt;&gt;"",$BZ63,IF($CA63&lt;&gt;"",$CA63,IF($CB63&lt;&gt;"",$CB63,IF($CC63&lt;&gt;"",$CC63,0)))))</f>
      </c>
      <c r="BW63" s="7">
        <f>IF($B63="","",IF($AN63="MD",IF(OR($AU63="Married",$AU63="Head of household"),SUMPRODUCT(($AZ63&gt;INDEX('Methodology &amp; Sources'!$B$114:$J$120,0,1))*($AZ63-INDEX('Methodology &amp; Sources'!$B$114:$J$120,0,1))*INDEX('Methodology &amp; Sources'!$B$114:$J$120,0,1+2)),SUMPRODUCT(($AZ63&gt;INDEX('Methodology &amp; Sources'!$B$103:$J$109,0,7))*($AZ63-INDEX('Methodology &amp; Sources'!$B$103:$J$109,0,7))*INDEX('Methodology &amp; Sources'!$B$103:$J$109,0,7+2))),IF($AN63="MO",SUMPRODUCT(($AZ63&gt;INDEX('Methodology &amp; Sources'!$B$125:$J$132,0,1))*($AZ63-INDEX('Methodology &amp; Sources'!$B$125:$J$132,0,1))*INDEX('Methodology &amp; Sources'!$B$125:$J$132,0,1+2)),IF($AN63="MT",IF($AU63="Head of household",SUMPRODUCT(($AZ63&gt;INDEX('Methodology &amp; Sources'!$B$137:$J$139,0,1))*($AZ63-INDEX('Methodology &amp; Sources'!$B$137:$J$139,0,1))*INDEX('Methodology &amp; Sources'!$B$137:$J$139,0,1+2)),IF($AU63="Married",SUMPRODUCT(($AZ63&gt;INDEX('Methodology &amp; Sources'!$B$125:$J$132,0,7))*($AZ63-INDEX('Methodology &amp; Sources'!$B$125:$J$132,0,7))*INDEX('Methodology &amp; Sources'!$B$125:$J$132,0,7+2)),SUMPRODUCT(($AZ63&gt;INDEX('Methodology &amp; Sources'!$B$125:$J$132,0,4))*($AZ63-INDEX('Methodology &amp; Sources'!$B$125:$J$132,0,4))*INDEX('Methodology &amp; Sources'!$B$125:$J$132,0,4+2)))),IF($AN63="ND",IF($AU63="Head of household",SUMPRODUCT(($AZ63&gt;INDEX('Methodology &amp; Sources'!$B$144:$J$150,0,1))*($AZ63-INDEX('Methodology &amp; Sources'!$B$144:$J$150,0,1))*INDEX('Methodology &amp; Sources'!$B$144:$J$150,0,1+2)),IF($AU63="Married",SUMPRODUCT(($AZ63&gt;INDEX('Methodology &amp; Sources'!$B$137:$J$139,0,7))*($AZ63-INDEX('Methodology &amp; Sources'!$B$137:$J$139,0,7))*INDEX('Methodology &amp; Sources'!$B$137:$J$139,0,7+2)),SUMPRODUCT(($AZ63&gt;INDEX('Methodology &amp; Sources'!$B$137:$J$139,0,4))*($AZ63-INDEX('Methodology &amp; Sources'!$B$137:$J$139,0,4))*INDEX('Methodology &amp; Sources'!$B$137:$J$139,0,4+2)))),IF($AN63="NJ",IF(Inputs!$C$77="B",SUMPRODUCT(($AZ63&gt;INDEX('Methodology &amp; Sources'!$B$155:$J$162,0,4))*($AZ63-INDEX('Methodology &amp; Sources'!$B$155:$J$162,0,4))*INDEX('Methodology &amp; Sources'!$B$155:$J$162,0,4+2)),IF(Inputs!$C$77="C",SUMPRODUCT(($AZ63&gt;INDEX('Methodology &amp; Sources'!$B$155:$J$162,0,7))*($AZ63-INDEX('Methodology &amp; Sources'!$B$155:$J$162,0,7))*INDEX('Methodology &amp; Sources'!$B$155:$J$162,0,7+2)),IF(Inputs!$C$77="D",SUMPRODUCT(($AZ63&gt;INDEX('Methodology &amp; Sources'!$B$167:$J$179,0,1))*($AZ63-INDEX('Methodology &amp; Sources'!$B$167:$J$179,0,1))*INDEX('Methodology &amp; Sources'!$B$167:$J$179,0,1+2)),IF(Inputs!$C$77="E",SUMPRODUCT(($AZ63&gt;INDEX('Methodology &amp; Sources'!$B$167:$J$179,0,4))*($AZ63-INDEX('Methodology &amp; Sources'!$B$167:$J$179,0,4))*INDEX('Methodology &amp; Sources'!$B$167:$J$179,0,4+2)),SUMPRODUCT(($AZ63&gt;INDEX('Methodology &amp; Sources'!$B$155:$J$162,0,1))*($AZ63-INDEX('Methodology &amp; Sources'!$B$155:$J$162,0,1))*INDEX('Methodology &amp; Sources'!$B$155:$J$162,0,1+2)))))),IF($AN63="NY",IF($AU63="Married",IF($AZ63&gt;=2155350,$AZ63*IF($AZ63&gt;25000000,0.117,IF($AZ63&gt;5000000,0.111,0.1045)),SUMPRODUCT(($AZ63&gt;INDEX('Methodology &amp; Sources'!$B$184:$J$198,0,1))*($AZ63-INDEX('Methodology &amp; Sources'!$B$184:$J$198,0,1))*INDEX('Methodology &amp; Sources'!$B$184:$J$198,0,1+2))),IF($AZ63&gt;=1077550,$AZ63*IF($AZ63&gt;25000000,0.117,IF($AZ63&gt;5000000,0.111,0.1045)),SUMPRODUCT(($AZ63&gt;INDEX('Methodology &amp; Sources'!$B$167:$J$179,0,7))*($AZ63-INDEX('Methodology &amp; Sources'!$B$167:$J$179,0,7))*INDEX('Methodology &amp; Sources'!$B$167:$J$179,0,7+2)))),"")))))))</f>
      </c>
      <c r="BX63" s="7">
        <f>IF($B63="","",IF($AN63="AL",IF(OR($AU63="Married",$AU63="Head of household"),SUMPRODUCT(($AZ63&gt;INDEX('Methodology &amp; Sources'!$B$82:$J$86,0,4))*($AZ63-INDEX('Methodology &amp; Sources'!$B$82:$J$86,0,4))*INDEX('Methodology &amp; Sources'!$B$82:$J$86,0,4+2)),SUMPRODUCT(($AZ63&gt;INDEX('Methodology &amp; Sources'!$B$82:$J$86,0,1))*($AZ63-INDEX('Methodology &amp; Sources'!$B$82:$J$86,0,1))*INDEX('Methodology &amp; Sources'!$B$82:$J$86,0,1+2))),IF($AN63="KS",IF($AU63="Married",SUMPRODUCT(($AZ63&gt;INDEX('Methodology &amp; Sources'!$B$103:$J$109,0,4))*($AZ63-INDEX('Methodology &amp; Sources'!$B$103:$J$109,0,4))*INDEX('Methodology &amp; Sources'!$B$103:$J$109,0,4+2)),SUMPRODUCT(($AZ63&gt;INDEX('Methodology &amp; Sources'!$B$103:$J$109,0,1))*($AZ63-INDEX('Methodology &amp; Sources'!$B$103:$J$109,0,1))*INDEX('Methodology &amp; Sources'!$B$103:$J$109,0,1+2))),IF($AN63="MN",IF($AU63="Married",SUMPRODUCT(($AZ63&gt;INDEX('Methodology &amp; Sources'!$B$114:$J$120,0,7))*($AZ63-INDEX('Methodology &amp; Sources'!$B$114:$J$120,0,7))*INDEX('Methodology &amp; Sources'!$B$114:$J$120,0,7+2)),SUMPRODUCT(($AZ63&gt;INDEX('Methodology &amp; Sources'!$B$114:$J$120,0,4))*($AZ63-INDEX('Methodology &amp; Sources'!$B$114:$J$120,0,4))*INDEX('Methodology &amp; Sources'!$B$114:$J$120,0,4+2))),IF($AN63="NE",MAX(IF($AU63="Married",SUMPRODUCT(($AZ63&gt;INDEX('Methodology &amp; Sources'!$B$144:$J$150,0,7))*($AZ63-INDEX('Methodology &amp; Sources'!$B$144:$J$150,0,7))*INDEX('Methodology &amp; Sources'!$B$144:$J$150,0,7+2)),SUMPRODUCT(($AZ63&gt;INDEX('Methodology &amp; Sources'!$B$144:$J$150,0,4))*($AZ63-INDEX('Methodology &amp; Sources'!$B$144:$J$150,0,4))*INDEX('Methodology &amp; Sources'!$B$144:$J$150,0,4+2))),0.015*$AZ63),IF($AN63="OH",IF($B63&gt;=DATE(2027,8,1),SUMPRODUCT(($AZ63&gt;INDEX('Methodology &amp; Sources'!$B$203:$J$206,0,1))*($AZ63-INDEX('Methodology &amp; Sources'!$B$203:$J$206,0,1))*INDEX('Methodology &amp; Sources'!$B$203:$J$206,0,1+2)),SUMPRODUCT(($AZ63&gt;INDEX('Methodology &amp; Sources'!$B$184:$J$198,0,7))*($AZ63-INDEX('Methodology &amp; Sources'!$B$184:$J$198,0,7))*INDEX('Methodology &amp; Sources'!$B$184:$J$198,0,7+2))),IF($AN63="OK",IF($AU63="Married",SUMPRODUCT(($AZ63&gt;INDEX('Methodology &amp; Sources'!$B$203:$J$206,0,7))*($AZ63-INDEX('Methodology &amp; Sources'!$B$203:$J$206,0,7))*INDEX('Methodology &amp; Sources'!$B$203:$J$206,0,7+2)),SUMPRODUCT(($AZ63&gt;INDEX('Methodology &amp; Sources'!$B$203:$J$206,0,4))*($AZ63-INDEX('Methodology &amp; Sources'!$B$203:$J$206,0,4))*INDEX('Methodology &amp; Sources'!$B$203:$J$206,0,4+2))),IF($AN63="RI",SUMPRODUCT(($AZ63&gt;INDEX('Methodology &amp; Sources'!$B$211:$J$214,0,7))*($AZ63-INDEX('Methodology &amp; Sources'!$B$211:$J$214,0,7))*INDEX('Methodology &amp; Sources'!$B$211:$J$214,0,7+2)),IF($AN63="VT",IF($AU63="Married",SUMPRODUCT(($AZ63&gt;INDEX('Methodology &amp; Sources'!$B$228:$J$232,0,1))*($AZ63-INDEX('Methodology &amp; Sources'!$B$228:$J$232,0,1))*INDEX('Methodology &amp; Sources'!$B$228:$J$232,0,1+2)),SUMPRODUCT(($AZ63&gt;INDEX('Methodology &amp; Sources'!$B$219:$J$223,0,7))*($AZ63-INDEX('Methodology &amp; Sources'!$B$219:$J$223,0,7))*INDEX('Methodology &amp; Sources'!$B$219:$J$223,0,7+2))),IF($AN63="WV",IF($AU63="Married",SUMPRODUCT(($AZ63&gt;INDEX('Methodology &amp; Sources'!$B$237:$J$241,0,7))*($AZ63-INDEX('Methodology &amp; Sources'!$B$237:$J$241,0,7))*INDEX('Methodology &amp; Sources'!$B$237:$J$241,0,7+2)),SUMPRODUCT(($AZ63&gt;INDEX('Methodology &amp; Sources'!$B$228:$J$232,0,7))*($AZ63-INDEX('Methodology &amp; Sources'!$B$228:$J$232,0,7))*INDEX('Methodology &amp; Sources'!$B$228:$J$232,0,7+2))),""))))))))))</f>
      </c>
      <c r="BY63" s="7">
        <f>IF($B63="","",IF($AN63="AR",SUMPRODUCT(($AZ63&gt;INDEX('Methodology &amp; Sources'!$B$82:$J$86,0,7))*($AZ63-INDEX('Methodology &amp; Sources'!$B$82:$J$86,0,7))*INDEX('Methodology &amp; Sources'!$B$82:$J$86,0,7+2)),IF($AN63="DE",SUMPRODUCT(($AZ63&gt;INDEX('Methodology &amp; Sources'!$B$91:$J$98,0,1))*($AZ63-INDEX('Methodology &amp; Sources'!$B$91:$J$98,0,1))*INDEX('Methodology &amp; Sources'!$B$91:$J$98,0,1+2)),IF($AN63="HI",IF($AU63="Married",SUMPRODUCT(($AZ63&gt;INDEX('Methodology &amp; Sources'!$B$91:$J$98,0,7))*($AZ63-INDEX('Methodology &amp; Sources'!$B$91:$J$98,0,7))*INDEX('Methodology &amp; Sources'!$B$91:$J$98,0,7+2)),SUMPRODUCT(($AZ63&gt;INDEX('Methodology &amp; Sources'!$B$91:$J$98,0,4))*($AZ63-INDEX('Methodology &amp; Sources'!$B$91:$J$98,0,4))*INDEX('Methodology &amp; Sources'!$B$91:$J$98,0,4+2))),IF($AN63="SC",SUMPRODUCT(($AZ63&gt;INDEX('Methodology &amp; Sources'!$B$219:$J$223,0,1))*($AZ63-INDEX('Methodology &amp; Sources'!$B$219:$J$223,0,1))*INDEX('Methodology &amp; Sources'!$B$219:$J$223,0,1+2)),IF($AN63="VA",SUMPRODUCT(($AZ63&gt;INDEX('Methodology &amp; Sources'!$B$219:$J$223,0,4))*($AZ63-INDEX('Methodology &amp; Sources'!$B$219:$J$223,0,4))*INDEX('Methodology &amp; Sources'!$B$219:$J$223,0,4+2)),IF($AN63="WI",SUMPRODUCT(($AZ63&gt;INDEX('Methodology &amp; Sources'!$B$228:$J$232,0,4))*($AZ63-INDEX('Methodology &amp; Sources'!$B$228:$J$232,0,4))*INDEX('Methodology &amp; Sources'!$B$228:$J$232,0,4+2)),"")))))))</f>
      </c>
      <c r="BZ63" s="24">
        <f>IF($B63="","",IF($AN63="NJ",IF(Inputs!$C$77="B",SUMPRODUCT(($AZ63&gt;=INDEX('Methodology &amp; Sources'!$B$155:$J$162,0,4))*INDEX('Methodology &amp; Sources'!$B$155:$J$162,0,4+2)),IF(Inputs!$C$77="C",SUMPRODUCT(($AZ63&gt;=INDEX('Methodology &amp; Sources'!$B$155:$J$162,0,7))*INDEX('Methodology &amp; Sources'!$B$155:$J$162,0,7+2)),IF(Inputs!$C$77="D",SUMPRODUCT(($AZ63&gt;=INDEX('Methodology &amp; Sources'!$B$167:$J$179,0,1))*INDEX('Methodology &amp; Sources'!$B$167:$J$179,0,1+2)),IF(Inputs!$C$77="E",SUMPRODUCT(($AZ63&gt;=INDEX('Methodology &amp; Sources'!$B$167:$J$179,0,4))*INDEX('Methodology &amp; Sources'!$B$167:$J$179,0,4+2)),SUMPRODUCT(($AZ63&gt;=INDEX('Methodology &amp; Sources'!$B$155:$J$162,0,1))*INDEX('Methodology &amp; Sources'!$B$155:$J$162,0,1+2)))))),IF($AN63="OR",IF(OR($AU63="Married",AND($AU63="Single",$AS63&gt;=3)),SUMPRODUCT((MAX(0,$AY63-MIN(($P63-'Methodology &amp; Sources'!$C$10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Sources'!$B$211:$J$214,0,4))*INDEX('Methodology &amp; Sources'!$B$211:$J$214,0,4+2)),SUMPRODUCT((MAX(0,$AY63-MIN(($P63-'Methodology &amp; Sources'!$C$10*$D63)*Inputs!$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Sources'!$B$211:$J$214,0,1))*INDEX('Methodology &amp; Sources'!$B$211:$J$214,0,1+2)))*IF(($P63-'Methodology &amp; Sources'!$C$10*$D63)*Inputs!$C$8&gt;=IF(OR($AU63="Married",AND($AU63="Single",$AS63&gt;=3)),IF($AY63&lt;250000,8750,IF($AY63&lt;260000,7000,IF($AY63&lt;270000,5250,IF($AY63&lt;280000,3500,IF($AY63&lt;290000,1750,0))))),IF($AY63&lt;125000,8750,IF($AY63&lt;130000,7000,IF($AY63&lt;135000,5250,IF($AY63&lt;140000,3500,IF($AY63&lt;145000,1750,0)))))),1,1-IF(Inputs!$C$13,SUMPRODUCT(($AH63&gt;=INDEX('Methodology &amp; Sources'!$B$29:$J$36,0,IF(Inputs!$C$12="MFJ",1,IF(Inputs!$C$12="HoH",7,4))))*INDEX('Methodology &amp; Sources'!$B$29:$J$36,0,IF(Inputs!$C$12="MFJ",1,IF(Inputs!$C$12="HoH",7,4))+2)),SUMPRODUCT(($AH63&gt;=INDEX('Methodology &amp; Sources'!$B$19:$J$26,0,IF(Inputs!$C$12="MFJ",1,IF(Inputs!$C$12="HoH",7,4))))*INDEX('Methodology &amp; Sources'!$B$19:$J$26,0,IF(Inputs!$C$12="MFJ",1,IF(Inputs!$C$12="HoH",7,4))+2)))),IF($AN63="MI",IF($AY63&gt;5900*$AS63,0.0425,0),""))))</f>
      </c>
      <c r="CA63" s="24">
        <f>IF($B63="","",IF($AN63="AL",IF(OR($AU63="Married",$AU63="Head of household"),SUMPRODUCT(($AZ63&gt;=INDEX('Methodology &amp; Sources'!$B$82:$J$86,0,4))*INDEX('Methodology &amp; Sources'!$B$82:$J$86,0,4+2)),SUMPRODUCT(($AZ63&gt;=INDEX('Methodology &amp; Sources'!$B$82:$J$86,0,1))*INDEX('Methodology &amp; Sources'!$B$82:$J$86,0,1+2)))*(1-IF(Inputs!$C$13,SUMPRODUCT(($AH63&gt;=INDEX('Methodology &amp; Sources'!$B$29:$J$36,0,IF(Inputs!$C$12="MFJ",1,IF(Inputs!$C$12="HoH",7,4))))*INDEX('Methodology &amp; Sources'!$B$29:$J$36,0,IF(Inputs!$C$12="MFJ",1,IF(Inputs!$C$12="HoH",7,4))+2)),SUMPRODUCT(($AH63&gt;=INDEX('Methodology &amp; Sources'!$B$19:$J$26,0,IF(Inputs!$C$12="MFJ",1,IF(Inputs!$C$12="HoH",7,4))))*INDEX('Methodology &amp; Sources'!$B$19:$J$26,0,IF(Inputs!$C$12="MFJ",1,IF(Inputs!$C$12="HoH",7,4))+2)))),IF($AN63="KS",IF($AU63="Married",SUMPRODUCT(($AZ63&gt;=INDEX('Methodology &amp; Sources'!$B$103:$J$109,0,4))*INDEX('Methodology &amp; Sources'!$B$103:$J$109,0,4+2)),SUMPRODUCT(($AZ63&gt;=INDEX('Methodology &amp; Sources'!$B$103:$J$109,0,1))*INDEX('Methodology &amp; Sources'!$B$103:$J$109,0,1+2))),IF($AN63="MD",IF(OR($AU63="Married",$AU63="Head of household"),SUMPRODUCT(($AZ63&gt;=INDEX('Methodology &amp; Sources'!$B$114:$J$120,0,1))*INDEX('Methodology &amp; Sources'!$B$114:$J$120,0,1+2)),SUMPRODUCT(($AZ63&gt;=INDEX('Methodology &amp; Sources'!$B$103:$J$109,0,7))*INDEX('Methodology &amp; Sources'!$B$103:$J$109,0,7+2)))+Inputs!$C$74,IF($AN63="MT",IF($AU63="Head of household",SUMPRODUCT(($AZ63&gt;=INDEX('Methodology &amp; Sources'!$B$137:$J$139,0,1))*INDEX('Methodology &amp; Sources'!$B$137:$J$139,0,1+2)),IF($AU63="Married",SUMPRODUCT(($AZ63&gt;=INDEX('Methodology &amp; Sources'!$B$125:$J$132,0,7))*INDEX('Methodology &amp; Sources'!$B$125:$J$132,0,7+2)),SUMPRODUCT(($AZ63&gt;=INDEX('Methodology &amp; Sources'!$B$125:$J$132,0,4))*INDEX('Methodology &amp; Sources'!$B$125:$J$132,0,4+2)))),IF($AN63="ND",IF($AU63="Head of household",SUMPRODUCT(($AZ63&gt;=INDEX('Methodology &amp; Sources'!$B$144:$J$150,0,1))*INDEX('Methodology &amp; Sources'!$B$144:$J$150,0,1+2)),IF($AU63="Married",SUMPRODUCT(($AZ63&gt;=INDEX('Methodology &amp; Sources'!$B$137:$J$139,0,7))*INDEX('Methodology &amp; Sources'!$B$137:$J$139,0,7+2)),SUMPRODUCT(($AZ63&gt;=INDEX('Methodology &amp; Sources'!$B$137:$J$139,0,4))*INDEX('Methodology &amp; Sources'!$B$137:$J$139,0,4+2)))),IF($AN63="NY",IF($AU63="Married",IF($AZ63&gt;=2155350,IF($AZ63&gt;25000000,0.117,IF($AZ63&gt;5000000,0.111,0.1045)),SUMPRODUCT(($AZ63&gt;=INDEX('Methodology &amp; Sources'!$B$184:$J$198,0,1))*INDEX('Methodology &amp; Sources'!$B$184:$J$198,0,1+2))),IF($AZ63&gt;=1077550,IF($AZ63&gt;25000000,0.117,IF($AZ63&gt;5000000,0.111,0.1045)),SUMPRODUCT(($AZ63&gt;=INDEX('Methodology &amp; Sources'!$B$167:$J$179,0,7))*INDEX('Methodology &amp; Sources'!$B$167:$J$179,0,7+2)))),"")))))))</f>
      </c>
      <c r="CB63" s="24">
        <f>IF($B63="","",IF($AN63="CA",SUMPRODUCT(($AJ63&gt;=INDEX('Methodology &amp; Sources'!$B$39:$J$48,0,IF($AU63="Married",4,IF($AU63="Head of household",7,1))))*INDEX('Methodology &amp; Sources'!$B$39:$J$48,0,IF($AU63="Married",4,IF($AU63="Head of household",7,1))+2)),IF($AN63="HI",IF($AU63="Married",SUMPRODUCT(($AZ63&gt;=INDEX('Methodology &amp; Sources'!$B$91:$J$98,0,7))*INDEX('Methodology &amp; Sources'!$B$91:$J$98,0,7+2)),SUMPRODUCT(($AZ63&gt;=INDEX('Methodology &amp; Sources'!$B$91:$J$98,0,4))*INDEX('Methodology &amp; Sources'!$B$91:$J$98,0,4+2))),IF($AN63="MN",IF($AU63="Married",SUMPRODUCT(($AZ63&gt;=INDEX('Methodology &amp; Sources'!$B$114:$J$120,0,7))*INDEX('Methodology &amp; Sources'!$B$114:$J$120,0,7+2)),SUMPRODUCT(($AZ63&gt;=INDEX('Methodology &amp; Sources'!$B$114:$J$120,0,4))*INDEX('Methodology &amp; Sources'!$B$114:$J$120,0,4+2))),IF($AN63="MO",SUMPRODUCT(($AZ63&gt;=INDEX('Methodology &amp; Sources'!$B$125:$J$132,0,1))*INDEX('Methodology &amp; Sources'!$B$125:$J$132,0,1+2)),IF($AN63="NE",MAX(IF($AU63="Married",SUMPRODUCT(($AZ63&gt;=INDEX('Methodology &amp; Sources'!$B$144:$J$150,0,7))*INDEX('Methodology &amp; Sources'!$B$144:$J$150,0,7+2)),SUMPRODUCT(($AZ63&gt;=INDEX('Methodology &amp; Sources'!$B$144:$J$150,0,4))*INDEX('Methodology &amp; Sources'!$B$144:$J$150,0,4+2))),0.015),IF($AN63="OH",IF($B63&gt;=DATE(2027,8,1),SUMPRODUCT(($AZ63&gt;=INDEX('Methodology &amp; Sources'!$B$203:$J$206,0,1))*INDEX('Methodology &amp; Sources'!$B$203:$J$206,0,1+2)),SUMPRODUCT(($AZ63&gt;=INDEX('Methodology &amp; Sources'!$B$184:$J$198,0,7))*INDEX('Methodology &amp; Sources'!$B$184:$J$198,0,7+2))),IF($AN63="OK",IF($AU63="Married",SUMPRODUCT(($AZ63&gt;=INDEX('Methodology &amp; Sources'!$B$203:$J$206,0,7))*INDEX('Methodology &amp; Sources'!$B$203:$J$206,0,7+2)),SUMPRODUCT(($AZ63&gt;=INDEX('Methodology &amp; Sources'!$B$203:$J$206,0,4))*INDEX('Methodology &amp; Sources'!$B$203:$J$206,0,4+2))),IF($AN63="RI",SUMPRODUCT(($AZ63&gt;=INDEX('Methodology &amp; Sources'!$B$211:$J$214,0,7))*INDEX('Methodology &amp; Sources'!$B$211:$J$214,0,7+2)),IF($AN63="SC",SUMPRODUCT(($AZ63&gt;=INDEX('Methodology &amp; Sources'!$B$219:$J$223,0,1))*INDEX('Methodology &amp; Sources'!$B$219:$J$223,0,1+2)),IF($AN63="VT",IF($AU63="Married",SUMPRODUCT(($AZ63&gt;=INDEX('Methodology &amp; Sources'!$B$228:$J$232,0,1))*INDEX('Methodology &amp; Sources'!$B$228:$J$232,0,1+2)),SUMPRODUCT(($AZ63&gt;=INDEX('Methodology &amp; Sources'!$B$219:$J$223,0,7))*INDEX('Methodology &amp; Sources'!$B$219:$J$223,0,7+2))),IF($AN63="WV",IF($AU63="Married",SUMPRODUCT(($AZ63&gt;=INDEX('Methodology &amp; Sources'!$B$237:$J$241,0,7))*INDEX('Methodology &amp; Sources'!$B$237:$J$241,0,7+2)),SUMPRODUCT(($AZ63&gt;=INDEX('Methodology &amp; Sources'!$B$228:$J$232,0,7))*INDEX('Methodology &amp; Sources'!$B$228:$J$232,0,7+2))),IF($AN63="IN",(0.0295+Inputs!$C$76),"")))))))))))))</f>
      </c>
      <c r="CC63" s="24">
        <f>IF($B63="","",IF($AN63="AR",SUMPRODUCT(($AZ63&gt;=INDEX('Methodology &amp; Sources'!$B$82:$J$86,0,7))*INDEX('Methodology &amp; Sources'!$B$82:$J$86,0,7+2)),IF($AN63="DE",SUMPRODUCT(($AZ63&gt;=INDEX('Methodology &amp; Sources'!$B$91:$J$98,0,1))*INDEX('Methodology &amp; Sources'!$B$91:$J$98,0,1+2)),IF($AN63="VA",SUMPRODUCT(($AZ63&gt;=INDEX('Methodology &amp; Sources'!$B$219:$J$223,0,4))*INDEX('Methodology &amp; Sources'!$B$219:$J$223,0,4+2)),IF($AN63="WI",SUMPRODUCT(($AZ63&gt;=INDEX('Methodology &amp; Sources'!$B$228:$J$232,0,4))*INDEX('Methodology &amp; Sources'!$B$228:$J$232,0,4+2)),IF($AN63="AZ",Inputs!$C$82,IF($AN63="CO",IF($AY63&gt;IF($AU63="Married",10000,5000),0.044,0),IF($AN63="IA",IF($AY63&gt;IF($AU63="Head of household",19500,IF($AU63="Married",26000,13000)),0.038,0),IF($AN63="ID",IF($AY63&gt;IF($AU63="Married",32000,16094),0.053,0),IF($AN63="IL",IF($AY63&gt;(2925*$AS63+1000*$AT63),0.0495,0),IF($AN63="KY",IF($AI63&gt;3360,0.035,0),IF($AN63="LA",0.0309,IF($AN63="MA",IF(MAX(0,$AY63-MIN(($BD62+$Q63+$R63+$S63),2000)-IF($AS63=0,0,IF($AS63=1,4400,1000*$AS63+3400)))&gt;=1107750,0.09,0.05),IF($AN63="MS",IF($AI63-IF($AU63="Head of household",3400,IF($AU63="Married",4600,2300))-Inputs!$C$85&gt;10000,0.04,0),IF($AN63="PA",0.0307,"")))))))))))))))</f>
      </c>
      <c r="CD63" s="21">
        <f>IF(YEAR(IF(Inputs!$C$7="Weekly",Inputs!$C$90+7*(($BE62+1)-1),IF(Inputs!$C$7="Biweekly",Inputs!$C$90+14*(($BE62+1)-1),IF(Inputs!$C$7="Semimonthly",DATE(YEAR(Inputs!$C$9),MONTH(Inputs!$C$9)+INT((($BE62+1)-1+'Rest of 2026'!$C$2)/2),MIN(DAY(Inputs!$C$9),DAY(EOMONTH(DATE(YEAR(Inputs!$C$9),MONTH(Inputs!$C$9)+INT((($BE62+1)-1+'Rest of 2026'!$C$2)/2),1),0))))+IF(MOD(($BE62+1)-1+'Rest of 2026'!$C$2,2)=1,15,0),EDATE(Inputs!$C$90,($BE62+1)-1)))))&lt;&gt;Inputs!$C$10,"",IF(Inputs!$C$7="Weekly",Inputs!$C$90+7*(($BE62+1)-1),IF(Inputs!$C$7="Biweekly",Inputs!$C$90+14*(($BE62+1)-1),IF(Inputs!$C$7="Semimonthly",DATE(YEAR(Inputs!$C$9),MONTH(Inputs!$C$9)+INT((($BE62+1)-1+'Rest of 2026'!$C$2)/2),MIN(DAY(Inputs!$C$9),DAY(EOMONTH(DATE(YEAR(Inputs!$C$9),MONTH(Inputs!$C$9)+INT((($BE62+1)-1+'Rest of 2026'!$C$2)/2),1),0))))+IF(MOD(($BE62+1)-1+'Rest of 2026'!$C$2,2)=1,15,0),EDATE(Inputs!$C$90,($BE62+1)-1)))))</f>
      </c>
      <c r="CE63" s="21">
        <f>IF(SUMPRODUCT(MIN(IF((Inputs!$C$58:$C$67&gt;MAX($B$6:$B62))*(Inputs!$C$58:$C$67&gt;=DATE(Inputs!$C$10,1,1))*(Inputs!$C$58:$C$67&lt;=DATE(Inputs!$C$10,12,31)),Inputs!$C$58:$C$67,999999)))=999999,"",SUMPRODUCT(MIN(IF((Inputs!$C$58:$C$67&gt;MAX($B$6:$B62))*(Inputs!$C$58:$C$67&gt;=DATE(Inputs!$C$10,1,1))*(Inputs!$C$58:$C$67&lt;=DATE(Inputs!$C$10,12,31)),Inputs!$C$58:$C$67,999999))))</f>
      </c>
    </row>
    <row r="64">
      <c r="A64" t="n">
        <v>59</v>
      </c>
      <c r="B64" s="21">
        <f>IF(AND($CD64="",$CE64=""),"",IF($CE64="",$CD64,IF($CD64="",$CE64,MIN($CD64,$CE64))))</f>
      </c>
      <c r="C64" s="7">
        <f>IF($B64="","",IF($BF64=0,0,IF(Inputs!$C$4="Annual salary",ROUND($AK64/IF(AND(Inputs!$C$88="Actual paydays",MONTH(Inputs!$C$90)=1),MAX(1,MAX($BE$6:$BE$68)),Inputs!$C$8),2),$AK64)))</f>
      </c>
      <c r="D64" s="7">
        <f>IF($B64="","",SUMIF(Inputs!$C$58:$C$67,$B64,Inputs!$D$58:$D$67))</f>
      </c>
      <c r="E64" s="7">
        <f>IF($B64="","",ROUND(MAX(0,MIN(IF($AL64="Percent",$AM64*($C64+$D64),$AM64),MAX(0,Inputs!$C$34-$AC63))),2))</f>
      </c>
      <c r="F64" s="7">
        <f>IF($B64="","",ROUND(MAX(0,MIN(IF(Inputs!$C$32="Percent",Inputs!$D$32*($C64+$D64),Inputs!$D$32),MAX(0,Inputs!$C$34-$AC63-$E64))),2))</f>
      </c>
      <c r="G64" s="7">
        <f>IF($B64="","",IF($BF64=0,0,ROUND(MAX(0,MIN($BL64,Inputs!$C$37-Inputs!$C$99-$BI63)),2)))</f>
      </c>
      <c r="H64" s="7">
        <f>IF($B64="","",IF(OR($BF64=0,$BQ64=1),0,ROUND(MAX(0,MIN(IF($BS64=1,ROUND(MAX(0,MIN($BJ64,'Methodology &amp; Sources'!$C$13)-$BG63)/MAX(1,MAX($BE$6:$BE$68)-($BE63)),2),ROUND(MIN($BJ64,'Methodology &amp; Sources'!$C$13)/Inputs!$C$8,2)),MIN($BJ64,'Methodology &amp; Sources'!$C$13)-$BG63)),2)))</f>
      </c>
      <c r="I64" s="7">
        <f>IF($B64="","",IF(OR($BF64=0,$BR64=1),0,ROUND(MAX(0,MIN(IF($BT64=1,ROUND(MAX(0,MIN($BK64,IF(Inputs!$C$12="MFJ",'Methodology &amp; Sources'!$C$14,'Methodology &amp; Sources'!$C$15))-$BH63)/MAX(1,MAX($BE$6:$BE$68)-($BE63)),2),ROUND(MIN($BK64,IF(Inputs!$C$12="MFJ",'Methodology &amp; Sources'!$C$14,'Methodology &amp; Sources'!$C$15))/Inputs!$C$8,2)),MIN($BK64,IF(Inputs!$C$12="MFJ",'Methodology &amp; Sources'!$C$14,'Methodology &amp; Sources'!$C$15))-$BH63)),2)))</f>
      </c>
      <c r="J64" s="7">
        <f>IF($B64="","",IF($BF64=0,0,$BM64))</f>
      </c>
      <c r="K64" s="7">
        <f>IF($B64="","",IF($BF64=0,0,$BN64+$BO64))</f>
      </c>
      <c r="L64" s="7">
        <f>IF($B64="","",IF($BF64=0,0,Inputs!$D$46))</f>
      </c>
      <c r="M64" s="7">
        <f>IF($B64="","",$C64+$D64+$L64-$E64-$G64-$H64-$I64-$J64-$K64)</f>
      </c>
      <c r="N64" s="7">
        <f>IF($B64="","",$C64+$D64+$L64-$G64-$H64-$I64-$J64-$K64)</f>
      </c>
      <c r="O64" s="7">
        <f>IF($B64="","",$C64+$D64+$L64-$E64-$H64-$I64-$J64-$K64-IF(OR($AN64="CA",$AN64="NJ"),0,$G64))</f>
      </c>
      <c r="P64" s="7">
        <f>IF($B64="","",IF(Inputs!$C$18,0,ROUND(MAX(0,IF(Inputs!$C$13,SUMPRODUCT(($AH64&gt;INDEX('Methodology &amp; Sources'!$B$29:$J$36,0,IF(Inputs!$C$12="MFJ",1,IF(Inputs!$C$12="HoH",7,4))))*($AH64-INDEX('Methodology &amp; Sources'!$B$29:$J$36,0,IF(Inputs!$C$12="MFJ",1,IF(Inputs!$C$12="HoH",7,4))))*INDEX('Methodology &amp; Sources'!$B$29:$J$36,0,IF(Inputs!$C$12="MFJ",1,IF(Inputs!$C$12="HoH",7,4))+2)),SUMPRODUCT(($AH64&gt;INDEX('Methodology &amp; Sources'!$B$19:$J$26,0,IF(Inputs!$C$12="MFJ",1,IF(Inputs!$C$12="HoH",7,4))))*($AH64-INDEX('Methodology &amp; Sources'!$B$19:$J$26,0,IF(Inputs!$C$12="MFJ",1,IF(Inputs!$C$12="HoH",7,4))))*INDEX('Methodology &amp; Sources'!$B$19:$J$26,0,IF(Inputs!$C$12="MFJ",1,IF(Inputs!$C$12="HoH",7,4))+2)))/Inputs!$C$8-$AO64/Inputs!$C$8)+$AR64+IF(Inputs!$C$89="Aggregate",MAX(0,IF(Inputs!$C$13,SUMPRODUCT((($AH64+$D64)&gt;INDEX('Methodology &amp; Sources'!$B$29:$J$36,0,IF(Inputs!$C$12="MFJ",1,IF(Inputs!$C$12="HoH",7,4))))*(($AH64+$D64)-INDEX('Methodology &amp; Sources'!$B$29:$J$36,0,IF(Inputs!$C$12="MFJ",1,IF(Inputs!$C$12="HoH",7,4))))*INDEX('Methodology &amp; Sources'!$B$29:$J$36,0,IF(Inputs!$C$12="MFJ",1,IF(Inputs!$C$12="HoH",7,4))+2)),SUMPRODUCT((($AH64+$D64)&gt;INDEX('Methodology &amp; Sources'!$B$19:$J$26,0,IF(Inputs!$C$12="MFJ",1,IF(Inputs!$C$12="HoH",7,4))))*(($AH64+$D64)-INDEX('Methodology &amp; Sources'!$B$19:$J$26,0,IF(Inputs!$C$12="MFJ",1,IF(Inputs!$C$12="HoH",7,4))))*INDEX('Methodology &amp; Sources'!$B$19:$J$26,0,IF(Inputs!$C$12="MFJ",1,IF(Inputs!$C$12="HoH",7,4))+2)))-IF(Inputs!$C$13,SUMPRODUCT(($AH64&gt;INDEX('Methodology &amp; Sources'!$B$29:$J$36,0,IF(Inputs!$C$12="MFJ",1,IF(Inputs!$C$12="HoH",7,4))))*($AH64-INDEX('Methodology &amp; Sources'!$B$29:$J$36,0,IF(Inputs!$C$12="MFJ",1,IF(Inputs!$C$12="HoH",7,4))))*INDEX('Methodology &amp; Sources'!$B$29:$J$36,0,IF(Inputs!$C$12="MFJ",1,IF(Inputs!$C$12="HoH",7,4))+2)),SUMPRODUCT(($AH64&gt;INDEX('Methodology &amp; Sources'!$B$19:$J$26,0,IF(Inputs!$C$12="MFJ",1,IF(Inputs!$C$12="HoH",7,4))))*($AH64-INDEX('Methodology &amp; Sources'!$B$19:$J$26,0,IF(Inputs!$C$12="MFJ",1,IF(Inputs!$C$12="HoH",7,4))))*INDEX('Methodology &amp; Sources'!$B$19:$J$26,0,IF(Inputs!$C$12="MFJ",1,IF(Inputs!$C$12="HoH",7,4))+2)))),'Methodology &amp; Sources'!$C$10*$D64),2)))</f>
      </c>
      <c r="Q64" s="7">
        <f>IF($B64="","",ROUND('Methodology &amp; Sources'!$C$4*MIN($N64,MAX(0,'Methodology &amp; Sources'!$C$3-($AX64+$AB63-$AW64))),2))</f>
      </c>
      <c r="R64" s="7">
        <f>IF($B64="","",ROUND('Methodology &amp; Sources'!$C$5*$N64,2))</f>
      </c>
      <c r="S64" s="7">
        <f>IF($B64="","",ROUND('Methodology &amp; Sources'!$C$6*MAX(0,MIN($N64,$AG63+$N64-'Methodology &amp; Sources'!$C$7)),2))</f>
      </c>
      <c r="T64" s="7">
        <f>IF($B64="","",IF(Inputs!$C$26,0,IF($AN64="CA",ROUND(IF($AI64&lt;=IF(($AS64+$AT64)&gt;=2,VLOOKUP($AN64,StateTables!$A$6:$AB$56,10,FALSE),VLOOKUP($AN64,StateTables!$A$6:$AB$56,9,FALSE)),0,MAX(0,SUMPRODUCT(($AJ64&gt;INDEX('Methodology &amp; Sources'!$B$39:$J$48,0,IF($AU64="Married",4,IF($AU64="Head of household",7,1))))*($AJ64-INDEX('Methodology &amp; Sources'!$B$39:$J$48,0,IF($AU64="Married",4,IF($AU64="Head of household",7,1))))*INDEX('Methodology &amp; Sources'!$B$39:$J$48,0,IF($AU64="Married",4,IF($AU64="Head of household",7,1))+2))-VLOOKUP($AN64,StateTables!$A$6:$AB$56,11,FALSE)*$AS64)/Inputs!$C$8)+Inputs!$C$25+VLOOKUP($AN64,StateTables!$A$6:$AB$56,13,FALSE)*$D64,2),IF(VLOOKUP($AN64,StateTables!$A$6:$AB$56,4,FALSE)="None",0,IF(ISNUMBER(SEARCH("MANUAL",VLOOKUP($AN64,StateTables!$A$6:$AB$56,5,FALSE))),Inputs!$C$28,ROUND(MAX(0,$BA64+$BB64)/Inputs!$C$8+Inputs!$C$25+$BC64,2))))))</f>
      </c>
      <c r="U64" s="7">
        <f>IF($B64="","",IF(VLOOKUP($AN64,StateTables!$A$6:$AB$56,24,FALSE)="flatq",IF(OR(MONTH($B64)=1,MONTH($B64)=4,MONTH($B64)=7,MONTH($B64)=10),VLOOKUP($AN64,StateTables!$A$6:$AB$56,25,FALSE),0),IF(VLOOKUP($AN64,StateTables!$A$6:$AB$56,24,FALSE)="dbl",MIN(ROUND(0.005*$N64,2),ROUND(0.6*52/Inputs!$C$8,2)),IF(OR(VLOOKUP($AN64,StateTables!$A$6:$AB$56,15,FALSE)="",VLOOKUP($AN64,StateTables!$A$6:$AB$56,15,FALSE)=0),0,ROUND(VLOOKUP($AN64,StateTables!$A$6:$AB$56,15,FALSE)*IF(OR(VLOOKUP($AN64,StateTables!$A$6:$AB$56,16,FALSE)="",VLOOKUP($AN64,StateTables!$A$6:$AB$56,16,FALSE)=0),$N64,MIN($N64,MAX(0,VLOOKUP($AN64,StateTables!$A$6:$AB$56,16,FALSE)-($AX64+$AB63-$AW64)))),2))))+IF(VLOOKUP($AN64,StateTables!$A$6:$AB$56,27,FALSE)="flatq",IF(OR(MONTH($B64)=1,MONTH($B64)=4,MONTH($B64)=7,MONTH($B64)=10),VLOOKUP($AN64,StateTables!$A$6:$AB$56,28,FALSE),0),IF(VLOOKUP($AN64,StateTables!$A$6:$AB$56,27,FALSE)="dbl",MIN(ROUND(0.005*$N64,2),ROUND(0.6*52/Inputs!$C$8,2)),IF(OR(VLOOKUP($AN64,StateTables!$A$6:$AB$56,18,FALSE)="",VLOOKUP($AN64,StateTables!$A$6:$AB$56,18,FALSE)=0),0,ROUND(VLOOKUP($AN64,StateTables!$A$6:$AB$56,18,FALSE)*IF(OR(VLOOKUP($AN64,StateTables!$A$6:$AB$56,19,FALSE)="",VLOOKUP($AN64,StateTables!$A$6:$AB$56,19,FALSE)=0),$N64,MIN($N64,MAX(0,VLOOKUP($AN64,StateTables!$A$6:$AB$56,19,FALSE)-($AX64+$AB63-$AW64)))),2)))))</f>
      </c>
      <c r="V64" s="7">
        <f>IF($B64="","",IF($AN64="NY",IF(Inputs!$C$78,ROUND(SUMPRODUCT((MAX(0,($O64-$D64)*Inputs!$C$8-(IF($AU64="Married",5500,5000)+1000*$AS64))&gt;INDEX('Methodology &amp; Sources'!$B$184:$J$198,0,4))*(MAX(0,($O64-$D64)*Inputs!$C$8-(IF($AU64="Married",5500,5000)+1000*$AS64))-INDEX('Methodology &amp; Sources'!$B$184:$J$198,0,4))*INDEX('Methodology &amp; Sources'!$B$184:$J$198,0,4+2))/Inputs!$C$8+0.0425*$D64,2),0)+IF(Inputs!$C$79="Resident",ROUND(0.1675*$T64,2),IF(Inputs!$C$79="Nonresident",ROUND(0.005*MAX(0,($O64-$D64)-(IF($AU64="Married",7950,7400)+1000*$AS64)/Inputs!$C$8),2),0)),IF($AN64="PA",IF(Inputs!$C$80="None",Inputs!$C$27+ROUND(Inputs!$C$81*($C64+$D64),2),ROUND(IF(Inputs!$C$80="Resident",IF($B64&lt;DATE(2027,7,1),0.03735,0.03735),IF($B64&lt;DATE(2027,7,1),0.03425,0.03425))*($C64+$D64),2)),IF($BF64=0,ROUND(Inputs!$C$81*($C64+$D64),2),Inputs!$C$27+ROUND(Inputs!$C$81*($C64+$D64),2)))))</f>
      </c>
      <c r="W64" s="7">
        <f>IF($B64="","",IF($BF64=0,0,$BP64))</f>
      </c>
      <c r="X64" s="7">
        <f>IF($B64="","",SUM($E64:$K64)+$P64+$Q64+$R64+$S64+$T64+$U64+$V64+$W64)</f>
      </c>
      <c r="Y64" s="22">
        <f>IF($B64="","",$C64+$D64-$X64)</f>
      </c>
      <c r="Z64" s="7">
        <f>IF($B64="","",$Z63+$C64+$D64)</f>
      </c>
      <c r="AA64" s="7">
        <f>IF($B64="","",$AA63+$Y64)</f>
      </c>
      <c r="AB64" s="7">
        <f>IF($B64="","",$AB63+MIN($N64,MAX(0,'Methodology &amp; Sources'!$C$3-($AX64+$AB63-$AW64))))</f>
      </c>
      <c r="AC64" s="7">
        <f>IF($B64="","",$AC63+$E64+$F64)</f>
      </c>
      <c r="AD64" s="3">
        <f>IF($B64="","",IF(AND($AB63&lt;'Methodology &amp; Sources'!$C$3,$AB64&gt;='Methodology &amp; Sources'!$C$3),"★ Social Security maxed on this check — from the next check your net rises by about $"&amp;TEXT(ROUND('Methodology &amp; Sources'!$C$4*$N64,2),"#,##0.00")&amp;". ","")&amp;IF(AND($AC63&lt;Inputs!$C$34,$AC64&gt;=Inputs!$C$34),"★ 401(k) reaches the $"&amp;TEXT(Inputs!$C$34,"#,##0")&amp;" cap on this check — deferrals stop and net pay rises. ","")&amp;IF(AND($AG63&lt;'Methodology &amp; Sources'!$C$7,$AG64&gt;='Methodology &amp; Sources'!$C$7),"★ Wages pass $200,000 — the 0.9% Additional Medicare Tax starts here. ","")&amp;IF(AND($BJ64&gt;0,$H64&gt;0,$BG63&lt;MIN($BJ64,'Methodology &amp; Sources'!$C$13),$BG63+$H64&gt;=MIN($BJ64,'Methodology &amp; Sources'!$C$13)),"★ Health FSA election is now fully deferred for the year. ",""))</f>
      </c>
      <c r="AE64" s="41" t="n"/>
      <c r="AF64" s="7">
        <f>IF(OR($B64="",$AE64=""),"",$AE64-$Y64)</f>
      </c>
      <c r="AG64" s="7">
        <f>IF($B64="","",$AG63+$N64)</f>
      </c>
      <c r="AH64" s="7">
        <f>IF($B64="","",MAX(0,($M64-$D64)*Inputs!$C$8+$AP64-$AQ64-IF(Inputs!$C$13,0,IF(Inputs!$C$12="MFJ",'Methodology &amp; Sources'!$C$8,'Methodology &amp; Sources'!$C$9))))</f>
      </c>
      <c r="AI64" s="7">
        <f>IF($B64="","",$O64*Inputs!$C$8)</f>
      </c>
      <c r="AJ64" s="7">
        <f>IF($B64="","",MAX(0,$AI64-VLOOKUP($AN64,StateTables!$A$6:$AB$56,12,FALSE)*$AT64-IF(($AS64+$AT64)&gt;=2,VLOOKUP($AN64,StateTables!$A$6:$AB$56,8,FALSE),VLOOKUP($AN64,StateTables!$A$6:$AB$56,7,FALSE))))</f>
      </c>
      <c r="AK64" s="7">
        <f>IF($B64="","",IFERROR(LOOKUP(2,1/((Events!$C$6:$C$17="Salary change")*(Events!$B$6:$B$17&lt;=$B64)*(Events!$B$6:$B$17&lt;&gt;"")),Events!$D$6:$D$17),IF(Inputs!$C$4="Annual salary",Inputs!$C$5,Inputs!$C$6)))</f>
      </c>
      <c r="AL64">
        <f>IF($B64="","",IFERROR(LOOKUP(2,1/((Events!$C$6:$C$17="401(k) change")*(Events!$B$6:$B$17&lt;=$B64)*(Events!$B$6:$B$17&lt;&gt;"")),Events!$D$6:$D$17),Inputs!$C$30))</f>
      </c>
      <c r="AM64" s="7">
        <f>IF($B64="","",IFERROR(LOOKUP(2,1/((Events!$C$6:$C$17="401(k) change")*(Events!$B$6:$B$17&lt;=$B64)*(Events!$B$6:$B$17&lt;&gt;"")),Events!$E$6:$E$17),Inputs!$D$30))</f>
      </c>
      <c r="AN64">
        <f>IF($B64="","",IFERROR(LOOKUP(2,1/((Events!$C$6:$C$17="State move")*(Events!$B$6:$B$17&lt;=$B64)*(Events!$B$6:$B$17&lt;&gt;"")),Events!$D$6:$D$17),Inputs!$C$21))</f>
      </c>
      <c r="AO64" s="7">
        <f>IF($B64="","",IFERROR(LOOKUP(2,1/((Events!$C$6:$C$17="W-4 change")*(Events!$B$6:$B$17&lt;=$B64)*(Events!$B$6:$B$17&lt;&gt;"")),Events!$D$6:$D$17),Inputs!$C$14))</f>
      </c>
      <c r="AP64" s="7">
        <f>IF($B64="","",IFERROR(LOOKUP(2,1/((Events!$C$6:$C$17="W-4 change")*(Events!$B$6:$B$17&lt;=$B64)*(Events!$B$6:$B$17&lt;&gt;"")),Events!$E$6:$E$17),Inputs!$C$15))</f>
      </c>
      <c r="AQ64" s="7">
        <f>IF($B64="","",IFERROR(LOOKUP(2,1/((Events!$C$6:$C$17="W-4 change")*(Events!$B$6:$B$17&lt;=$B64)*(Events!$B$6:$B$17&lt;&gt;"")),Events!$F$6:$F$17),Inputs!$C$16))</f>
      </c>
      <c r="AR64" s="7">
        <f>IF($B64="","",IFERROR(LOOKUP(2,1/((Events!$C$6:$C$17="W-4 change")*(Events!$B$6:$B$17&lt;=$B64)*(Events!$B$6:$B$17&lt;&gt;"")),Events!$G$6:$G$17),Inputs!$C$17))</f>
      </c>
      <c r="AS64" s="6">
        <f>IF($B64="","",IFERROR(LOOKUP(2,1/(((Events!$C$6:$C$17="State move")+(Events!$C$6:$C$17="State cert change"))*(Events!$B$6:$B$17&lt;=$B64)*(Events!$B$6:$B$17&lt;&gt;"")),Events!$F$6:$F$17),Inputs!$C$23))</f>
      </c>
      <c r="AT64" s="6">
        <f>IF($B64="","",IFERROR(LOOKUP(2,1/(((Events!$C$6:$C$17="State move")+(Events!$C$6:$C$17="State cert change"))*(Events!$B$6:$B$17&lt;=$B64)*(Events!$B$6:$B$17&lt;&gt;"")),Events!$G$6:$G$17),Inputs!$C$24))</f>
      </c>
      <c r="AU64">
        <f>IF($B64="","",IFERROR(LOOKUP(2,1/((Events!$C$6:$C$17="State move")*(Events!$B$6:$B$17&lt;=$B64)*(Events!$B$6:$B$17&lt;&gt;"")),Events!$E$6:$E$17),Inputs!$C$22))</f>
      </c>
      <c r="AV64" s="6">
        <f>IF($B64="","",1+COUNTIFS(Events!$C$6:$C$17,"Employer change",Events!$B$6:$B$17,"&lt;="&amp;$B64,Events!$B$6:$B$17,"&lt;&gt;"))</f>
      </c>
      <c r="AW64" s="7">
        <f>IF($B64="","",IF($AV64=1,Inputs!$C$94,IF(IFERROR(MATCH(IFERROR(LOOKUP(2,1/((Events!$C$6:$C$17="Employer change")*(Events!$B$6:$B$17&lt;=$B64)*(Events!$B$6:$B$17&lt;&gt;"")),Events!$B$6:$B$17),""),$B$6:$B$68,1),1)&lt;=1,Inputs!$C$94,INDEX($AB$6:$AB$68,MATCH(IFERROR(LOOKUP(2,1/((Events!$C$6:$C$17="Employer change")*(Events!$B$6:$B$17&lt;=$B64)*(Events!$B$6:$B$17&lt;&gt;"")),Events!$B$6:$B$17),""),$B$6:$B$68,1)-1))))</f>
      </c>
      <c r="AX64" s="7">
        <f>IF($B64="","",IF($AV64=1,Inputs!$C$94,IFERROR(LOOKUP(2,1/((Events!$C$6:$C$17="Employer change")*(Events!$B$6:$B$17&lt;=$B64)*(Events!$B$6:$B$17&lt;&gt;"")),Events!$D$6:$D$17),0)))</f>
      </c>
      <c r="AY64" s="7">
        <f>IF($B64="","",($O64-$D64)*Inputs!$C$8)</f>
      </c>
      <c r="AZ64" s="7">
        <f>IF($B64="","",IF($AN64="AL",MAX(0,$AY64-IF($AU64="Married",IF($AY64&lt;=25999,8500,MAX(5000,8500-175*CEILING(($AY64-25999)/500,1))),IF($AU64="Head of household",IF($AY64&lt;=25999,5200,MAX(2500,5200-135*CEILING(($AY64-25999)/500,1))),IF($AY64&lt;=25999,3000,MAX(2500,3000-25*CEILING(($AY64-25999)/500,1)))))-($P64-'Methodology &amp; Sources'!$C$10*$D64)*Inputs!$C$8-IF(OR($AU64="Married",$AU64="Head of household"),3000,1500)-$AT64*IF($AY64&lt;=50000,1000,IF($AY64&lt;=100000,500,300))),IF($AN64="AR",IF(MAX(0,$AY64-2470)&lt;97701,INT(MAX(0,$AY64-2470)/100)*100+50,MAX(0,$AY64-2470)),IF($AN64="DE",MAX(0,$AI64-3250),IF($AN64="HI",MAX(0,$AI64-1144*$AS64-4350),IF($AN64="KS",MAX(0,$AI64-(9160*IF($AU64="Married",2,1)+2320*$AT64+IF($AU64="Head of household",2320,0))),IF($AN64="MD",MAX(0,$AI64-3400-3200*$AS64),IF($AN64="MN",MAX(0,$AY64-5300*$AS64),IF($AN64="MO",MAX(0,$AI64-IF($AU64="Head of household",24150,IF($AU64="Married",IF(Inputs!$C$83,16100,32200),16100))),IF($AN64="MT",$AY64,IF($AN64="ND",($C64+$L64)*Inputs!$C$8,IF($AN64="NE",MAX(0,$AY64-2440*$AS64),IF($AN64="NJ",MAX(0,$AY64-1000*$AS64),IF($AN64="NY",MAX(0,$AY64-(IF($AU64="Married",7950,7400)+1000*$AS64)),IF($AN64="OH",MAX(0,$AY64-650*$AS64),IF($AN64="OK",MAX(0,$AY64-1000*$AS64),IF($AN64="RI",MAX(0,$AI64-1000*$AS64),IF($AN64="SC",MAX(0,$AI64-5000*$AS64-IF($AS64=0,0,MIN(0.1*$AI64,7500))),IF($AN64="VA",MAX(0,$AI64-IF($AU64="Married",17500,8750)-930*$AS64-800*$AT64),IF($AN64="VT",MAX(0,$AI64-5400*$AS64),IF($AN64="WI",MAX(0,$AI64-MAX(0,IF($AU64="Married",9461-0.2*MAX(0,$AI64-25727),6702-0.12*MAX(0,$AI64-17780)))-400*$AS64),IF($AN64="WV",MAX(0,$AI64-2000*$AS64),$AI64))))))))))))))))))))))</f>
      </c>
      <c r="BA64" s="7">
        <f>IF($B64="","",IF($BW64&lt;&gt;"",$BW64,IF($BX64&lt;&gt;"",$BX64,IF($BY64&lt;&gt;"",$BY64,0))))</f>
      </c>
      <c r="BB64" s="7">
        <f>IF($B64="","",IF($AN64="AR",-29*$AS64,IF($AN64="DE",-110*$AS64,IF($AN64="MD",$AZ64*Inputs!$C$74,IF($AN64="AZ",Inputs!$C$82*($M64-$D64)*Inputs!$C$8,IF($AN64="CO",0.044*MAX(0,$AY64-IF($AU64="Married",10000,5000)),IF($AN64="IA",MAX(0,0.038*MAX(0,$AY64-IF($AU64="Head of household",19500,IF($AU64="Married",26000,13000)))-40*$AS64),IF($AN64="ID",0.053*MAX(0,$AY64-IF($AU64="Married",32000,16094)),IF($AN64="IL",0.0495*MAX(0,$AY64-(2925*$AS64+1000*$AT64)),IF($AN64="IN",(0.0295+Inputs!$C$76)*MAX(0,$AY64-(1000*$AS64+1500*$AT64+3000*Inputs!$C$86)),IF($AN64="KY",0.035*MAX(0,$AI64-3360),IF($AN64="LA",IF(Inputs!$C$84="0",0.0309*$AI64,0.0309*MAX(0,$AI64-IF(Inputs!$C$84="2",25750,12875))),IF($AN64="MA",0.05*MIN(MAX(0,$AY64-MIN(($BD63+$Q64+$R64+$S64),2000)-IF($AS64=0,0,IF($AS64=1,4400,1000*$AS64+3400))),1107750)+0.09*MAX(0,MAX(0,$AY64-MIN(($BD63+$Q64+$R64+$S64),2000)-IF($AS64=0,0,IF($AS64=1,4400,1000*$AS64+3400)))-1107750)-IF($AU64="Head of household",120,0)-110*Inputs!$C$75,IF($AN64="MI",0.0425*MAX(0,$AY64-5900*$AS64),IF($AN64="MS",0.04*MAX(0,$AI64-IF($AU64="Head of household",3400,IF($AU64="Married",4600,2300))-Inputs!$C$85-10000),IF($AN64="OR",IF(OR($AU64="Married",AND($AU64="Single",$AS64&gt;=3)),SUMPRODUCT((MAX(0,$AY64-MIN(($P64-'Methodology &amp; Sources'!$C$10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Sources'!$B$211:$J$214,0,4))*(MAX(0,$AY64-MIN(($P64-'Methodology &amp; Sources'!$C$10*$D64)*Inputs!$C$8,IF(OR($AU64="Married",AND($AU64="Single",$AS64&gt;=3)),IF($AY64&lt;250000,8750,IF($AY64&lt;260000,7000,IF($AY64&lt;270000,5250,IF($AY64&lt;280000,3500,IF($AY64&lt;290000,1750,0))))),IF($AY64&lt;125000,8750,IF($AY64&lt;130000,7000,IF($AY64&lt;135000,5250,IF($AY64&lt;140000,3500,IF($AY64&lt;145000,1750,0)))))))-IF(OR($AU64="Married",AND($AU64="Single",$AS64&gt;=3)),5820,2910))-INDEX('Methodology &amp; Sources'!$B$211:$J$214,0,4))*INDEX('Methodology &amp; Sources'!$B$211:$J$214,0,4+2)),SUMPRODUCT((MAX(0,$AY64-MIN(($P64-'Methodology &amp; Sources'!$C$10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Sources'!$B$211:$J$214,0,1))*(MAX(0,$AY64-MIN(($P64-'Methodology &amp; Sources'!$C$10*$D64)*Inputs!$C$8,IF(OR($AU64="Married",AND($AU64="Single",$AS64&gt;=3)),IF($AY64&lt;250000,8750,IF($AY64&lt;260000,7000,IF($AY64&lt;270000,5250,IF($AY64&lt;280000,3500,IF($AY64&lt;290000,1750,0))))),IF($AY64&lt;125000,8750,IF($AY64&lt;130000,7000,IF($AY64&lt;135000,5250,IF($AY64&lt;140000,3500,IF($AY64&lt;145000,1750,0)))))))-IF(OR($AU64="Married",AND($AU64="Single",$AS64&gt;=3)),5820,2910))-INDEX('Methodology &amp; Sources'!$B$211:$J$214,0,1))*INDEX('Methodology &amp; Sources'!$B$211:$J$214,0,1+2)))+263-263*IF(IF($AU64="Married",$AY64&gt;200000,$AY64&gt;100000),0,$AS64),IF($AN64="PA",0.0307*(($O64+$E64+$G64)*Inputs!$C$8),IF($AN64="NY",IF($AU64="Married",IF($AZ64&gt;=2155350,0,IF($AZ64&gt;=1077550,0.48,IF($AZ64&gt;=373200,1.21,IF($AZ64&gt;=323200,0.21,IF($AZ64&gt;=211550,-0.19,IF($AZ64&gt;=157650,-2.8,IF($AZ64&gt;=107650,-0.8,IF($AZ64&gt;=96800,0.05,IF($AZ64&gt;=80650,-0.1,IF($AZ64&gt;=13900,0.4,IF($AZ64&gt;=11700,-0.3,IF($AZ64&gt;=8500,0.5,0)))))))))))),IF($AZ64&gt;=1077550,0,IF($AZ64&gt;=265400,4.29,IF($AZ64&gt;=215400,2.29,IF($AZ64&gt;=157650,2.29,IF($AZ64&gt;=107650,0.29,IF($AZ64&gt;=96800,0.05,IF($AZ64&gt;=80650,-0.1,IF($AZ64&gt;=13900,0.4,IF($AZ64&gt;=11700,-0.3,IF($AZ64&gt;=8500,0.5,0))))))))))),0))))))))))))))))))</f>
      </c>
      <c r="BC64" s="7">
        <f>IF($B64="","",IF($AN64="AL",0.05*$D64,IF($AN64="AR",0.039*$D64,IF($AN64="ID",0.053*$D64,IF($AN64="IN",(0.0295+Inputs!$C$76)*$D64,IF($AN64="KS",0.05*$D64,IF($AN64="MA",0.09*MIN($D64,MAX(0,MAX(0,$AY64-MIN(($BD63+$Q64+$R64+$S64),2000)-IF($AS64=0,0,IF($AS64=1,4400,1000*$AS64+3400)))+$D64-1107750))+0.05*($D64-MIN($D64,MAX(0,MAX(0,$AY64-MIN(($BD63+$Q64+$R64+$S64),2000)-IF($AS64=0,0,IF($AS64=1,4400,1000*$AS64+3400)))+$D64-1107750))),IF($AN64="MD",(0.065+Inputs!$C$74)*$D64,IF($AN64="MI",0.0425*$D64,IF($AN64="MN",0.0625*$D64,IF($AN64="MO",0.047*$D64,IF($AN64="MT",0.05*$D64,IF($AN64="ND",0.015*$D64,IF($AN64="NE",0.035*$D64,IF($AN64="NJ",IF(Inputs!$C$77="B",SUMPRODUCT(($D64*Inputs!$C$8&gt;INDEX('Methodology &amp; Sources'!$B$155:$J$162,0,4))*($D64*Inputs!$C$8-INDEX('Methodology &amp; Sources'!$B$155:$J$162,0,4))*INDEX('Methodology &amp; Sources'!$B$155:$J$162,0,4+2)),IF(Inputs!$C$77="C",SUMPRODUCT(($D64*Inputs!$C$8&gt;INDEX('Methodology &amp; Sources'!$B$155:$J$162,0,7))*($D64*Inputs!$C$8-INDEX('Methodology &amp; Sources'!$B$155:$J$162,0,7))*INDEX('Methodology &amp; Sources'!$B$155:$J$162,0,7+2)),IF(Inputs!$C$77="D",SUMPRODUCT(($D64*Inputs!$C$8&gt;INDEX('Methodology &amp; Sources'!$B$167:$J$179,0,1))*($D64*Inputs!$C$8-INDEX('Methodology &amp; Sources'!$B$167:$J$179,0,1))*INDEX('Methodology &amp; Sources'!$B$167:$J$179,0,1+2)),IF(Inputs!$C$77="E",SUMPRODUCT(($D64*Inputs!$C$8&gt;INDEX('Methodology &amp; Sources'!$B$167:$J$179,0,4))*($D64*Inputs!$C$8-INDEX('Methodology &amp; Sources'!$B$167:$J$179,0,4))*INDEX('Methodology &amp; Sources'!$B$167:$J$179,0,4+2)),SUMPRODUCT(($D64*Inputs!$C$8&gt;INDEX('Methodology &amp; Sources'!$B$155:$J$162,0,1))*($D64*Inputs!$C$8-INDEX('Methodology &amp; Sources'!$B$155:$J$162,0,1))*INDEX('Methodology &amp; Sources'!$B$155:$J$162,0,1+2))))))/Inputs!$C$8,IF($AN64="NY",0.117*$D64,IF($AN64="OH",0.0275*$D64,IF($AN64="OK",0.045*$D64,IF($AN64="OR",0.08*$D64,IF($AN64="WI",IF($AY64&lt;12760,0.0354,IF($AY64&lt;25520,0.0465,IF($AY64&lt;280950,0.053,0.0765)))*$D64,0))))))))))))))))))))</f>
      </c>
      <c r="BD64" s="7">
        <f>IF($B64="","",$BD63+$Q64+$R64+$S64)</f>
      </c>
      <c r="BE64" s="6">
        <f>IF($B64="",$BE63,$BE63+$BF64)</f>
      </c>
      <c r="BF64" s="6">
        <f>IF($B64="","",IF(AND(IF(YEAR(IF(Inputs!$C$7="Weekly",Inputs!$C$90+7*(($BE63+1)-1),IF(Inputs!$C$7="Biweekly",Inputs!$C$90+14*(($BE63+1)-1),IF(Inputs!$C$7="Semimonthly",DATE(YEAR(Inputs!$C$9),MONTH(Inputs!$C$9)+INT((($BE63+1)-1+'Rest of 2026'!$C$2)/2),MIN(DAY(Inputs!$C$9),DAY(EOMONTH(DATE(YEAR(Inputs!$C$9),MONTH(Inputs!$C$9)+INT((($BE63+1)-1+'Rest of 2026'!$C$2)/2),1),0))))+IF(MOD(($BE63+1)-1+'Rest of 2026'!$C$2,2)=1,15,0),EDATE(Inputs!$C$90,($BE63+1)-1)))))&lt;&gt;Inputs!$C$10,"",IF(Inputs!$C$7="Weekly",Inputs!$C$90+7*(($BE63+1)-1),IF(Inputs!$C$7="Biweekly",Inputs!$C$90+14*(($BE63+1)-1),IF(Inputs!$C$7="Semimonthly",DATE(YEAR(Inputs!$C$9),MONTH(Inputs!$C$9)+INT((($BE63+1)-1+'Rest of 2026'!$C$2)/2),MIN(DAY(Inputs!$C$9),DAY(EOMONTH(DATE(YEAR(Inputs!$C$9),MONTH(Inputs!$C$9)+INT((($BE63+1)-1+'Rest of 2026'!$C$2)/2),1),0))))+IF(MOD(($BE63+1)-1+'Rest of 2026'!$C$2,2)=1,15,0),EDATE(Inputs!$C$90,($BE63+1)-1)))))&lt;&gt;"",$B64=IF(YEAR(IF(Inputs!$C$7="Weekly",Inputs!$C$90+7*(($BE63+1)-1),IF(Inputs!$C$7="Biweekly",Inputs!$C$90+14*(($BE63+1)-1),IF(Inputs!$C$7="Semimonthly",DATE(YEAR(Inputs!$C$9),MONTH(Inputs!$C$9)+INT((($BE63+1)-1+'Rest of 2026'!$C$2)/2),MIN(DAY(Inputs!$C$9),DAY(EOMONTH(DATE(YEAR(Inputs!$C$9),MONTH(Inputs!$C$9)+INT((($BE63+1)-1+'Rest of 2026'!$C$2)/2),1),0))))+IF(MOD(($BE63+1)-1+'Rest of 2026'!$C$2,2)=1,15,0),EDATE(Inputs!$C$90,($BE63+1)-1)))))&lt;&gt;Inputs!$C$10,"",IF(Inputs!$C$7="Weekly",Inputs!$C$90+7*(($BE63+1)-1),IF(Inputs!$C$7="Biweekly",Inputs!$C$90+14*(($BE63+1)-1),IF(Inputs!$C$7="Semimonthly",DATE(YEAR(Inputs!$C$9),MONTH(Inputs!$C$9)+INT((($BE63+1)-1+'Rest of 2026'!$C$2)/2),MIN(DAY(Inputs!$C$9),DAY(EOMONTH(DATE(YEAR(Inputs!$C$9),MONTH(Inputs!$C$9)+INT((($BE63+1)-1+'Rest of 2026'!$C$2)/2),1),0))))+IF(MOD(($BE63+1)-1+'Rest of 2026'!$C$2,2)=1,15,0),EDATE(Inputs!$C$90,($BE63+1)-1)))))),1,0))</f>
      </c>
      <c r="BG64" s="7">
        <f>IF($B64="","",$BG63+$H64)</f>
      </c>
      <c r="BH64" s="7">
        <f>IF($B64="","",$BH63+$I64)</f>
      </c>
      <c r="BI64" s="7">
        <f>IF($B64="","",$BI63+$G64)</f>
      </c>
      <c r="BJ64" s="7">
        <f>IF($B64="","",IFERROR(LOOKUP(2,1/((((Events!$C$6:$C$17="Deduction start"))*(Events!$D$6:$D$17="Health FSA"))*(Events!$B$6:$B$17&lt;=$B64)*(Events!$B$6:$B$17&lt;&gt;"")),Events!$E$6:$E$17),Inputs!$D$38))</f>
      </c>
      <c r="BK64" s="7">
        <f>IF($B64="","",IFERROR(LOOKUP(2,1/((((Events!$C$6:$C$17="Deduction start"))*(Events!$D$6:$D$17="Dependent-care FSA"))*(Events!$B$6:$B$17&lt;=$B64)*(Events!$B$6:$B$17&lt;&gt;"")),Events!$E$6:$E$17),Inputs!$D$39))</f>
      </c>
      <c r="BL64" s="7">
        <f>IF($B64="","",IFERROR(LOOKUP(2,1/((((Events!$C$6:$C$17="Deduction start")+(Events!$C$6:$C$17="Deduction stop"))*(Events!$D$6:$D$17="HSA"))*(Events!$B$6:$B$17&lt;=$B64)*(Events!$B$6:$B$17&lt;&gt;"")),Events!$I$6:$I$17),Inputs!$D$35))</f>
      </c>
      <c r="BM64" s="7">
        <f>IF($B64="","",IFERROR(LOOKUP(2,1/((((Events!$C$6:$C$17="Deduction start")+(Events!$C$6:$C$17="Deduction stop"))*(Events!$D$6:$D$17="Premiums"))*(Events!$B$6:$B$17&lt;=$B64)*(Events!$B$6:$B$17&lt;&gt;"")),Events!$I$6:$I$17),Inputs!$D$40+Inputs!$D$41+Inputs!$D$42))</f>
      </c>
      <c r="BN64" s="7">
        <f>IF($B64="","",IFERROR(LOOKUP(2,1/((((Events!$C$6:$C$17="Deduction start")+(Events!$C$6:$C$17="Deduction stop"))*(Events!$D$6:$D$17="Commuter"))*(Events!$B$6:$B$17&lt;=$B64)*(Events!$B$6:$B$17&lt;&gt;"")),Events!$I$6:$I$17),Inputs!$D$43))</f>
      </c>
      <c r="BO64" s="7">
        <f>IF($B64="","",IFERROR(LOOKUP(2,1/((((Events!$C$6:$C$17="Deduction start")+(Events!$C$6:$C$17="Deduction stop"))*(Events!$D$6:$D$17="Other pre-tax"))*(Events!$B$6:$B$17&lt;=$B64)*(Events!$B$6:$B$17&lt;&gt;"")),Events!$I$6:$I$17),Inputs!$D$44))</f>
      </c>
      <c r="BP64" s="7">
        <f>IF($B64="","",IFERROR(LOOKUP(2,1/((((Events!$C$6:$C$17="Deduction start")+(Events!$C$6:$C$17="Deduction stop"))*(Events!$D$6:$D$17="Other post-tax"))*(Events!$B$6:$B$17&lt;=$B64)*(Events!$B$6:$B$17&lt;&gt;"")),Events!$I$6:$I$17),Inputs!$D$45))</f>
      </c>
      <c r="BQ64" s="6">
        <f>IF($B64="","",IFERROR(LOOKUP(2,1/((((Events!$C$6:$C$17="Deduction start")+(Events!$C$6:$C$17="Deduction stop"))*(Events!$D$6:$D$17="Health FSA"))*(Events!$B$6:$B$17&lt;=$B64)*(Events!$B$6:$B$17&lt;&gt;"")),Events!$J$6:$J$17),0))</f>
      </c>
      <c r="BR64" s="6">
        <f>IF($B64="","",IFERROR(LOOKUP(2,1/((((Events!$C$6:$C$17="Deduction start")+(Events!$C$6:$C$17="Deduction stop"))*(Events!$D$6:$D$17="Dependent-care FSA"))*(Events!$B$6:$B$17&lt;=$B64)*(Events!$B$6:$B$17&lt;&gt;"")),Events!$J$6:$J$17),0))</f>
      </c>
      <c r="BS64" s="6">
        <f>IF($B64="","",IF(SUMPRODUCT((Events!$C$6:$C$17="Deduction start")*(Events!$B$6:$B$17&lt;=$B64)*(Events!$B$6:$B$17&lt;&gt;"")*(Events!$D$6:$D$17="Health FSA"))&gt;0,1,0))</f>
      </c>
      <c r="BT64" s="6">
        <f>IF($B64="","",IF(SUMPRODUCT((Events!$C$6:$C$17="Deduction start")*(Events!$B$6:$B$17&lt;=$B64)*(Events!$B$6:$B$17&lt;&gt;"")*(Events!$D$6:$D$17="Dependent-care FSA"))&gt;0,1,0))</f>
      </c>
      <c r="BU64" s="24">
        <f>IF($B64="","",IF(Inputs!$C$13,SUMPRODUCT(($AH64&gt;=INDEX('Methodology &amp; Sources'!$B$29:$J$36,0,IF(Inputs!$C$12="MFJ",1,IF(Inputs!$C$12="HoH",7,4))))*INDEX('Methodology &amp; Sources'!$B$29:$J$36,0,IF(Inputs!$C$12="MFJ",1,IF(Inputs!$C$12="HoH",7,4))+2)),SUMPRODUCT(($AH64&gt;=INDEX('Methodology &amp; Sources'!$B$19:$J$26,0,IF(Inputs!$C$12="MFJ",1,IF(Inputs!$C$12="HoH",7,4))))*INDEX('Methodology &amp; Sources'!$B$19:$J$26,0,IF(Inputs!$C$12="MFJ",1,IF(Inputs!$C$12="HoH",7,4))+2))))</f>
      </c>
      <c r="BV64" s="24">
        <f>IF($B64="","",IF($BZ64&lt;&gt;"",$BZ64,IF($CA64&lt;&gt;"",$CA64,IF($CB64&lt;&gt;"",$CB64,IF($CC64&lt;&gt;"",$CC64,0)))))</f>
      </c>
      <c r="BW64" s="7">
        <f>IF($B64="","",IF($AN64="MD",IF(OR($AU64="Married",$AU64="Head of household"),SUMPRODUCT(($AZ64&gt;INDEX('Methodology &amp; Sources'!$B$114:$J$120,0,1))*($AZ64-INDEX('Methodology &amp; Sources'!$B$114:$J$120,0,1))*INDEX('Methodology &amp; Sources'!$B$114:$J$120,0,1+2)),SUMPRODUCT(($AZ64&gt;INDEX('Methodology &amp; Sources'!$B$103:$J$109,0,7))*($AZ64-INDEX('Methodology &amp; Sources'!$B$103:$J$109,0,7))*INDEX('Methodology &amp; Sources'!$B$103:$J$109,0,7+2))),IF($AN64="MO",SUMPRODUCT(($AZ64&gt;INDEX('Methodology &amp; Sources'!$B$125:$J$132,0,1))*($AZ64-INDEX('Methodology &amp; Sources'!$B$125:$J$132,0,1))*INDEX('Methodology &amp; Sources'!$B$125:$J$132,0,1+2)),IF($AN64="MT",IF($AU64="Head of household",SUMPRODUCT(($AZ64&gt;INDEX('Methodology &amp; Sources'!$B$137:$J$139,0,1))*($AZ64-INDEX('Methodology &amp; Sources'!$B$137:$J$139,0,1))*INDEX('Methodology &amp; Sources'!$B$137:$J$139,0,1+2)),IF($AU64="Married",SUMPRODUCT(($AZ64&gt;INDEX('Methodology &amp; Sources'!$B$125:$J$132,0,7))*($AZ64-INDEX('Methodology &amp; Sources'!$B$125:$J$132,0,7))*INDEX('Methodology &amp; Sources'!$B$125:$J$132,0,7+2)),SUMPRODUCT(($AZ64&gt;INDEX('Methodology &amp; Sources'!$B$125:$J$132,0,4))*($AZ64-INDEX('Methodology &amp; Sources'!$B$125:$J$132,0,4))*INDEX('Methodology &amp; Sources'!$B$125:$J$132,0,4+2)))),IF($AN64="ND",IF($AU64="Head of household",SUMPRODUCT(($AZ64&gt;INDEX('Methodology &amp; Sources'!$B$144:$J$150,0,1))*($AZ64-INDEX('Methodology &amp; Sources'!$B$144:$J$150,0,1))*INDEX('Methodology &amp; Sources'!$B$144:$J$150,0,1+2)),IF($AU64="Married",SUMPRODUCT(($AZ64&gt;INDEX('Methodology &amp; Sources'!$B$137:$J$139,0,7))*($AZ64-INDEX('Methodology &amp; Sources'!$B$137:$J$139,0,7))*INDEX('Methodology &amp; Sources'!$B$137:$J$139,0,7+2)),SUMPRODUCT(($AZ64&gt;INDEX('Methodology &amp; Sources'!$B$137:$J$139,0,4))*($AZ64-INDEX('Methodology &amp; Sources'!$B$137:$J$139,0,4))*INDEX('Methodology &amp; Sources'!$B$137:$J$139,0,4+2)))),IF($AN64="NJ",IF(Inputs!$C$77="B",SUMPRODUCT(($AZ64&gt;INDEX('Methodology &amp; Sources'!$B$155:$J$162,0,4))*($AZ64-INDEX('Methodology &amp; Sources'!$B$155:$J$162,0,4))*INDEX('Methodology &amp; Sources'!$B$155:$J$162,0,4+2)),IF(Inputs!$C$77="C",SUMPRODUCT(($AZ64&gt;INDEX('Methodology &amp; Sources'!$B$155:$J$162,0,7))*($AZ64-INDEX('Methodology &amp; Sources'!$B$155:$J$162,0,7))*INDEX('Methodology &amp; Sources'!$B$155:$J$162,0,7+2)),IF(Inputs!$C$77="D",SUMPRODUCT(($AZ64&gt;INDEX('Methodology &amp; Sources'!$B$167:$J$179,0,1))*($AZ64-INDEX('Methodology &amp; Sources'!$B$167:$J$179,0,1))*INDEX('Methodology &amp; Sources'!$B$167:$J$179,0,1+2)),IF(Inputs!$C$77="E",SUMPRODUCT(($AZ64&gt;INDEX('Methodology &amp; Sources'!$B$167:$J$179,0,4))*($AZ64-INDEX('Methodology &amp; Sources'!$B$167:$J$179,0,4))*INDEX('Methodology &amp; Sources'!$B$167:$J$179,0,4+2)),SUMPRODUCT(($AZ64&gt;INDEX('Methodology &amp; Sources'!$B$155:$J$162,0,1))*($AZ64-INDEX('Methodology &amp; Sources'!$B$155:$J$162,0,1))*INDEX('Methodology &amp; Sources'!$B$155:$J$162,0,1+2)))))),IF($AN64="NY",IF($AU64="Married",IF($AZ64&gt;=2155350,$AZ64*IF($AZ64&gt;25000000,0.117,IF($AZ64&gt;5000000,0.111,0.1045)),SUMPRODUCT(($AZ64&gt;INDEX('Methodology &amp; Sources'!$B$184:$J$198,0,1))*($AZ64-INDEX('Methodology &amp; Sources'!$B$184:$J$198,0,1))*INDEX('Methodology &amp; Sources'!$B$184:$J$198,0,1+2))),IF($AZ64&gt;=1077550,$AZ64*IF($AZ64&gt;25000000,0.117,IF($AZ64&gt;5000000,0.111,0.1045)),SUMPRODUCT(($AZ64&gt;INDEX('Methodology &amp; Sources'!$B$167:$J$179,0,7))*($AZ64-INDEX('Methodology &amp; Sources'!$B$167:$J$179,0,7))*INDEX('Methodology &amp; Sources'!$B$167:$J$179,0,7+2)))),"")))))))</f>
      </c>
      <c r="BX64" s="7">
        <f>IF($B64="","",IF($AN64="AL",IF(OR($AU64="Married",$AU64="Head of household"),SUMPRODUCT(($AZ64&gt;INDEX('Methodology &amp; Sources'!$B$82:$J$86,0,4))*($AZ64-INDEX('Methodology &amp; Sources'!$B$82:$J$86,0,4))*INDEX('Methodology &amp; Sources'!$B$82:$J$86,0,4+2)),SUMPRODUCT(($AZ64&gt;INDEX('Methodology &amp; Sources'!$B$82:$J$86,0,1))*($AZ64-INDEX('Methodology &amp; Sources'!$B$82:$J$86,0,1))*INDEX('Methodology &amp; Sources'!$B$82:$J$86,0,1+2))),IF($AN64="KS",IF($AU64="Married",SUMPRODUCT(($AZ64&gt;INDEX('Methodology &amp; Sources'!$B$103:$J$109,0,4))*($AZ64-INDEX('Methodology &amp; Sources'!$B$103:$J$109,0,4))*INDEX('Methodology &amp; Sources'!$B$103:$J$109,0,4+2)),SUMPRODUCT(($AZ64&gt;INDEX('Methodology &amp; Sources'!$B$103:$J$109,0,1))*($AZ64-INDEX('Methodology &amp; Sources'!$B$103:$J$109,0,1))*INDEX('Methodology &amp; Sources'!$B$103:$J$109,0,1+2))),IF($AN64="MN",IF($AU64="Married",SUMPRODUCT(($AZ64&gt;INDEX('Methodology &amp; Sources'!$B$114:$J$120,0,7))*($AZ64-INDEX('Methodology &amp; Sources'!$B$114:$J$120,0,7))*INDEX('Methodology &amp; Sources'!$B$114:$J$120,0,7+2)),SUMPRODUCT(($AZ64&gt;INDEX('Methodology &amp; Sources'!$B$114:$J$120,0,4))*($AZ64-INDEX('Methodology &amp; Sources'!$B$114:$J$120,0,4))*INDEX('Methodology &amp; Sources'!$B$114:$J$120,0,4+2))),IF($AN64="NE",MAX(IF($AU64="Married",SUMPRODUCT(($AZ64&gt;INDEX('Methodology &amp; Sources'!$B$144:$J$150,0,7))*($AZ64-INDEX('Methodology &amp; Sources'!$B$144:$J$150,0,7))*INDEX('Methodology &amp; Sources'!$B$144:$J$150,0,7+2)),SUMPRODUCT(($AZ64&gt;INDEX('Methodology &amp; Sources'!$B$144:$J$150,0,4))*($AZ64-INDEX('Methodology &amp; Sources'!$B$144:$J$150,0,4))*INDEX('Methodology &amp; Sources'!$B$144:$J$150,0,4+2))),0.015*$AZ64),IF($AN64="OH",IF($B64&gt;=DATE(2027,8,1),SUMPRODUCT(($AZ64&gt;INDEX('Methodology &amp; Sources'!$B$203:$J$206,0,1))*($AZ64-INDEX('Methodology &amp; Sources'!$B$203:$J$206,0,1))*INDEX('Methodology &amp; Sources'!$B$203:$J$206,0,1+2)),SUMPRODUCT(($AZ64&gt;INDEX('Methodology &amp; Sources'!$B$184:$J$198,0,7))*($AZ64-INDEX('Methodology &amp; Sources'!$B$184:$J$198,0,7))*INDEX('Methodology &amp; Sources'!$B$184:$J$198,0,7+2))),IF($AN64="OK",IF($AU64="Married",SUMPRODUCT(($AZ64&gt;INDEX('Methodology &amp; Sources'!$B$203:$J$206,0,7))*($AZ64-INDEX('Methodology &amp; Sources'!$B$203:$J$206,0,7))*INDEX('Methodology &amp; Sources'!$B$203:$J$206,0,7+2)),SUMPRODUCT(($AZ64&gt;INDEX('Methodology &amp; Sources'!$B$203:$J$206,0,4))*($AZ64-INDEX('Methodology &amp; Sources'!$B$203:$J$206,0,4))*INDEX('Methodology &amp; Sources'!$B$203:$J$206,0,4+2))),IF($AN64="RI",SUMPRODUCT(($AZ64&gt;INDEX('Methodology &amp; Sources'!$B$211:$J$214,0,7))*($AZ64-INDEX('Methodology &amp; Sources'!$B$211:$J$214,0,7))*INDEX('Methodology &amp; Sources'!$B$211:$J$214,0,7+2)),IF($AN64="VT",IF($AU64="Married",SUMPRODUCT(($AZ64&gt;INDEX('Methodology &amp; Sources'!$B$228:$J$232,0,1))*($AZ64-INDEX('Methodology &amp; Sources'!$B$228:$J$232,0,1))*INDEX('Methodology &amp; Sources'!$B$228:$J$232,0,1+2)),SUMPRODUCT(($AZ64&gt;INDEX('Methodology &amp; Sources'!$B$219:$J$223,0,7))*($AZ64-INDEX('Methodology &amp; Sources'!$B$219:$J$223,0,7))*INDEX('Methodology &amp; Sources'!$B$219:$J$223,0,7+2))),IF($AN64="WV",IF($AU64="Married",SUMPRODUCT(($AZ64&gt;INDEX('Methodology &amp; Sources'!$B$237:$J$241,0,7))*($AZ64-INDEX('Methodology &amp; Sources'!$B$237:$J$241,0,7))*INDEX('Methodology &amp; Sources'!$B$237:$J$241,0,7+2)),SUMPRODUCT(($AZ64&gt;INDEX('Methodology &amp; Sources'!$B$228:$J$232,0,7))*($AZ64-INDEX('Methodology &amp; Sources'!$B$228:$J$232,0,7))*INDEX('Methodology &amp; Sources'!$B$228:$J$232,0,7+2))),""))))))))))</f>
      </c>
      <c r="BY64" s="7">
        <f>IF($B64="","",IF($AN64="AR",SUMPRODUCT(($AZ64&gt;INDEX('Methodology &amp; Sources'!$B$82:$J$86,0,7))*($AZ64-INDEX('Methodology &amp; Sources'!$B$82:$J$86,0,7))*INDEX('Methodology &amp; Sources'!$B$82:$J$86,0,7+2)),IF($AN64="DE",SUMPRODUCT(($AZ64&gt;INDEX('Methodology &amp; Sources'!$B$91:$J$98,0,1))*($AZ64-INDEX('Methodology &amp; Sources'!$B$91:$J$98,0,1))*INDEX('Methodology &amp; Sources'!$B$91:$J$98,0,1+2)),IF($AN64="HI",IF($AU64="Married",SUMPRODUCT(($AZ64&gt;INDEX('Methodology &amp; Sources'!$B$91:$J$98,0,7))*($AZ64-INDEX('Methodology &amp; Sources'!$B$91:$J$98,0,7))*INDEX('Methodology &amp; Sources'!$B$91:$J$98,0,7+2)),SUMPRODUCT(($AZ64&gt;INDEX('Methodology &amp; Sources'!$B$91:$J$98,0,4))*($AZ64-INDEX('Methodology &amp; Sources'!$B$91:$J$98,0,4))*INDEX('Methodology &amp; Sources'!$B$91:$J$98,0,4+2))),IF($AN64="SC",SUMPRODUCT(($AZ64&gt;INDEX('Methodology &amp; Sources'!$B$219:$J$223,0,1))*($AZ64-INDEX('Methodology &amp; Sources'!$B$219:$J$223,0,1))*INDEX('Methodology &amp; Sources'!$B$219:$J$223,0,1+2)),IF($AN64="VA",SUMPRODUCT(($AZ64&gt;INDEX('Methodology &amp; Sources'!$B$219:$J$223,0,4))*($AZ64-INDEX('Methodology &amp; Sources'!$B$219:$J$223,0,4))*INDEX('Methodology &amp; Sources'!$B$219:$J$223,0,4+2)),IF($AN64="WI",SUMPRODUCT(($AZ64&gt;INDEX('Methodology &amp; Sources'!$B$228:$J$232,0,4))*($AZ64-INDEX('Methodology &amp; Sources'!$B$228:$J$232,0,4))*INDEX('Methodology &amp; Sources'!$B$228:$J$232,0,4+2)),"")))))))</f>
      </c>
      <c r="BZ64" s="24">
        <f>IF($B64="","",IF($AN64="NJ",IF(Inputs!$C$77="B",SUMPRODUCT(($AZ64&gt;=INDEX('Methodology &amp; Sources'!$B$155:$J$162,0,4))*INDEX('Methodology &amp; Sources'!$B$155:$J$162,0,4+2)),IF(Inputs!$C$77="C",SUMPRODUCT(($AZ64&gt;=INDEX('Methodology &amp; Sources'!$B$155:$J$162,0,7))*INDEX('Methodology &amp; Sources'!$B$155:$J$162,0,7+2)),IF(Inputs!$C$77="D",SUMPRODUCT(($AZ64&gt;=INDEX('Methodology &amp; Sources'!$B$167:$J$179,0,1))*INDEX('Methodology &amp; Sources'!$B$167:$J$179,0,1+2)),IF(Inputs!$C$77="E",SUMPRODUCT(($AZ64&gt;=INDEX('Methodology &amp; Sources'!$B$167:$J$179,0,4))*INDEX('Methodology &amp; Sources'!$B$167:$J$179,0,4+2)),SUMPRODUCT(($AZ64&gt;=INDEX('Methodology &amp; Sources'!$B$155:$J$162,0,1))*INDEX('Methodology &amp; Sources'!$B$155:$J$162,0,1+2)))))),IF($AN64="OR",IF(OR($AU64="Married",AND($AU64="Single",$AS64&gt;=3)),SUMPRODUCT((MAX(0,$AY64-MIN(($P64-'Methodology &amp; Sources'!$C$10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Sources'!$B$211:$J$214,0,4))*INDEX('Methodology &amp; Sources'!$B$211:$J$214,0,4+2)),SUMPRODUCT((MAX(0,$AY64-MIN(($P64-'Methodology &amp; Sources'!$C$10*$D64)*Inputs!$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Sources'!$B$211:$J$214,0,1))*INDEX('Methodology &amp; Sources'!$B$211:$J$214,0,1+2)))*IF(($P64-'Methodology &amp; Sources'!$C$10*$D64)*Inputs!$C$8&gt;=IF(OR($AU64="Married",AND($AU64="Single",$AS64&gt;=3)),IF($AY64&lt;250000,8750,IF($AY64&lt;260000,7000,IF($AY64&lt;270000,5250,IF($AY64&lt;280000,3500,IF($AY64&lt;290000,1750,0))))),IF($AY64&lt;125000,8750,IF($AY64&lt;130000,7000,IF($AY64&lt;135000,5250,IF($AY64&lt;140000,3500,IF($AY64&lt;145000,1750,0)))))),1,1-IF(Inputs!$C$13,SUMPRODUCT(($AH64&gt;=INDEX('Methodology &amp; Sources'!$B$29:$J$36,0,IF(Inputs!$C$12="MFJ",1,IF(Inputs!$C$12="HoH",7,4))))*INDEX('Methodology &amp; Sources'!$B$29:$J$36,0,IF(Inputs!$C$12="MFJ",1,IF(Inputs!$C$12="HoH",7,4))+2)),SUMPRODUCT(($AH64&gt;=INDEX('Methodology &amp; Sources'!$B$19:$J$26,0,IF(Inputs!$C$12="MFJ",1,IF(Inputs!$C$12="HoH",7,4))))*INDEX('Methodology &amp; Sources'!$B$19:$J$26,0,IF(Inputs!$C$12="MFJ",1,IF(Inputs!$C$12="HoH",7,4))+2)))),IF($AN64="MI",IF($AY64&gt;5900*$AS64,0.0425,0),""))))</f>
      </c>
      <c r="CA64" s="24">
        <f>IF($B64="","",IF($AN64="AL",IF(OR($AU64="Married",$AU64="Head of household"),SUMPRODUCT(($AZ64&gt;=INDEX('Methodology &amp; Sources'!$B$82:$J$86,0,4))*INDEX('Methodology &amp; Sources'!$B$82:$J$86,0,4+2)),SUMPRODUCT(($AZ64&gt;=INDEX('Methodology &amp; Sources'!$B$82:$J$86,0,1))*INDEX('Methodology &amp; Sources'!$B$82:$J$86,0,1+2)))*(1-IF(Inputs!$C$13,SUMPRODUCT(($AH64&gt;=INDEX('Methodology &amp; Sources'!$B$29:$J$36,0,IF(Inputs!$C$12="MFJ",1,IF(Inputs!$C$12="HoH",7,4))))*INDEX('Methodology &amp; Sources'!$B$29:$J$36,0,IF(Inputs!$C$12="MFJ",1,IF(Inputs!$C$12="HoH",7,4))+2)),SUMPRODUCT(($AH64&gt;=INDEX('Methodology &amp; Sources'!$B$19:$J$26,0,IF(Inputs!$C$12="MFJ",1,IF(Inputs!$C$12="HoH",7,4))))*INDEX('Methodology &amp; Sources'!$B$19:$J$26,0,IF(Inputs!$C$12="MFJ",1,IF(Inputs!$C$12="HoH",7,4))+2)))),IF($AN64="KS",IF($AU64="Married",SUMPRODUCT(($AZ64&gt;=INDEX('Methodology &amp; Sources'!$B$103:$J$109,0,4))*INDEX('Methodology &amp; Sources'!$B$103:$J$109,0,4+2)),SUMPRODUCT(($AZ64&gt;=INDEX('Methodology &amp; Sources'!$B$103:$J$109,0,1))*INDEX('Methodology &amp; Sources'!$B$103:$J$109,0,1+2))),IF($AN64="MD",IF(OR($AU64="Married",$AU64="Head of household"),SUMPRODUCT(($AZ64&gt;=INDEX('Methodology &amp; Sources'!$B$114:$J$120,0,1))*INDEX('Methodology &amp; Sources'!$B$114:$J$120,0,1+2)),SUMPRODUCT(($AZ64&gt;=INDEX('Methodology &amp; Sources'!$B$103:$J$109,0,7))*INDEX('Methodology &amp; Sources'!$B$103:$J$109,0,7+2)))+Inputs!$C$74,IF($AN64="MT",IF($AU64="Head of household",SUMPRODUCT(($AZ64&gt;=INDEX('Methodology &amp; Sources'!$B$137:$J$139,0,1))*INDEX('Methodology &amp; Sources'!$B$137:$J$139,0,1+2)),IF($AU64="Married",SUMPRODUCT(($AZ64&gt;=INDEX('Methodology &amp; Sources'!$B$125:$J$132,0,7))*INDEX('Methodology &amp; Sources'!$B$125:$J$132,0,7+2)),SUMPRODUCT(($AZ64&gt;=INDEX('Methodology &amp; Sources'!$B$125:$J$132,0,4))*INDEX('Methodology &amp; Sources'!$B$125:$J$132,0,4+2)))),IF($AN64="ND",IF($AU64="Head of household",SUMPRODUCT(($AZ64&gt;=INDEX('Methodology &amp; Sources'!$B$144:$J$150,0,1))*INDEX('Methodology &amp; Sources'!$B$144:$J$150,0,1+2)),IF($AU64="Married",SUMPRODUCT(($AZ64&gt;=INDEX('Methodology &amp; Sources'!$B$137:$J$139,0,7))*INDEX('Methodology &amp; Sources'!$B$137:$J$139,0,7+2)),SUMPRODUCT(($AZ64&gt;=INDEX('Methodology &amp; Sources'!$B$137:$J$139,0,4))*INDEX('Methodology &amp; Sources'!$B$137:$J$139,0,4+2)))),IF($AN64="NY",IF($AU64="Married",IF($AZ64&gt;=2155350,IF($AZ64&gt;25000000,0.117,IF($AZ64&gt;5000000,0.111,0.1045)),SUMPRODUCT(($AZ64&gt;=INDEX('Methodology &amp; Sources'!$B$184:$J$198,0,1))*INDEX('Methodology &amp; Sources'!$B$184:$J$198,0,1+2))),IF($AZ64&gt;=1077550,IF($AZ64&gt;25000000,0.117,IF($AZ64&gt;5000000,0.111,0.1045)),SUMPRODUCT(($AZ64&gt;=INDEX('Methodology &amp; Sources'!$B$167:$J$179,0,7))*INDEX('Methodology &amp; Sources'!$B$167:$J$179,0,7+2)))),"")))))))</f>
      </c>
      <c r="CB64" s="24">
        <f>IF($B64="","",IF($AN64="CA",SUMPRODUCT(($AJ64&gt;=INDEX('Methodology &amp; Sources'!$B$39:$J$48,0,IF($AU64="Married",4,IF($AU64="Head of household",7,1))))*INDEX('Methodology &amp; Sources'!$B$39:$J$48,0,IF($AU64="Married",4,IF($AU64="Head of household",7,1))+2)),IF($AN64="HI",IF($AU64="Married",SUMPRODUCT(($AZ64&gt;=INDEX('Methodology &amp; Sources'!$B$91:$J$98,0,7))*INDEX('Methodology &amp; Sources'!$B$91:$J$98,0,7+2)),SUMPRODUCT(($AZ64&gt;=INDEX('Methodology &amp; Sources'!$B$91:$J$98,0,4))*INDEX('Methodology &amp; Sources'!$B$91:$J$98,0,4+2))),IF($AN64="MN",IF($AU64="Married",SUMPRODUCT(($AZ64&gt;=INDEX('Methodology &amp; Sources'!$B$114:$J$120,0,7))*INDEX('Methodology &amp; Sources'!$B$114:$J$120,0,7+2)),SUMPRODUCT(($AZ64&gt;=INDEX('Methodology &amp; Sources'!$B$114:$J$120,0,4))*INDEX('Methodology &amp; Sources'!$B$114:$J$120,0,4+2))),IF($AN64="MO",SUMPRODUCT(($AZ64&gt;=INDEX('Methodology &amp; Sources'!$B$125:$J$132,0,1))*INDEX('Methodology &amp; Sources'!$B$125:$J$132,0,1+2)),IF($AN64="NE",MAX(IF($AU64="Married",SUMPRODUCT(($AZ64&gt;=INDEX('Methodology &amp; Sources'!$B$144:$J$150,0,7))*INDEX('Methodology &amp; Sources'!$B$144:$J$150,0,7+2)),SUMPRODUCT(($AZ64&gt;=INDEX('Methodology &amp; Sources'!$B$144:$J$150,0,4))*INDEX('Methodology &amp; Sources'!$B$144:$J$150,0,4+2))),0.015),IF($AN64="OH",IF($B64&gt;=DATE(2027,8,1),SUMPRODUCT(($AZ64&gt;=INDEX('Methodology &amp; Sources'!$B$203:$J$206,0,1))*INDEX('Methodology &amp; Sources'!$B$203:$J$206,0,1+2)),SUMPRODUCT(($AZ64&gt;=INDEX('Methodology &amp; Sources'!$B$184:$J$198,0,7))*INDEX('Methodology &amp; Sources'!$B$184:$J$198,0,7+2))),IF($AN64="OK",IF($AU64="Married",SUMPRODUCT(($AZ64&gt;=INDEX('Methodology &amp; Sources'!$B$203:$J$206,0,7))*INDEX('Methodology &amp; Sources'!$B$203:$J$206,0,7+2)),SUMPRODUCT(($AZ64&gt;=INDEX('Methodology &amp; Sources'!$B$203:$J$206,0,4))*INDEX('Methodology &amp; Sources'!$B$203:$J$206,0,4+2))),IF($AN64="RI",SUMPRODUCT(($AZ64&gt;=INDEX('Methodology &amp; Sources'!$B$211:$J$214,0,7))*INDEX('Methodology &amp; Sources'!$B$211:$J$214,0,7+2)),IF($AN64="SC",SUMPRODUCT(($AZ64&gt;=INDEX('Methodology &amp; Sources'!$B$219:$J$223,0,1))*INDEX('Methodology &amp; Sources'!$B$219:$J$223,0,1+2)),IF($AN64="VT",IF($AU64="Married",SUMPRODUCT(($AZ64&gt;=INDEX('Methodology &amp; Sources'!$B$228:$J$232,0,1))*INDEX('Methodology &amp; Sources'!$B$228:$J$232,0,1+2)),SUMPRODUCT(($AZ64&gt;=INDEX('Methodology &amp; Sources'!$B$219:$J$223,0,7))*INDEX('Methodology &amp; Sources'!$B$219:$J$223,0,7+2))),IF($AN64="WV",IF($AU64="Married",SUMPRODUCT(($AZ64&gt;=INDEX('Methodology &amp; Sources'!$B$237:$J$241,0,7))*INDEX('Methodology &amp; Sources'!$B$237:$J$241,0,7+2)),SUMPRODUCT(($AZ64&gt;=INDEX('Methodology &amp; Sources'!$B$228:$J$232,0,7))*INDEX('Methodology &amp; Sources'!$B$228:$J$232,0,7+2))),IF($AN64="IN",(0.0295+Inputs!$C$76),"")))))))))))))</f>
      </c>
      <c r="CC64" s="24">
        <f>IF($B64="","",IF($AN64="AR",SUMPRODUCT(($AZ64&gt;=INDEX('Methodology &amp; Sources'!$B$82:$J$86,0,7))*INDEX('Methodology &amp; Sources'!$B$82:$J$86,0,7+2)),IF($AN64="DE",SUMPRODUCT(($AZ64&gt;=INDEX('Methodology &amp; Sources'!$B$91:$J$98,0,1))*INDEX('Methodology &amp; Sources'!$B$91:$J$98,0,1+2)),IF($AN64="VA",SUMPRODUCT(($AZ64&gt;=INDEX('Methodology &amp; Sources'!$B$219:$J$223,0,4))*INDEX('Methodology &amp; Sources'!$B$219:$J$223,0,4+2)),IF($AN64="WI",SUMPRODUCT(($AZ64&gt;=INDEX('Methodology &amp; Sources'!$B$228:$J$232,0,4))*INDEX('Methodology &amp; Sources'!$B$228:$J$232,0,4+2)),IF($AN64="AZ",Inputs!$C$82,IF($AN64="CO",IF($AY64&gt;IF($AU64="Married",10000,5000),0.044,0),IF($AN64="IA",IF($AY64&gt;IF($AU64="Head of household",19500,IF($AU64="Married",26000,13000)),0.038,0),IF($AN64="ID",IF($AY64&gt;IF($AU64="Married",32000,16094),0.053,0),IF($AN64="IL",IF($AY64&gt;(2925*$AS64+1000*$AT64),0.0495,0),IF($AN64="KY",IF($AI64&gt;3360,0.035,0),IF($AN64="LA",0.0309,IF($AN64="MA",IF(MAX(0,$AY64-MIN(($BD63+$Q64+$R64+$S64),2000)-IF($AS64=0,0,IF($AS64=1,4400,1000*$AS64+3400)))&gt;=1107750,0.09,0.05),IF($AN64="MS",IF($AI64-IF($AU64="Head of household",3400,IF($AU64="Married",4600,2300))-Inputs!$C$85&gt;10000,0.04,0),IF($AN64="PA",0.0307,"")))))))))))))))</f>
      </c>
      <c r="CD64" s="21">
        <f>IF(YEAR(IF(Inputs!$C$7="Weekly",Inputs!$C$90+7*(($BE63+1)-1),IF(Inputs!$C$7="Biweekly",Inputs!$C$90+14*(($BE63+1)-1),IF(Inputs!$C$7="Semimonthly",DATE(YEAR(Inputs!$C$9),MONTH(Inputs!$C$9)+INT((($BE63+1)-1+'Rest of 2026'!$C$2)/2),MIN(DAY(Inputs!$C$9),DAY(EOMONTH(DATE(YEAR(Inputs!$C$9),MONTH(Inputs!$C$9)+INT((($BE63+1)-1+'Rest of 2026'!$C$2)/2),1),0))))+IF(MOD(($BE63+1)-1+'Rest of 2026'!$C$2,2)=1,15,0),EDATE(Inputs!$C$90,($BE63+1)-1)))))&lt;&gt;Inputs!$C$10,"",IF(Inputs!$C$7="Weekly",Inputs!$C$90+7*(($BE63+1)-1),IF(Inputs!$C$7="Biweekly",Inputs!$C$90+14*(($BE63+1)-1),IF(Inputs!$C$7="Semimonthly",DATE(YEAR(Inputs!$C$9),MONTH(Inputs!$C$9)+INT((($BE63+1)-1+'Rest of 2026'!$C$2)/2),MIN(DAY(Inputs!$C$9),DAY(EOMONTH(DATE(YEAR(Inputs!$C$9),MONTH(Inputs!$C$9)+INT((($BE63+1)-1+'Rest of 2026'!$C$2)/2),1),0))))+IF(MOD(($BE63+1)-1+'Rest of 2026'!$C$2,2)=1,15,0),EDATE(Inputs!$C$90,($BE63+1)-1)))))</f>
      </c>
      <c r="CE64" s="21">
        <f>IF(SUMPRODUCT(MIN(IF((Inputs!$C$58:$C$67&gt;MAX($B$6:$B63))*(Inputs!$C$58:$C$67&gt;=DATE(Inputs!$C$10,1,1))*(Inputs!$C$58:$C$67&lt;=DATE(Inputs!$C$10,12,31)),Inputs!$C$58:$C$67,999999)))=999999,"",SUMPRODUCT(MIN(IF((Inputs!$C$58:$C$67&gt;MAX($B$6:$B63))*(Inputs!$C$58:$C$67&gt;=DATE(Inputs!$C$10,1,1))*(Inputs!$C$58:$C$67&lt;=DATE(Inputs!$C$10,12,31)),Inputs!$C$58:$C$67,999999))))</f>
      </c>
    </row>
    <row r="65">
      <c r="A65" t="n">
        <v>60</v>
      </c>
      <c r="B65" s="21">
        <f>IF(AND($CD65="",$CE65=""),"",IF($CE65="",$CD65,IF($CD65="",$CE65,MIN($CD65,$CE65))))</f>
      </c>
      <c r="C65" s="7">
        <f>IF($B65="","",IF($BF65=0,0,IF(Inputs!$C$4="Annual salary",ROUND($AK65/IF(AND(Inputs!$C$88="Actual paydays",MONTH(Inputs!$C$90)=1),MAX(1,MAX($BE$6:$BE$68)),Inputs!$C$8),2),$AK65)))</f>
      </c>
      <c r="D65" s="7">
        <f>IF($B65="","",SUMIF(Inputs!$C$58:$C$67,$B65,Inputs!$D$58:$D$67))</f>
      </c>
      <c r="E65" s="7">
        <f>IF($B65="","",ROUND(MAX(0,MIN(IF($AL65="Percent",$AM65*($C65+$D65),$AM65),MAX(0,Inputs!$C$34-$AC64))),2))</f>
      </c>
      <c r="F65" s="7">
        <f>IF($B65="","",ROUND(MAX(0,MIN(IF(Inputs!$C$32="Percent",Inputs!$D$32*($C65+$D65),Inputs!$D$32),MAX(0,Inputs!$C$34-$AC64-$E65))),2))</f>
      </c>
      <c r="G65" s="7">
        <f>IF($B65="","",IF($BF65=0,0,ROUND(MAX(0,MIN($BL65,Inputs!$C$37-Inputs!$C$99-$BI64)),2)))</f>
      </c>
      <c r="H65" s="7">
        <f>IF($B65="","",IF(OR($BF65=0,$BQ65=1),0,ROUND(MAX(0,MIN(IF($BS65=1,ROUND(MAX(0,MIN($BJ65,'Methodology &amp; Sources'!$C$13)-$BG64)/MAX(1,MAX($BE$6:$BE$68)-($BE64)),2),ROUND(MIN($BJ65,'Methodology &amp; Sources'!$C$13)/Inputs!$C$8,2)),MIN($BJ65,'Methodology &amp; Sources'!$C$13)-$BG64)),2)))</f>
      </c>
      <c r="I65" s="7">
        <f>IF($B65="","",IF(OR($BF65=0,$BR65=1),0,ROUND(MAX(0,MIN(IF($BT65=1,ROUND(MAX(0,MIN($BK65,IF(Inputs!$C$12="MFJ",'Methodology &amp; Sources'!$C$14,'Methodology &amp; Sources'!$C$15))-$BH64)/MAX(1,MAX($BE$6:$BE$68)-($BE64)),2),ROUND(MIN($BK65,IF(Inputs!$C$12="MFJ",'Methodology &amp; Sources'!$C$14,'Methodology &amp; Sources'!$C$15))/Inputs!$C$8,2)),MIN($BK65,IF(Inputs!$C$12="MFJ",'Methodology &amp; Sources'!$C$14,'Methodology &amp; Sources'!$C$15))-$BH64)),2)))</f>
      </c>
      <c r="J65" s="7">
        <f>IF($B65="","",IF($BF65=0,0,$BM65))</f>
      </c>
      <c r="K65" s="7">
        <f>IF($B65="","",IF($BF65=0,0,$BN65+$BO65))</f>
      </c>
      <c r="L65" s="7">
        <f>IF($B65="","",IF($BF65=0,0,Inputs!$D$46))</f>
      </c>
      <c r="M65" s="7">
        <f>IF($B65="","",$C65+$D65+$L65-$E65-$G65-$H65-$I65-$J65-$K65)</f>
      </c>
      <c r="N65" s="7">
        <f>IF($B65="","",$C65+$D65+$L65-$G65-$H65-$I65-$J65-$K65)</f>
      </c>
      <c r="O65" s="7">
        <f>IF($B65="","",$C65+$D65+$L65-$E65-$H65-$I65-$J65-$K65-IF(OR($AN65="CA",$AN65="NJ"),0,$G65))</f>
      </c>
      <c r="P65" s="7">
        <f>IF($B65="","",IF(Inputs!$C$18,0,ROUND(MAX(0,IF(Inputs!$C$13,SUMPRODUCT(($AH65&gt;INDEX('Methodology &amp; Sources'!$B$29:$J$36,0,IF(Inputs!$C$12="MFJ",1,IF(Inputs!$C$12="HoH",7,4))))*($AH65-INDEX('Methodology &amp; Sources'!$B$29:$J$36,0,IF(Inputs!$C$12="MFJ",1,IF(Inputs!$C$12="HoH",7,4))))*INDEX('Methodology &amp; Sources'!$B$29:$J$36,0,IF(Inputs!$C$12="MFJ",1,IF(Inputs!$C$12="HoH",7,4))+2)),SUMPRODUCT(($AH65&gt;INDEX('Methodology &amp; Sources'!$B$19:$J$26,0,IF(Inputs!$C$12="MFJ",1,IF(Inputs!$C$12="HoH",7,4))))*($AH65-INDEX('Methodology &amp; Sources'!$B$19:$J$26,0,IF(Inputs!$C$12="MFJ",1,IF(Inputs!$C$12="HoH",7,4))))*INDEX('Methodology &amp; Sources'!$B$19:$J$26,0,IF(Inputs!$C$12="MFJ",1,IF(Inputs!$C$12="HoH",7,4))+2)))/Inputs!$C$8-$AO65/Inputs!$C$8)+$AR65+IF(Inputs!$C$89="Aggregate",MAX(0,IF(Inputs!$C$13,SUMPRODUCT((($AH65+$D65)&gt;INDEX('Methodology &amp; Sources'!$B$29:$J$36,0,IF(Inputs!$C$12="MFJ",1,IF(Inputs!$C$12="HoH",7,4))))*(($AH65+$D65)-INDEX('Methodology &amp; Sources'!$B$29:$J$36,0,IF(Inputs!$C$12="MFJ",1,IF(Inputs!$C$12="HoH",7,4))))*INDEX('Methodology &amp; Sources'!$B$29:$J$36,0,IF(Inputs!$C$12="MFJ",1,IF(Inputs!$C$12="HoH",7,4))+2)),SUMPRODUCT((($AH65+$D65)&gt;INDEX('Methodology &amp; Sources'!$B$19:$J$26,0,IF(Inputs!$C$12="MFJ",1,IF(Inputs!$C$12="HoH",7,4))))*(($AH65+$D65)-INDEX('Methodology &amp; Sources'!$B$19:$J$26,0,IF(Inputs!$C$12="MFJ",1,IF(Inputs!$C$12="HoH",7,4))))*INDEX('Methodology &amp; Sources'!$B$19:$J$26,0,IF(Inputs!$C$12="MFJ",1,IF(Inputs!$C$12="HoH",7,4))+2)))-IF(Inputs!$C$13,SUMPRODUCT(($AH65&gt;INDEX('Methodology &amp; Sources'!$B$29:$J$36,0,IF(Inputs!$C$12="MFJ",1,IF(Inputs!$C$12="HoH",7,4))))*($AH65-INDEX('Methodology &amp; Sources'!$B$29:$J$36,0,IF(Inputs!$C$12="MFJ",1,IF(Inputs!$C$12="HoH",7,4))))*INDEX('Methodology &amp; Sources'!$B$29:$J$36,0,IF(Inputs!$C$12="MFJ",1,IF(Inputs!$C$12="HoH",7,4))+2)),SUMPRODUCT(($AH65&gt;INDEX('Methodology &amp; Sources'!$B$19:$J$26,0,IF(Inputs!$C$12="MFJ",1,IF(Inputs!$C$12="HoH",7,4))))*($AH65-INDEX('Methodology &amp; Sources'!$B$19:$J$26,0,IF(Inputs!$C$12="MFJ",1,IF(Inputs!$C$12="HoH",7,4))))*INDEX('Methodology &amp; Sources'!$B$19:$J$26,0,IF(Inputs!$C$12="MFJ",1,IF(Inputs!$C$12="HoH",7,4))+2)))),'Methodology &amp; Sources'!$C$10*$D65),2)))</f>
      </c>
      <c r="Q65" s="7">
        <f>IF($B65="","",ROUND('Methodology &amp; Sources'!$C$4*MIN($N65,MAX(0,'Methodology &amp; Sources'!$C$3-($AX65+$AB64-$AW65))),2))</f>
      </c>
      <c r="R65" s="7">
        <f>IF($B65="","",ROUND('Methodology &amp; Sources'!$C$5*$N65,2))</f>
      </c>
      <c r="S65" s="7">
        <f>IF($B65="","",ROUND('Methodology &amp; Sources'!$C$6*MAX(0,MIN($N65,$AG64+$N65-'Methodology &amp; Sources'!$C$7)),2))</f>
      </c>
      <c r="T65" s="7">
        <f>IF($B65="","",IF(Inputs!$C$26,0,IF($AN65="CA",ROUND(IF($AI65&lt;=IF(($AS65+$AT65)&gt;=2,VLOOKUP($AN65,StateTables!$A$6:$AB$56,10,FALSE),VLOOKUP($AN65,StateTables!$A$6:$AB$56,9,FALSE)),0,MAX(0,SUMPRODUCT(($AJ65&gt;INDEX('Methodology &amp; Sources'!$B$39:$J$48,0,IF($AU65="Married",4,IF($AU65="Head of household",7,1))))*($AJ65-INDEX('Methodology &amp; Sources'!$B$39:$J$48,0,IF($AU65="Married",4,IF($AU65="Head of household",7,1))))*INDEX('Methodology &amp; Sources'!$B$39:$J$48,0,IF($AU65="Married",4,IF($AU65="Head of household",7,1))+2))-VLOOKUP($AN65,StateTables!$A$6:$AB$56,11,FALSE)*$AS65)/Inputs!$C$8)+Inputs!$C$25+VLOOKUP($AN65,StateTables!$A$6:$AB$56,13,FALSE)*$D65,2),IF(VLOOKUP($AN65,StateTables!$A$6:$AB$56,4,FALSE)="None",0,IF(ISNUMBER(SEARCH("MANUAL",VLOOKUP($AN65,StateTables!$A$6:$AB$56,5,FALSE))),Inputs!$C$28,ROUND(MAX(0,$BA65+$BB65)/Inputs!$C$8+Inputs!$C$25+$BC65,2))))))</f>
      </c>
      <c r="U65" s="7">
        <f>IF($B65="","",IF(VLOOKUP($AN65,StateTables!$A$6:$AB$56,24,FALSE)="flatq",IF(OR(MONTH($B65)=1,MONTH($B65)=4,MONTH($B65)=7,MONTH($B65)=10),VLOOKUP($AN65,StateTables!$A$6:$AB$56,25,FALSE),0),IF(VLOOKUP($AN65,StateTables!$A$6:$AB$56,24,FALSE)="dbl",MIN(ROUND(0.005*$N65,2),ROUND(0.6*52/Inputs!$C$8,2)),IF(OR(VLOOKUP($AN65,StateTables!$A$6:$AB$56,15,FALSE)="",VLOOKUP($AN65,StateTables!$A$6:$AB$56,15,FALSE)=0),0,ROUND(VLOOKUP($AN65,StateTables!$A$6:$AB$56,15,FALSE)*IF(OR(VLOOKUP($AN65,StateTables!$A$6:$AB$56,16,FALSE)="",VLOOKUP($AN65,StateTables!$A$6:$AB$56,16,FALSE)=0),$N65,MIN($N65,MAX(0,VLOOKUP($AN65,StateTables!$A$6:$AB$56,16,FALSE)-($AX65+$AB64-$AW65)))),2))))+IF(VLOOKUP($AN65,StateTables!$A$6:$AB$56,27,FALSE)="flatq",IF(OR(MONTH($B65)=1,MONTH($B65)=4,MONTH($B65)=7,MONTH($B65)=10),VLOOKUP($AN65,StateTables!$A$6:$AB$56,28,FALSE),0),IF(VLOOKUP($AN65,StateTables!$A$6:$AB$56,27,FALSE)="dbl",MIN(ROUND(0.005*$N65,2),ROUND(0.6*52/Inputs!$C$8,2)),IF(OR(VLOOKUP($AN65,StateTables!$A$6:$AB$56,18,FALSE)="",VLOOKUP($AN65,StateTables!$A$6:$AB$56,18,FALSE)=0),0,ROUND(VLOOKUP($AN65,StateTables!$A$6:$AB$56,18,FALSE)*IF(OR(VLOOKUP($AN65,StateTables!$A$6:$AB$56,19,FALSE)="",VLOOKUP($AN65,StateTables!$A$6:$AB$56,19,FALSE)=0),$N65,MIN($N65,MAX(0,VLOOKUP($AN65,StateTables!$A$6:$AB$56,19,FALSE)-($AX65+$AB64-$AW65)))),2)))))</f>
      </c>
      <c r="V65" s="7">
        <f>IF($B65="","",IF($AN65="NY",IF(Inputs!$C$78,ROUND(SUMPRODUCT((MAX(0,($O65-$D65)*Inputs!$C$8-(IF($AU65="Married",5500,5000)+1000*$AS65))&gt;INDEX('Methodology &amp; Sources'!$B$184:$J$198,0,4))*(MAX(0,($O65-$D65)*Inputs!$C$8-(IF($AU65="Married",5500,5000)+1000*$AS65))-INDEX('Methodology &amp; Sources'!$B$184:$J$198,0,4))*INDEX('Methodology &amp; Sources'!$B$184:$J$198,0,4+2))/Inputs!$C$8+0.0425*$D65,2),0)+IF(Inputs!$C$79="Resident",ROUND(0.1675*$T65,2),IF(Inputs!$C$79="Nonresident",ROUND(0.005*MAX(0,($O65-$D65)-(IF($AU65="Married",7950,7400)+1000*$AS65)/Inputs!$C$8),2),0)),IF($AN65="PA",IF(Inputs!$C$80="None",Inputs!$C$27+ROUND(Inputs!$C$81*($C65+$D65),2),ROUND(IF(Inputs!$C$80="Resident",IF($B65&lt;DATE(2027,7,1),0.03735,0.03735),IF($B65&lt;DATE(2027,7,1),0.03425,0.03425))*($C65+$D65),2)),IF($BF65=0,ROUND(Inputs!$C$81*($C65+$D65),2),Inputs!$C$27+ROUND(Inputs!$C$81*($C65+$D65),2)))))</f>
      </c>
      <c r="W65" s="7">
        <f>IF($B65="","",IF($BF65=0,0,$BP65))</f>
      </c>
      <c r="X65" s="7">
        <f>IF($B65="","",SUM($E65:$K65)+$P65+$Q65+$R65+$S65+$T65+$U65+$V65+$W65)</f>
      </c>
      <c r="Y65" s="22">
        <f>IF($B65="","",$C65+$D65-$X65)</f>
      </c>
      <c r="Z65" s="7">
        <f>IF($B65="","",$Z64+$C65+$D65)</f>
      </c>
      <c r="AA65" s="7">
        <f>IF($B65="","",$AA64+$Y65)</f>
      </c>
      <c r="AB65" s="7">
        <f>IF($B65="","",$AB64+MIN($N65,MAX(0,'Methodology &amp; Sources'!$C$3-($AX65+$AB64-$AW65))))</f>
      </c>
      <c r="AC65" s="7">
        <f>IF($B65="","",$AC64+$E65+$F65)</f>
      </c>
      <c r="AD65" s="3">
        <f>IF($B65="","",IF(AND($AB64&lt;'Methodology &amp; Sources'!$C$3,$AB65&gt;='Methodology &amp; Sources'!$C$3),"★ Social Security maxed on this check — from the next check your net rises by about $"&amp;TEXT(ROUND('Methodology &amp; Sources'!$C$4*$N65,2),"#,##0.00")&amp;". ","")&amp;IF(AND($AC64&lt;Inputs!$C$34,$AC65&gt;=Inputs!$C$34),"★ 401(k) reaches the $"&amp;TEXT(Inputs!$C$34,"#,##0")&amp;" cap on this check — deferrals stop and net pay rises. ","")&amp;IF(AND($AG64&lt;'Methodology &amp; Sources'!$C$7,$AG65&gt;='Methodology &amp; Sources'!$C$7),"★ Wages pass $200,000 — the 0.9% Additional Medicare Tax starts here. ","")&amp;IF(AND($BJ65&gt;0,$H65&gt;0,$BG64&lt;MIN($BJ65,'Methodology &amp; Sources'!$C$13),$BG64+$H65&gt;=MIN($BJ65,'Methodology &amp; Sources'!$C$13)),"★ Health FSA election is now fully deferred for the year. ",""))</f>
      </c>
      <c r="AE65" s="41" t="n"/>
      <c r="AF65" s="7">
        <f>IF(OR($B65="",$AE65=""),"",$AE65-$Y65)</f>
      </c>
      <c r="AG65" s="7">
        <f>IF($B65="","",$AG64+$N65)</f>
      </c>
      <c r="AH65" s="7">
        <f>IF($B65="","",MAX(0,($M65-$D65)*Inputs!$C$8+$AP65-$AQ65-IF(Inputs!$C$13,0,IF(Inputs!$C$12="MFJ",'Methodology &amp; Sources'!$C$8,'Methodology &amp; Sources'!$C$9))))</f>
      </c>
      <c r="AI65" s="7">
        <f>IF($B65="","",$O65*Inputs!$C$8)</f>
      </c>
      <c r="AJ65" s="7">
        <f>IF($B65="","",MAX(0,$AI65-VLOOKUP($AN65,StateTables!$A$6:$AB$56,12,FALSE)*$AT65-IF(($AS65+$AT65)&gt;=2,VLOOKUP($AN65,StateTables!$A$6:$AB$56,8,FALSE),VLOOKUP($AN65,StateTables!$A$6:$AB$56,7,FALSE))))</f>
      </c>
      <c r="AK65" s="7">
        <f>IF($B65="","",IFERROR(LOOKUP(2,1/((Events!$C$6:$C$17="Salary change")*(Events!$B$6:$B$17&lt;=$B65)*(Events!$B$6:$B$17&lt;&gt;"")),Events!$D$6:$D$17),IF(Inputs!$C$4="Annual salary",Inputs!$C$5,Inputs!$C$6)))</f>
      </c>
      <c r="AL65">
        <f>IF($B65="","",IFERROR(LOOKUP(2,1/((Events!$C$6:$C$17="401(k) change")*(Events!$B$6:$B$17&lt;=$B65)*(Events!$B$6:$B$17&lt;&gt;"")),Events!$D$6:$D$17),Inputs!$C$30))</f>
      </c>
      <c r="AM65" s="7">
        <f>IF($B65="","",IFERROR(LOOKUP(2,1/((Events!$C$6:$C$17="401(k) change")*(Events!$B$6:$B$17&lt;=$B65)*(Events!$B$6:$B$17&lt;&gt;"")),Events!$E$6:$E$17),Inputs!$D$30))</f>
      </c>
      <c r="AN65">
        <f>IF($B65="","",IFERROR(LOOKUP(2,1/((Events!$C$6:$C$17="State move")*(Events!$B$6:$B$17&lt;=$B65)*(Events!$B$6:$B$17&lt;&gt;"")),Events!$D$6:$D$17),Inputs!$C$21))</f>
      </c>
      <c r="AO65" s="7">
        <f>IF($B65="","",IFERROR(LOOKUP(2,1/((Events!$C$6:$C$17="W-4 change")*(Events!$B$6:$B$17&lt;=$B65)*(Events!$B$6:$B$17&lt;&gt;"")),Events!$D$6:$D$17),Inputs!$C$14))</f>
      </c>
      <c r="AP65" s="7">
        <f>IF($B65="","",IFERROR(LOOKUP(2,1/((Events!$C$6:$C$17="W-4 change")*(Events!$B$6:$B$17&lt;=$B65)*(Events!$B$6:$B$17&lt;&gt;"")),Events!$E$6:$E$17),Inputs!$C$15))</f>
      </c>
      <c r="AQ65" s="7">
        <f>IF($B65="","",IFERROR(LOOKUP(2,1/((Events!$C$6:$C$17="W-4 change")*(Events!$B$6:$B$17&lt;=$B65)*(Events!$B$6:$B$17&lt;&gt;"")),Events!$F$6:$F$17),Inputs!$C$16))</f>
      </c>
      <c r="AR65" s="7">
        <f>IF($B65="","",IFERROR(LOOKUP(2,1/((Events!$C$6:$C$17="W-4 change")*(Events!$B$6:$B$17&lt;=$B65)*(Events!$B$6:$B$17&lt;&gt;"")),Events!$G$6:$G$17),Inputs!$C$17))</f>
      </c>
      <c r="AS65" s="6">
        <f>IF($B65="","",IFERROR(LOOKUP(2,1/(((Events!$C$6:$C$17="State move")+(Events!$C$6:$C$17="State cert change"))*(Events!$B$6:$B$17&lt;=$B65)*(Events!$B$6:$B$17&lt;&gt;"")),Events!$F$6:$F$17),Inputs!$C$23))</f>
      </c>
      <c r="AT65" s="6">
        <f>IF($B65="","",IFERROR(LOOKUP(2,1/(((Events!$C$6:$C$17="State move")+(Events!$C$6:$C$17="State cert change"))*(Events!$B$6:$B$17&lt;=$B65)*(Events!$B$6:$B$17&lt;&gt;"")),Events!$G$6:$G$17),Inputs!$C$24))</f>
      </c>
      <c r="AU65">
        <f>IF($B65="","",IFERROR(LOOKUP(2,1/((Events!$C$6:$C$17="State move")*(Events!$B$6:$B$17&lt;=$B65)*(Events!$B$6:$B$17&lt;&gt;"")),Events!$E$6:$E$17),Inputs!$C$22))</f>
      </c>
      <c r="AV65" s="6">
        <f>IF($B65="","",1+COUNTIFS(Events!$C$6:$C$17,"Employer change",Events!$B$6:$B$17,"&lt;="&amp;$B65,Events!$B$6:$B$17,"&lt;&gt;"))</f>
      </c>
      <c r="AW65" s="7">
        <f>IF($B65="","",IF($AV65=1,Inputs!$C$94,IF(IFERROR(MATCH(IFERROR(LOOKUP(2,1/((Events!$C$6:$C$17="Employer change")*(Events!$B$6:$B$17&lt;=$B65)*(Events!$B$6:$B$17&lt;&gt;"")),Events!$B$6:$B$17),""),$B$6:$B$68,1),1)&lt;=1,Inputs!$C$94,INDEX($AB$6:$AB$68,MATCH(IFERROR(LOOKUP(2,1/((Events!$C$6:$C$17="Employer change")*(Events!$B$6:$B$17&lt;=$B65)*(Events!$B$6:$B$17&lt;&gt;"")),Events!$B$6:$B$17),""),$B$6:$B$68,1)-1))))</f>
      </c>
      <c r="AX65" s="7">
        <f>IF($B65="","",IF($AV65=1,Inputs!$C$94,IFERROR(LOOKUP(2,1/((Events!$C$6:$C$17="Employer change")*(Events!$B$6:$B$17&lt;=$B65)*(Events!$B$6:$B$17&lt;&gt;"")),Events!$D$6:$D$17),0)))</f>
      </c>
      <c r="AY65" s="7">
        <f>IF($B65="","",($O65-$D65)*Inputs!$C$8)</f>
      </c>
      <c r="AZ65" s="7">
        <f>IF($B65="","",IF($AN65="AL",MAX(0,$AY65-IF($AU65="Married",IF($AY65&lt;=25999,8500,MAX(5000,8500-175*CEILING(($AY65-25999)/500,1))),IF($AU65="Head of household",IF($AY65&lt;=25999,5200,MAX(2500,5200-135*CEILING(($AY65-25999)/500,1))),IF($AY65&lt;=25999,3000,MAX(2500,3000-25*CEILING(($AY65-25999)/500,1)))))-($P65-'Methodology &amp; Sources'!$C$10*$D65)*Inputs!$C$8-IF(OR($AU65="Married",$AU65="Head of household"),3000,1500)-$AT65*IF($AY65&lt;=50000,1000,IF($AY65&lt;=100000,500,300))),IF($AN65="AR",IF(MAX(0,$AY65-2470)&lt;97701,INT(MAX(0,$AY65-2470)/100)*100+50,MAX(0,$AY65-2470)),IF($AN65="DE",MAX(0,$AI65-3250),IF($AN65="HI",MAX(0,$AI65-1144*$AS65-4350),IF($AN65="KS",MAX(0,$AI65-(9160*IF($AU65="Married",2,1)+2320*$AT65+IF($AU65="Head of household",2320,0))),IF($AN65="MD",MAX(0,$AI65-3400-3200*$AS65),IF($AN65="MN",MAX(0,$AY65-5300*$AS65),IF($AN65="MO",MAX(0,$AI65-IF($AU65="Head of household",24150,IF($AU65="Married",IF(Inputs!$C$83,16100,32200),16100))),IF($AN65="MT",$AY65,IF($AN65="ND",($C65+$L65)*Inputs!$C$8,IF($AN65="NE",MAX(0,$AY65-2440*$AS65),IF($AN65="NJ",MAX(0,$AY65-1000*$AS65),IF($AN65="NY",MAX(0,$AY65-(IF($AU65="Married",7950,7400)+1000*$AS65)),IF($AN65="OH",MAX(0,$AY65-650*$AS65),IF($AN65="OK",MAX(0,$AY65-1000*$AS65),IF($AN65="RI",MAX(0,$AI65-1000*$AS65),IF($AN65="SC",MAX(0,$AI65-5000*$AS65-IF($AS65=0,0,MIN(0.1*$AI65,7500))),IF($AN65="VA",MAX(0,$AI65-IF($AU65="Married",17500,8750)-930*$AS65-800*$AT65),IF($AN65="VT",MAX(0,$AI65-5400*$AS65),IF($AN65="WI",MAX(0,$AI65-MAX(0,IF($AU65="Married",9461-0.2*MAX(0,$AI65-25727),6702-0.12*MAX(0,$AI65-17780)))-400*$AS65),IF($AN65="WV",MAX(0,$AI65-2000*$AS65),$AI65))))))))))))))))))))))</f>
      </c>
      <c r="BA65" s="7">
        <f>IF($B65="","",IF($BW65&lt;&gt;"",$BW65,IF($BX65&lt;&gt;"",$BX65,IF($BY65&lt;&gt;"",$BY65,0))))</f>
      </c>
      <c r="BB65" s="7">
        <f>IF($B65="","",IF($AN65="AR",-29*$AS65,IF($AN65="DE",-110*$AS65,IF($AN65="MD",$AZ65*Inputs!$C$74,IF($AN65="AZ",Inputs!$C$82*($M65-$D65)*Inputs!$C$8,IF($AN65="CO",0.044*MAX(0,$AY65-IF($AU65="Married",10000,5000)),IF($AN65="IA",MAX(0,0.038*MAX(0,$AY65-IF($AU65="Head of household",19500,IF($AU65="Married",26000,13000)))-40*$AS65),IF($AN65="ID",0.053*MAX(0,$AY65-IF($AU65="Married",32000,16094)),IF($AN65="IL",0.0495*MAX(0,$AY65-(2925*$AS65+1000*$AT65)),IF($AN65="IN",(0.0295+Inputs!$C$76)*MAX(0,$AY65-(1000*$AS65+1500*$AT65+3000*Inputs!$C$86)),IF($AN65="KY",0.035*MAX(0,$AI65-3360),IF($AN65="LA",IF(Inputs!$C$84="0",0.0309*$AI65,0.0309*MAX(0,$AI65-IF(Inputs!$C$84="2",25750,12875))),IF($AN65="MA",0.05*MIN(MAX(0,$AY65-MIN(($BD64+$Q65+$R65+$S65),2000)-IF($AS65=0,0,IF($AS65=1,4400,1000*$AS65+3400))),1107750)+0.09*MAX(0,MAX(0,$AY65-MIN(($BD64+$Q65+$R65+$S65),2000)-IF($AS65=0,0,IF($AS65=1,4400,1000*$AS65+3400)))-1107750)-IF($AU65="Head of household",120,0)-110*Inputs!$C$75,IF($AN65="MI",0.0425*MAX(0,$AY65-5900*$AS65),IF($AN65="MS",0.04*MAX(0,$AI65-IF($AU65="Head of household",3400,IF($AU65="Married",4600,2300))-Inputs!$C$85-10000),IF($AN65="OR",IF(OR($AU65="Married",AND($AU65="Single",$AS65&gt;=3)),SUMPRODUCT((MAX(0,$AY65-MIN(($P65-'Methodology &amp; Sources'!$C$10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Sources'!$B$211:$J$214,0,4))*(MAX(0,$AY65-MIN(($P65-'Methodology &amp; Sources'!$C$10*$D65)*Inputs!$C$8,IF(OR($AU65="Married",AND($AU65="Single",$AS65&gt;=3)),IF($AY65&lt;250000,8750,IF($AY65&lt;260000,7000,IF($AY65&lt;270000,5250,IF($AY65&lt;280000,3500,IF($AY65&lt;290000,1750,0))))),IF($AY65&lt;125000,8750,IF($AY65&lt;130000,7000,IF($AY65&lt;135000,5250,IF($AY65&lt;140000,3500,IF($AY65&lt;145000,1750,0)))))))-IF(OR($AU65="Married",AND($AU65="Single",$AS65&gt;=3)),5820,2910))-INDEX('Methodology &amp; Sources'!$B$211:$J$214,0,4))*INDEX('Methodology &amp; Sources'!$B$211:$J$214,0,4+2)),SUMPRODUCT((MAX(0,$AY65-MIN(($P65-'Methodology &amp; Sources'!$C$10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Sources'!$B$211:$J$214,0,1))*(MAX(0,$AY65-MIN(($P65-'Methodology &amp; Sources'!$C$10*$D65)*Inputs!$C$8,IF(OR($AU65="Married",AND($AU65="Single",$AS65&gt;=3)),IF($AY65&lt;250000,8750,IF($AY65&lt;260000,7000,IF($AY65&lt;270000,5250,IF($AY65&lt;280000,3500,IF($AY65&lt;290000,1750,0))))),IF($AY65&lt;125000,8750,IF($AY65&lt;130000,7000,IF($AY65&lt;135000,5250,IF($AY65&lt;140000,3500,IF($AY65&lt;145000,1750,0)))))))-IF(OR($AU65="Married",AND($AU65="Single",$AS65&gt;=3)),5820,2910))-INDEX('Methodology &amp; Sources'!$B$211:$J$214,0,1))*INDEX('Methodology &amp; Sources'!$B$211:$J$214,0,1+2)))+263-263*IF(IF($AU65="Married",$AY65&gt;200000,$AY65&gt;100000),0,$AS65),IF($AN65="PA",0.0307*(($O65+$E65+$G65)*Inputs!$C$8),IF($AN65="NY",IF($AU65="Married",IF($AZ65&gt;=2155350,0,IF($AZ65&gt;=1077550,0.48,IF($AZ65&gt;=373200,1.21,IF($AZ65&gt;=323200,0.21,IF($AZ65&gt;=211550,-0.19,IF($AZ65&gt;=157650,-2.8,IF($AZ65&gt;=107650,-0.8,IF($AZ65&gt;=96800,0.05,IF($AZ65&gt;=80650,-0.1,IF($AZ65&gt;=13900,0.4,IF($AZ65&gt;=11700,-0.3,IF($AZ65&gt;=8500,0.5,0)))))))))))),IF($AZ65&gt;=1077550,0,IF($AZ65&gt;=265400,4.29,IF($AZ65&gt;=215400,2.29,IF($AZ65&gt;=157650,2.29,IF($AZ65&gt;=107650,0.29,IF($AZ65&gt;=96800,0.05,IF($AZ65&gt;=80650,-0.1,IF($AZ65&gt;=13900,0.4,IF($AZ65&gt;=11700,-0.3,IF($AZ65&gt;=8500,0.5,0))))))))))),0))))))))))))))))))</f>
      </c>
      <c r="BC65" s="7">
        <f>IF($B65="","",IF($AN65="AL",0.05*$D65,IF($AN65="AR",0.039*$D65,IF($AN65="ID",0.053*$D65,IF($AN65="IN",(0.0295+Inputs!$C$76)*$D65,IF($AN65="KS",0.05*$D65,IF($AN65="MA",0.09*MIN($D65,MAX(0,MAX(0,$AY65-MIN(($BD64+$Q65+$R65+$S65),2000)-IF($AS65=0,0,IF($AS65=1,4400,1000*$AS65+3400)))+$D65-1107750))+0.05*($D65-MIN($D65,MAX(0,MAX(0,$AY65-MIN(($BD64+$Q65+$R65+$S65),2000)-IF($AS65=0,0,IF($AS65=1,4400,1000*$AS65+3400)))+$D65-1107750))),IF($AN65="MD",(0.065+Inputs!$C$74)*$D65,IF($AN65="MI",0.0425*$D65,IF($AN65="MN",0.0625*$D65,IF($AN65="MO",0.047*$D65,IF($AN65="MT",0.05*$D65,IF($AN65="ND",0.015*$D65,IF($AN65="NE",0.035*$D65,IF($AN65="NJ",IF(Inputs!$C$77="B",SUMPRODUCT(($D65*Inputs!$C$8&gt;INDEX('Methodology &amp; Sources'!$B$155:$J$162,0,4))*($D65*Inputs!$C$8-INDEX('Methodology &amp; Sources'!$B$155:$J$162,0,4))*INDEX('Methodology &amp; Sources'!$B$155:$J$162,0,4+2)),IF(Inputs!$C$77="C",SUMPRODUCT(($D65*Inputs!$C$8&gt;INDEX('Methodology &amp; Sources'!$B$155:$J$162,0,7))*($D65*Inputs!$C$8-INDEX('Methodology &amp; Sources'!$B$155:$J$162,0,7))*INDEX('Methodology &amp; Sources'!$B$155:$J$162,0,7+2)),IF(Inputs!$C$77="D",SUMPRODUCT(($D65*Inputs!$C$8&gt;INDEX('Methodology &amp; Sources'!$B$167:$J$179,0,1))*($D65*Inputs!$C$8-INDEX('Methodology &amp; Sources'!$B$167:$J$179,0,1))*INDEX('Methodology &amp; Sources'!$B$167:$J$179,0,1+2)),IF(Inputs!$C$77="E",SUMPRODUCT(($D65*Inputs!$C$8&gt;INDEX('Methodology &amp; Sources'!$B$167:$J$179,0,4))*($D65*Inputs!$C$8-INDEX('Methodology &amp; Sources'!$B$167:$J$179,0,4))*INDEX('Methodology &amp; Sources'!$B$167:$J$179,0,4+2)),SUMPRODUCT(($D65*Inputs!$C$8&gt;INDEX('Methodology &amp; Sources'!$B$155:$J$162,0,1))*($D65*Inputs!$C$8-INDEX('Methodology &amp; Sources'!$B$155:$J$162,0,1))*INDEX('Methodology &amp; Sources'!$B$155:$J$162,0,1+2))))))/Inputs!$C$8,IF($AN65="NY",0.117*$D65,IF($AN65="OH",0.0275*$D65,IF($AN65="OK",0.045*$D65,IF($AN65="OR",0.08*$D65,IF($AN65="WI",IF($AY65&lt;12760,0.0354,IF($AY65&lt;25520,0.0465,IF($AY65&lt;280950,0.053,0.0765)))*$D65,0))))))))))))))))))))</f>
      </c>
      <c r="BD65" s="7">
        <f>IF($B65="","",$BD64+$Q65+$R65+$S65)</f>
      </c>
      <c r="BE65" s="6">
        <f>IF($B65="",$BE64,$BE64+$BF65)</f>
      </c>
      <c r="BF65" s="6">
        <f>IF($B65="","",IF(AND(IF(YEAR(IF(Inputs!$C$7="Weekly",Inputs!$C$90+7*(($BE64+1)-1),IF(Inputs!$C$7="Biweekly",Inputs!$C$90+14*(($BE64+1)-1),IF(Inputs!$C$7="Semimonthly",DATE(YEAR(Inputs!$C$9),MONTH(Inputs!$C$9)+INT((($BE64+1)-1+'Rest of 2026'!$C$2)/2),MIN(DAY(Inputs!$C$9),DAY(EOMONTH(DATE(YEAR(Inputs!$C$9),MONTH(Inputs!$C$9)+INT((($BE64+1)-1+'Rest of 2026'!$C$2)/2),1),0))))+IF(MOD(($BE64+1)-1+'Rest of 2026'!$C$2,2)=1,15,0),EDATE(Inputs!$C$90,($BE64+1)-1)))))&lt;&gt;Inputs!$C$10,"",IF(Inputs!$C$7="Weekly",Inputs!$C$90+7*(($BE64+1)-1),IF(Inputs!$C$7="Biweekly",Inputs!$C$90+14*(($BE64+1)-1),IF(Inputs!$C$7="Semimonthly",DATE(YEAR(Inputs!$C$9),MONTH(Inputs!$C$9)+INT((($BE64+1)-1+'Rest of 2026'!$C$2)/2),MIN(DAY(Inputs!$C$9),DAY(EOMONTH(DATE(YEAR(Inputs!$C$9),MONTH(Inputs!$C$9)+INT((($BE64+1)-1+'Rest of 2026'!$C$2)/2),1),0))))+IF(MOD(($BE64+1)-1+'Rest of 2026'!$C$2,2)=1,15,0),EDATE(Inputs!$C$90,($BE64+1)-1)))))&lt;&gt;"",$B65=IF(YEAR(IF(Inputs!$C$7="Weekly",Inputs!$C$90+7*(($BE64+1)-1),IF(Inputs!$C$7="Biweekly",Inputs!$C$90+14*(($BE64+1)-1),IF(Inputs!$C$7="Semimonthly",DATE(YEAR(Inputs!$C$9),MONTH(Inputs!$C$9)+INT((($BE64+1)-1+'Rest of 2026'!$C$2)/2),MIN(DAY(Inputs!$C$9),DAY(EOMONTH(DATE(YEAR(Inputs!$C$9),MONTH(Inputs!$C$9)+INT((($BE64+1)-1+'Rest of 2026'!$C$2)/2),1),0))))+IF(MOD(($BE64+1)-1+'Rest of 2026'!$C$2,2)=1,15,0),EDATE(Inputs!$C$90,($BE64+1)-1)))))&lt;&gt;Inputs!$C$10,"",IF(Inputs!$C$7="Weekly",Inputs!$C$90+7*(($BE64+1)-1),IF(Inputs!$C$7="Biweekly",Inputs!$C$90+14*(($BE64+1)-1),IF(Inputs!$C$7="Semimonthly",DATE(YEAR(Inputs!$C$9),MONTH(Inputs!$C$9)+INT((($BE64+1)-1+'Rest of 2026'!$C$2)/2),MIN(DAY(Inputs!$C$9),DAY(EOMONTH(DATE(YEAR(Inputs!$C$9),MONTH(Inputs!$C$9)+INT((($BE64+1)-1+'Rest of 2026'!$C$2)/2),1),0))))+IF(MOD(($BE64+1)-1+'Rest of 2026'!$C$2,2)=1,15,0),EDATE(Inputs!$C$90,($BE64+1)-1)))))),1,0))</f>
      </c>
      <c r="BG65" s="7">
        <f>IF($B65="","",$BG64+$H65)</f>
      </c>
      <c r="BH65" s="7">
        <f>IF($B65="","",$BH64+$I65)</f>
      </c>
      <c r="BI65" s="7">
        <f>IF($B65="","",$BI64+$G65)</f>
      </c>
      <c r="BJ65" s="7">
        <f>IF($B65="","",IFERROR(LOOKUP(2,1/((((Events!$C$6:$C$17="Deduction start"))*(Events!$D$6:$D$17="Health FSA"))*(Events!$B$6:$B$17&lt;=$B65)*(Events!$B$6:$B$17&lt;&gt;"")),Events!$E$6:$E$17),Inputs!$D$38))</f>
      </c>
      <c r="BK65" s="7">
        <f>IF($B65="","",IFERROR(LOOKUP(2,1/((((Events!$C$6:$C$17="Deduction start"))*(Events!$D$6:$D$17="Dependent-care FSA"))*(Events!$B$6:$B$17&lt;=$B65)*(Events!$B$6:$B$17&lt;&gt;"")),Events!$E$6:$E$17),Inputs!$D$39))</f>
      </c>
      <c r="BL65" s="7">
        <f>IF($B65="","",IFERROR(LOOKUP(2,1/((((Events!$C$6:$C$17="Deduction start")+(Events!$C$6:$C$17="Deduction stop"))*(Events!$D$6:$D$17="HSA"))*(Events!$B$6:$B$17&lt;=$B65)*(Events!$B$6:$B$17&lt;&gt;"")),Events!$I$6:$I$17),Inputs!$D$35))</f>
      </c>
      <c r="BM65" s="7">
        <f>IF($B65="","",IFERROR(LOOKUP(2,1/((((Events!$C$6:$C$17="Deduction start")+(Events!$C$6:$C$17="Deduction stop"))*(Events!$D$6:$D$17="Premiums"))*(Events!$B$6:$B$17&lt;=$B65)*(Events!$B$6:$B$17&lt;&gt;"")),Events!$I$6:$I$17),Inputs!$D$40+Inputs!$D$41+Inputs!$D$42))</f>
      </c>
      <c r="BN65" s="7">
        <f>IF($B65="","",IFERROR(LOOKUP(2,1/((((Events!$C$6:$C$17="Deduction start")+(Events!$C$6:$C$17="Deduction stop"))*(Events!$D$6:$D$17="Commuter"))*(Events!$B$6:$B$17&lt;=$B65)*(Events!$B$6:$B$17&lt;&gt;"")),Events!$I$6:$I$17),Inputs!$D$43))</f>
      </c>
      <c r="BO65" s="7">
        <f>IF($B65="","",IFERROR(LOOKUP(2,1/((((Events!$C$6:$C$17="Deduction start")+(Events!$C$6:$C$17="Deduction stop"))*(Events!$D$6:$D$17="Other pre-tax"))*(Events!$B$6:$B$17&lt;=$B65)*(Events!$B$6:$B$17&lt;&gt;"")),Events!$I$6:$I$17),Inputs!$D$44))</f>
      </c>
      <c r="BP65" s="7">
        <f>IF($B65="","",IFERROR(LOOKUP(2,1/((((Events!$C$6:$C$17="Deduction start")+(Events!$C$6:$C$17="Deduction stop"))*(Events!$D$6:$D$17="Other post-tax"))*(Events!$B$6:$B$17&lt;=$B65)*(Events!$B$6:$B$17&lt;&gt;"")),Events!$I$6:$I$17),Inputs!$D$45))</f>
      </c>
      <c r="BQ65" s="6">
        <f>IF($B65="","",IFERROR(LOOKUP(2,1/((((Events!$C$6:$C$17="Deduction start")+(Events!$C$6:$C$17="Deduction stop"))*(Events!$D$6:$D$17="Health FSA"))*(Events!$B$6:$B$17&lt;=$B65)*(Events!$B$6:$B$17&lt;&gt;"")),Events!$J$6:$J$17),0))</f>
      </c>
      <c r="BR65" s="6">
        <f>IF($B65="","",IFERROR(LOOKUP(2,1/((((Events!$C$6:$C$17="Deduction start")+(Events!$C$6:$C$17="Deduction stop"))*(Events!$D$6:$D$17="Dependent-care FSA"))*(Events!$B$6:$B$17&lt;=$B65)*(Events!$B$6:$B$17&lt;&gt;"")),Events!$J$6:$J$17),0))</f>
      </c>
      <c r="BS65" s="6">
        <f>IF($B65="","",IF(SUMPRODUCT((Events!$C$6:$C$17="Deduction start")*(Events!$B$6:$B$17&lt;=$B65)*(Events!$B$6:$B$17&lt;&gt;"")*(Events!$D$6:$D$17="Health FSA"))&gt;0,1,0))</f>
      </c>
      <c r="BT65" s="6">
        <f>IF($B65="","",IF(SUMPRODUCT((Events!$C$6:$C$17="Deduction start")*(Events!$B$6:$B$17&lt;=$B65)*(Events!$B$6:$B$17&lt;&gt;"")*(Events!$D$6:$D$17="Dependent-care FSA"))&gt;0,1,0))</f>
      </c>
      <c r="BU65" s="24">
        <f>IF($B65="","",IF(Inputs!$C$13,SUMPRODUCT(($AH65&gt;=INDEX('Methodology &amp; Sources'!$B$29:$J$36,0,IF(Inputs!$C$12="MFJ",1,IF(Inputs!$C$12="HoH",7,4))))*INDEX('Methodology &amp; Sources'!$B$29:$J$36,0,IF(Inputs!$C$12="MFJ",1,IF(Inputs!$C$12="HoH",7,4))+2)),SUMPRODUCT(($AH65&gt;=INDEX('Methodology &amp; Sources'!$B$19:$J$26,0,IF(Inputs!$C$12="MFJ",1,IF(Inputs!$C$12="HoH",7,4))))*INDEX('Methodology &amp; Sources'!$B$19:$J$26,0,IF(Inputs!$C$12="MFJ",1,IF(Inputs!$C$12="HoH",7,4))+2))))</f>
      </c>
      <c r="BV65" s="24">
        <f>IF($B65="","",IF($BZ65&lt;&gt;"",$BZ65,IF($CA65&lt;&gt;"",$CA65,IF($CB65&lt;&gt;"",$CB65,IF($CC65&lt;&gt;"",$CC65,0)))))</f>
      </c>
      <c r="BW65" s="7">
        <f>IF($B65="","",IF($AN65="MD",IF(OR($AU65="Married",$AU65="Head of household"),SUMPRODUCT(($AZ65&gt;INDEX('Methodology &amp; Sources'!$B$114:$J$120,0,1))*($AZ65-INDEX('Methodology &amp; Sources'!$B$114:$J$120,0,1))*INDEX('Methodology &amp; Sources'!$B$114:$J$120,0,1+2)),SUMPRODUCT(($AZ65&gt;INDEX('Methodology &amp; Sources'!$B$103:$J$109,0,7))*($AZ65-INDEX('Methodology &amp; Sources'!$B$103:$J$109,0,7))*INDEX('Methodology &amp; Sources'!$B$103:$J$109,0,7+2))),IF($AN65="MO",SUMPRODUCT(($AZ65&gt;INDEX('Methodology &amp; Sources'!$B$125:$J$132,0,1))*($AZ65-INDEX('Methodology &amp; Sources'!$B$125:$J$132,0,1))*INDEX('Methodology &amp; Sources'!$B$125:$J$132,0,1+2)),IF($AN65="MT",IF($AU65="Head of household",SUMPRODUCT(($AZ65&gt;INDEX('Methodology &amp; Sources'!$B$137:$J$139,0,1))*($AZ65-INDEX('Methodology &amp; Sources'!$B$137:$J$139,0,1))*INDEX('Methodology &amp; Sources'!$B$137:$J$139,0,1+2)),IF($AU65="Married",SUMPRODUCT(($AZ65&gt;INDEX('Methodology &amp; Sources'!$B$125:$J$132,0,7))*($AZ65-INDEX('Methodology &amp; Sources'!$B$125:$J$132,0,7))*INDEX('Methodology &amp; Sources'!$B$125:$J$132,0,7+2)),SUMPRODUCT(($AZ65&gt;INDEX('Methodology &amp; Sources'!$B$125:$J$132,0,4))*($AZ65-INDEX('Methodology &amp; Sources'!$B$125:$J$132,0,4))*INDEX('Methodology &amp; Sources'!$B$125:$J$132,0,4+2)))),IF($AN65="ND",IF($AU65="Head of household",SUMPRODUCT(($AZ65&gt;INDEX('Methodology &amp; Sources'!$B$144:$J$150,0,1))*($AZ65-INDEX('Methodology &amp; Sources'!$B$144:$J$150,0,1))*INDEX('Methodology &amp; Sources'!$B$144:$J$150,0,1+2)),IF($AU65="Married",SUMPRODUCT(($AZ65&gt;INDEX('Methodology &amp; Sources'!$B$137:$J$139,0,7))*($AZ65-INDEX('Methodology &amp; Sources'!$B$137:$J$139,0,7))*INDEX('Methodology &amp; Sources'!$B$137:$J$139,0,7+2)),SUMPRODUCT(($AZ65&gt;INDEX('Methodology &amp; Sources'!$B$137:$J$139,0,4))*($AZ65-INDEX('Methodology &amp; Sources'!$B$137:$J$139,0,4))*INDEX('Methodology &amp; Sources'!$B$137:$J$139,0,4+2)))),IF($AN65="NJ",IF(Inputs!$C$77="B",SUMPRODUCT(($AZ65&gt;INDEX('Methodology &amp; Sources'!$B$155:$J$162,0,4))*($AZ65-INDEX('Methodology &amp; Sources'!$B$155:$J$162,0,4))*INDEX('Methodology &amp; Sources'!$B$155:$J$162,0,4+2)),IF(Inputs!$C$77="C",SUMPRODUCT(($AZ65&gt;INDEX('Methodology &amp; Sources'!$B$155:$J$162,0,7))*($AZ65-INDEX('Methodology &amp; Sources'!$B$155:$J$162,0,7))*INDEX('Methodology &amp; Sources'!$B$155:$J$162,0,7+2)),IF(Inputs!$C$77="D",SUMPRODUCT(($AZ65&gt;INDEX('Methodology &amp; Sources'!$B$167:$J$179,0,1))*($AZ65-INDEX('Methodology &amp; Sources'!$B$167:$J$179,0,1))*INDEX('Methodology &amp; Sources'!$B$167:$J$179,0,1+2)),IF(Inputs!$C$77="E",SUMPRODUCT(($AZ65&gt;INDEX('Methodology &amp; Sources'!$B$167:$J$179,0,4))*($AZ65-INDEX('Methodology &amp; Sources'!$B$167:$J$179,0,4))*INDEX('Methodology &amp; Sources'!$B$167:$J$179,0,4+2)),SUMPRODUCT(($AZ65&gt;INDEX('Methodology &amp; Sources'!$B$155:$J$162,0,1))*($AZ65-INDEX('Methodology &amp; Sources'!$B$155:$J$162,0,1))*INDEX('Methodology &amp; Sources'!$B$155:$J$162,0,1+2)))))),IF($AN65="NY",IF($AU65="Married",IF($AZ65&gt;=2155350,$AZ65*IF($AZ65&gt;25000000,0.117,IF($AZ65&gt;5000000,0.111,0.1045)),SUMPRODUCT(($AZ65&gt;INDEX('Methodology &amp; Sources'!$B$184:$J$198,0,1))*($AZ65-INDEX('Methodology &amp; Sources'!$B$184:$J$198,0,1))*INDEX('Methodology &amp; Sources'!$B$184:$J$198,0,1+2))),IF($AZ65&gt;=1077550,$AZ65*IF($AZ65&gt;25000000,0.117,IF($AZ65&gt;5000000,0.111,0.1045)),SUMPRODUCT(($AZ65&gt;INDEX('Methodology &amp; Sources'!$B$167:$J$179,0,7))*($AZ65-INDEX('Methodology &amp; Sources'!$B$167:$J$179,0,7))*INDEX('Methodology &amp; Sources'!$B$167:$J$179,0,7+2)))),"")))))))</f>
      </c>
      <c r="BX65" s="7">
        <f>IF($B65="","",IF($AN65="AL",IF(OR($AU65="Married",$AU65="Head of household"),SUMPRODUCT(($AZ65&gt;INDEX('Methodology &amp; Sources'!$B$82:$J$86,0,4))*($AZ65-INDEX('Methodology &amp; Sources'!$B$82:$J$86,0,4))*INDEX('Methodology &amp; Sources'!$B$82:$J$86,0,4+2)),SUMPRODUCT(($AZ65&gt;INDEX('Methodology &amp; Sources'!$B$82:$J$86,0,1))*($AZ65-INDEX('Methodology &amp; Sources'!$B$82:$J$86,0,1))*INDEX('Methodology &amp; Sources'!$B$82:$J$86,0,1+2))),IF($AN65="KS",IF($AU65="Married",SUMPRODUCT(($AZ65&gt;INDEX('Methodology &amp; Sources'!$B$103:$J$109,0,4))*($AZ65-INDEX('Methodology &amp; Sources'!$B$103:$J$109,0,4))*INDEX('Methodology &amp; Sources'!$B$103:$J$109,0,4+2)),SUMPRODUCT(($AZ65&gt;INDEX('Methodology &amp; Sources'!$B$103:$J$109,0,1))*($AZ65-INDEX('Methodology &amp; Sources'!$B$103:$J$109,0,1))*INDEX('Methodology &amp; Sources'!$B$103:$J$109,0,1+2))),IF($AN65="MN",IF($AU65="Married",SUMPRODUCT(($AZ65&gt;INDEX('Methodology &amp; Sources'!$B$114:$J$120,0,7))*($AZ65-INDEX('Methodology &amp; Sources'!$B$114:$J$120,0,7))*INDEX('Methodology &amp; Sources'!$B$114:$J$120,0,7+2)),SUMPRODUCT(($AZ65&gt;INDEX('Methodology &amp; Sources'!$B$114:$J$120,0,4))*($AZ65-INDEX('Methodology &amp; Sources'!$B$114:$J$120,0,4))*INDEX('Methodology &amp; Sources'!$B$114:$J$120,0,4+2))),IF($AN65="NE",MAX(IF($AU65="Married",SUMPRODUCT(($AZ65&gt;INDEX('Methodology &amp; Sources'!$B$144:$J$150,0,7))*($AZ65-INDEX('Methodology &amp; Sources'!$B$144:$J$150,0,7))*INDEX('Methodology &amp; Sources'!$B$144:$J$150,0,7+2)),SUMPRODUCT(($AZ65&gt;INDEX('Methodology &amp; Sources'!$B$144:$J$150,0,4))*($AZ65-INDEX('Methodology &amp; Sources'!$B$144:$J$150,0,4))*INDEX('Methodology &amp; Sources'!$B$144:$J$150,0,4+2))),0.015*$AZ65),IF($AN65="OH",IF($B65&gt;=DATE(2027,8,1),SUMPRODUCT(($AZ65&gt;INDEX('Methodology &amp; Sources'!$B$203:$J$206,0,1))*($AZ65-INDEX('Methodology &amp; Sources'!$B$203:$J$206,0,1))*INDEX('Methodology &amp; Sources'!$B$203:$J$206,0,1+2)),SUMPRODUCT(($AZ65&gt;INDEX('Methodology &amp; Sources'!$B$184:$J$198,0,7))*($AZ65-INDEX('Methodology &amp; Sources'!$B$184:$J$198,0,7))*INDEX('Methodology &amp; Sources'!$B$184:$J$198,0,7+2))),IF($AN65="OK",IF($AU65="Married",SUMPRODUCT(($AZ65&gt;INDEX('Methodology &amp; Sources'!$B$203:$J$206,0,7))*($AZ65-INDEX('Methodology &amp; Sources'!$B$203:$J$206,0,7))*INDEX('Methodology &amp; Sources'!$B$203:$J$206,0,7+2)),SUMPRODUCT(($AZ65&gt;INDEX('Methodology &amp; Sources'!$B$203:$J$206,0,4))*($AZ65-INDEX('Methodology &amp; Sources'!$B$203:$J$206,0,4))*INDEX('Methodology &amp; Sources'!$B$203:$J$206,0,4+2))),IF($AN65="RI",SUMPRODUCT(($AZ65&gt;INDEX('Methodology &amp; Sources'!$B$211:$J$214,0,7))*($AZ65-INDEX('Methodology &amp; Sources'!$B$211:$J$214,0,7))*INDEX('Methodology &amp; Sources'!$B$211:$J$214,0,7+2)),IF($AN65="VT",IF($AU65="Married",SUMPRODUCT(($AZ65&gt;INDEX('Methodology &amp; Sources'!$B$228:$J$232,0,1))*($AZ65-INDEX('Methodology &amp; Sources'!$B$228:$J$232,0,1))*INDEX('Methodology &amp; Sources'!$B$228:$J$232,0,1+2)),SUMPRODUCT(($AZ65&gt;INDEX('Methodology &amp; Sources'!$B$219:$J$223,0,7))*($AZ65-INDEX('Methodology &amp; Sources'!$B$219:$J$223,0,7))*INDEX('Methodology &amp; Sources'!$B$219:$J$223,0,7+2))),IF($AN65="WV",IF($AU65="Married",SUMPRODUCT(($AZ65&gt;INDEX('Methodology &amp; Sources'!$B$237:$J$241,0,7))*($AZ65-INDEX('Methodology &amp; Sources'!$B$237:$J$241,0,7))*INDEX('Methodology &amp; Sources'!$B$237:$J$241,0,7+2)),SUMPRODUCT(($AZ65&gt;INDEX('Methodology &amp; Sources'!$B$228:$J$232,0,7))*($AZ65-INDEX('Methodology &amp; Sources'!$B$228:$J$232,0,7))*INDEX('Methodology &amp; Sources'!$B$228:$J$232,0,7+2))),""))))))))))</f>
      </c>
      <c r="BY65" s="7">
        <f>IF($B65="","",IF($AN65="AR",SUMPRODUCT(($AZ65&gt;INDEX('Methodology &amp; Sources'!$B$82:$J$86,0,7))*($AZ65-INDEX('Methodology &amp; Sources'!$B$82:$J$86,0,7))*INDEX('Methodology &amp; Sources'!$B$82:$J$86,0,7+2)),IF($AN65="DE",SUMPRODUCT(($AZ65&gt;INDEX('Methodology &amp; Sources'!$B$91:$J$98,0,1))*($AZ65-INDEX('Methodology &amp; Sources'!$B$91:$J$98,0,1))*INDEX('Methodology &amp; Sources'!$B$91:$J$98,0,1+2)),IF($AN65="HI",IF($AU65="Married",SUMPRODUCT(($AZ65&gt;INDEX('Methodology &amp; Sources'!$B$91:$J$98,0,7))*($AZ65-INDEX('Methodology &amp; Sources'!$B$91:$J$98,0,7))*INDEX('Methodology &amp; Sources'!$B$91:$J$98,0,7+2)),SUMPRODUCT(($AZ65&gt;INDEX('Methodology &amp; Sources'!$B$91:$J$98,0,4))*($AZ65-INDEX('Methodology &amp; Sources'!$B$91:$J$98,0,4))*INDEX('Methodology &amp; Sources'!$B$91:$J$98,0,4+2))),IF($AN65="SC",SUMPRODUCT(($AZ65&gt;INDEX('Methodology &amp; Sources'!$B$219:$J$223,0,1))*($AZ65-INDEX('Methodology &amp; Sources'!$B$219:$J$223,0,1))*INDEX('Methodology &amp; Sources'!$B$219:$J$223,0,1+2)),IF($AN65="VA",SUMPRODUCT(($AZ65&gt;INDEX('Methodology &amp; Sources'!$B$219:$J$223,0,4))*($AZ65-INDEX('Methodology &amp; Sources'!$B$219:$J$223,0,4))*INDEX('Methodology &amp; Sources'!$B$219:$J$223,0,4+2)),IF($AN65="WI",SUMPRODUCT(($AZ65&gt;INDEX('Methodology &amp; Sources'!$B$228:$J$232,0,4))*($AZ65-INDEX('Methodology &amp; Sources'!$B$228:$J$232,0,4))*INDEX('Methodology &amp; Sources'!$B$228:$J$232,0,4+2)),"")))))))</f>
      </c>
      <c r="BZ65" s="24">
        <f>IF($B65="","",IF($AN65="NJ",IF(Inputs!$C$77="B",SUMPRODUCT(($AZ65&gt;=INDEX('Methodology &amp; Sources'!$B$155:$J$162,0,4))*INDEX('Methodology &amp; Sources'!$B$155:$J$162,0,4+2)),IF(Inputs!$C$77="C",SUMPRODUCT(($AZ65&gt;=INDEX('Methodology &amp; Sources'!$B$155:$J$162,0,7))*INDEX('Methodology &amp; Sources'!$B$155:$J$162,0,7+2)),IF(Inputs!$C$77="D",SUMPRODUCT(($AZ65&gt;=INDEX('Methodology &amp; Sources'!$B$167:$J$179,0,1))*INDEX('Methodology &amp; Sources'!$B$167:$J$179,0,1+2)),IF(Inputs!$C$77="E",SUMPRODUCT(($AZ65&gt;=INDEX('Methodology &amp; Sources'!$B$167:$J$179,0,4))*INDEX('Methodology &amp; Sources'!$B$167:$J$179,0,4+2)),SUMPRODUCT(($AZ65&gt;=INDEX('Methodology &amp; Sources'!$B$155:$J$162,0,1))*INDEX('Methodology &amp; Sources'!$B$155:$J$162,0,1+2)))))),IF($AN65="OR",IF(OR($AU65="Married",AND($AU65="Single",$AS65&gt;=3)),SUMPRODUCT((MAX(0,$AY65-MIN(($P65-'Methodology &amp; Sources'!$C$10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Sources'!$B$211:$J$214,0,4))*INDEX('Methodology &amp; Sources'!$B$211:$J$214,0,4+2)),SUMPRODUCT((MAX(0,$AY65-MIN(($P65-'Methodology &amp; Sources'!$C$10*$D65)*Inputs!$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Sources'!$B$211:$J$214,0,1))*INDEX('Methodology &amp; Sources'!$B$211:$J$214,0,1+2)))*IF(($P65-'Methodology &amp; Sources'!$C$10*$D65)*Inputs!$C$8&gt;=IF(OR($AU65="Married",AND($AU65="Single",$AS65&gt;=3)),IF($AY65&lt;250000,8750,IF($AY65&lt;260000,7000,IF($AY65&lt;270000,5250,IF($AY65&lt;280000,3500,IF($AY65&lt;290000,1750,0))))),IF($AY65&lt;125000,8750,IF($AY65&lt;130000,7000,IF($AY65&lt;135000,5250,IF($AY65&lt;140000,3500,IF($AY65&lt;145000,1750,0)))))),1,1-IF(Inputs!$C$13,SUMPRODUCT(($AH65&gt;=INDEX('Methodology &amp; Sources'!$B$29:$J$36,0,IF(Inputs!$C$12="MFJ",1,IF(Inputs!$C$12="HoH",7,4))))*INDEX('Methodology &amp; Sources'!$B$29:$J$36,0,IF(Inputs!$C$12="MFJ",1,IF(Inputs!$C$12="HoH",7,4))+2)),SUMPRODUCT(($AH65&gt;=INDEX('Methodology &amp; Sources'!$B$19:$J$26,0,IF(Inputs!$C$12="MFJ",1,IF(Inputs!$C$12="HoH",7,4))))*INDEX('Methodology &amp; Sources'!$B$19:$J$26,0,IF(Inputs!$C$12="MFJ",1,IF(Inputs!$C$12="HoH",7,4))+2)))),IF($AN65="MI",IF($AY65&gt;5900*$AS65,0.0425,0),""))))</f>
      </c>
      <c r="CA65" s="24">
        <f>IF($B65="","",IF($AN65="AL",IF(OR($AU65="Married",$AU65="Head of household"),SUMPRODUCT(($AZ65&gt;=INDEX('Methodology &amp; Sources'!$B$82:$J$86,0,4))*INDEX('Methodology &amp; Sources'!$B$82:$J$86,0,4+2)),SUMPRODUCT(($AZ65&gt;=INDEX('Methodology &amp; Sources'!$B$82:$J$86,0,1))*INDEX('Methodology &amp; Sources'!$B$82:$J$86,0,1+2)))*(1-IF(Inputs!$C$13,SUMPRODUCT(($AH65&gt;=INDEX('Methodology &amp; Sources'!$B$29:$J$36,0,IF(Inputs!$C$12="MFJ",1,IF(Inputs!$C$12="HoH",7,4))))*INDEX('Methodology &amp; Sources'!$B$29:$J$36,0,IF(Inputs!$C$12="MFJ",1,IF(Inputs!$C$12="HoH",7,4))+2)),SUMPRODUCT(($AH65&gt;=INDEX('Methodology &amp; Sources'!$B$19:$J$26,0,IF(Inputs!$C$12="MFJ",1,IF(Inputs!$C$12="HoH",7,4))))*INDEX('Methodology &amp; Sources'!$B$19:$J$26,0,IF(Inputs!$C$12="MFJ",1,IF(Inputs!$C$12="HoH",7,4))+2)))),IF($AN65="KS",IF($AU65="Married",SUMPRODUCT(($AZ65&gt;=INDEX('Methodology &amp; Sources'!$B$103:$J$109,0,4))*INDEX('Methodology &amp; Sources'!$B$103:$J$109,0,4+2)),SUMPRODUCT(($AZ65&gt;=INDEX('Methodology &amp; Sources'!$B$103:$J$109,0,1))*INDEX('Methodology &amp; Sources'!$B$103:$J$109,0,1+2))),IF($AN65="MD",IF(OR($AU65="Married",$AU65="Head of household"),SUMPRODUCT(($AZ65&gt;=INDEX('Methodology &amp; Sources'!$B$114:$J$120,0,1))*INDEX('Methodology &amp; Sources'!$B$114:$J$120,0,1+2)),SUMPRODUCT(($AZ65&gt;=INDEX('Methodology &amp; Sources'!$B$103:$J$109,0,7))*INDEX('Methodology &amp; Sources'!$B$103:$J$109,0,7+2)))+Inputs!$C$74,IF($AN65="MT",IF($AU65="Head of household",SUMPRODUCT(($AZ65&gt;=INDEX('Methodology &amp; Sources'!$B$137:$J$139,0,1))*INDEX('Methodology &amp; Sources'!$B$137:$J$139,0,1+2)),IF($AU65="Married",SUMPRODUCT(($AZ65&gt;=INDEX('Methodology &amp; Sources'!$B$125:$J$132,0,7))*INDEX('Methodology &amp; Sources'!$B$125:$J$132,0,7+2)),SUMPRODUCT(($AZ65&gt;=INDEX('Methodology &amp; Sources'!$B$125:$J$132,0,4))*INDEX('Methodology &amp; Sources'!$B$125:$J$132,0,4+2)))),IF($AN65="ND",IF($AU65="Head of household",SUMPRODUCT(($AZ65&gt;=INDEX('Methodology &amp; Sources'!$B$144:$J$150,0,1))*INDEX('Methodology &amp; Sources'!$B$144:$J$150,0,1+2)),IF($AU65="Married",SUMPRODUCT(($AZ65&gt;=INDEX('Methodology &amp; Sources'!$B$137:$J$139,0,7))*INDEX('Methodology &amp; Sources'!$B$137:$J$139,0,7+2)),SUMPRODUCT(($AZ65&gt;=INDEX('Methodology &amp; Sources'!$B$137:$J$139,0,4))*INDEX('Methodology &amp; Sources'!$B$137:$J$139,0,4+2)))),IF($AN65="NY",IF($AU65="Married",IF($AZ65&gt;=2155350,IF($AZ65&gt;25000000,0.117,IF($AZ65&gt;5000000,0.111,0.1045)),SUMPRODUCT(($AZ65&gt;=INDEX('Methodology &amp; Sources'!$B$184:$J$198,0,1))*INDEX('Methodology &amp; Sources'!$B$184:$J$198,0,1+2))),IF($AZ65&gt;=1077550,IF($AZ65&gt;25000000,0.117,IF($AZ65&gt;5000000,0.111,0.1045)),SUMPRODUCT(($AZ65&gt;=INDEX('Methodology &amp; Sources'!$B$167:$J$179,0,7))*INDEX('Methodology &amp; Sources'!$B$167:$J$179,0,7+2)))),"")))))))</f>
      </c>
      <c r="CB65" s="24">
        <f>IF($B65="","",IF($AN65="CA",SUMPRODUCT(($AJ65&gt;=INDEX('Methodology &amp; Sources'!$B$39:$J$48,0,IF($AU65="Married",4,IF($AU65="Head of household",7,1))))*INDEX('Methodology &amp; Sources'!$B$39:$J$48,0,IF($AU65="Married",4,IF($AU65="Head of household",7,1))+2)),IF($AN65="HI",IF($AU65="Married",SUMPRODUCT(($AZ65&gt;=INDEX('Methodology &amp; Sources'!$B$91:$J$98,0,7))*INDEX('Methodology &amp; Sources'!$B$91:$J$98,0,7+2)),SUMPRODUCT(($AZ65&gt;=INDEX('Methodology &amp; Sources'!$B$91:$J$98,0,4))*INDEX('Methodology &amp; Sources'!$B$91:$J$98,0,4+2))),IF($AN65="MN",IF($AU65="Married",SUMPRODUCT(($AZ65&gt;=INDEX('Methodology &amp; Sources'!$B$114:$J$120,0,7))*INDEX('Methodology &amp; Sources'!$B$114:$J$120,0,7+2)),SUMPRODUCT(($AZ65&gt;=INDEX('Methodology &amp; Sources'!$B$114:$J$120,0,4))*INDEX('Methodology &amp; Sources'!$B$114:$J$120,0,4+2))),IF($AN65="MO",SUMPRODUCT(($AZ65&gt;=INDEX('Methodology &amp; Sources'!$B$125:$J$132,0,1))*INDEX('Methodology &amp; Sources'!$B$125:$J$132,0,1+2)),IF($AN65="NE",MAX(IF($AU65="Married",SUMPRODUCT(($AZ65&gt;=INDEX('Methodology &amp; Sources'!$B$144:$J$150,0,7))*INDEX('Methodology &amp; Sources'!$B$144:$J$150,0,7+2)),SUMPRODUCT(($AZ65&gt;=INDEX('Methodology &amp; Sources'!$B$144:$J$150,0,4))*INDEX('Methodology &amp; Sources'!$B$144:$J$150,0,4+2))),0.015),IF($AN65="OH",IF($B65&gt;=DATE(2027,8,1),SUMPRODUCT(($AZ65&gt;=INDEX('Methodology &amp; Sources'!$B$203:$J$206,0,1))*INDEX('Methodology &amp; Sources'!$B$203:$J$206,0,1+2)),SUMPRODUCT(($AZ65&gt;=INDEX('Methodology &amp; Sources'!$B$184:$J$198,0,7))*INDEX('Methodology &amp; Sources'!$B$184:$J$198,0,7+2))),IF($AN65="OK",IF($AU65="Married",SUMPRODUCT(($AZ65&gt;=INDEX('Methodology &amp; Sources'!$B$203:$J$206,0,7))*INDEX('Methodology &amp; Sources'!$B$203:$J$206,0,7+2)),SUMPRODUCT(($AZ65&gt;=INDEX('Methodology &amp; Sources'!$B$203:$J$206,0,4))*INDEX('Methodology &amp; Sources'!$B$203:$J$206,0,4+2))),IF($AN65="RI",SUMPRODUCT(($AZ65&gt;=INDEX('Methodology &amp; Sources'!$B$211:$J$214,0,7))*INDEX('Methodology &amp; Sources'!$B$211:$J$214,0,7+2)),IF($AN65="SC",SUMPRODUCT(($AZ65&gt;=INDEX('Methodology &amp; Sources'!$B$219:$J$223,0,1))*INDEX('Methodology &amp; Sources'!$B$219:$J$223,0,1+2)),IF($AN65="VT",IF($AU65="Married",SUMPRODUCT(($AZ65&gt;=INDEX('Methodology &amp; Sources'!$B$228:$J$232,0,1))*INDEX('Methodology &amp; Sources'!$B$228:$J$232,0,1+2)),SUMPRODUCT(($AZ65&gt;=INDEX('Methodology &amp; Sources'!$B$219:$J$223,0,7))*INDEX('Methodology &amp; Sources'!$B$219:$J$223,0,7+2))),IF($AN65="WV",IF($AU65="Married",SUMPRODUCT(($AZ65&gt;=INDEX('Methodology &amp; Sources'!$B$237:$J$241,0,7))*INDEX('Methodology &amp; Sources'!$B$237:$J$241,0,7+2)),SUMPRODUCT(($AZ65&gt;=INDEX('Methodology &amp; Sources'!$B$228:$J$232,0,7))*INDEX('Methodology &amp; Sources'!$B$228:$J$232,0,7+2))),IF($AN65="IN",(0.0295+Inputs!$C$76),"")))))))))))))</f>
      </c>
      <c r="CC65" s="24">
        <f>IF($B65="","",IF($AN65="AR",SUMPRODUCT(($AZ65&gt;=INDEX('Methodology &amp; Sources'!$B$82:$J$86,0,7))*INDEX('Methodology &amp; Sources'!$B$82:$J$86,0,7+2)),IF($AN65="DE",SUMPRODUCT(($AZ65&gt;=INDEX('Methodology &amp; Sources'!$B$91:$J$98,0,1))*INDEX('Methodology &amp; Sources'!$B$91:$J$98,0,1+2)),IF($AN65="VA",SUMPRODUCT(($AZ65&gt;=INDEX('Methodology &amp; Sources'!$B$219:$J$223,0,4))*INDEX('Methodology &amp; Sources'!$B$219:$J$223,0,4+2)),IF($AN65="WI",SUMPRODUCT(($AZ65&gt;=INDEX('Methodology &amp; Sources'!$B$228:$J$232,0,4))*INDEX('Methodology &amp; Sources'!$B$228:$J$232,0,4+2)),IF($AN65="AZ",Inputs!$C$82,IF($AN65="CO",IF($AY65&gt;IF($AU65="Married",10000,5000),0.044,0),IF($AN65="IA",IF($AY65&gt;IF($AU65="Head of household",19500,IF($AU65="Married",26000,13000)),0.038,0),IF($AN65="ID",IF($AY65&gt;IF($AU65="Married",32000,16094),0.053,0),IF($AN65="IL",IF($AY65&gt;(2925*$AS65+1000*$AT65),0.0495,0),IF($AN65="KY",IF($AI65&gt;3360,0.035,0),IF($AN65="LA",0.0309,IF($AN65="MA",IF(MAX(0,$AY65-MIN(($BD64+$Q65+$R65+$S65),2000)-IF($AS65=0,0,IF($AS65=1,4400,1000*$AS65+3400)))&gt;=1107750,0.09,0.05),IF($AN65="MS",IF($AI65-IF($AU65="Head of household",3400,IF($AU65="Married",4600,2300))-Inputs!$C$85&gt;10000,0.04,0),IF($AN65="PA",0.0307,"")))))))))))))))</f>
      </c>
      <c r="CD65" s="21">
        <f>IF(YEAR(IF(Inputs!$C$7="Weekly",Inputs!$C$90+7*(($BE64+1)-1),IF(Inputs!$C$7="Biweekly",Inputs!$C$90+14*(($BE64+1)-1),IF(Inputs!$C$7="Semimonthly",DATE(YEAR(Inputs!$C$9),MONTH(Inputs!$C$9)+INT((($BE64+1)-1+'Rest of 2026'!$C$2)/2),MIN(DAY(Inputs!$C$9),DAY(EOMONTH(DATE(YEAR(Inputs!$C$9),MONTH(Inputs!$C$9)+INT((($BE64+1)-1+'Rest of 2026'!$C$2)/2),1),0))))+IF(MOD(($BE64+1)-1+'Rest of 2026'!$C$2,2)=1,15,0),EDATE(Inputs!$C$90,($BE64+1)-1)))))&lt;&gt;Inputs!$C$10,"",IF(Inputs!$C$7="Weekly",Inputs!$C$90+7*(($BE64+1)-1),IF(Inputs!$C$7="Biweekly",Inputs!$C$90+14*(($BE64+1)-1),IF(Inputs!$C$7="Semimonthly",DATE(YEAR(Inputs!$C$9),MONTH(Inputs!$C$9)+INT((($BE64+1)-1+'Rest of 2026'!$C$2)/2),MIN(DAY(Inputs!$C$9),DAY(EOMONTH(DATE(YEAR(Inputs!$C$9),MONTH(Inputs!$C$9)+INT((($BE64+1)-1+'Rest of 2026'!$C$2)/2),1),0))))+IF(MOD(($BE64+1)-1+'Rest of 2026'!$C$2,2)=1,15,0),EDATE(Inputs!$C$90,($BE64+1)-1)))))</f>
      </c>
      <c r="CE65" s="21">
        <f>IF(SUMPRODUCT(MIN(IF((Inputs!$C$58:$C$67&gt;MAX($B$6:$B64))*(Inputs!$C$58:$C$67&gt;=DATE(Inputs!$C$10,1,1))*(Inputs!$C$58:$C$67&lt;=DATE(Inputs!$C$10,12,31)),Inputs!$C$58:$C$67,999999)))=999999,"",SUMPRODUCT(MIN(IF((Inputs!$C$58:$C$67&gt;MAX($B$6:$B64))*(Inputs!$C$58:$C$67&gt;=DATE(Inputs!$C$10,1,1))*(Inputs!$C$58:$C$67&lt;=DATE(Inputs!$C$10,12,31)),Inputs!$C$58:$C$67,999999))))</f>
      </c>
    </row>
    <row r="66">
      <c r="A66" t="n">
        <v>61</v>
      </c>
      <c r="B66" s="21">
        <f>IF(AND($CD66="",$CE66=""),"",IF($CE66="",$CD66,IF($CD66="",$CE66,MIN($CD66,$CE66))))</f>
      </c>
      <c r="C66" s="7">
        <f>IF($B66="","",IF($BF66=0,0,IF(Inputs!$C$4="Annual salary",ROUND($AK66/IF(AND(Inputs!$C$88="Actual paydays",MONTH(Inputs!$C$90)=1),MAX(1,MAX($BE$6:$BE$68)),Inputs!$C$8),2),$AK66)))</f>
      </c>
      <c r="D66" s="7">
        <f>IF($B66="","",SUMIF(Inputs!$C$58:$C$67,$B66,Inputs!$D$58:$D$67))</f>
      </c>
      <c r="E66" s="7">
        <f>IF($B66="","",ROUND(MAX(0,MIN(IF($AL66="Percent",$AM66*($C66+$D66),$AM66),MAX(0,Inputs!$C$34-$AC65))),2))</f>
      </c>
      <c r="F66" s="7">
        <f>IF($B66="","",ROUND(MAX(0,MIN(IF(Inputs!$C$32="Percent",Inputs!$D$32*($C66+$D66),Inputs!$D$32),MAX(0,Inputs!$C$34-$AC65-$E66))),2))</f>
      </c>
      <c r="G66" s="7">
        <f>IF($B66="","",IF($BF66=0,0,ROUND(MAX(0,MIN($BL66,Inputs!$C$37-Inputs!$C$99-$BI65)),2)))</f>
      </c>
      <c r="H66" s="7">
        <f>IF($B66="","",IF(OR($BF66=0,$BQ66=1),0,ROUND(MAX(0,MIN(IF($BS66=1,ROUND(MAX(0,MIN($BJ66,'Methodology &amp; Sources'!$C$13)-$BG65)/MAX(1,MAX($BE$6:$BE$68)-($BE65)),2),ROUND(MIN($BJ66,'Methodology &amp; Sources'!$C$13)/Inputs!$C$8,2)),MIN($BJ66,'Methodology &amp; Sources'!$C$13)-$BG65)),2)))</f>
      </c>
      <c r="I66" s="7">
        <f>IF($B66="","",IF(OR($BF66=0,$BR66=1),0,ROUND(MAX(0,MIN(IF($BT66=1,ROUND(MAX(0,MIN($BK66,IF(Inputs!$C$12="MFJ",'Methodology &amp; Sources'!$C$14,'Methodology &amp; Sources'!$C$15))-$BH65)/MAX(1,MAX($BE$6:$BE$68)-($BE65)),2),ROUND(MIN($BK66,IF(Inputs!$C$12="MFJ",'Methodology &amp; Sources'!$C$14,'Methodology &amp; Sources'!$C$15))/Inputs!$C$8,2)),MIN($BK66,IF(Inputs!$C$12="MFJ",'Methodology &amp; Sources'!$C$14,'Methodology &amp; Sources'!$C$15))-$BH65)),2)))</f>
      </c>
      <c r="J66" s="7">
        <f>IF($B66="","",IF($BF66=0,0,$BM66))</f>
      </c>
      <c r="K66" s="7">
        <f>IF($B66="","",IF($BF66=0,0,$BN66+$BO66))</f>
      </c>
      <c r="L66" s="7">
        <f>IF($B66="","",IF($BF66=0,0,Inputs!$D$46))</f>
      </c>
      <c r="M66" s="7">
        <f>IF($B66="","",$C66+$D66+$L66-$E66-$G66-$H66-$I66-$J66-$K66)</f>
      </c>
      <c r="N66" s="7">
        <f>IF($B66="","",$C66+$D66+$L66-$G66-$H66-$I66-$J66-$K66)</f>
      </c>
      <c r="O66" s="7">
        <f>IF($B66="","",$C66+$D66+$L66-$E66-$H66-$I66-$J66-$K66-IF(OR($AN66="CA",$AN66="NJ"),0,$G66))</f>
      </c>
      <c r="P66" s="7">
        <f>IF($B66="","",IF(Inputs!$C$18,0,ROUND(MAX(0,IF(Inputs!$C$13,SUMPRODUCT(($AH66&gt;INDEX('Methodology &amp; Sources'!$B$29:$J$36,0,IF(Inputs!$C$12="MFJ",1,IF(Inputs!$C$12="HoH",7,4))))*($AH66-INDEX('Methodology &amp; Sources'!$B$29:$J$36,0,IF(Inputs!$C$12="MFJ",1,IF(Inputs!$C$12="HoH",7,4))))*INDEX('Methodology &amp; Sources'!$B$29:$J$36,0,IF(Inputs!$C$12="MFJ",1,IF(Inputs!$C$12="HoH",7,4))+2)),SUMPRODUCT(($AH66&gt;INDEX('Methodology &amp; Sources'!$B$19:$J$26,0,IF(Inputs!$C$12="MFJ",1,IF(Inputs!$C$12="HoH",7,4))))*($AH66-INDEX('Methodology &amp; Sources'!$B$19:$J$26,0,IF(Inputs!$C$12="MFJ",1,IF(Inputs!$C$12="HoH",7,4))))*INDEX('Methodology &amp; Sources'!$B$19:$J$26,0,IF(Inputs!$C$12="MFJ",1,IF(Inputs!$C$12="HoH",7,4))+2)))/Inputs!$C$8-$AO66/Inputs!$C$8)+$AR66+IF(Inputs!$C$89="Aggregate",MAX(0,IF(Inputs!$C$13,SUMPRODUCT((($AH66+$D66)&gt;INDEX('Methodology &amp; Sources'!$B$29:$J$36,0,IF(Inputs!$C$12="MFJ",1,IF(Inputs!$C$12="HoH",7,4))))*(($AH66+$D66)-INDEX('Methodology &amp; Sources'!$B$29:$J$36,0,IF(Inputs!$C$12="MFJ",1,IF(Inputs!$C$12="HoH",7,4))))*INDEX('Methodology &amp; Sources'!$B$29:$J$36,0,IF(Inputs!$C$12="MFJ",1,IF(Inputs!$C$12="HoH",7,4))+2)),SUMPRODUCT((($AH66+$D66)&gt;INDEX('Methodology &amp; Sources'!$B$19:$J$26,0,IF(Inputs!$C$12="MFJ",1,IF(Inputs!$C$12="HoH",7,4))))*(($AH66+$D66)-INDEX('Methodology &amp; Sources'!$B$19:$J$26,0,IF(Inputs!$C$12="MFJ",1,IF(Inputs!$C$12="HoH",7,4))))*INDEX('Methodology &amp; Sources'!$B$19:$J$26,0,IF(Inputs!$C$12="MFJ",1,IF(Inputs!$C$12="HoH",7,4))+2)))-IF(Inputs!$C$13,SUMPRODUCT(($AH66&gt;INDEX('Methodology &amp; Sources'!$B$29:$J$36,0,IF(Inputs!$C$12="MFJ",1,IF(Inputs!$C$12="HoH",7,4))))*($AH66-INDEX('Methodology &amp; Sources'!$B$29:$J$36,0,IF(Inputs!$C$12="MFJ",1,IF(Inputs!$C$12="HoH",7,4))))*INDEX('Methodology &amp; Sources'!$B$29:$J$36,0,IF(Inputs!$C$12="MFJ",1,IF(Inputs!$C$12="HoH",7,4))+2)),SUMPRODUCT(($AH66&gt;INDEX('Methodology &amp; Sources'!$B$19:$J$26,0,IF(Inputs!$C$12="MFJ",1,IF(Inputs!$C$12="HoH",7,4))))*($AH66-INDEX('Methodology &amp; Sources'!$B$19:$J$26,0,IF(Inputs!$C$12="MFJ",1,IF(Inputs!$C$12="HoH",7,4))))*INDEX('Methodology &amp; Sources'!$B$19:$J$26,0,IF(Inputs!$C$12="MFJ",1,IF(Inputs!$C$12="HoH",7,4))+2)))),'Methodology &amp; Sources'!$C$10*$D66),2)))</f>
      </c>
      <c r="Q66" s="7">
        <f>IF($B66="","",ROUND('Methodology &amp; Sources'!$C$4*MIN($N66,MAX(0,'Methodology &amp; Sources'!$C$3-($AX66+$AB65-$AW66))),2))</f>
      </c>
      <c r="R66" s="7">
        <f>IF($B66="","",ROUND('Methodology &amp; Sources'!$C$5*$N66,2))</f>
      </c>
      <c r="S66" s="7">
        <f>IF($B66="","",ROUND('Methodology &amp; Sources'!$C$6*MAX(0,MIN($N66,$AG65+$N66-'Methodology &amp; Sources'!$C$7)),2))</f>
      </c>
      <c r="T66" s="7">
        <f>IF($B66="","",IF(Inputs!$C$26,0,IF($AN66="CA",ROUND(IF($AI66&lt;=IF(($AS66+$AT66)&gt;=2,VLOOKUP($AN66,StateTables!$A$6:$AB$56,10,FALSE),VLOOKUP($AN66,StateTables!$A$6:$AB$56,9,FALSE)),0,MAX(0,SUMPRODUCT(($AJ66&gt;INDEX('Methodology &amp; Sources'!$B$39:$J$48,0,IF($AU66="Married",4,IF($AU66="Head of household",7,1))))*($AJ66-INDEX('Methodology &amp; Sources'!$B$39:$J$48,0,IF($AU66="Married",4,IF($AU66="Head of household",7,1))))*INDEX('Methodology &amp; Sources'!$B$39:$J$48,0,IF($AU66="Married",4,IF($AU66="Head of household",7,1))+2))-VLOOKUP($AN66,StateTables!$A$6:$AB$56,11,FALSE)*$AS66)/Inputs!$C$8)+Inputs!$C$25+VLOOKUP($AN66,StateTables!$A$6:$AB$56,13,FALSE)*$D66,2),IF(VLOOKUP($AN66,StateTables!$A$6:$AB$56,4,FALSE)="None",0,IF(ISNUMBER(SEARCH("MANUAL",VLOOKUP($AN66,StateTables!$A$6:$AB$56,5,FALSE))),Inputs!$C$28,ROUND(MAX(0,$BA66+$BB66)/Inputs!$C$8+Inputs!$C$25+$BC66,2))))))</f>
      </c>
      <c r="U66" s="7">
        <f>IF($B66="","",IF(VLOOKUP($AN66,StateTables!$A$6:$AB$56,24,FALSE)="flatq",IF(OR(MONTH($B66)=1,MONTH($B66)=4,MONTH($B66)=7,MONTH($B66)=10),VLOOKUP($AN66,StateTables!$A$6:$AB$56,25,FALSE),0),IF(VLOOKUP($AN66,StateTables!$A$6:$AB$56,24,FALSE)="dbl",MIN(ROUND(0.005*$N66,2),ROUND(0.6*52/Inputs!$C$8,2)),IF(OR(VLOOKUP($AN66,StateTables!$A$6:$AB$56,15,FALSE)="",VLOOKUP($AN66,StateTables!$A$6:$AB$56,15,FALSE)=0),0,ROUND(VLOOKUP($AN66,StateTables!$A$6:$AB$56,15,FALSE)*IF(OR(VLOOKUP($AN66,StateTables!$A$6:$AB$56,16,FALSE)="",VLOOKUP($AN66,StateTables!$A$6:$AB$56,16,FALSE)=0),$N66,MIN($N66,MAX(0,VLOOKUP($AN66,StateTables!$A$6:$AB$56,16,FALSE)-($AX66+$AB65-$AW66)))),2))))+IF(VLOOKUP($AN66,StateTables!$A$6:$AB$56,27,FALSE)="flatq",IF(OR(MONTH($B66)=1,MONTH($B66)=4,MONTH($B66)=7,MONTH($B66)=10),VLOOKUP($AN66,StateTables!$A$6:$AB$56,28,FALSE),0),IF(VLOOKUP($AN66,StateTables!$A$6:$AB$56,27,FALSE)="dbl",MIN(ROUND(0.005*$N66,2),ROUND(0.6*52/Inputs!$C$8,2)),IF(OR(VLOOKUP($AN66,StateTables!$A$6:$AB$56,18,FALSE)="",VLOOKUP($AN66,StateTables!$A$6:$AB$56,18,FALSE)=0),0,ROUND(VLOOKUP($AN66,StateTables!$A$6:$AB$56,18,FALSE)*IF(OR(VLOOKUP($AN66,StateTables!$A$6:$AB$56,19,FALSE)="",VLOOKUP($AN66,StateTables!$A$6:$AB$56,19,FALSE)=0),$N66,MIN($N66,MAX(0,VLOOKUP($AN66,StateTables!$A$6:$AB$56,19,FALSE)-($AX66+$AB65-$AW66)))),2)))))</f>
      </c>
      <c r="V66" s="7">
        <f>IF($B66="","",IF($AN66="NY",IF(Inputs!$C$78,ROUND(SUMPRODUCT((MAX(0,($O66-$D66)*Inputs!$C$8-(IF($AU66="Married",5500,5000)+1000*$AS66))&gt;INDEX('Methodology &amp; Sources'!$B$184:$J$198,0,4))*(MAX(0,($O66-$D66)*Inputs!$C$8-(IF($AU66="Married",5500,5000)+1000*$AS66))-INDEX('Methodology &amp; Sources'!$B$184:$J$198,0,4))*INDEX('Methodology &amp; Sources'!$B$184:$J$198,0,4+2))/Inputs!$C$8+0.0425*$D66,2),0)+IF(Inputs!$C$79="Resident",ROUND(0.1675*$T66,2),IF(Inputs!$C$79="Nonresident",ROUND(0.005*MAX(0,($O66-$D66)-(IF($AU66="Married",7950,7400)+1000*$AS66)/Inputs!$C$8),2),0)),IF($AN66="PA",IF(Inputs!$C$80="None",Inputs!$C$27+ROUND(Inputs!$C$81*($C66+$D66),2),ROUND(IF(Inputs!$C$80="Resident",IF($B66&lt;DATE(2027,7,1),0.03735,0.03735),IF($B66&lt;DATE(2027,7,1),0.03425,0.03425))*($C66+$D66),2)),IF($BF66=0,ROUND(Inputs!$C$81*($C66+$D66),2),Inputs!$C$27+ROUND(Inputs!$C$81*($C66+$D66),2)))))</f>
      </c>
      <c r="W66" s="7">
        <f>IF($B66="","",IF($BF66=0,0,$BP66))</f>
      </c>
      <c r="X66" s="7">
        <f>IF($B66="","",SUM($E66:$K66)+$P66+$Q66+$R66+$S66+$T66+$U66+$V66+$W66)</f>
      </c>
      <c r="Y66" s="22">
        <f>IF($B66="","",$C66+$D66-$X66)</f>
      </c>
      <c r="Z66" s="7">
        <f>IF($B66="","",$Z65+$C66+$D66)</f>
      </c>
      <c r="AA66" s="7">
        <f>IF($B66="","",$AA65+$Y66)</f>
      </c>
      <c r="AB66" s="7">
        <f>IF($B66="","",$AB65+MIN($N66,MAX(0,'Methodology &amp; Sources'!$C$3-($AX66+$AB65-$AW66))))</f>
      </c>
      <c r="AC66" s="7">
        <f>IF($B66="","",$AC65+$E66+$F66)</f>
      </c>
      <c r="AD66" s="3">
        <f>IF($B66="","",IF(AND($AB65&lt;'Methodology &amp; Sources'!$C$3,$AB66&gt;='Methodology &amp; Sources'!$C$3),"★ Social Security maxed on this check — from the next check your net rises by about $"&amp;TEXT(ROUND('Methodology &amp; Sources'!$C$4*$N66,2),"#,##0.00")&amp;". ","")&amp;IF(AND($AC65&lt;Inputs!$C$34,$AC66&gt;=Inputs!$C$34),"★ 401(k) reaches the $"&amp;TEXT(Inputs!$C$34,"#,##0")&amp;" cap on this check — deferrals stop and net pay rises. ","")&amp;IF(AND($AG65&lt;'Methodology &amp; Sources'!$C$7,$AG66&gt;='Methodology &amp; Sources'!$C$7),"★ Wages pass $200,000 — the 0.9% Additional Medicare Tax starts here. ","")&amp;IF(AND($BJ66&gt;0,$H66&gt;0,$BG65&lt;MIN($BJ66,'Methodology &amp; Sources'!$C$13),$BG65+$H66&gt;=MIN($BJ66,'Methodology &amp; Sources'!$C$13)),"★ Health FSA election is now fully deferred for the year. ",""))</f>
      </c>
      <c r="AE66" s="41" t="n"/>
      <c r="AF66" s="7">
        <f>IF(OR($B66="",$AE66=""),"",$AE66-$Y66)</f>
      </c>
      <c r="AG66" s="7">
        <f>IF($B66="","",$AG65+$N66)</f>
      </c>
      <c r="AH66" s="7">
        <f>IF($B66="","",MAX(0,($M66-$D66)*Inputs!$C$8+$AP66-$AQ66-IF(Inputs!$C$13,0,IF(Inputs!$C$12="MFJ",'Methodology &amp; Sources'!$C$8,'Methodology &amp; Sources'!$C$9))))</f>
      </c>
      <c r="AI66" s="7">
        <f>IF($B66="","",$O66*Inputs!$C$8)</f>
      </c>
      <c r="AJ66" s="7">
        <f>IF($B66="","",MAX(0,$AI66-VLOOKUP($AN66,StateTables!$A$6:$AB$56,12,FALSE)*$AT66-IF(($AS66+$AT66)&gt;=2,VLOOKUP($AN66,StateTables!$A$6:$AB$56,8,FALSE),VLOOKUP($AN66,StateTables!$A$6:$AB$56,7,FALSE))))</f>
      </c>
      <c r="AK66" s="7">
        <f>IF($B66="","",IFERROR(LOOKUP(2,1/((Events!$C$6:$C$17="Salary change")*(Events!$B$6:$B$17&lt;=$B66)*(Events!$B$6:$B$17&lt;&gt;"")),Events!$D$6:$D$17),IF(Inputs!$C$4="Annual salary",Inputs!$C$5,Inputs!$C$6)))</f>
      </c>
      <c r="AL66">
        <f>IF($B66="","",IFERROR(LOOKUP(2,1/((Events!$C$6:$C$17="401(k) change")*(Events!$B$6:$B$17&lt;=$B66)*(Events!$B$6:$B$17&lt;&gt;"")),Events!$D$6:$D$17),Inputs!$C$30))</f>
      </c>
      <c r="AM66" s="7">
        <f>IF($B66="","",IFERROR(LOOKUP(2,1/((Events!$C$6:$C$17="401(k) change")*(Events!$B$6:$B$17&lt;=$B66)*(Events!$B$6:$B$17&lt;&gt;"")),Events!$E$6:$E$17),Inputs!$D$30))</f>
      </c>
      <c r="AN66">
        <f>IF($B66="","",IFERROR(LOOKUP(2,1/((Events!$C$6:$C$17="State move")*(Events!$B$6:$B$17&lt;=$B66)*(Events!$B$6:$B$17&lt;&gt;"")),Events!$D$6:$D$17),Inputs!$C$21))</f>
      </c>
      <c r="AO66" s="7">
        <f>IF($B66="","",IFERROR(LOOKUP(2,1/((Events!$C$6:$C$17="W-4 change")*(Events!$B$6:$B$17&lt;=$B66)*(Events!$B$6:$B$17&lt;&gt;"")),Events!$D$6:$D$17),Inputs!$C$14))</f>
      </c>
      <c r="AP66" s="7">
        <f>IF($B66="","",IFERROR(LOOKUP(2,1/((Events!$C$6:$C$17="W-4 change")*(Events!$B$6:$B$17&lt;=$B66)*(Events!$B$6:$B$17&lt;&gt;"")),Events!$E$6:$E$17),Inputs!$C$15))</f>
      </c>
      <c r="AQ66" s="7">
        <f>IF($B66="","",IFERROR(LOOKUP(2,1/((Events!$C$6:$C$17="W-4 change")*(Events!$B$6:$B$17&lt;=$B66)*(Events!$B$6:$B$17&lt;&gt;"")),Events!$F$6:$F$17),Inputs!$C$16))</f>
      </c>
      <c r="AR66" s="7">
        <f>IF($B66="","",IFERROR(LOOKUP(2,1/((Events!$C$6:$C$17="W-4 change")*(Events!$B$6:$B$17&lt;=$B66)*(Events!$B$6:$B$17&lt;&gt;"")),Events!$G$6:$G$17),Inputs!$C$17))</f>
      </c>
      <c r="AS66" s="6">
        <f>IF($B66="","",IFERROR(LOOKUP(2,1/(((Events!$C$6:$C$17="State move")+(Events!$C$6:$C$17="State cert change"))*(Events!$B$6:$B$17&lt;=$B66)*(Events!$B$6:$B$17&lt;&gt;"")),Events!$F$6:$F$17),Inputs!$C$23))</f>
      </c>
      <c r="AT66" s="6">
        <f>IF($B66="","",IFERROR(LOOKUP(2,1/(((Events!$C$6:$C$17="State move")+(Events!$C$6:$C$17="State cert change"))*(Events!$B$6:$B$17&lt;=$B66)*(Events!$B$6:$B$17&lt;&gt;"")),Events!$G$6:$G$17),Inputs!$C$24))</f>
      </c>
      <c r="AU66">
        <f>IF($B66="","",IFERROR(LOOKUP(2,1/((Events!$C$6:$C$17="State move")*(Events!$B$6:$B$17&lt;=$B66)*(Events!$B$6:$B$17&lt;&gt;"")),Events!$E$6:$E$17),Inputs!$C$22))</f>
      </c>
      <c r="AV66" s="6">
        <f>IF($B66="","",1+COUNTIFS(Events!$C$6:$C$17,"Employer change",Events!$B$6:$B$17,"&lt;="&amp;$B66,Events!$B$6:$B$17,"&lt;&gt;"))</f>
      </c>
      <c r="AW66" s="7">
        <f>IF($B66="","",IF($AV66=1,Inputs!$C$94,IF(IFERROR(MATCH(IFERROR(LOOKUP(2,1/((Events!$C$6:$C$17="Employer change")*(Events!$B$6:$B$17&lt;=$B66)*(Events!$B$6:$B$17&lt;&gt;"")),Events!$B$6:$B$17),""),$B$6:$B$68,1),1)&lt;=1,Inputs!$C$94,INDEX($AB$6:$AB$68,MATCH(IFERROR(LOOKUP(2,1/((Events!$C$6:$C$17="Employer change")*(Events!$B$6:$B$17&lt;=$B66)*(Events!$B$6:$B$17&lt;&gt;"")),Events!$B$6:$B$17),""),$B$6:$B$68,1)-1))))</f>
      </c>
      <c r="AX66" s="7">
        <f>IF($B66="","",IF($AV66=1,Inputs!$C$94,IFERROR(LOOKUP(2,1/((Events!$C$6:$C$17="Employer change")*(Events!$B$6:$B$17&lt;=$B66)*(Events!$B$6:$B$17&lt;&gt;"")),Events!$D$6:$D$17),0)))</f>
      </c>
      <c r="AY66" s="7">
        <f>IF($B66="","",($O66-$D66)*Inputs!$C$8)</f>
      </c>
      <c r="AZ66" s="7">
        <f>IF($B66="","",IF($AN66="AL",MAX(0,$AY66-IF($AU66="Married",IF($AY66&lt;=25999,8500,MAX(5000,8500-175*CEILING(($AY66-25999)/500,1))),IF($AU66="Head of household",IF($AY66&lt;=25999,5200,MAX(2500,5200-135*CEILING(($AY66-25999)/500,1))),IF($AY66&lt;=25999,3000,MAX(2500,3000-25*CEILING(($AY66-25999)/500,1)))))-($P66-'Methodology &amp; Sources'!$C$10*$D66)*Inputs!$C$8-IF(OR($AU66="Married",$AU66="Head of household"),3000,1500)-$AT66*IF($AY66&lt;=50000,1000,IF($AY66&lt;=100000,500,300))),IF($AN66="AR",IF(MAX(0,$AY66-2470)&lt;97701,INT(MAX(0,$AY66-2470)/100)*100+50,MAX(0,$AY66-2470)),IF($AN66="DE",MAX(0,$AI66-3250),IF($AN66="HI",MAX(0,$AI66-1144*$AS66-4350),IF($AN66="KS",MAX(0,$AI66-(9160*IF($AU66="Married",2,1)+2320*$AT66+IF($AU66="Head of household",2320,0))),IF($AN66="MD",MAX(0,$AI66-3400-3200*$AS66),IF($AN66="MN",MAX(0,$AY66-5300*$AS66),IF($AN66="MO",MAX(0,$AI66-IF($AU66="Head of household",24150,IF($AU66="Married",IF(Inputs!$C$83,16100,32200),16100))),IF($AN66="MT",$AY66,IF($AN66="ND",($C66+$L66)*Inputs!$C$8,IF($AN66="NE",MAX(0,$AY66-2440*$AS66),IF($AN66="NJ",MAX(0,$AY66-1000*$AS66),IF($AN66="NY",MAX(0,$AY66-(IF($AU66="Married",7950,7400)+1000*$AS66)),IF($AN66="OH",MAX(0,$AY66-650*$AS66),IF($AN66="OK",MAX(0,$AY66-1000*$AS66),IF($AN66="RI",MAX(0,$AI66-1000*$AS66),IF($AN66="SC",MAX(0,$AI66-5000*$AS66-IF($AS66=0,0,MIN(0.1*$AI66,7500))),IF($AN66="VA",MAX(0,$AI66-IF($AU66="Married",17500,8750)-930*$AS66-800*$AT66),IF($AN66="VT",MAX(0,$AI66-5400*$AS66),IF($AN66="WI",MAX(0,$AI66-MAX(0,IF($AU66="Married",9461-0.2*MAX(0,$AI66-25727),6702-0.12*MAX(0,$AI66-17780)))-400*$AS66),IF($AN66="WV",MAX(0,$AI66-2000*$AS66),$AI66))))))))))))))))))))))</f>
      </c>
      <c r="BA66" s="7">
        <f>IF($B66="","",IF($BW66&lt;&gt;"",$BW66,IF($BX66&lt;&gt;"",$BX66,IF($BY66&lt;&gt;"",$BY66,0))))</f>
      </c>
      <c r="BB66" s="7">
        <f>IF($B66="","",IF($AN66="AR",-29*$AS66,IF($AN66="DE",-110*$AS66,IF($AN66="MD",$AZ66*Inputs!$C$74,IF($AN66="AZ",Inputs!$C$82*($M66-$D66)*Inputs!$C$8,IF($AN66="CO",0.044*MAX(0,$AY66-IF($AU66="Married",10000,5000)),IF($AN66="IA",MAX(0,0.038*MAX(0,$AY66-IF($AU66="Head of household",19500,IF($AU66="Married",26000,13000)))-40*$AS66),IF($AN66="ID",0.053*MAX(0,$AY66-IF($AU66="Married",32000,16094)),IF($AN66="IL",0.0495*MAX(0,$AY66-(2925*$AS66+1000*$AT66)),IF($AN66="IN",(0.0295+Inputs!$C$76)*MAX(0,$AY66-(1000*$AS66+1500*$AT66+3000*Inputs!$C$86)),IF($AN66="KY",0.035*MAX(0,$AI66-3360),IF($AN66="LA",IF(Inputs!$C$84="0",0.0309*$AI66,0.0309*MAX(0,$AI66-IF(Inputs!$C$84="2",25750,12875))),IF($AN66="MA",0.05*MIN(MAX(0,$AY66-MIN(($BD65+$Q66+$R66+$S66),2000)-IF($AS66=0,0,IF($AS66=1,4400,1000*$AS66+3400))),1107750)+0.09*MAX(0,MAX(0,$AY66-MIN(($BD65+$Q66+$R66+$S66),2000)-IF($AS66=0,0,IF($AS66=1,4400,1000*$AS66+3400)))-1107750)-IF($AU66="Head of household",120,0)-110*Inputs!$C$75,IF($AN66="MI",0.0425*MAX(0,$AY66-5900*$AS66),IF($AN66="MS",0.04*MAX(0,$AI66-IF($AU66="Head of household",3400,IF($AU66="Married",4600,2300))-Inputs!$C$85-10000),IF($AN66="OR",IF(OR($AU66="Married",AND($AU66="Single",$AS66&gt;=3)),SUMPRODUCT((MAX(0,$AY66-MIN(($P66-'Methodology &amp; Sources'!$C$10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Sources'!$B$211:$J$214,0,4))*(MAX(0,$AY66-MIN(($P66-'Methodology &amp; Sources'!$C$10*$D66)*Inputs!$C$8,IF(OR($AU66="Married",AND($AU66="Single",$AS66&gt;=3)),IF($AY66&lt;250000,8750,IF($AY66&lt;260000,7000,IF($AY66&lt;270000,5250,IF($AY66&lt;280000,3500,IF($AY66&lt;290000,1750,0))))),IF($AY66&lt;125000,8750,IF($AY66&lt;130000,7000,IF($AY66&lt;135000,5250,IF($AY66&lt;140000,3500,IF($AY66&lt;145000,1750,0)))))))-IF(OR($AU66="Married",AND($AU66="Single",$AS66&gt;=3)),5820,2910))-INDEX('Methodology &amp; Sources'!$B$211:$J$214,0,4))*INDEX('Methodology &amp; Sources'!$B$211:$J$214,0,4+2)),SUMPRODUCT((MAX(0,$AY66-MIN(($P66-'Methodology &amp; Sources'!$C$10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Sources'!$B$211:$J$214,0,1))*(MAX(0,$AY66-MIN(($P66-'Methodology &amp; Sources'!$C$10*$D66)*Inputs!$C$8,IF(OR($AU66="Married",AND($AU66="Single",$AS66&gt;=3)),IF($AY66&lt;250000,8750,IF($AY66&lt;260000,7000,IF($AY66&lt;270000,5250,IF($AY66&lt;280000,3500,IF($AY66&lt;290000,1750,0))))),IF($AY66&lt;125000,8750,IF($AY66&lt;130000,7000,IF($AY66&lt;135000,5250,IF($AY66&lt;140000,3500,IF($AY66&lt;145000,1750,0)))))))-IF(OR($AU66="Married",AND($AU66="Single",$AS66&gt;=3)),5820,2910))-INDEX('Methodology &amp; Sources'!$B$211:$J$214,0,1))*INDEX('Methodology &amp; Sources'!$B$211:$J$214,0,1+2)))+263-263*IF(IF($AU66="Married",$AY66&gt;200000,$AY66&gt;100000),0,$AS66),IF($AN66="PA",0.0307*(($O66+$E66+$G66)*Inputs!$C$8),IF($AN66="NY",IF($AU66="Married",IF($AZ66&gt;=2155350,0,IF($AZ66&gt;=1077550,0.48,IF($AZ66&gt;=373200,1.21,IF($AZ66&gt;=323200,0.21,IF($AZ66&gt;=211550,-0.19,IF($AZ66&gt;=157650,-2.8,IF($AZ66&gt;=107650,-0.8,IF($AZ66&gt;=96800,0.05,IF($AZ66&gt;=80650,-0.1,IF($AZ66&gt;=13900,0.4,IF($AZ66&gt;=11700,-0.3,IF($AZ66&gt;=8500,0.5,0)))))))))))),IF($AZ66&gt;=1077550,0,IF($AZ66&gt;=265400,4.29,IF($AZ66&gt;=215400,2.29,IF($AZ66&gt;=157650,2.29,IF($AZ66&gt;=107650,0.29,IF($AZ66&gt;=96800,0.05,IF($AZ66&gt;=80650,-0.1,IF($AZ66&gt;=13900,0.4,IF($AZ66&gt;=11700,-0.3,IF($AZ66&gt;=8500,0.5,0))))))))))),0))))))))))))))))))</f>
      </c>
      <c r="BC66" s="7">
        <f>IF($B66="","",IF($AN66="AL",0.05*$D66,IF($AN66="AR",0.039*$D66,IF($AN66="ID",0.053*$D66,IF($AN66="IN",(0.0295+Inputs!$C$76)*$D66,IF($AN66="KS",0.05*$D66,IF($AN66="MA",0.09*MIN($D66,MAX(0,MAX(0,$AY66-MIN(($BD65+$Q66+$R66+$S66),2000)-IF($AS66=0,0,IF($AS66=1,4400,1000*$AS66+3400)))+$D66-1107750))+0.05*($D66-MIN($D66,MAX(0,MAX(0,$AY66-MIN(($BD65+$Q66+$R66+$S66),2000)-IF($AS66=0,0,IF($AS66=1,4400,1000*$AS66+3400)))+$D66-1107750))),IF($AN66="MD",(0.065+Inputs!$C$74)*$D66,IF($AN66="MI",0.0425*$D66,IF($AN66="MN",0.0625*$D66,IF($AN66="MO",0.047*$D66,IF($AN66="MT",0.05*$D66,IF($AN66="ND",0.015*$D66,IF($AN66="NE",0.035*$D66,IF($AN66="NJ",IF(Inputs!$C$77="B",SUMPRODUCT(($D66*Inputs!$C$8&gt;INDEX('Methodology &amp; Sources'!$B$155:$J$162,0,4))*($D66*Inputs!$C$8-INDEX('Methodology &amp; Sources'!$B$155:$J$162,0,4))*INDEX('Methodology &amp; Sources'!$B$155:$J$162,0,4+2)),IF(Inputs!$C$77="C",SUMPRODUCT(($D66*Inputs!$C$8&gt;INDEX('Methodology &amp; Sources'!$B$155:$J$162,0,7))*($D66*Inputs!$C$8-INDEX('Methodology &amp; Sources'!$B$155:$J$162,0,7))*INDEX('Methodology &amp; Sources'!$B$155:$J$162,0,7+2)),IF(Inputs!$C$77="D",SUMPRODUCT(($D66*Inputs!$C$8&gt;INDEX('Methodology &amp; Sources'!$B$167:$J$179,0,1))*($D66*Inputs!$C$8-INDEX('Methodology &amp; Sources'!$B$167:$J$179,0,1))*INDEX('Methodology &amp; Sources'!$B$167:$J$179,0,1+2)),IF(Inputs!$C$77="E",SUMPRODUCT(($D66*Inputs!$C$8&gt;INDEX('Methodology &amp; Sources'!$B$167:$J$179,0,4))*($D66*Inputs!$C$8-INDEX('Methodology &amp; Sources'!$B$167:$J$179,0,4))*INDEX('Methodology &amp; Sources'!$B$167:$J$179,0,4+2)),SUMPRODUCT(($D66*Inputs!$C$8&gt;INDEX('Methodology &amp; Sources'!$B$155:$J$162,0,1))*($D66*Inputs!$C$8-INDEX('Methodology &amp; Sources'!$B$155:$J$162,0,1))*INDEX('Methodology &amp; Sources'!$B$155:$J$162,0,1+2))))))/Inputs!$C$8,IF($AN66="NY",0.117*$D66,IF($AN66="OH",0.0275*$D66,IF($AN66="OK",0.045*$D66,IF($AN66="OR",0.08*$D66,IF($AN66="WI",IF($AY66&lt;12760,0.0354,IF($AY66&lt;25520,0.0465,IF($AY66&lt;280950,0.053,0.0765)))*$D66,0))))))))))))))))))))</f>
      </c>
      <c r="BD66" s="7">
        <f>IF($B66="","",$BD65+$Q66+$R66+$S66)</f>
      </c>
      <c r="BE66" s="6">
        <f>IF($B66="",$BE65,$BE65+$BF66)</f>
      </c>
      <c r="BF66" s="6">
        <f>IF($B66="","",IF(AND(IF(YEAR(IF(Inputs!$C$7="Weekly",Inputs!$C$90+7*(($BE65+1)-1),IF(Inputs!$C$7="Biweekly",Inputs!$C$90+14*(($BE65+1)-1),IF(Inputs!$C$7="Semimonthly",DATE(YEAR(Inputs!$C$9),MONTH(Inputs!$C$9)+INT((($BE65+1)-1+'Rest of 2026'!$C$2)/2),MIN(DAY(Inputs!$C$9),DAY(EOMONTH(DATE(YEAR(Inputs!$C$9),MONTH(Inputs!$C$9)+INT((($BE65+1)-1+'Rest of 2026'!$C$2)/2),1),0))))+IF(MOD(($BE65+1)-1+'Rest of 2026'!$C$2,2)=1,15,0),EDATE(Inputs!$C$90,($BE65+1)-1)))))&lt;&gt;Inputs!$C$10,"",IF(Inputs!$C$7="Weekly",Inputs!$C$90+7*(($BE65+1)-1),IF(Inputs!$C$7="Biweekly",Inputs!$C$90+14*(($BE65+1)-1),IF(Inputs!$C$7="Semimonthly",DATE(YEAR(Inputs!$C$9),MONTH(Inputs!$C$9)+INT((($BE65+1)-1+'Rest of 2026'!$C$2)/2),MIN(DAY(Inputs!$C$9),DAY(EOMONTH(DATE(YEAR(Inputs!$C$9),MONTH(Inputs!$C$9)+INT((($BE65+1)-1+'Rest of 2026'!$C$2)/2),1),0))))+IF(MOD(($BE65+1)-1+'Rest of 2026'!$C$2,2)=1,15,0),EDATE(Inputs!$C$90,($BE65+1)-1)))))&lt;&gt;"",$B66=IF(YEAR(IF(Inputs!$C$7="Weekly",Inputs!$C$90+7*(($BE65+1)-1),IF(Inputs!$C$7="Biweekly",Inputs!$C$90+14*(($BE65+1)-1),IF(Inputs!$C$7="Semimonthly",DATE(YEAR(Inputs!$C$9),MONTH(Inputs!$C$9)+INT((($BE65+1)-1+'Rest of 2026'!$C$2)/2),MIN(DAY(Inputs!$C$9),DAY(EOMONTH(DATE(YEAR(Inputs!$C$9),MONTH(Inputs!$C$9)+INT((($BE65+1)-1+'Rest of 2026'!$C$2)/2),1),0))))+IF(MOD(($BE65+1)-1+'Rest of 2026'!$C$2,2)=1,15,0),EDATE(Inputs!$C$90,($BE65+1)-1)))))&lt;&gt;Inputs!$C$10,"",IF(Inputs!$C$7="Weekly",Inputs!$C$90+7*(($BE65+1)-1),IF(Inputs!$C$7="Biweekly",Inputs!$C$90+14*(($BE65+1)-1),IF(Inputs!$C$7="Semimonthly",DATE(YEAR(Inputs!$C$9),MONTH(Inputs!$C$9)+INT((($BE65+1)-1+'Rest of 2026'!$C$2)/2),MIN(DAY(Inputs!$C$9),DAY(EOMONTH(DATE(YEAR(Inputs!$C$9),MONTH(Inputs!$C$9)+INT((($BE65+1)-1+'Rest of 2026'!$C$2)/2),1),0))))+IF(MOD(($BE65+1)-1+'Rest of 2026'!$C$2,2)=1,15,0),EDATE(Inputs!$C$90,($BE65+1)-1)))))),1,0))</f>
      </c>
      <c r="BG66" s="7">
        <f>IF($B66="","",$BG65+$H66)</f>
      </c>
      <c r="BH66" s="7">
        <f>IF($B66="","",$BH65+$I66)</f>
      </c>
      <c r="BI66" s="7">
        <f>IF($B66="","",$BI65+$G66)</f>
      </c>
      <c r="BJ66" s="7">
        <f>IF($B66="","",IFERROR(LOOKUP(2,1/((((Events!$C$6:$C$17="Deduction start"))*(Events!$D$6:$D$17="Health FSA"))*(Events!$B$6:$B$17&lt;=$B66)*(Events!$B$6:$B$17&lt;&gt;"")),Events!$E$6:$E$17),Inputs!$D$38))</f>
      </c>
      <c r="BK66" s="7">
        <f>IF($B66="","",IFERROR(LOOKUP(2,1/((((Events!$C$6:$C$17="Deduction start"))*(Events!$D$6:$D$17="Dependent-care FSA"))*(Events!$B$6:$B$17&lt;=$B66)*(Events!$B$6:$B$17&lt;&gt;"")),Events!$E$6:$E$17),Inputs!$D$39))</f>
      </c>
      <c r="BL66" s="7">
        <f>IF($B66="","",IFERROR(LOOKUP(2,1/((((Events!$C$6:$C$17="Deduction start")+(Events!$C$6:$C$17="Deduction stop"))*(Events!$D$6:$D$17="HSA"))*(Events!$B$6:$B$17&lt;=$B66)*(Events!$B$6:$B$17&lt;&gt;"")),Events!$I$6:$I$17),Inputs!$D$35))</f>
      </c>
      <c r="BM66" s="7">
        <f>IF($B66="","",IFERROR(LOOKUP(2,1/((((Events!$C$6:$C$17="Deduction start")+(Events!$C$6:$C$17="Deduction stop"))*(Events!$D$6:$D$17="Premiums"))*(Events!$B$6:$B$17&lt;=$B66)*(Events!$B$6:$B$17&lt;&gt;"")),Events!$I$6:$I$17),Inputs!$D$40+Inputs!$D$41+Inputs!$D$42))</f>
      </c>
      <c r="BN66" s="7">
        <f>IF($B66="","",IFERROR(LOOKUP(2,1/((((Events!$C$6:$C$17="Deduction start")+(Events!$C$6:$C$17="Deduction stop"))*(Events!$D$6:$D$17="Commuter"))*(Events!$B$6:$B$17&lt;=$B66)*(Events!$B$6:$B$17&lt;&gt;"")),Events!$I$6:$I$17),Inputs!$D$43))</f>
      </c>
      <c r="BO66" s="7">
        <f>IF($B66="","",IFERROR(LOOKUP(2,1/((((Events!$C$6:$C$17="Deduction start")+(Events!$C$6:$C$17="Deduction stop"))*(Events!$D$6:$D$17="Other pre-tax"))*(Events!$B$6:$B$17&lt;=$B66)*(Events!$B$6:$B$17&lt;&gt;"")),Events!$I$6:$I$17),Inputs!$D$44))</f>
      </c>
      <c r="BP66" s="7">
        <f>IF($B66="","",IFERROR(LOOKUP(2,1/((((Events!$C$6:$C$17="Deduction start")+(Events!$C$6:$C$17="Deduction stop"))*(Events!$D$6:$D$17="Other post-tax"))*(Events!$B$6:$B$17&lt;=$B66)*(Events!$B$6:$B$17&lt;&gt;"")),Events!$I$6:$I$17),Inputs!$D$45))</f>
      </c>
      <c r="BQ66" s="6">
        <f>IF($B66="","",IFERROR(LOOKUP(2,1/((((Events!$C$6:$C$17="Deduction start")+(Events!$C$6:$C$17="Deduction stop"))*(Events!$D$6:$D$17="Health FSA"))*(Events!$B$6:$B$17&lt;=$B66)*(Events!$B$6:$B$17&lt;&gt;"")),Events!$J$6:$J$17),0))</f>
      </c>
      <c r="BR66" s="6">
        <f>IF($B66="","",IFERROR(LOOKUP(2,1/((((Events!$C$6:$C$17="Deduction start")+(Events!$C$6:$C$17="Deduction stop"))*(Events!$D$6:$D$17="Dependent-care FSA"))*(Events!$B$6:$B$17&lt;=$B66)*(Events!$B$6:$B$17&lt;&gt;"")),Events!$J$6:$J$17),0))</f>
      </c>
      <c r="BS66" s="6">
        <f>IF($B66="","",IF(SUMPRODUCT((Events!$C$6:$C$17="Deduction start")*(Events!$B$6:$B$17&lt;=$B66)*(Events!$B$6:$B$17&lt;&gt;"")*(Events!$D$6:$D$17="Health FSA"))&gt;0,1,0))</f>
      </c>
      <c r="BT66" s="6">
        <f>IF($B66="","",IF(SUMPRODUCT((Events!$C$6:$C$17="Deduction start")*(Events!$B$6:$B$17&lt;=$B66)*(Events!$B$6:$B$17&lt;&gt;"")*(Events!$D$6:$D$17="Dependent-care FSA"))&gt;0,1,0))</f>
      </c>
      <c r="BU66" s="24">
        <f>IF($B66="","",IF(Inputs!$C$13,SUMPRODUCT(($AH66&gt;=INDEX('Methodology &amp; Sources'!$B$29:$J$36,0,IF(Inputs!$C$12="MFJ",1,IF(Inputs!$C$12="HoH",7,4))))*INDEX('Methodology &amp; Sources'!$B$29:$J$36,0,IF(Inputs!$C$12="MFJ",1,IF(Inputs!$C$12="HoH",7,4))+2)),SUMPRODUCT(($AH66&gt;=INDEX('Methodology &amp; Sources'!$B$19:$J$26,0,IF(Inputs!$C$12="MFJ",1,IF(Inputs!$C$12="HoH",7,4))))*INDEX('Methodology &amp; Sources'!$B$19:$J$26,0,IF(Inputs!$C$12="MFJ",1,IF(Inputs!$C$12="HoH",7,4))+2))))</f>
      </c>
      <c r="BV66" s="24">
        <f>IF($B66="","",IF($BZ66&lt;&gt;"",$BZ66,IF($CA66&lt;&gt;"",$CA66,IF($CB66&lt;&gt;"",$CB66,IF($CC66&lt;&gt;"",$CC66,0)))))</f>
      </c>
      <c r="BW66" s="7">
        <f>IF($B66="","",IF($AN66="MD",IF(OR($AU66="Married",$AU66="Head of household"),SUMPRODUCT(($AZ66&gt;INDEX('Methodology &amp; Sources'!$B$114:$J$120,0,1))*($AZ66-INDEX('Methodology &amp; Sources'!$B$114:$J$120,0,1))*INDEX('Methodology &amp; Sources'!$B$114:$J$120,0,1+2)),SUMPRODUCT(($AZ66&gt;INDEX('Methodology &amp; Sources'!$B$103:$J$109,0,7))*($AZ66-INDEX('Methodology &amp; Sources'!$B$103:$J$109,0,7))*INDEX('Methodology &amp; Sources'!$B$103:$J$109,0,7+2))),IF($AN66="MO",SUMPRODUCT(($AZ66&gt;INDEX('Methodology &amp; Sources'!$B$125:$J$132,0,1))*($AZ66-INDEX('Methodology &amp; Sources'!$B$125:$J$132,0,1))*INDEX('Methodology &amp; Sources'!$B$125:$J$132,0,1+2)),IF($AN66="MT",IF($AU66="Head of household",SUMPRODUCT(($AZ66&gt;INDEX('Methodology &amp; Sources'!$B$137:$J$139,0,1))*($AZ66-INDEX('Methodology &amp; Sources'!$B$137:$J$139,0,1))*INDEX('Methodology &amp; Sources'!$B$137:$J$139,0,1+2)),IF($AU66="Married",SUMPRODUCT(($AZ66&gt;INDEX('Methodology &amp; Sources'!$B$125:$J$132,0,7))*($AZ66-INDEX('Methodology &amp; Sources'!$B$125:$J$132,0,7))*INDEX('Methodology &amp; Sources'!$B$125:$J$132,0,7+2)),SUMPRODUCT(($AZ66&gt;INDEX('Methodology &amp; Sources'!$B$125:$J$132,0,4))*($AZ66-INDEX('Methodology &amp; Sources'!$B$125:$J$132,0,4))*INDEX('Methodology &amp; Sources'!$B$125:$J$132,0,4+2)))),IF($AN66="ND",IF($AU66="Head of household",SUMPRODUCT(($AZ66&gt;INDEX('Methodology &amp; Sources'!$B$144:$J$150,0,1))*($AZ66-INDEX('Methodology &amp; Sources'!$B$144:$J$150,0,1))*INDEX('Methodology &amp; Sources'!$B$144:$J$150,0,1+2)),IF($AU66="Married",SUMPRODUCT(($AZ66&gt;INDEX('Methodology &amp; Sources'!$B$137:$J$139,0,7))*($AZ66-INDEX('Methodology &amp; Sources'!$B$137:$J$139,0,7))*INDEX('Methodology &amp; Sources'!$B$137:$J$139,0,7+2)),SUMPRODUCT(($AZ66&gt;INDEX('Methodology &amp; Sources'!$B$137:$J$139,0,4))*($AZ66-INDEX('Methodology &amp; Sources'!$B$137:$J$139,0,4))*INDEX('Methodology &amp; Sources'!$B$137:$J$139,0,4+2)))),IF($AN66="NJ",IF(Inputs!$C$77="B",SUMPRODUCT(($AZ66&gt;INDEX('Methodology &amp; Sources'!$B$155:$J$162,0,4))*($AZ66-INDEX('Methodology &amp; Sources'!$B$155:$J$162,0,4))*INDEX('Methodology &amp; Sources'!$B$155:$J$162,0,4+2)),IF(Inputs!$C$77="C",SUMPRODUCT(($AZ66&gt;INDEX('Methodology &amp; Sources'!$B$155:$J$162,0,7))*($AZ66-INDEX('Methodology &amp; Sources'!$B$155:$J$162,0,7))*INDEX('Methodology &amp; Sources'!$B$155:$J$162,0,7+2)),IF(Inputs!$C$77="D",SUMPRODUCT(($AZ66&gt;INDEX('Methodology &amp; Sources'!$B$167:$J$179,0,1))*($AZ66-INDEX('Methodology &amp; Sources'!$B$167:$J$179,0,1))*INDEX('Methodology &amp; Sources'!$B$167:$J$179,0,1+2)),IF(Inputs!$C$77="E",SUMPRODUCT(($AZ66&gt;INDEX('Methodology &amp; Sources'!$B$167:$J$179,0,4))*($AZ66-INDEX('Methodology &amp; Sources'!$B$167:$J$179,0,4))*INDEX('Methodology &amp; Sources'!$B$167:$J$179,0,4+2)),SUMPRODUCT(($AZ66&gt;INDEX('Methodology &amp; Sources'!$B$155:$J$162,0,1))*($AZ66-INDEX('Methodology &amp; Sources'!$B$155:$J$162,0,1))*INDEX('Methodology &amp; Sources'!$B$155:$J$162,0,1+2)))))),IF($AN66="NY",IF($AU66="Married",IF($AZ66&gt;=2155350,$AZ66*IF($AZ66&gt;25000000,0.117,IF($AZ66&gt;5000000,0.111,0.1045)),SUMPRODUCT(($AZ66&gt;INDEX('Methodology &amp; Sources'!$B$184:$J$198,0,1))*($AZ66-INDEX('Methodology &amp; Sources'!$B$184:$J$198,0,1))*INDEX('Methodology &amp; Sources'!$B$184:$J$198,0,1+2))),IF($AZ66&gt;=1077550,$AZ66*IF($AZ66&gt;25000000,0.117,IF($AZ66&gt;5000000,0.111,0.1045)),SUMPRODUCT(($AZ66&gt;INDEX('Methodology &amp; Sources'!$B$167:$J$179,0,7))*($AZ66-INDEX('Methodology &amp; Sources'!$B$167:$J$179,0,7))*INDEX('Methodology &amp; Sources'!$B$167:$J$179,0,7+2)))),"")))))))</f>
      </c>
      <c r="BX66" s="7">
        <f>IF($B66="","",IF($AN66="AL",IF(OR($AU66="Married",$AU66="Head of household"),SUMPRODUCT(($AZ66&gt;INDEX('Methodology &amp; Sources'!$B$82:$J$86,0,4))*($AZ66-INDEX('Methodology &amp; Sources'!$B$82:$J$86,0,4))*INDEX('Methodology &amp; Sources'!$B$82:$J$86,0,4+2)),SUMPRODUCT(($AZ66&gt;INDEX('Methodology &amp; Sources'!$B$82:$J$86,0,1))*($AZ66-INDEX('Methodology &amp; Sources'!$B$82:$J$86,0,1))*INDEX('Methodology &amp; Sources'!$B$82:$J$86,0,1+2))),IF($AN66="KS",IF($AU66="Married",SUMPRODUCT(($AZ66&gt;INDEX('Methodology &amp; Sources'!$B$103:$J$109,0,4))*($AZ66-INDEX('Methodology &amp; Sources'!$B$103:$J$109,0,4))*INDEX('Methodology &amp; Sources'!$B$103:$J$109,0,4+2)),SUMPRODUCT(($AZ66&gt;INDEX('Methodology &amp; Sources'!$B$103:$J$109,0,1))*($AZ66-INDEX('Methodology &amp; Sources'!$B$103:$J$109,0,1))*INDEX('Methodology &amp; Sources'!$B$103:$J$109,0,1+2))),IF($AN66="MN",IF($AU66="Married",SUMPRODUCT(($AZ66&gt;INDEX('Methodology &amp; Sources'!$B$114:$J$120,0,7))*($AZ66-INDEX('Methodology &amp; Sources'!$B$114:$J$120,0,7))*INDEX('Methodology &amp; Sources'!$B$114:$J$120,0,7+2)),SUMPRODUCT(($AZ66&gt;INDEX('Methodology &amp; Sources'!$B$114:$J$120,0,4))*($AZ66-INDEX('Methodology &amp; Sources'!$B$114:$J$120,0,4))*INDEX('Methodology &amp; Sources'!$B$114:$J$120,0,4+2))),IF($AN66="NE",MAX(IF($AU66="Married",SUMPRODUCT(($AZ66&gt;INDEX('Methodology &amp; Sources'!$B$144:$J$150,0,7))*($AZ66-INDEX('Methodology &amp; Sources'!$B$144:$J$150,0,7))*INDEX('Methodology &amp; Sources'!$B$144:$J$150,0,7+2)),SUMPRODUCT(($AZ66&gt;INDEX('Methodology &amp; Sources'!$B$144:$J$150,0,4))*($AZ66-INDEX('Methodology &amp; Sources'!$B$144:$J$150,0,4))*INDEX('Methodology &amp; Sources'!$B$144:$J$150,0,4+2))),0.015*$AZ66),IF($AN66="OH",IF($B66&gt;=DATE(2027,8,1),SUMPRODUCT(($AZ66&gt;INDEX('Methodology &amp; Sources'!$B$203:$J$206,0,1))*($AZ66-INDEX('Methodology &amp; Sources'!$B$203:$J$206,0,1))*INDEX('Methodology &amp; Sources'!$B$203:$J$206,0,1+2)),SUMPRODUCT(($AZ66&gt;INDEX('Methodology &amp; Sources'!$B$184:$J$198,0,7))*($AZ66-INDEX('Methodology &amp; Sources'!$B$184:$J$198,0,7))*INDEX('Methodology &amp; Sources'!$B$184:$J$198,0,7+2))),IF($AN66="OK",IF($AU66="Married",SUMPRODUCT(($AZ66&gt;INDEX('Methodology &amp; Sources'!$B$203:$J$206,0,7))*($AZ66-INDEX('Methodology &amp; Sources'!$B$203:$J$206,0,7))*INDEX('Methodology &amp; Sources'!$B$203:$J$206,0,7+2)),SUMPRODUCT(($AZ66&gt;INDEX('Methodology &amp; Sources'!$B$203:$J$206,0,4))*($AZ66-INDEX('Methodology &amp; Sources'!$B$203:$J$206,0,4))*INDEX('Methodology &amp; Sources'!$B$203:$J$206,0,4+2))),IF($AN66="RI",SUMPRODUCT(($AZ66&gt;INDEX('Methodology &amp; Sources'!$B$211:$J$214,0,7))*($AZ66-INDEX('Methodology &amp; Sources'!$B$211:$J$214,0,7))*INDEX('Methodology &amp; Sources'!$B$211:$J$214,0,7+2)),IF($AN66="VT",IF($AU66="Married",SUMPRODUCT(($AZ66&gt;INDEX('Methodology &amp; Sources'!$B$228:$J$232,0,1))*($AZ66-INDEX('Methodology &amp; Sources'!$B$228:$J$232,0,1))*INDEX('Methodology &amp; Sources'!$B$228:$J$232,0,1+2)),SUMPRODUCT(($AZ66&gt;INDEX('Methodology &amp; Sources'!$B$219:$J$223,0,7))*($AZ66-INDEX('Methodology &amp; Sources'!$B$219:$J$223,0,7))*INDEX('Methodology &amp; Sources'!$B$219:$J$223,0,7+2))),IF($AN66="WV",IF($AU66="Married",SUMPRODUCT(($AZ66&gt;INDEX('Methodology &amp; Sources'!$B$237:$J$241,0,7))*($AZ66-INDEX('Methodology &amp; Sources'!$B$237:$J$241,0,7))*INDEX('Methodology &amp; Sources'!$B$237:$J$241,0,7+2)),SUMPRODUCT(($AZ66&gt;INDEX('Methodology &amp; Sources'!$B$228:$J$232,0,7))*($AZ66-INDEX('Methodology &amp; Sources'!$B$228:$J$232,0,7))*INDEX('Methodology &amp; Sources'!$B$228:$J$232,0,7+2))),""))))))))))</f>
      </c>
      <c r="BY66" s="7">
        <f>IF($B66="","",IF($AN66="AR",SUMPRODUCT(($AZ66&gt;INDEX('Methodology &amp; Sources'!$B$82:$J$86,0,7))*($AZ66-INDEX('Methodology &amp; Sources'!$B$82:$J$86,0,7))*INDEX('Methodology &amp; Sources'!$B$82:$J$86,0,7+2)),IF($AN66="DE",SUMPRODUCT(($AZ66&gt;INDEX('Methodology &amp; Sources'!$B$91:$J$98,0,1))*($AZ66-INDEX('Methodology &amp; Sources'!$B$91:$J$98,0,1))*INDEX('Methodology &amp; Sources'!$B$91:$J$98,0,1+2)),IF($AN66="HI",IF($AU66="Married",SUMPRODUCT(($AZ66&gt;INDEX('Methodology &amp; Sources'!$B$91:$J$98,0,7))*($AZ66-INDEX('Methodology &amp; Sources'!$B$91:$J$98,0,7))*INDEX('Methodology &amp; Sources'!$B$91:$J$98,0,7+2)),SUMPRODUCT(($AZ66&gt;INDEX('Methodology &amp; Sources'!$B$91:$J$98,0,4))*($AZ66-INDEX('Methodology &amp; Sources'!$B$91:$J$98,0,4))*INDEX('Methodology &amp; Sources'!$B$91:$J$98,0,4+2))),IF($AN66="SC",SUMPRODUCT(($AZ66&gt;INDEX('Methodology &amp; Sources'!$B$219:$J$223,0,1))*($AZ66-INDEX('Methodology &amp; Sources'!$B$219:$J$223,0,1))*INDEX('Methodology &amp; Sources'!$B$219:$J$223,0,1+2)),IF($AN66="VA",SUMPRODUCT(($AZ66&gt;INDEX('Methodology &amp; Sources'!$B$219:$J$223,0,4))*($AZ66-INDEX('Methodology &amp; Sources'!$B$219:$J$223,0,4))*INDEX('Methodology &amp; Sources'!$B$219:$J$223,0,4+2)),IF($AN66="WI",SUMPRODUCT(($AZ66&gt;INDEX('Methodology &amp; Sources'!$B$228:$J$232,0,4))*($AZ66-INDEX('Methodology &amp; Sources'!$B$228:$J$232,0,4))*INDEX('Methodology &amp; Sources'!$B$228:$J$232,0,4+2)),"")))))))</f>
      </c>
      <c r="BZ66" s="24">
        <f>IF($B66="","",IF($AN66="NJ",IF(Inputs!$C$77="B",SUMPRODUCT(($AZ66&gt;=INDEX('Methodology &amp; Sources'!$B$155:$J$162,0,4))*INDEX('Methodology &amp; Sources'!$B$155:$J$162,0,4+2)),IF(Inputs!$C$77="C",SUMPRODUCT(($AZ66&gt;=INDEX('Methodology &amp; Sources'!$B$155:$J$162,0,7))*INDEX('Methodology &amp; Sources'!$B$155:$J$162,0,7+2)),IF(Inputs!$C$77="D",SUMPRODUCT(($AZ66&gt;=INDEX('Methodology &amp; Sources'!$B$167:$J$179,0,1))*INDEX('Methodology &amp; Sources'!$B$167:$J$179,0,1+2)),IF(Inputs!$C$77="E",SUMPRODUCT(($AZ66&gt;=INDEX('Methodology &amp; Sources'!$B$167:$J$179,0,4))*INDEX('Methodology &amp; Sources'!$B$167:$J$179,0,4+2)),SUMPRODUCT(($AZ66&gt;=INDEX('Methodology &amp; Sources'!$B$155:$J$162,0,1))*INDEX('Methodology &amp; Sources'!$B$155:$J$162,0,1+2)))))),IF($AN66="OR",IF(OR($AU66="Married",AND($AU66="Single",$AS66&gt;=3)),SUMPRODUCT((MAX(0,$AY66-MIN(($P66-'Methodology &amp; Sources'!$C$10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Sources'!$B$211:$J$214,0,4))*INDEX('Methodology &amp; Sources'!$B$211:$J$214,0,4+2)),SUMPRODUCT((MAX(0,$AY66-MIN(($P66-'Methodology &amp; Sources'!$C$10*$D66)*Inputs!$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Sources'!$B$211:$J$214,0,1))*INDEX('Methodology &amp; Sources'!$B$211:$J$214,0,1+2)))*IF(($P66-'Methodology &amp; Sources'!$C$10*$D66)*Inputs!$C$8&gt;=IF(OR($AU66="Married",AND($AU66="Single",$AS66&gt;=3)),IF($AY66&lt;250000,8750,IF($AY66&lt;260000,7000,IF($AY66&lt;270000,5250,IF($AY66&lt;280000,3500,IF($AY66&lt;290000,1750,0))))),IF($AY66&lt;125000,8750,IF($AY66&lt;130000,7000,IF($AY66&lt;135000,5250,IF($AY66&lt;140000,3500,IF($AY66&lt;145000,1750,0)))))),1,1-IF(Inputs!$C$13,SUMPRODUCT(($AH66&gt;=INDEX('Methodology &amp; Sources'!$B$29:$J$36,0,IF(Inputs!$C$12="MFJ",1,IF(Inputs!$C$12="HoH",7,4))))*INDEX('Methodology &amp; Sources'!$B$29:$J$36,0,IF(Inputs!$C$12="MFJ",1,IF(Inputs!$C$12="HoH",7,4))+2)),SUMPRODUCT(($AH66&gt;=INDEX('Methodology &amp; Sources'!$B$19:$J$26,0,IF(Inputs!$C$12="MFJ",1,IF(Inputs!$C$12="HoH",7,4))))*INDEX('Methodology &amp; Sources'!$B$19:$J$26,0,IF(Inputs!$C$12="MFJ",1,IF(Inputs!$C$12="HoH",7,4))+2)))),IF($AN66="MI",IF($AY66&gt;5900*$AS66,0.0425,0),""))))</f>
      </c>
      <c r="CA66" s="24">
        <f>IF($B66="","",IF($AN66="AL",IF(OR($AU66="Married",$AU66="Head of household"),SUMPRODUCT(($AZ66&gt;=INDEX('Methodology &amp; Sources'!$B$82:$J$86,0,4))*INDEX('Methodology &amp; Sources'!$B$82:$J$86,0,4+2)),SUMPRODUCT(($AZ66&gt;=INDEX('Methodology &amp; Sources'!$B$82:$J$86,0,1))*INDEX('Methodology &amp; Sources'!$B$82:$J$86,0,1+2)))*(1-IF(Inputs!$C$13,SUMPRODUCT(($AH66&gt;=INDEX('Methodology &amp; Sources'!$B$29:$J$36,0,IF(Inputs!$C$12="MFJ",1,IF(Inputs!$C$12="HoH",7,4))))*INDEX('Methodology &amp; Sources'!$B$29:$J$36,0,IF(Inputs!$C$12="MFJ",1,IF(Inputs!$C$12="HoH",7,4))+2)),SUMPRODUCT(($AH66&gt;=INDEX('Methodology &amp; Sources'!$B$19:$J$26,0,IF(Inputs!$C$12="MFJ",1,IF(Inputs!$C$12="HoH",7,4))))*INDEX('Methodology &amp; Sources'!$B$19:$J$26,0,IF(Inputs!$C$12="MFJ",1,IF(Inputs!$C$12="HoH",7,4))+2)))),IF($AN66="KS",IF($AU66="Married",SUMPRODUCT(($AZ66&gt;=INDEX('Methodology &amp; Sources'!$B$103:$J$109,0,4))*INDEX('Methodology &amp; Sources'!$B$103:$J$109,0,4+2)),SUMPRODUCT(($AZ66&gt;=INDEX('Methodology &amp; Sources'!$B$103:$J$109,0,1))*INDEX('Methodology &amp; Sources'!$B$103:$J$109,0,1+2))),IF($AN66="MD",IF(OR($AU66="Married",$AU66="Head of household"),SUMPRODUCT(($AZ66&gt;=INDEX('Methodology &amp; Sources'!$B$114:$J$120,0,1))*INDEX('Methodology &amp; Sources'!$B$114:$J$120,0,1+2)),SUMPRODUCT(($AZ66&gt;=INDEX('Methodology &amp; Sources'!$B$103:$J$109,0,7))*INDEX('Methodology &amp; Sources'!$B$103:$J$109,0,7+2)))+Inputs!$C$74,IF($AN66="MT",IF($AU66="Head of household",SUMPRODUCT(($AZ66&gt;=INDEX('Methodology &amp; Sources'!$B$137:$J$139,0,1))*INDEX('Methodology &amp; Sources'!$B$137:$J$139,0,1+2)),IF($AU66="Married",SUMPRODUCT(($AZ66&gt;=INDEX('Methodology &amp; Sources'!$B$125:$J$132,0,7))*INDEX('Methodology &amp; Sources'!$B$125:$J$132,0,7+2)),SUMPRODUCT(($AZ66&gt;=INDEX('Methodology &amp; Sources'!$B$125:$J$132,0,4))*INDEX('Methodology &amp; Sources'!$B$125:$J$132,0,4+2)))),IF($AN66="ND",IF($AU66="Head of household",SUMPRODUCT(($AZ66&gt;=INDEX('Methodology &amp; Sources'!$B$144:$J$150,0,1))*INDEX('Methodology &amp; Sources'!$B$144:$J$150,0,1+2)),IF($AU66="Married",SUMPRODUCT(($AZ66&gt;=INDEX('Methodology &amp; Sources'!$B$137:$J$139,0,7))*INDEX('Methodology &amp; Sources'!$B$137:$J$139,0,7+2)),SUMPRODUCT(($AZ66&gt;=INDEX('Methodology &amp; Sources'!$B$137:$J$139,0,4))*INDEX('Methodology &amp; Sources'!$B$137:$J$139,0,4+2)))),IF($AN66="NY",IF($AU66="Married",IF($AZ66&gt;=2155350,IF($AZ66&gt;25000000,0.117,IF($AZ66&gt;5000000,0.111,0.1045)),SUMPRODUCT(($AZ66&gt;=INDEX('Methodology &amp; Sources'!$B$184:$J$198,0,1))*INDEX('Methodology &amp; Sources'!$B$184:$J$198,0,1+2))),IF($AZ66&gt;=1077550,IF($AZ66&gt;25000000,0.117,IF($AZ66&gt;5000000,0.111,0.1045)),SUMPRODUCT(($AZ66&gt;=INDEX('Methodology &amp; Sources'!$B$167:$J$179,0,7))*INDEX('Methodology &amp; Sources'!$B$167:$J$179,0,7+2)))),"")))))))</f>
      </c>
      <c r="CB66" s="24">
        <f>IF($B66="","",IF($AN66="CA",SUMPRODUCT(($AJ66&gt;=INDEX('Methodology &amp; Sources'!$B$39:$J$48,0,IF($AU66="Married",4,IF($AU66="Head of household",7,1))))*INDEX('Methodology &amp; Sources'!$B$39:$J$48,0,IF($AU66="Married",4,IF($AU66="Head of household",7,1))+2)),IF($AN66="HI",IF($AU66="Married",SUMPRODUCT(($AZ66&gt;=INDEX('Methodology &amp; Sources'!$B$91:$J$98,0,7))*INDEX('Methodology &amp; Sources'!$B$91:$J$98,0,7+2)),SUMPRODUCT(($AZ66&gt;=INDEX('Methodology &amp; Sources'!$B$91:$J$98,0,4))*INDEX('Methodology &amp; Sources'!$B$91:$J$98,0,4+2))),IF($AN66="MN",IF($AU66="Married",SUMPRODUCT(($AZ66&gt;=INDEX('Methodology &amp; Sources'!$B$114:$J$120,0,7))*INDEX('Methodology &amp; Sources'!$B$114:$J$120,0,7+2)),SUMPRODUCT(($AZ66&gt;=INDEX('Methodology &amp; Sources'!$B$114:$J$120,0,4))*INDEX('Methodology &amp; Sources'!$B$114:$J$120,0,4+2))),IF($AN66="MO",SUMPRODUCT(($AZ66&gt;=INDEX('Methodology &amp; Sources'!$B$125:$J$132,0,1))*INDEX('Methodology &amp; Sources'!$B$125:$J$132,0,1+2)),IF($AN66="NE",MAX(IF($AU66="Married",SUMPRODUCT(($AZ66&gt;=INDEX('Methodology &amp; Sources'!$B$144:$J$150,0,7))*INDEX('Methodology &amp; Sources'!$B$144:$J$150,0,7+2)),SUMPRODUCT(($AZ66&gt;=INDEX('Methodology &amp; Sources'!$B$144:$J$150,0,4))*INDEX('Methodology &amp; Sources'!$B$144:$J$150,0,4+2))),0.015),IF($AN66="OH",IF($B66&gt;=DATE(2027,8,1),SUMPRODUCT(($AZ66&gt;=INDEX('Methodology &amp; Sources'!$B$203:$J$206,0,1))*INDEX('Methodology &amp; Sources'!$B$203:$J$206,0,1+2)),SUMPRODUCT(($AZ66&gt;=INDEX('Methodology &amp; Sources'!$B$184:$J$198,0,7))*INDEX('Methodology &amp; Sources'!$B$184:$J$198,0,7+2))),IF($AN66="OK",IF($AU66="Married",SUMPRODUCT(($AZ66&gt;=INDEX('Methodology &amp; Sources'!$B$203:$J$206,0,7))*INDEX('Methodology &amp; Sources'!$B$203:$J$206,0,7+2)),SUMPRODUCT(($AZ66&gt;=INDEX('Methodology &amp; Sources'!$B$203:$J$206,0,4))*INDEX('Methodology &amp; Sources'!$B$203:$J$206,0,4+2))),IF($AN66="RI",SUMPRODUCT(($AZ66&gt;=INDEX('Methodology &amp; Sources'!$B$211:$J$214,0,7))*INDEX('Methodology &amp; Sources'!$B$211:$J$214,0,7+2)),IF($AN66="SC",SUMPRODUCT(($AZ66&gt;=INDEX('Methodology &amp; Sources'!$B$219:$J$223,0,1))*INDEX('Methodology &amp; Sources'!$B$219:$J$223,0,1+2)),IF($AN66="VT",IF($AU66="Married",SUMPRODUCT(($AZ66&gt;=INDEX('Methodology &amp; Sources'!$B$228:$J$232,0,1))*INDEX('Methodology &amp; Sources'!$B$228:$J$232,0,1+2)),SUMPRODUCT(($AZ66&gt;=INDEX('Methodology &amp; Sources'!$B$219:$J$223,0,7))*INDEX('Methodology &amp; Sources'!$B$219:$J$223,0,7+2))),IF($AN66="WV",IF($AU66="Married",SUMPRODUCT(($AZ66&gt;=INDEX('Methodology &amp; Sources'!$B$237:$J$241,0,7))*INDEX('Methodology &amp; Sources'!$B$237:$J$241,0,7+2)),SUMPRODUCT(($AZ66&gt;=INDEX('Methodology &amp; Sources'!$B$228:$J$232,0,7))*INDEX('Methodology &amp; Sources'!$B$228:$J$232,0,7+2))),IF($AN66="IN",(0.0295+Inputs!$C$76),"")))))))))))))</f>
      </c>
      <c r="CC66" s="24">
        <f>IF($B66="","",IF($AN66="AR",SUMPRODUCT(($AZ66&gt;=INDEX('Methodology &amp; Sources'!$B$82:$J$86,0,7))*INDEX('Methodology &amp; Sources'!$B$82:$J$86,0,7+2)),IF($AN66="DE",SUMPRODUCT(($AZ66&gt;=INDEX('Methodology &amp; Sources'!$B$91:$J$98,0,1))*INDEX('Methodology &amp; Sources'!$B$91:$J$98,0,1+2)),IF($AN66="VA",SUMPRODUCT(($AZ66&gt;=INDEX('Methodology &amp; Sources'!$B$219:$J$223,0,4))*INDEX('Methodology &amp; Sources'!$B$219:$J$223,0,4+2)),IF($AN66="WI",SUMPRODUCT(($AZ66&gt;=INDEX('Methodology &amp; Sources'!$B$228:$J$232,0,4))*INDEX('Methodology &amp; Sources'!$B$228:$J$232,0,4+2)),IF($AN66="AZ",Inputs!$C$82,IF($AN66="CO",IF($AY66&gt;IF($AU66="Married",10000,5000),0.044,0),IF($AN66="IA",IF($AY66&gt;IF($AU66="Head of household",19500,IF($AU66="Married",26000,13000)),0.038,0),IF($AN66="ID",IF($AY66&gt;IF($AU66="Married",32000,16094),0.053,0),IF($AN66="IL",IF($AY66&gt;(2925*$AS66+1000*$AT66),0.0495,0),IF($AN66="KY",IF($AI66&gt;3360,0.035,0),IF($AN66="LA",0.0309,IF($AN66="MA",IF(MAX(0,$AY66-MIN(($BD65+$Q66+$R66+$S66),2000)-IF($AS66=0,0,IF($AS66=1,4400,1000*$AS66+3400)))&gt;=1107750,0.09,0.05),IF($AN66="MS",IF($AI66-IF($AU66="Head of household",3400,IF($AU66="Married",4600,2300))-Inputs!$C$85&gt;10000,0.04,0),IF($AN66="PA",0.0307,"")))))))))))))))</f>
      </c>
      <c r="CD66" s="21">
        <f>IF(YEAR(IF(Inputs!$C$7="Weekly",Inputs!$C$90+7*(($BE65+1)-1),IF(Inputs!$C$7="Biweekly",Inputs!$C$90+14*(($BE65+1)-1),IF(Inputs!$C$7="Semimonthly",DATE(YEAR(Inputs!$C$9),MONTH(Inputs!$C$9)+INT((($BE65+1)-1+'Rest of 2026'!$C$2)/2),MIN(DAY(Inputs!$C$9),DAY(EOMONTH(DATE(YEAR(Inputs!$C$9),MONTH(Inputs!$C$9)+INT((($BE65+1)-1+'Rest of 2026'!$C$2)/2),1),0))))+IF(MOD(($BE65+1)-1+'Rest of 2026'!$C$2,2)=1,15,0),EDATE(Inputs!$C$90,($BE65+1)-1)))))&lt;&gt;Inputs!$C$10,"",IF(Inputs!$C$7="Weekly",Inputs!$C$90+7*(($BE65+1)-1),IF(Inputs!$C$7="Biweekly",Inputs!$C$90+14*(($BE65+1)-1),IF(Inputs!$C$7="Semimonthly",DATE(YEAR(Inputs!$C$9),MONTH(Inputs!$C$9)+INT((($BE65+1)-1+'Rest of 2026'!$C$2)/2),MIN(DAY(Inputs!$C$9),DAY(EOMONTH(DATE(YEAR(Inputs!$C$9),MONTH(Inputs!$C$9)+INT((($BE65+1)-1+'Rest of 2026'!$C$2)/2),1),0))))+IF(MOD(($BE65+1)-1+'Rest of 2026'!$C$2,2)=1,15,0),EDATE(Inputs!$C$90,($BE65+1)-1)))))</f>
      </c>
      <c r="CE66" s="21">
        <f>IF(SUMPRODUCT(MIN(IF((Inputs!$C$58:$C$67&gt;MAX($B$6:$B65))*(Inputs!$C$58:$C$67&gt;=DATE(Inputs!$C$10,1,1))*(Inputs!$C$58:$C$67&lt;=DATE(Inputs!$C$10,12,31)),Inputs!$C$58:$C$67,999999)))=999999,"",SUMPRODUCT(MIN(IF((Inputs!$C$58:$C$67&gt;MAX($B$6:$B65))*(Inputs!$C$58:$C$67&gt;=DATE(Inputs!$C$10,1,1))*(Inputs!$C$58:$C$67&lt;=DATE(Inputs!$C$10,12,31)),Inputs!$C$58:$C$67,999999))))</f>
      </c>
    </row>
    <row r="67">
      <c r="A67" t="n">
        <v>62</v>
      </c>
      <c r="B67" s="21">
        <f>IF(AND($CD67="",$CE67=""),"",IF($CE67="",$CD67,IF($CD67="",$CE67,MIN($CD67,$CE67))))</f>
      </c>
      <c r="C67" s="7">
        <f>IF($B67="","",IF($BF67=0,0,IF(Inputs!$C$4="Annual salary",ROUND($AK67/IF(AND(Inputs!$C$88="Actual paydays",MONTH(Inputs!$C$90)=1),MAX(1,MAX($BE$6:$BE$68)),Inputs!$C$8),2),$AK67)))</f>
      </c>
      <c r="D67" s="7">
        <f>IF($B67="","",SUMIF(Inputs!$C$58:$C$67,$B67,Inputs!$D$58:$D$67))</f>
      </c>
      <c r="E67" s="7">
        <f>IF($B67="","",ROUND(MAX(0,MIN(IF($AL67="Percent",$AM67*($C67+$D67),$AM67),MAX(0,Inputs!$C$34-$AC66))),2))</f>
      </c>
      <c r="F67" s="7">
        <f>IF($B67="","",ROUND(MAX(0,MIN(IF(Inputs!$C$32="Percent",Inputs!$D$32*($C67+$D67),Inputs!$D$32),MAX(0,Inputs!$C$34-$AC66-$E67))),2))</f>
      </c>
      <c r="G67" s="7">
        <f>IF($B67="","",IF($BF67=0,0,ROUND(MAX(0,MIN($BL67,Inputs!$C$37-Inputs!$C$99-$BI66)),2)))</f>
      </c>
      <c r="H67" s="7">
        <f>IF($B67="","",IF(OR($BF67=0,$BQ67=1),0,ROUND(MAX(0,MIN(IF($BS67=1,ROUND(MAX(0,MIN($BJ67,'Methodology &amp; Sources'!$C$13)-$BG66)/MAX(1,MAX($BE$6:$BE$68)-($BE66)),2),ROUND(MIN($BJ67,'Methodology &amp; Sources'!$C$13)/Inputs!$C$8,2)),MIN($BJ67,'Methodology &amp; Sources'!$C$13)-$BG66)),2)))</f>
      </c>
      <c r="I67" s="7">
        <f>IF($B67="","",IF(OR($BF67=0,$BR67=1),0,ROUND(MAX(0,MIN(IF($BT67=1,ROUND(MAX(0,MIN($BK67,IF(Inputs!$C$12="MFJ",'Methodology &amp; Sources'!$C$14,'Methodology &amp; Sources'!$C$15))-$BH66)/MAX(1,MAX($BE$6:$BE$68)-($BE66)),2),ROUND(MIN($BK67,IF(Inputs!$C$12="MFJ",'Methodology &amp; Sources'!$C$14,'Methodology &amp; Sources'!$C$15))/Inputs!$C$8,2)),MIN($BK67,IF(Inputs!$C$12="MFJ",'Methodology &amp; Sources'!$C$14,'Methodology &amp; Sources'!$C$15))-$BH66)),2)))</f>
      </c>
      <c r="J67" s="7">
        <f>IF($B67="","",IF($BF67=0,0,$BM67))</f>
      </c>
      <c r="K67" s="7">
        <f>IF($B67="","",IF($BF67=0,0,$BN67+$BO67))</f>
      </c>
      <c r="L67" s="7">
        <f>IF($B67="","",IF($BF67=0,0,Inputs!$D$46))</f>
      </c>
      <c r="M67" s="7">
        <f>IF($B67="","",$C67+$D67+$L67-$E67-$G67-$H67-$I67-$J67-$K67)</f>
      </c>
      <c r="N67" s="7">
        <f>IF($B67="","",$C67+$D67+$L67-$G67-$H67-$I67-$J67-$K67)</f>
      </c>
      <c r="O67" s="7">
        <f>IF($B67="","",$C67+$D67+$L67-$E67-$H67-$I67-$J67-$K67-IF(OR($AN67="CA",$AN67="NJ"),0,$G67))</f>
      </c>
      <c r="P67" s="7">
        <f>IF($B67="","",IF(Inputs!$C$18,0,ROUND(MAX(0,IF(Inputs!$C$13,SUMPRODUCT(($AH67&gt;INDEX('Methodology &amp; Sources'!$B$29:$J$36,0,IF(Inputs!$C$12="MFJ",1,IF(Inputs!$C$12="HoH",7,4))))*($AH67-INDEX('Methodology &amp; Sources'!$B$29:$J$36,0,IF(Inputs!$C$12="MFJ",1,IF(Inputs!$C$12="HoH",7,4))))*INDEX('Methodology &amp; Sources'!$B$29:$J$36,0,IF(Inputs!$C$12="MFJ",1,IF(Inputs!$C$12="HoH",7,4))+2)),SUMPRODUCT(($AH67&gt;INDEX('Methodology &amp; Sources'!$B$19:$J$26,0,IF(Inputs!$C$12="MFJ",1,IF(Inputs!$C$12="HoH",7,4))))*($AH67-INDEX('Methodology &amp; Sources'!$B$19:$J$26,0,IF(Inputs!$C$12="MFJ",1,IF(Inputs!$C$12="HoH",7,4))))*INDEX('Methodology &amp; Sources'!$B$19:$J$26,0,IF(Inputs!$C$12="MFJ",1,IF(Inputs!$C$12="HoH",7,4))+2)))/Inputs!$C$8-$AO67/Inputs!$C$8)+$AR67+IF(Inputs!$C$89="Aggregate",MAX(0,IF(Inputs!$C$13,SUMPRODUCT((($AH67+$D67)&gt;INDEX('Methodology &amp; Sources'!$B$29:$J$36,0,IF(Inputs!$C$12="MFJ",1,IF(Inputs!$C$12="HoH",7,4))))*(($AH67+$D67)-INDEX('Methodology &amp; Sources'!$B$29:$J$36,0,IF(Inputs!$C$12="MFJ",1,IF(Inputs!$C$12="HoH",7,4))))*INDEX('Methodology &amp; Sources'!$B$29:$J$36,0,IF(Inputs!$C$12="MFJ",1,IF(Inputs!$C$12="HoH",7,4))+2)),SUMPRODUCT((($AH67+$D67)&gt;INDEX('Methodology &amp; Sources'!$B$19:$J$26,0,IF(Inputs!$C$12="MFJ",1,IF(Inputs!$C$12="HoH",7,4))))*(($AH67+$D67)-INDEX('Methodology &amp; Sources'!$B$19:$J$26,0,IF(Inputs!$C$12="MFJ",1,IF(Inputs!$C$12="HoH",7,4))))*INDEX('Methodology &amp; Sources'!$B$19:$J$26,0,IF(Inputs!$C$12="MFJ",1,IF(Inputs!$C$12="HoH",7,4))+2)))-IF(Inputs!$C$13,SUMPRODUCT(($AH67&gt;INDEX('Methodology &amp; Sources'!$B$29:$J$36,0,IF(Inputs!$C$12="MFJ",1,IF(Inputs!$C$12="HoH",7,4))))*($AH67-INDEX('Methodology &amp; Sources'!$B$29:$J$36,0,IF(Inputs!$C$12="MFJ",1,IF(Inputs!$C$12="HoH",7,4))))*INDEX('Methodology &amp; Sources'!$B$29:$J$36,0,IF(Inputs!$C$12="MFJ",1,IF(Inputs!$C$12="HoH",7,4))+2)),SUMPRODUCT(($AH67&gt;INDEX('Methodology &amp; Sources'!$B$19:$J$26,0,IF(Inputs!$C$12="MFJ",1,IF(Inputs!$C$12="HoH",7,4))))*($AH67-INDEX('Methodology &amp; Sources'!$B$19:$J$26,0,IF(Inputs!$C$12="MFJ",1,IF(Inputs!$C$12="HoH",7,4))))*INDEX('Methodology &amp; Sources'!$B$19:$J$26,0,IF(Inputs!$C$12="MFJ",1,IF(Inputs!$C$12="HoH",7,4))+2)))),'Methodology &amp; Sources'!$C$10*$D67),2)))</f>
      </c>
      <c r="Q67" s="7">
        <f>IF($B67="","",ROUND('Methodology &amp; Sources'!$C$4*MIN($N67,MAX(0,'Methodology &amp; Sources'!$C$3-($AX67+$AB66-$AW67))),2))</f>
      </c>
      <c r="R67" s="7">
        <f>IF($B67="","",ROUND('Methodology &amp; Sources'!$C$5*$N67,2))</f>
      </c>
      <c r="S67" s="7">
        <f>IF($B67="","",ROUND('Methodology &amp; Sources'!$C$6*MAX(0,MIN($N67,$AG66+$N67-'Methodology &amp; Sources'!$C$7)),2))</f>
      </c>
      <c r="T67" s="7">
        <f>IF($B67="","",IF(Inputs!$C$26,0,IF($AN67="CA",ROUND(IF($AI67&lt;=IF(($AS67+$AT67)&gt;=2,VLOOKUP($AN67,StateTables!$A$6:$AB$56,10,FALSE),VLOOKUP($AN67,StateTables!$A$6:$AB$56,9,FALSE)),0,MAX(0,SUMPRODUCT(($AJ67&gt;INDEX('Methodology &amp; Sources'!$B$39:$J$48,0,IF($AU67="Married",4,IF($AU67="Head of household",7,1))))*($AJ67-INDEX('Methodology &amp; Sources'!$B$39:$J$48,0,IF($AU67="Married",4,IF($AU67="Head of household",7,1))))*INDEX('Methodology &amp; Sources'!$B$39:$J$48,0,IF($AU67="Married",4,IF($AU67="Head of household",7,1))+2))-VLOOKUP($AN67,StateTables!$A$6:$AB$56,11,FALSE)*$AS67)/Inputs!$C$8)+Inputs!$C$25+VLOOKUP($AN67,StateTables!$A$6:$AB$56,13,FALSE)*$D67,2),IF(VLOOKUP($AN67,StateTables!$A$6:$AB$56,4,FALSE)="None",0,IF(ISNUMBER(SEARCH("MANUAL",VLOOKUP($AN67,StateTables!$A$6:$AB$56,5,FALSE))),Inputs!$C$28,ROUND(MAX(0,$BA67+$BB67)/Inputs!$C$8+Inputs!$C$25+$BC67,2))))))</f>
      </c>
      <c r="U67" s="7">
        <f>IF($B67="","",IF(VLOOKUP($AN67,StateTables!$A$6:$AB$56,24,FALSE)="flatq",IF(OR(MONTH($B67)=1,MONTH($B67)=4,MONTH($B67)=7,MONTH($B67)=10),VLOOKUP($AN67,StateTables!$A$6:$AB$56,25,FALSE),0),IF(VLOOKUP($AN67,StateTables!$A$6:$AB$56,24,FALSE)="dbl",MIN(ROUND(0.005*$N67,2),ROUND(0.6*52/Inputs!$C$8,2)),IF(OR(VLOOKUP($AN67,StateTables!$A$6:$AB$56,15,FALSE)="",VLOOKUP($AN67,StateTables!$A$6:$AB$56,15,FALSE)=0),0,ROUND(VLOOKUP($AN67,StateTables!$A$6:$AB$56,15,FALSE)*IF(OR(VLOOKUP($AN67,StateTables!$A$6:$AB$56,16,FALSE)="",VLOOKUP($AN67,StateTables!$A$6:$AB$56,16,FALSE)=0),$N67,MIN($N67,MAX(0,VLOOKUP($AN67,StateTables!$A$6:$AB$56,16,FALSE)-($AX67+$AB66-$AW67)))),2))))+IF(VLOOKUP($AN67,StateTables!$A$6:$AB$56,27,FALSE)="flatq",IF(OR(MONTH($B67)=1,MONTH($B67)=4,MONTH($B67)=7,MONTH($B67)=10),VLOOKUP($AN67,StateTables!$A$6:$AB$56,28,FALSE),0),IF(VLOOKUP($AN67,StateTables!$A$6:$AB$56,27,FALSE)="dbl",MIN(ROUND(0.005*$N67,2),ROUND(0.6*52/Inputs!$C$8,2)),IF(OR(VLOOKUP($AN67,StateTables!$A$6:$AB$56,18,FALSE)="",VLOOKUP($AN67,StateTables!$A$6:$AB$56,18,FALSE)=0),0,ROUND(VLOOKUP($AN67,StateTables!$A$6:$AB$56,18,FALSE)*IF(OR(VLOOKUP($AN67,StateTables!$A$6:$AB$56,19,FALSE)="",VLOOKUP($AN67,StateTables!$A$6:$AB$56,19,FALSE)=0),$N67,MIN($N67,MAX(0,VLOOKUP($AN67,StateTables!$A$6:$AB$56,19,FALSE)-($AX67+$AB66-$AW67)))),2)))))</f>
      </c>
      <c r="V67" s="7">
        <f>IF($B67="","",IF($AN67="NY",IF(Inputs!$C$78,ROUND(SUMPRODUCT((MAX(0,($O67-$D67)*Inputs!$C$8-(IF($AU67="Married",5500,5000)+1000*$AS67))&gt;INDEX('Methodology &amp; Sources'!$B$184:$J$198,0,4))*(MAX(0,($O67-$D67)*Inputs!$C$8-(IF($AU67="Married",5500,5000)+1000*$AS67))-INDEX('Methodology &amp; Sources'!$B$184:$J$198,0,4))*INDEX('Methodology &amp; Sources'!$B$184:$J$198,0,4+2))/Inputs!$C$8+0.0425*$D67,2),0)+IF(Inputs!$C$79="Resident",ROUND(0.1675*$T67,2),IF(Inputs!$C$79="Nonresident",ROUND(0.005*MAX(0,($O67-$D67)-(IF($AU67="Married",7950,7400)+1000*$AS67)/Inputs!$C$8),2),0)),IF($AN67="PA",IF(Inputs!$C$80="None",Inputs!$C$27+ROUND(Inputs!$C$81*($C67+$D67),2),ROUND(IF(Inputs!$C$80="Resident",IF($B67&lt;DATE(2027,7,1),0.03735,0.03735),IF($B67&lt;DATE(2027,7,1),0.03425,0.03425))*($C67+$D67),2)),IF($BF67=0,ROUND(Inputs!$C$81*($C67+$D67),2),Inputs!$C$27+ROUND(Inputs!$C$81*($C67+$D67),2)))))</f>
      </c>
      <c r="W67" s="7">
        <f>IF($B67="","",IF($BF67=0,0,$BP67))</f>
      </c>
      <c r="X67" s="7">
        <f>IF($B67="","",SUM($E67:$K67)+$P67+$Q67+$R67+$S67+$T67+$U67+$V67+$W67)</f>
      </c>
      <c r="Y67" s="22">
        <f>IF($B67="","",$C67+$D67-$X67)</f>
      </c>
      <c r="Z67" s="7">
        <f>IF($B67="","",$Z66+$C67+$D67)</f>
      </c>
      <c r="AA67" s="7">
        <f>IF($B67="","",$AA66+$Y67)</f>
      </c>
      <c r="AB67" s="7">
        <f>IF($B67="","",$AB66+MIN($N67,MAX(0,'Methodology &amp; Sources'!$C$3-($AX67+$AB66-$AW67))))</f>
      </c>
      <c r="AC67" s="7">
        <f>IF($B67="","",$AC66+$E67+$F67)</f>
      </c>
      <c r="AD67" s="3">
        <f>IF($B67="","",IF(AND($AB66&lt;'Methodology &amp; Sources'!$C$3,$AB67&gt;='Methodology &amp; Sources'!$C$3),"★ Social Security maxed on this check — from the next check your net rises by about $"&amp;TEXT(ROUND('Methodology &amp; Sources'!$C$4*$N67,2),"#,##0.00")&amp;". ","")&amp;IF(AND($AC66&lt;Inputs!$C$34,$AC67&gt;=Inputs!$C$34),"★ 401(k) reaches the $"&amp;TEXT(Inputs!$C$34,"#,##0")&amp;" cap on this check — deferrals stop and net pay rises. ","")&amp;IF(AND($AG66&lt;'Methodology &amp; Sources'!$C$7,$AG67&gt;='Methodology &amp; Sources'!$C$7),"★ Wages pass $200,000 — the 0.9% Additional Medicare Tax starts here. ","")&amp;IF(AND($BJ67&gt;0,$H67&gt;0,$BG66&lt;MIN($BJ67,'Methodology &amp; Sources'!$C$13),$BG66+$H67&gt;=MIN($BJ67,'Methodology &amp; Sources'!$C$13)),"★ Health FSA election is now fully deferred for the year. ",""))</f>
      </c>
      <c r="AE67" s="41" t="n"/>
      <c r="AF67" s="7">
        <f>IF(OR($B67="",$AE67=""),"",$AE67-$Y67)</f>
      </c>
      <c r="AG67" s="7">
        <f>IF($B67="","",$AG66+$N67)</f>
      </c>
      <c r="AH67" s="7">
        <f>IF($B67="","",MAX(0,($M67-$D67)*Inputs!$C$8+$AP67-$AQ67-IF(Inputs!$C$13,0,IF(Inputs!$C$12="MFJ",'Methodology &amp; Sources'!$C$8,'Methodology &amp; Sources'!$C$9))))</f>
      </c>
      <c r="AI67" s="7">
        <f>IF($B67="","",$O67*Inputs!$C$8)</f>
      </c>
      <c r="AJ67" s="7">
        <f>IF($B67="","",MAX(0,$AI67-VLOOKUP($AN67,StateTables!$A$6:$AB$56,12,FALSE)*$AT67-IF(($AS67+$AT67)&gt;=2,VLOOKUP($AN67,StateTables!$A$6:$AB$56,8,FALSE),VLOOKUP($AN67,StateTables!$A$6:$AB$56,7,FALSE))))</f>
      </c>
      <c r="AK67" s="7">
        <f>IF($B67="","",IFERROR(LOOKUP(2,1/((Events!$C$6:$C$17="Salary change")*(Events!$B$6:$B$17&lt;=$B67)*(Events!$B$6:$B$17&lt;&gt;"")),Events!$D$6:$D$17),IF(Inputs!$C$4="Annual salary",Inputs!$C$5,Inputs!$C$6)))</f>
      </c>
      <c r="AL67">
        <f>IF($B67="","",IFERROR(LOOKUP(2,1/((Events!$C$6:$C$17="401(k) change")*(Events!$B$6:$B$17&lt;=$B67)*(Events!$B$6:$B$17&lt;&gt;"")),Events!$D$6:$D$17),Inputs!$C$30))</f>
      </c>
      <c r="AM67" s="7">
        <f>IF($B67="","",IFERROR(LOOKUP(2,1/((Events!$C$6:$C$17="401(k) change")*(Events!$B$6:$B$17&lt;=$B67)*(Events!$B$6:$B$17&lt;&gt;"")),Events!$E$6:$E$17),Inputs!$D$30))</f>
      </c>
      <c r="AN67">
        <f>IF($B67="","",IFERROR(LOOKUP(2,1/((Events!$C$6:$C$17="State move")*(Events!$B$6:$B$17&lt;=$B67)*(Events!$B$6:$B$17&lt;&gt;"")),Events!$D$6:$D$17),Inputs!$C$21))</f>
      </c>
      <c r="AO67" s="7">
        <f>IF($B67="","",IFERROR(LOOKUP(2,1/((Events!$C$6:$C$17="W-4 change")*(Events!$B$6:$B$17&lt;=$B67)*(Events!$B$6:$B$17&lt;&gt;"")),Events!$D$6:$D$17),Inputs!$C$14))</f>
      </c>
      <c r="AP67" s="7">
        <f>IF($B67="","",IFERROR(LOOKUP(2,1/((Events!$C$6:$C$17="W-4 change")*(Events!$B$6:$B$17&lt;=$B67)*(Events!$B$6:$B$17&lt;&gt;"")),Events!$E$6:$E$17),Inputs!$C$15))</f>
      </c>
      <c r="AQ67" s="7">
        <f>IF($B67="","",IFERROR(LOOKUP(2,1/((Events!$C$6:$C$17="W-4 change")*(Events!$B$6:$B$17&lt;=$B67)*(Events!$B$6:$B$17&lt;&gt;"")),Events!$F$6:$F$17),Inputs!$C$16))</f>
      </c>
      <c r="AR67" s="7">
        <f>IF($B67="","",IFERROR(LOOKUP(2,1/((Events!$C$6:$C$17="W-4 change")*(Events!$B$6:$B$17&lt;=$B67)*(Events!$B$6:$B$17&lt;&gt;"")),Events!$G$6:$G$17),Inputs!$C$17))</f>
      </c>
      <c r="AS67" s="6">
        <f>IF($B67="","",IFERROR(LOOKUP(2,1/(((Events!$C$6:$C$17="State move")+(Events!$C$6:$C$17="State cert change"))*(Events!$B$6:$B$17&lt;=$B67)*(Events!$B$6:$B$17&lt;&gt;"")),Events!$F$6:$F$17),Inputs!$C$23))</f>
      </c>
      <c r="AT67" s="6">
        <f>IF($B67="","",IFERROR(LOOKUP(2,1/(((Events!$C$6:$C$17="State move")+(Events!$C$6:$C$17="State cert change"))*(Events!$B$6:$B$17&lt;=$B67)*(Events!$B$6:$B$17&lt;&gt;"")),Events!$G$6:$G$17),Inputs!$C$24))</f>
      </c>
      <c r="AU67">
        <f>IF($B67="","",IFERROR(LOOKUP(2,1/((Events!$C$6:$C$17="State move")*(Events!$B$6:$B$17&lt;=$B67)*(Events!$B$6:$B$17&lt;&gt;"")),Events!$E$6:$E$17),Inputs!$C$22))</f>
      </c>
      <c r="AV67" s="6">
        <f>IF($B67="","",1+COUNTIFS(Events!$C$6:$C$17,"Employer change",Events!$B$6:$B$17,"&lt;="&amp;$B67,Events!$B$6:$B$17,"&lt;&gt;"))</f>
      </c>
      <c r="AW67" s="7">
        <f>IF($B67="","",IF($AV67=1,Inputs!$C$94,IF(IFERROR(MATCH(IFERROR(LOOKUP(2,1/((Events!$C$6:$C$17="Employer change")*(Events!$B$6:$B$17&lt;=$B67)*(Events!$B$6:$B$17&lt;&gt;"")),Events!$B$6:$B$17),""),$B$6:$B$68,1),1)&lt;=1,Inputs!$C$94,INDEX($AB$6:$AB$68,MATCH(IFERROR(LOOKUP(2,1/((Events!$C$6:$C$17="Employer change")*(Events!$B$6:$B$17&lt;=$B67)*(Events!$B$6:$B$17&lt;&gt;"")),Events!$B$6:$B$17),""),$B$6:$B$68,1)-1))))</f>
      </c>
      <c r="AX67" s="7">
        <f>IF($B67="","",IF($AV67=1,Inputs!$C$94,IFERROR(LOOKUP(2,1/((Events!$C$6:$C$17="Employer change")*(Events!$B$6:$B$17&lt;=$B67)*(Events!$B$6:$B$17&lt;&gt;"")),Events!$D$6:$D$17),0)))</f>
      </c>
      <c r="AY67" s="7">
        <f>IF($B67="","",($O67-$D67)*Inputs!$C$8)</f>
      </c>
      <c r="AZ67" s="7">
        <f>IF($B67="","",IF($AN67="AL",MAX(0,$AY67-IF($AU67="Married",IF($AY67&lt;=25999,8500,MAX(5000,8500-175*CEILING(($AY67-25999)/500,1))),IF($AU67="Head of household",IF($AY67&lt;=25999,5200,MAX(2500,5200-135*CEILING(($AY67-25999)/500,1))),IF($AY67&lt;=25999,3000,MAX(2500,3000-25*CEILING(($AY67-25999)/500,1)))))-($P67-'Methodology &amp; Sources'!$C$10*$D67)*Inputs!$C$8-IF(OR($AU67="Married",$AU67="Head of household"),3000,1500)-$AT67*IF($AY67&lt;=50000,1000,IF($AY67&lt;=100000,500,300))),IF($AN67="AR",IF(MAX(0,$AY67-2470)&lt;97701,INT(MAX(0,$AY67-2470)/100)*100+50,MAX(0,$AY67-2470)),IF($AN67="DE",MAX(0,$AI67-3250),IF($AN67="HI",MAX(0,$AI67-1144*$AS67-4350),IF($AN67="KS",MAX(0,$AI67-(9160*IF($AU67="Married",2,1)+2320*$AT67+IF($AU67="Head of household",2320,0))),IF($AN67="MD",MAX(0,$AI67-3400-3200*$AS67),IF($AN67="MN",MAX(0,$AY67-5300*$AS67),IF($AN67="MO",MAX(0,$AI67-IF($AU67="Head of household",24150,IF($AU67="Married",IF(Inputs!$C$83,16100,32200),16100))),IF($AN67="MT",$AY67,IF($AN67="ND",($C67+$L67)*Inputs!$C$8,IF($AN67="NE",MAX(0,$AY67-2440*$AS67),IF($AN67="NJ",MAX(0,$AY67-1000*$AS67),IF($AN67="NY",MAX(0,$AY67-(IF($AU67="Married",7950,7400)+1000*$AS67)),IF($AN67="OH",MAX(0,$AY67-650*$AS67),IF($AN67="OK",MAX(0,$AY67-1000*$AS67),IF($AN67="RI",MAX(0,$AI67-1000*$AS67),IF($AN67="SC",MAX(0,$AI67-5000*$AS67-IF($AS67=0,0,MIN(0.1*$AI67,7500))),IF($AN67="VA",MAX(0,$AI67-IF($AU67="Married",17500,8750)-930*$AS67-800*$AT67),IF($AN67="VT",MAX(0,$AI67-5400*$AS67),IF($AN67="WI",MAX(0,$AI67-MAX(0,IF($AU67="Married",9461-0.2*MAX(0,$AI67-25727),6702-0.12*MAX(0,$AI67-17780)))-400*$AS67),IF($AN67="WV",MAX(0,$AI67-2000*$AS67),$AI67))))))))))))))))))))))</f>
      </c>
      <c r="BA67" s="7">
        <f>IF($B67="","",IF($BW67&lt;&gt;"",$BW67,IF($BX67&lt;&gt;"",$BX67,IF($BY67&lt;&gt;"",$BY67,0))))</f>
      </c>
      <c r="BB67" s="7">
        <f>IF($B67="","",IF($AN67="AR",-29*$AS67,IF($AN67="DE",-110*$AS67,IF($AN67="MD",$AZ67*Inputs!$C$74,IF($AN67="AZ",Inputs!$C$82*($M67-$D67)*Inputs!$C$8,IF($AN67="CO",0.044*MAX(0,$AY67-IF($AU67="Married",10000,5000)),IF($AN67="IA",MAX(0,0.038*MAX(0,$AY67-IF($AU67="Head of household",19500,IF($AU67="Married",26000,13000)))-40*$AS67),IF($AN67="ID",0.053*MAX(0,$AY67-IF($AU67="Married",32000,16094)),IF($AN67="IL",0.0495*MAX(0,$AY67-(2925*$AS67+1000*$AT67)),IF($AN67="IN",(0.0295+Inputs!$C$76)*MAX(0,$AY67-(1000*$AS67+1500*$AT67+3000*Inputs!$C$86)),IF($AN67="KY",0.035*MAX(0,$AI67-3360),IF($AN67="LA",IF(Inputs!$C$84="0",0.0309*$AI67,0.0309*MAX(0,$AI67-IF(Inputs!$C$84="2",25750,12875))),IF($AN67="MA",0.05*MIN(MAX(0,$AY67-MIN(($BD66+$Q67+$R67+$S67),2000)-IF($AS67=0,0,IF($AS67=1,4400,1000*$AS67+3400))),1107750)+0.09*MAX(0,MAX(0,$AY67-MIN(($BD66+$Q67+$R67+$S67),2000)-IF($AS67=0,0,IF($AS67=1,4400,1000*$AS67+3400)))-1107750)-IF($AU67="Head of household",120,0)-110*Inputs!$C$75,IF($AN67="MI",0.0425*MAX(0,$AY67-5900*$AS67),IF($AN67="MS",0.04*MAX(0,$AI67-IF($AU67="Head of household",3400,IF($AU67="Married",4600,2300))-Inputs!$C$85-10000),IF($AN67="OR",IF(OR($AU67="Married",AND($AU67="Single",$AS67&gt;=3)),SUMPRODUCT((MAX(0,$AY67-MIN(($P67-'Methodology &amp; Sources'!$C$10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Sources'!$B$211:$J$214,0,4))*(MAX(0,$AY67-MIN(($P67-'Methodology &amp; Sources'!$C$10*$D67)*Inputs!$C$8,IF(OR($AU67="Married",AND($AU67="Single",$AS67&gt;=3)),IF($AY67&lt;250000,8750,IF($AY67&lt;260000,7000,IF($AY67&lt;270000,5250,IF($AY67&lt;280000,3500,IF($AY67&lt;290000,1750,0))))),IF($AY67&lt;125000,8750,IF($AY67&lt;130000,7000,IF($AY67&lt;135000,5250,IF($AY67&lt;140000,3500,IF($AY67&lt;145000,1750,0)))))))-IF(OR($AU67="Married",AND($AU67="Single",$AS67&gt;=3)),5820,2910))-INDEX('Methodology &amp; Sources'!$B$211:$J$214,0,4))*INDEX('Methodology &amp; Sources'!$B$211:$J$214,0,4+2)),SUMPRODUCT((MAX(0,$AY67-MIN(($P67-'Methodology &amp; Sources'!$C$10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Sources'!$B$211:$J$214,0,1))*(MAX(0,$AY67-MIN(($P67-'Methodology &amp; Sources'!$C$10*$D67)*Inputs!$C$8,IF(OR($AU67="Married",AND($AU67="Single",$AS67&gt;=3)),IF($AY67&lt;250000,8750,IF($AY67&lt;260000,7000,IF($AY67&lt;270000,5250,IF($AY67&lt;280000,3500,IF($AY67&lt;290000,1750,0))))),IF($AY67&lt;125000,8750,IF($AY67&lt;130000,7000,IF($AY67&lt;135000,5250,IF($AY67&lt;140000,3500,IF($AY67&lt;145000,1750,0)))))))-IF(OR($AU67="Married",AND($AU67="Single",$AS67&gt;=3)),5820,2910))-INDEX('Methodology &amp; Sources'!$B$211:$J$214,0,1))*INDEX('Methodology &amp; Sources'!$B$211:$J$214,0,1+2)))+263-263*IF(IF($AU67="Married",$AY67&gt;200000,$AY67&gt;100000),0,$AS67),IF($AN67="PA",0.0307*(($O67+$E67+$G67)*Inputs!$C$8),IF($AN67="NY",IF($AU67="Married",IF($AZ67&gt;=2155350,0,IF($AZ67&gt;=1077550,0.48,IF($AZ67&gt;=373200,1.21,IF($AZ67&gt;=323200,0.21,IF($AZ67&gt;=211550,-0.19,IF($AZ67&gt;=157650,-2.8,IF($AZ67&gt;=107650,-0.8,IF($AZ67&gt;=96800,0.05,IF($AZ67&gt;=80650,-0.1,IF($AZ67&gt;=13900,0.4,IF($AZ67&gt;=11700,-0.3,IF($AZ67&gt;=8500,0.5,0)))))))))))),IF($AZ67&gt;=1077550,0,IF($AZ67&gt;=265400,4.29,IF($AZ67&gt;=215400,2.29,IF($AZ67&gt;=157650,2.29,IF($AZ67&gt;=107650,0.29,IF($AZ67&gt;=96800,0.05,IF($AZ67&gt;=80650,-0.1,IF($AZ67&gt;=13900,0.4,IF($AZ67&gt;=11700,-0.3,IF($AZ67&gt;=8500,0.5,0))))))))))),0))))))))))))))))))</f>
      </c>
      <c r="BC67" s="7">
        <f>IF($B67="","",IF($AN67="AL",0.05*$D67,IF($AN67="AR",0.039*$D67,IF($AN67="ID",0.053*$D67,IF($AN67="IN",(0.0295+Inputs!$C$76)*$D67,IF($AN67="KS",0.05*$D67,IF($AN67="MA",0.09*MIN($D67,MAX(0,MAX(0,$AY67-MIN(($BD66+$Q67+$R67+$S67),2000)-IF($AS67=0,0,IF($AS67=1,4400,1000*$AS67+3400)))+$D67-1107750))+0.05*($D67-MIN($D67,MAX(0,MAX(0,$AY67-MIN(($BD66+$Q67+$R67+$S67),2000)-IF($AS67=0,0,IF($AS67=1,4400,1000*$AS67+3400)))+$D67-1107750))),IF($AN67="MD",(0.065+Inputs!$C$74)*$D67,IF($AN67="MI",0.0425*$D67,IF($AN67="MN",0.0625*$D67,IF($AN67="MO",0.047*$D67,IF($AN67="MT",0.05*$D67,IF($AN67="ND",0.015*$D67,IF($AN67="NE",0.035*$D67,IF($AN67="NJ",IF(Inputs!$C$77="B",SUMPRODUCT(($D67*Inputs!$C$8&gt;INDEX('Methodology &amp; Sources'!$B$155:$J$162,0,4))*($D67*Inputs!$C$8-INDEX('Methodology &amp; Sources'!$B$155:$J$162,0,4))*INDEX('Methodology &amp; Sources'!$B$155:$J$162,0,4+2)),IF(Inputs!$C$77="C",SUMPRODUCT(($D67*Inputs!$C$8&gt;INDEX('Methodology &amp; Sources'!$B$155:$J$162,0,7))*($D67*Inputs!$C$8-INDEX('Methodology &amp; Sources'!$B$155:$J$162,0,7))*INDEX('Methodology &amp; Sources'!$B$155:$J$162,0,7+2)),IF(Inputs!$C$77="D",SUMPRODUCT(($D67*Inputs!$C$8&gt;INDEX('Methodology &amp; Sources'!$B$167:$J$179,0,1))*($D67*Inputs!$C$8-INDEX('Methodology &amp; Sources'!$B$167:$J$179,0,1))*INDEX('Methodology &amp; Sources'!$B$167:$J$179,0,1+2)),IF(Inputs!$C$77="E",SUMPRODUCT(($D67*Inputs!$C$8&gt;INDEX('Methodology &amp; Sources'!$B$167:$J$179,0,4))*($D67*Inputs!$C$8-INDEX('Methodology &amp; Sources'!$B$167:$J$179,0,4))*INDEX('Methodology &amp; Sources'!$B$167:$J$179,0,4+2)),SUMPRODUCT(($D67*Inputs!$C$8&gt;INDEX('Methodology &amp; Sources'!$B$155:$J$162,0,1))*($D67*Inputs!$C$8-INDEX('Methodology &amp; Sources'!$B$155:$J$162,0,1))*INDEX('Methodology &amp; Sources'!$B$155:$J$162,0,1+2))))))/Inputs!$C$8,IF($AN67="NY",0.117*$D67,IF($AN67="OH",0.0275*$D67,IF($AN67="OK",0.045*$D67,IF($AN67="OR",0.08*$D67,IF($AN67="WI",IF($AY67&lt;12760,0.0354,IF($AY67&lt;25520,0.0465,IF($AY67&lt;280950,0.053,0.0765)))*$D67,0))))))))))))))))))))</f>
      </c>
      <c r="BD67" s="7">
        <f>IF($B67="","",$BD66+$Q67+$R67+$S67)</f>
      </c>
      <c r="BE67" s="6">
        <f>IF($B67="",$BE66,$BE66+$BF67)</f>
      </c>
      <c r="BF67" s="6">
        <f>IF($B67="","",IF(AND(IF(YEAR(IF(Inputs!$C$7="Weekly",Inputs!$C$90+7*(($BE66+1)-1),IF(Inputs!$C$7="Biweekly",Inputs!$C$90+14*(($BE66+1)-1),IF(Inputs!$C$7="Semimonthly",DATE(YEAR(Inputs!$C$9),MONTH(Inputs!$C$9)+INT((($BE66+1)-1+'Rest of 2026'!$C$2)/2),MIN(DAY(Inputs!$C$9),DAY(EOMONTH(DATE(YEAR(Inputs!$C$9),MONTH(Inputs!$C$9)+INT((($BE66+1)-1+'Rest of 2026'!$C$2)/2),1),0))))+IF(MOD(($BE66+1)-1+'Rest of 2026'!$C$2,2)=1,15,0),EDATE(Inputs!$C$90,($BE66+1)-1)))))&lt;&gt;Inputs!$C$10,"",IF(Inputs!$C$7="Weekly",Inputs!$C$90+7*(($BE66+1)-1),IF(Inputs!$C$7="Biweekly",Inputs!$C$90+14*(($BE66+1)-1),IF(Inputs!$C$7="Semimonthly",DATE(YEAR(Inputs!$C$9),MONTH(Inputs!$C$9)+INT((($BE66+1)-1+'Rest of 2026'!$C$2)/2),MIN(DAY(Inputs!$C$9),DAY(EOMONTH(DATE(YEAR(Inputs!$C$9),MONTH(Inputs!$C$9)+INT((($BE66+1)-1+'Rest of 2026'!$C$2)/2),1),0))))+IF(MOD(($BE66+1)-1+'Rest of 2026'!$C$2,2)=1,15,0),EDATE(Inputs!$C$90,($BE66+1)-1)))))&lt;&gt;"",$B67=IF(YEAR(IF(Inputs!$C$7="Weekly",Inputs!$C$90+7*(($BE66+1)-1),IF(Inputs!$C$7="Biweekly",Inputs!$C$90+14*(($BE66+1)-1),IF(Inputs!$C$7="Semimonthly",DATE(YEAR(Inputs!$C$9),MONTH(Inputs!$C$9)+INT((($BE66+1)-1+'Rest of 2026'!$C$2)/2),MIN(DAY(Inputs!$C$9),DAY(EOMONTH(DATE(YEAR(Inputs!$C$9),MONTH(Inputs!$C$9)+INT((($BE66+1)-1+'Rest of 2026'!$C$2)/2),1),0))))+IF(MOD(($BE66+1)-1+'Rest of 2026'!$C$2,2)=1,15,0),EDATE(Inputs!$C$90,($BE66+1)-1)))))&lt;&gt;Inputs!$C$10,"",IF(Inputs!$C$7="Weekly",Inputs!$C$90+7*(($BE66+1)-1),IF(Inputs!$C$7="Biweekly",Inputs!$C$90+14*(($BE66+1)-1),IF(Inputs!$C$7="Semimonthly",DATE(YEAR(Inputs!$C$9),MONTH(Inputs!$C$9)+INT((($BE66+1)-1+'Rest of 2026'!$C$2)/2),MIN(DAY(Inputs!$C$9),DAY(EOMONTH(DATE(YEAR(Inputs!$C$9),MONTH(Inputs!$C$9)+INT((($BE66+1)-1+'Rest of 2026'!$C$2)/2),1),0))))+IF(MOD(($BE66+1)-1+'Rest of 2026'!$C$2,2)=1,15,0),EDATE(Inputs!$C$90,($BE66+1)-1)))))),1,0))</f>
      </c>
      <c r="BG67" s="7">
        <f>IF($B67="","",$BG66+$H67)</f>
      </c>
      <c r="BH67" s="7">
        <f>IF($B67="","",$BH66+$I67)</f>
      </c>
      <c r="BI67" s="7">
        <f>IF($B67="","",$BI66+$G67)</f>
      </c>
      <c r="BJ67" s="7">
        <f>IF($B67="","",IFERROR(LOOKUP(2,1/((((Events!$C$6:$C$17="Deduction start"))*(Events!$D$6:$D$17="Health FSA"))*(Events!$B$6:$B$17&lt;=$B67)*(Events!$B$6:$B$17&lt;&gt;"")),Events!$E$6:$E$17),Inputs!$D$38))</f>
      </c>
      <c r="BK67" s="7">
        <f>IF($B67="","",IFERROR(LOOKUP(2,1/((((Events!$C$6:$C$17="Deduction start"))*(Events!$D$6:$D$17="Dependent-care FSA"))*(Events!$B$6:$B$17&lt;=$B67)*(Events!$B$6:$B$17&lt;&gt;"")),Events!$E$6:$E$17),Inputs!$D$39))</f>
      </c>
      <c r="BL67" s="7">
        <f>IF($B67="","",IFERROR(LOOKUP(2,1/((((Events!$C$6:$C$17="Deduction start")+(Events!$C$6:$C$17="Deduction stop"))*(Events!$D$6:$D$17="HSA"))*(Events!$B$6:$B$17&lt;=$B67)*(Events!$B$6:$B$17&lt;&gt;"")),Events!$I$6:$I$17),Inputs!$D$35))</f>
      </c>
      <c r="BM67" s="7">
        <f>IF($B67="","",IFERROR(LOOKUP(2,1/((((Events!$C$6:$C$17="Deduction start")+(Events!$C$6:$C$17="Deduction stop"))*(Events!$D$6:$D$17="Premiums"))*(Events!$B$6:$B$17&lt;=$B67)*(Events!$B$6:$B$17&lt;&gt;"")),Events!$I$6:$I$17),Inputs!$D$40+Inputs!$D$41+Inputs!$D$42))</f>
      </c>
      <c r="BN67" s="7">
        <f>IF($B67="","",IFERROR(LOOKUP(2,1/((((Events!$C$6:$C$17="Deduction start")+(Events!$C$6:$C$17="Deduction stop"))*(Events!$D$6:$D$17="Commuter"))*(Events!$B$6:$B$17&lt;=$B67)*(Events!$B$6:$B$17&lt;&gt;"")),Events!$I$6:$I$17),Inputs!$D$43))</f>
      </c>
      <c r="BO67" s="7">
        <f>IF($B67="","",IFERROR(LOOKUP(2,1/((((Events!$C$6:$C$17="Deduction start")+(Events!$C$6:$C$17="Deduction stop"))*(Events!$D$6:$D$17="Other pre-tax"))*(Events!$B$6:$B$17&lt;=$B67)*(Events!$B$6:$B$17&lt;&gt;"")),Events!$I$6:$I$17),Inputs!$D$44))</f>
      </c>
      <c r="BP67" s="7">
        <f>IF($B67="","",IFERROR(LOOKUP(2,1/((((Events!$C$6:$C$17="Deduction start")+(Events!$C$6:$C$17="Deduction stop"))*(Events!$D$6:$D$17="Other post-tax"))*(Events!$B$6:$B$17&lt;=$B67)*(Events!$B$6:$B$17&lt;&gt;"")),Events!$I$6:$I$17),Inputs!$D$45))</f>
      </c>
      <c r="BQ67" s="6">
        <f>IF($B67="","",IFERROR(LOOKUP(2,1/((((Events!$C$6:$C$17="Deduction start")+(Events!$C$6:$C$17="Deduction stop"))*(Events!$D$6:$D$17="Health FSA"))*(Events!$B$6:$B$17&lt;=$B67)*(Events!$B$6:$B$17&lt;&gt;"")),Events!$J$6:$J$17),0))</f>
      </c>
      <c r="BR67" s="6">
        <f>IF($B67="","",IFERROR(LOOKUP(2,1/((((Events!$C$6:$C$17="Deduction start")+(Events!$C$6:$C$17="Deduction stop"))*(Events!$D$6:$D$17="Dependent-care FSA"))*(Events!$B$6:$B$17&lt;=$B67)*(Events!$B$6:$B$17&lt;&gt;"")),Events!$J$6:$J$17),0))</f>
      </c>
      <c r="BS67" s="6">
        <f>IF($B67="","",IF(SUMPRODUCT((Events!$C$6:$C$17="Deduction start")*(Events!$B$6:$B$17&lt;=$B67)*(Events!$B$6:$B$17&lt;&gt;"")*(Events!$D$6:$D$17="Health FSA"))&gt;0,1,0))</f>
      </c>
      <c r="BT67" s="6">
        <f>IF($B67="","",IF(SUMPRODUCT((Events!$C$6:$C$17="Deduction start")*(Events!$B$6:$B$17&lt;=$B67)*(Events!$B$6:$B$17&lt;&gt;"")*(Events!$D$6:$D$17="Dependent-care FSA"))&gt;0,1,0))</f>
      </c>
      <c r="BU67" s="24">
        <f>IF($B67="","",IF(Inputs!$C$13,SUMPRODUCT(($AH67&gt;=INDEX('Methodology &amp; Sources'!$B$29:$J$36,0,IF(Inputs!$C$12="MFJ",1,IF(Inputs!$C$12="HoH",7,4))))*INDEX('Methodology &amp; Sources'!$B$29:$J$36,0,IF(Inputs!$C$12="MFJ",1,IF(Inputs!$C$12="HoH",7,4))+2)),SUMPRODUCT(($AH67&gt;=INDEX('Methodology &amp; Sources'!$B$19:$J$26,0,IF(Inputs!$C$12="MFJ",1,IF(Inputs!$C$12="HoH",7,4))))*INDEX('Methodology &amp; Sources'!$B$19:$J$26,0,IF(Inputs!$C$12="MFJ",1,IF(Inputs!$C$12="HoH",7,4))+2))))</f>
      </c>
      <c r="BV67" s="24">
        <f>IF($B67="","",IF($BZ67&lt;&gt;"",$BZ67,IF($CA67&lt;&gt;"",$CA67,IF($CB67&lt;&gt;"",$CB67,IF($CC67&lt;&gt;"",$CC67,0)))))</f>
      </c>
      <c r="BW67" s="7">
        <f>IF($B67="","",IF($AN67="MD",IF(OR($AU67="Married",$AU67="Head of household"),SUMPRODUCT(($AZ67&gt;INDEX('Methodology &amp; Sources'!$B$114:$J$120,0,1))*($AZ67-INDEX('Methodology &amp; Sources'!$B$114:$J$120,0,1))*INDEX('Methodology &amp; Sources'!$B$114:$J$120,0,1+2)),SUMPRODUCT(($AZ67&gt;INDEX('Methodology &amp; Sources'!$B$103:$J$109,0,7))*($AZ67-INDEX('Methodology &amp; Sources'!$B$103:$J$109,0,7))*INDEX('Methodology &amp; Sources'!$B$103:$J$109,0,7+2))),IF($AN67="MO",SUMPRODUCT(($AZ67&gt;INDEX('Methodology &amp; Sources'!$B$125:$J$132,0,1))*($AZ67-INDEX('Methodology &amp; Sources'!$B$125:$J$132,0,1))*INDEX('Methodology &amp; Sources'!$B$125:$J$132,0,1+2)),IF($AN67="MT",IF($AU67="Head of household",SUMPRODUCT(($AZ67&gt;INDEX('Methodology &amp; Sources'!$B$137:$J$139,0,1))*($AZ67-INDEX('Methodology &amp; Sources'!$B$137:$J$139,0,1))*INDEX('Methodology &amp; Sources'!$B$137:$J$139,0,1+2)),IF($AU67="Married",SUMPRODUCT(($AZ67&gt;INDEX('Methodology &amp; Sources'!$B$125:$J$132,0,7))*($AZ67-INDEX('Methodology &amp; Sources'!$B$125:$J$132,0,7))*INDEX('Methodology &amp; Sources'!$B$125:$J$132,0,7+2)),SUMPRODUCT(($AZ67&gt;INDEX('Methodology &amp; Sources'!$B$125:$J$132,0,4))*($AZ67-INDEX('Methodology &amp; Sources'!$B$125:$J$132,0,4))*INDEX('Methodology &amp; Sources'!$B$125:$J$132,0,4+2)))),IF($AN67="ND",IF($AU67="Head of household",SUMPRODUCT(($AZ67&gt;INDEX('Methodology &amp; Sources'!$B$144:$J$150,0,1))*($AZ67-INDEX('Methodology &amp; Sources'!$B$144:$J$150,0,1))*INDEX('Methodology &amp; Sources'!$B$144:$J$150,0,1+2)),IF($AU67="Married",SUMPRODUCT(($AZ67&gt;INDEX('Methodology &amp; Sources'!$B$137:$J$139,0,7))*($AZ67-INDEX('Methodology &amp; Sources'!$B$137:$J$139,0,7))*INDEX('Methodology &amp; Sources'!$B$137:$J$139,0,7+2)),SUMPRODUCT(($AZ67&gt;INDEX('Methodology &amp; Sources'!$B$137:$J$139,0,4))*($AZ67-INDEX('Methodology &amp; Sources'!$B$137:$J$139,0,4))*INDEX('Methodology &amp; Sources'!$B$137:$J$139,0,4+2)))),IF($AN67="NJ",IF(Inputs!$C$77="B",SUMPRODUCT(($AZ67&gt;INDEX('Methodology &amp; Sources'!$B$155:$J$162,0,4))*($AZ67-INDEX('Methodology &amp; Sources'!$B$155:$J$162,0,4))*INDEX('Methodology &amp; Sources'!$B$155:$J$162,0,4+2)),IF(Inputs!$C$77="C",SUMPRODUCT(($AZ67&gt;INDEX('Methodology &amp; Sources'!$B$155:$J$162,0,7))*($AZ67-INDEX('Methodology &amp; Sources'!$B$155:$J$162,0,7))*INDEX('Methodology &amp; Sources'!$B$155:$J$162,0,7+2)),IF(Inputs!$C$77="D",SUMPRODUCT(($AZ67&gt;INDEX('Methodology &amp; Sources'!$B$167:$J$179,0,1))*($AZ67-INDEX('Methodology &amp; Sources'!$B$167:$J$179,0,1))*INDEX('Methodology &amp; Sources'!$B$167:$J$179,0,1+2)),IF(Inputs!$C$77="E",SUMPRODUCT(($AZ67&gt;INDEX('Methodology &amp; Sources'!$B$167:$J$179,0,4))*($AZ67-INDEX('Methodology &amp; Sources'!$B$167:$J$179,0,4))*INDEX('Methodology &amp; Sources'!$B$167:$J$179,0,4+2)),SUMPRODUCT(($AZ67&gt;INDEX('Methodology &amp; Sources'!$B$155:$J$162,0,1))*($AZ67-INDEX('Methodology &amp; Sources'!$B$155:$J$162,0,1))*INDEX('Methodology &amp; Sources'!$B$155:$J$162,0,1+2)))))),IF($AN67="NY",IF($AU67="Married",IF($AZ67&gt;=2155350,$AZ67*IF($AZ67&gt;25000000,0.117,IF($AZ67&gt;5000000,0.111,0.1045)),SUMPRODUCT(($AZ67&gt;INDEX('Methodology &amp; Sources'!$B$184:$J$198,0,1))*($AZ67-INDEX('Methodology &amp; Sources'!$B$184:$J$198,0,1))*INDEX('Methodology &amp; Sources'!$B$184:$J$198,0,1+2))),IF($AZ67&gt;=1077550,$AZ67*IF($AZ67&gt;25000000,0.117,IF($AZ67&gt;5000000,0.111,0.1045)),SUMPRODUCT(($AZ67&gt;INDEX('Methodology &amp; Sources'!$B$167:$J$179,0,7))*($AZ67-INDEX('Methodology &amp; Sources'!$B$167:$J$179,0,7))*INDEX('Methodology &amp; Sources'!$B$167:$J$179,0,7+2)))),"")))))))</f>
      </c>
      <c r="BX67" s="7">
        <f>IF($B67="","",IF($AN67="AL",IF(OR($AU67="Married",$AU67="Head of household"),SUMPRODUCT(($AZ67&gt;INDEX('Methodology &amp; Sources'!$B$82:$J$86,0,4))*($AZ67-INDEX('Methodology &amp; Sources'!$B$82:$J$86,0,4))*INDEX('Methodology &amp; Sources'!$B$82:$J$86,0,4+2)),SUMPRODUCT(($AZ67&gt;INDEX('Methodology &amp; Sources'!$B$82:$J$86,0,1))*($AZ67-INDEX('Methodology &amp; Sources'!$B$82:$J$86,0,1))*INDEX('Methodology &amp; Sources'!$B$82:$J$86,0,1+2))),IF($AN67="KS",IF($AU67="Married",SUMPRODUCT(($AZ67&gt;INDEX('Methodology &amp; Sources'!$B$103:$J$109,0,4))*($AZ67-INDEX('Methodology &amp; Sources'!$B$103:$J$109,0,4))*INDEX('Methodology &amp; Sources'!$B$103:$J$109,0,4+2)),SUMPRODUCT(($AZ67&gt;INDEX('Methodology &amp; Sources'!$B$103:$J$109,0,1))*($AZ67-INDEX('Methodology &amp; Sources'!$B$103:$J$109,0,1))*INDEX('Methodology &amp; Sources'!$B$103:$J$109,0,1+2))),IF($AN67="MN",IF($AU67="Married",SUMPRODUCT(($AZ67&gt;INDEX('Methodology &amp; Sources'!$B$114:$J$120,0,7))*($AZ67-INDEX('Methodology &amp; Sources'!$B$114:$J$120,0,7))*INDEX('Methodology &amp; Sources'!$B$114:$J$120,0,7+2)),SUMPRODUCT(($AZ67&gt;INDEX('Methodology &amp; Sources'!$B$114:$J$120,0,4))*($AZ67-INDEX('Methodology &amp; Sources'!$B$114:$J$120,0,4))*INDEX('Methodology &amp; Sources'!$B$114:$J$120,0,4+2))),IF($AN67="NE",MAX(IF($AU67="Married",SUMPRODUCT(($AZ67&gt;INDEX('Methodology &amp; Sources'!$B$144:$J$150,0,7))*($AZ67-INDEX('Methodology &amp; Sources'!$B$144:$J$150,0,7))*INDEX('Methodology &amp; Sources'!$B$144:$J$150,0,7+2)),SUMPRODUCT(($AZ67&gt;INDEX('Methodology &amp; Sources'!$B$144:$J$150,0,4))*($AZ67-INDEX('Methodology &amp; Sources'!$B$144:$J$150,0,4))*INDEX('Methodology &amp; Sources'!$B$144:$J$150,0,4+2))),0.015*$AZ67),IF($AN67="OH",IF($B67&gt;=DATE(2027,8,1),SUMPRODUCT(($AZ67&gt;INDEX('Methodology &amp; Sources'!$B$203:$J$206,0,1))*($AZ67-INDEX('Methodology &amp; Sources'!$B$203:$J$206,0,1))*INDEX('Methodology &amp; Sources'!$B$203:$J$206,0,1+2)),SUMPRODUCT(($AZ67&gt;INDEX('Methodology &amp; Sources'!$B$184:$J$198,0,7))*($AZ67-INDEX('Methodology &amp; Sources'!$B$184:$J$198,0,7))*INDEX('Methodology &amp; Sources'!$B$184:$J$198,0,7+2))),IF($AN67="OK",IF($AU67="Married",SUMPRODUCT(($AZ67&gt;INDEX('Methodology &amp; Sources'!$B$203:$J$206,0,7))*($AZ67-INDEX('Methodology &amp; Sources'!$B$203:$J$206,0,7))*INDEX('Methodology &amp; Sources'!$B$203:$J$206,0,7+2)),SUMPRODUCT(($AZ67&gt;INDEX('Methodology &amp; Sources'!$B$203:$J$206,0,4))*($AZ67-INDEX('Methodology &amp; Sources'!$B$203:$J$206,0,4))*INDEX('Methodology &amp; Sources'!$B$203:$J$206,0,4+2))),IF($AN67="RI",SUMPRODUCT(($AZ67&gt;INDEX('Methodology &amp; Sources'!$B$211:$J$214,0,7))*($AZ67-INDEX('Methodology &amp; Sources'!$B$211:$J$214,0,7))*INDEX('Methodology &amp; Sources'!$B$211:$J$214,0,7+2)),IF($AN67="VT",IF($AU67="Married",SUMPRODUCT(($AZ67&gt;INDEX('Methodology &amp; Sources'!$B$228:$J$232,0,1))*($AZ67-INDEX('Methodology &amp; Sources'!$B$228:$J$232,0,1))*INDEX('Methodology &amp; Sources'!$B$228:$J$232,0,1+2)),SUMPRODUCT(($AZ67&gt;INDEX('Methodology &amp; Sources'!$B$219:$J$223,0,7))*($AZ67-INDEX('Methodology &amp; Sources'!$B$219:$J$223,0,7))*INDEX('Methodology &amp; Sources'!$B$219:$J$223,0,7+2))),IF($AN67="WV",IF($AU67="Married",SUMPRODUCT(($AZ67&gt;INDEX('Methodology &amp; Sources'!$B$237:$J$241,0,7))*($AZ67-INDEX('Methodology &amp; Sources'!$B$237:$J$241,0,7))*INDEX('Methodology &amp; Sources'!$B$237:$J$241,0,7+2)),SUMPRODUCT(($AZ67&gt;INDEX('Methodology &amp; Sources'!$B$228:$J$232,0,7))*($AZ67-INDEX('Methodology &amp; Sources'!$B$228:$J$232,0,7))*INDEX('Methodology &amp; Sources'!$B$228:$J$232,0,7+2))),""))))))))))</f>
      </c>
      <c r="BY67" s="7">
        <f>IF($B67="","",IF($AN67="AR",SUMPRODUCT(($AZ67&gt;INDEX('Methodology &amp; Sources'!$B$82:$J$86,0,7))*($AZ67-INDEX('Methodology &amp; Sources'!$B$82:$J$86,0,7))*INDEX('Methodology &amp; Sources'!$B$82:$J$86,0,7+2)),IF($AN67="DE",SUMPRODUCT(($AZ67&gt;INDEX('Methodology &amp; Sources'!$B$91:$J$98,0,1))*($AZ67-INDEX('Methodology &amp; Sources'!$B$91:$J$98,0,1))*INDEX('Methodology &amp; Sources'!$B$91:$J$98,0,1+2)),IF($AN67="HI",IF($AU67="Married",SUMPRODUCT(($AZ67&gt;INDEX('Methodology &amp; Sources'!$B$91:$J$98,0,7))*($AZ67-INDEX('Methodology &amp; Sources'!$B$91:$J$98,0,7))*INDEX('Methodology &amp; Sources'!$B$91:$J$98,0,7+2)),SUMPRODUCT(($AZ67&gt;INDEX('Methodology &amp; Sources'!$B$91:$J$98,0,4))*($AZ67-INDEX('Methodology &amp; Sources'!$B$91:$J$98,0,4))*INDEX('Methodology &amp; Sources'!$B$91:$J$98,0,4+2))),IF($AN67="SC",SUMPRODUCT(($AZ67&gt;INDEX('Methodology &amp; Sources'!$B$219:$J$223,0,1))*($AZ67-INDEX('Methodology &amp; Sources'!$B$219:$J$223,0,1))*INDEX('Methodology &amp; Sources'!$B$219:$J$223,0,1+2)),IF($AN67="VA",SUMPRODUCT(($AZ67&gt;INDEX('Methodology &amp; Sources'!$B$219:$J$223,0,4))*($AZ67-INDEX('Methodology &amp; Sources'!$B$219:$J$223,0,4))*INDEX('Methodology &amp; Sources'!$B$219:$J$223,0,4+2)),IF($AN67="WI",SUMPRODUCT(($AZ67&gt;INDEX('Methodology &amp; Sources'!$B$228:$J$232,0,4))*($AZ67-INDEX('Methodology &amp; Sources'!$B$228:$J$232,0,4))*INDEX('Methodology &amp; Sources'!$B$228:$J$232,0,4+2)),"")))))))</f>
      </c>
      <c r="BZ67" s="24">
        <f>IF($B67="","",IF($AN67="NJ",IF(Inputs!$C$77="B",SUMPRODUCT(($AZ67&gt;=INDEX('Methodology &amp; Sources'!$B$155:$J$162,0,4))*INDEX('Methodology &amp; Sources'!$B$155:$J$162,0,4+2)),IF(Inputs!$C$77="C",SUMPRODUCT(($AZ67&gt;=INDEX('Methodology &amp; Sources'!$B$155:$J$162,0,7))*INDEX('Methodology &amp; Sources'!$B$155:$J$162,0,7+2)),IF(Inputs!$C$77="D",SUMPRODUCT(($AZ67&gt;=INDEX('Methodology &amp; Sources'!$B$167:$J$179,0,1))*INDEX('Methodology &amp; Sources'!$B$167:$J$179,0,1+2)),IF(Inputs!$C$77="E",SUMPRODUCT(($AZ67&gt;=INDEX('Methodology &amp; Sources'!$B$167:$J$179,0,4))*INDEX('Methodology &amp; Sources'!$B$167:$J$179,0,4+2)),SUMPRODUCT(($AZ67&gt;=INDEX('Methodology &amp; Sources'!$B$155:$J$162,0,1))*INDEX('Methodology &amp; Sources'!$B$155:$J$162,0,1+2)))))),IF($AN67="OR",IF(OR($AU67="Married",AND($AU67="Single",$AS67&gt;=3)),SUMPRODUCT((MAX(0,$AY67-MIN(($P67-'Methodology &amp; Sources'!$C$10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Sources'!$B$211:$J$214,0,4))*INDEX('Methodology &amp; Sources'!$B$211:$J$214,0,4+2)),SUMPRODUCT((MAX(0,$AY67-MIN(($P67-'Methodology &amp; Sources'!$C$10*$D67)*Inputs!$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Sources'!$B$211:$J$214,0,1))*INDEX('Methodology &amp; Sources'!$B$211:$J$214,0,1+2)))*IF(($P67-'Methodology &amp; Sources'!$C$10*$D67)*Inputs!$C$8&gt;=IF(OR($AU67="Married",AND($AU67="Single",$AS67&gt;=3)),IF($AY67&lt;250000,8750,IF($AY67&lt;260000,7000,IF($AY67&lt;270000,5250,IF($AY67&lt;280000,3500,IF($AY67&lt;290000,1750,0))))),IF($AY67&lt;125000,8750,IF($AY67&lt;130000,7000,IF($AY67&lt;135000,5250,IF($AY67&lt;140000,3500,IF($AY67&lt;145000,1750,0)))))),1,1-IF(Inputs!$C$13,SUMPRODUCT(($AH67&gt;=INDEX('Methodology &amp; Sources'!$B$29:$J$36,0,IF(Inputs!$C$12="MFJ",1,IF(Inputs!$C$12="HoH",7,4))))*INDEX('Methodology &amp; Sources'!$B$29:$J$36,0,IF(Inputs!$C$12="MFJ",1,IF(Inputs!$C$12="HoH",7,4))+2)),SUMPRODUCT(($AH67&gt;=INDEX('Methodology &amp; Sources'!$B$19:$J$26,0,IF(Inputs!$C$12="MFJ",1,IF(Inputs!$C$12="HoH",7,4))))*INDEX('Methodology &amp; Sources'!$B$19:$J$26,0,IF(Inputs!$C$12="MFJ",1,IF(Inputs!$C$12="HoH",7,4))+2)))),IF($AN67="MI",IF($AY67&gt;5900*$AS67,0.0425,0),""))))</f>
      </c>
      <c r="CA67" s="24">
        <f>IF($B67="","",IF($AN67="AL",IF(OR($AU67="Married",$AU67="Head of household"),SUMPRODUCT(($AZ67&gt;=INDEX('Methodology &amp; Sources'!$B$82:$J$86,0,4))*INDEX('Methodology &amp; Sources'!$B$82:$J$86,0,4+2)),SUMPRODUCT(($AZ67&gt;=INDEX('Methodology &amp; Sources'!$B$82:$J$86,0,1))*INDEX('Methodology &amp; Sources'!$B$82:$J$86,0,1+2)))*(1-IF(Inputs!$C$13,SUMPRODUCT(($AH67&gt;=INDEX('Methodology &amp; Sources'!$B$29:$J$36,0,IF(Inputs!$C$12="MFJ",1,IF(Inputs!$C$12="HoH",7,4))))*INDEX('Methodology &amp; Sources'!$B$29:$J$36,0,IF(Inputs!$C$12="MFJ",1,IF(Inputs!$C$12="HoH",7,4))+2)),SUMPRODUCT(($AH67&gt;=INDEX('Methodology &amp; Sources'!$B$19:$J$26,0,IF(Inputs!$C$12="MFJ",1,IF(Inputs!$C$12="HoH",7,4))))*INDEX('Methodology &amp; Sources'!$B$19:$J$26,0,IF(Inputs!$C$12="MFJ",1,IF(Inputs!$C$12="HoH",7,4))+2)))),IF($AN67="KS",IF($AU67="Married",SUMPRODUCT(($AZ67&gt;=INDEX('Methodology &amp; Sources'!$B$103:$J$109,0,4))*INDEX('Methodology &amp; Sources'!$B$103:$J$109,0,4+2)),SUMPRODUCT(($AZ67&gt;=INDEX('Methodology &amp; Sources'!$B$103:$J$109,0,1))*INDEX('Methodology &amp; Sources'!$B$103:$J$109,0,1+2))),IF($AN67="MD",IF(OR($AU67="Married",$AU67="Head of household"),SUMPRODUCT(($AZ67&gt;=INDEX('Methodology &amp; Sources'!$B$114:$J$120,0,1))*INDEX('Methodology &amp; Sources'!$B$114:$J$120,0,1+2)),SUMPRODUCT(($AZ67&gt;=INDEX('Methodology &amp; Sources'!$B$103:$J$109,0,7))*INDEX('Methodology &amp; Sources'!$B$103:$J$109,0,7+2)))+Inputs!$C$74,IF($AN67="MT",IF($AU67="Head of household",SUMPRODUCT(($AZ67&gt;=INDEX('Methodology &amp; Sources'!$B$137:$J$139,0,1))*INDEX('Methodology &amp; Sources'!$B$137:$J$139,0,1+2)),IF($AU67="Married",SUMPRODUCT(($AZ67&gt;=INDEX('Methodology &amp; Sources'!$B$125:$J$132,0,7))*INDEX('Methodology &amp; Sources'!$B$125:$J$132,0,7+2)),SUMPRODUCT(($AZ67&gt;=INDEX('Methodology &amp; Sources'!$B$125:$J$132,0,4))*INDEX('Methodology &amp; Sources'!$B$125:$J$132,0,4+2)))),IF($AN67="ND",IF($AU67="Head of household",SUMPRODUCT(($AZ67&gt;=INDEX('Methodology &amp; Sources'!$B$144:$J$150,0,1))*INDEX('Methodology &amp; Sources'!$B$144:$J$150,0,1+2)),IF($AU67="Married",SUMPRODUCT(($AZ67&gt;=INDEX('Methodology &amp; Sources'!$B$137:$J$139,0,7))*INDEX('Methodology &amp; Sources'!$B$137:$J$139,0,7+2)),SUMPRODUCT(($AZ67&gt;=INDEX('Methodology &amp; Sources'!$B$137:$J$139,0,4))*INDEX('Methodology &amp; Sources'!$B$137:$J$139,0,4+2)))),IF($AN67="NY",IF($AU67="Married",IF($AZ67&gt;=2155350,IF($AZ67&gt;25000000,0.117,IF($AZ67&gt;5000000,0.111,0.1045)),SUMPRODUCT(($AZ67&gt;=INDEX('Methodology &amp; Sources'!$B$184:$J$198,0,1))*INDEX('Methodology &amp; Sources'!$B$184:$J$198,0,1+2))),IF($AZ67&gt;=1077550,IF($AZ67&gt;25000000,0.117,IF($AZ67&gt;5000000,0.111,0.1045)),SUMPRODUCT(($AZ67&gt;=INDEX('Methodology &amp; Sources'!$B$167:$J$179,0,7))*INDEX('Methodology &amp; Sources'!$B$167:$J$179,0,7+2)))),"")))))))</f>
      </c>
      <c r="CB67" s="24">
        <f>IF($B67="","",IF($AN67="CA",SUMPRODUCT(($AJ67&gt;=INDEX('Methodology &amp; Sources'!$B$39:$J$48,0,IF($AU67="Married",4,IF($AU67="Head of household",7,1))))*INDEX('Methodology &amp; Sources'!$B$39:$J$48,0,IF($AU67="Married",4,IF($AU67="Head of household",7,1))+2)),IF($AN67="HI",IF($AU67="Married",SUMPRODUCT(($AZ67&gt;=INDEX('Methodology &amp; Sources'!$B$91:$J$98,0,7))*INDEX('Methodology &amp; Sources'!$B$91:$J$98,0,7+2)),SUMPRODUCT(($AZ67&gt;=INDEX('Methodology &amp; Sources'!$B$91:$J$98,0,4))*INDEX('Methodology &amp; Sources'!$B$91:$J$98,0,4+2))),IF($AN67="MN",IF($AU67="Married",SUMPRODUCT(($AZ67&gt;=INDEX('Methodology &amp; Sources'!$B$114:$J$120,0,7))*INDEX('Methodology &amp; Sources'!$B$114:$J$120,0,7+2)),SUMPRODUCT(($AZ67&gt;=INDEX('Methodology &amp; Sources'!$B$114:$J$120,0,4))*INDEX('Methodology &amp; Sources'!$B$114:$J$120,0,4+2))),IF($AN67="MO",SUMPRODUCT(($AZ67&gt;=INDEX('Methodology &amp; Sources'!$B$125:$J$132,0,1))*INDEX('Methodology &amp; Sources'!$B$125:$J$132,0,1+2)),IF($AN67="NE",MAX(IF($AU67="Married",SUMPRODUCT(($AZ67&gt;=INDEX('Methodology &amp; Sources'!$B$144:$J$150,0,7))*INDEX('Methodology &amp; Sources'!$B$144:$J$150,0,7+2)),SUMPRODUCT(($AZ67&gt;=INDEX('Methodology &amp; Sources'!$B$144:$J$150,0,4))*INDEX('Methodology &amp; Sources'!$B$144:$J$150,0,4+2))),0.015),IF($AN67="OH",IF($B67&gt;=DATE(2027,8,1),SUMPRODUCT(($AZ67&gt;=INDEX('Methodology &amp; Sources'!$B$203:$J$206,0,1))*INDEX('Methodology &amp; Sources'!$B$203:$J$206,0,1+2)),SUMPRODUCT(($AZ67&gt;=INDEX('Methodology &amp; Sources'!$B$184:$J$198,0,7))*INDEX('Methodology &amp; Sources'!$B$184:$J$198,0,7+2))),IF($AN67="OK",IF($AU67="Married",SUMPRODUCT(($AZ67&gt;=INDEX('Methodology &amp; Sources'!$B$203:$J$206,0,7))*INDEX('Methodology &amp; Sources'!$B$203:$J$206,0,7+2)),SUMPRODUCT(($AZ67&gt;=INDEX('Methodology &amp; Sources'!$B$203:$J$206,0,4))*INDEX('Methodology &amp; Sources'!$B$203:$J$206,0,4+2))),IF($AN67="RI",SUMPRODUCT(($AZ67&gt;=INDEX('Methodology &amp; Sources'!$B$211:$J$214,0,7))*INDEX('Methodology &amp; Sources'!$B$211:$J$214,0,7+2)),IF($AN67="SC",SUMPRODUCT(($AZ67&gt;=INDEX('Methodology &amp; Sources'!$B$219:$J$223,0,1))*INDEX('Methodology &amp; Sources'!$B$219:$J$223,0,1+2)),IF($AN67="VT",IF($AU67="Married",SUMPRODUCT(($AZ67&gt;=INDEX('Methodology &amp; Sources'!$B$228:$J$232,0,1))*INDEX('Methodology &amp; Sources'!$B$228:$J$232,0,1+2)),SUMPRODUCT(($AZ67&gt;=INDEX('Methodology &amp; Sources'!$B$219:$J$223,0,7))*INDEX('Methodology &amp; Sources'!$B$219:$J$223,0,7+2))),IF($AN67="WV",IF($AU67="Married",SUMPRODUCT(($AZ67&gt;=INDEX('Methodology &amp; Sources'!$B$237:$J$241,0,7))*INDEX('Methodology &amp; Sources'!$B$237:$J$241,0,7+2)),SUMPRODUCT(($AZ67&gt;=INDEX('Methodology &amp; Sources'!$B$228:$J$232,0,7))*INDEX('Methodology &amp; Sources'!$B$228:$J$232,0,7+2))),IF($AN67="IN",(0.0295+Inputs!$C$76),"")))))))))))))</f>
      </c>
      <c r="CC67" s="24">
        <f>IF($B67="","",IF($AN67="AR",SUMPRODUCT(($AZ67&gt;=INDEX('Methodology &amp; Sources'!$B$82:$J$86,0,7))*INDEX('Methodology &amp; Sources'!$B$82:$J$86,0,7+2)),IF($AN67="DE",SUMPRODUCT(($AZ67&gt;=INDEX('Methodology &amp; Sources'!$B$91:$J$98,0,1))*INDEX('Methodology &amp; Sources'!$B$91:$J$98,0,1+2)),IF($AN67="VA",SUMPRODUCT(($AZ67&gt;=INDEX('Methodology &amp; Sources'!$B$219:$J$223,0,4))*INDEX('Methodology &amp; Sources'!$B$219:$J$223,0,4+2)),IF($AN67="WI",SUMPRODUCT(($AZ67&gt;=INDEX('Methodology &amp; Sources'!$B$228:$J$232,0,4))*INDEX('Methodology &amp; Sources'!$B$228:$J$232,0,4+2)),IF($AN67="AZ",Inputs!$C$82,IF($AN67="CO",IF($AY67&gt;IF($AU67="Married",10000,5000),0.044,0),IF($AN67="IA",IF($AY67&gt;IF($AU67="Head of household",19500,IF($AU67="Married",26000,13000)),0.038,0),IF($AN67="ID",IF($AY67&gt;IF($AU67="Married",32000,16094),0.053,0),IF($AN67="IL",IF($AY67&gt;(2925*$AS67+1000*$AT67),0.0495,0),IF($AN67="KY",IF($AI67&gt;3360,0.035,0),IF($AN67="LA",0.0309,IF($AN67="MA",IF(MAX(0,$AY67-MIN(($BD66+$Q67+$R67+$S67),2000)-IF($AS67=0,0,IF($AS67=1,4400,1000*$AS67+3400)))&gt;=1107750,0.09,0.05),IF($AN67="MS",IF($AI67-IF($AU67="Head of household",3400,IF($AU67="Married",4600,2300))-Inputs!$C$85&gt;10000,0.04,0),IF($AN67="PA",0.0307,"")))))))))))))))</f>
      </c>
      <c r="CD67" s="21">
        <f>IF(YEAR(IF(Inputs!$C$7="Weekly",Inputs!$C$90+7*(($BE66+1)-1),IF(Inputs!$C$7="Biweekly",Inputs!$C$90+14*(($BE66+1)-1),IF(Inputs!$C$7="Semimonthly",DATE(YEAR(Inputs!$C$9),MONTH(Inputs!$C$9)+INT((($BE66+1)-1+'Rest of 2026'!$C$2)/2),MIN(DAY(Inputs!$C$9),DAY(EOMONTH(DATE(YEAR(Inputs!$C$9),MONTH(Inputs!$C$9)+INT((($BE66+1)-1+'Rest of 2026'!$C$2)/2),1),0))))+IF(MOD(($BE66+1)-1+'Rest of 2026'!$C$2,2)=1,15,0),EDATE(Inputs!$C$90,($BE66+1)-1)))))&lt;&gt;Inputs!$C$10,"",IF(Inputs!$C$7="Weekly",Inputs!$C$90+7*(($BE66+1)-1),IF(Inputs!$C$7="Biweekly",Inputs!$C$90+14*(($BE66+1)-1),IF(Inputs!$C$7="Semimonthly",DATE(YEAR(Inputs!$C$9),MONTH(Inputs!$C$9)+INT((($BE66+1)-1+'Rest of 2026'!$C$2)/2),MIN(DAY(Inputs!$C$9),DAY(EOMONTH(DATE(YEAR(Inputs!$C$9),MONTH(Inputs!$C$9)+INT((($BE66+1)-1+'Rest of 2026'!$C$2)/2),1),0))))+IF(MOD(($BE66+1)-1+'Rest of 2026'!$C$2,2)=1,15,0),EDATE(Inputs!$C$90,($BE66+1)-1)))))</f>
      </c>
      <c r="CE67" s="21">
        <f>IF(SUMPRODUCT(MIN(IF((Inputs!$C$58:$C$67&gt;MAX($B$6:$B66))*(Inputs!$C$58:$C$67&gt;=DATE(Inputs!$C$10,1,1))*(Inputs!$C$58:$C$67&lt;=DATE(Inputs!$C$10,12,31)),Inputs!$C$58:$C$67,999999)))=999999,"",SUMPRODUCT(MIN(IF((Inputs!$C$58:$C$67&gt;MAX($B$6:$B66))*(Inputs!$C$58:$C$67&gt;=DATE(Inputs!$C$10,1,1))*(Inputs!$C$58:$C$67&lt;=DATE(Inputs!$C$10,12,31)),Inputs!$C$58:$C$67,999999))))</f>
      </c>
    </row>
    <row r="68">
      <c r="A68" t="n">
        <v>63</v>
      </c>
      <c r="B68" s="21">
        <f>IF(AND($CD68="",$CE68=""),"",IF($CE68="",$CD68,IF($CD68="",$CE68,MIN($CD68,$CE68))))</f>
      </c>
      <c r="C68" s="7">
        <f>IF($B68="","",IF($BF68=0,0,IF(Inputs!$C$4="Annual salary",ROUND($AK68/IF(AND(Inputs!$C$88="Actual paydays",MONTH(Inputs!$C$90)=1),MAX(1,MAX($BE$6:$BE$68)),Inputs!$C$8),2),$AK68)))</f>
      </c>
      <c r="D68" s="7">
        <f>IF($B68="","",SUMIF(Inputs!$C$58:$C$67,$B68,Inputs!$D$58:$D$67))</f>
      </c>
      <c r="E68" s="7">
        <f>IF($B68="","",ROUND(MAX(0,MIN(IF($AL68="Percent",$AM68*($C68+$D68),$AM68),MAX(0,Inputs!$C$34-$AC67))),2))</f>
      </c>
      <c r="F68" s="7">
        <f>IF($B68="","",ROUND(MAX(0,MIN(IF(Inputs!$C$32="Percent",Inputs!$D$32*($C68+$D68),Inputs!$D$32),MAX(0,Inputs!$C$34-$AC67-$E68))),2))</f>
      </c>
      <c r="G68" s="7">
        <f>IF($B68="","",IF($BF68=0,0,ROUND(MAX(0,MIN($BL68,Inputs!$C$37-Inputs!$C$99-$BI67)),2)))</f>
      </c>
      <c r="H68" s="7">
        <f>IF($B68="","",IF(OR($BF68=0,$BQ68=1),0,ROUND(MAX(0,MIN(IF($BS68=1,ROUND(MAX(0,MIN($BJ68,'Methodology &amp; Sources'!$C$13)-$BG67)/MAX(1,MAX($BE$6:$BE$68)-($BE67)),2),ROUND(MIN($BJ68,'Methodology &amp; Sources'!$C$13)/Inputs!$C$8,2)),MIN($BJ68,'Methodology &amp; Sources'!$C$13)-$BG67)),2)))</f>
      </c>
      <c r="I68" s="7">
        <f>IF($B68="","",IF(OR($BF68=0,$BR68=1),0,ROUND(MAX(0,MIN(IF($BT68=1,ROUND(MAX(0,MIN($BK68,IF(Inputs!$C$12="MFJ",'Methodology &amp; Sources'!$C$14,'Methodology &amp; Sources'!$C$15))-$BH67)/MAX(1,MAX($BE$6:$BE$68)-($BE67)),2),ROUND(MIN($BK68,IF(Inputs!$C$12="MFJ",'Methodology &amp; Sources'!$C$14,'Methodology &amp; Sources'!$C$15))/Inputs!$C$8,2)),MIN($BK68,IF(Inputs!$C$12="MFJ",'Methodology &amp; Sources'!$C$14,'Methodology &amp; Sources'!$C$15))-$BH67)),2)))</f>
      </c>
      <c r="J68" s="7">
        <f>IF($B68="","",IF($BF68=0,0,$BM68))</f>
      </c>
      <c r="K68" s="7">
        <f>IF($B68="","",IF($BF68=0,0,$BN68+$BO68))</f>
      </c>
      <c r="L68" s="7">
        <f>IF($B68="","",IF($BF68=0,0,Inputs!$D$46))</f>
      </c>
      <c r="M68" s="7">
        <f>IF($B68="","",$C68+$D68+$L68-$E68-$G68-$H68-$I68-$J68-$K68)</f>
      </c>
      <c r="N68" s="7">
        <f>IF($B68="","",$C68+$D68+$L68-$G68-$H68-$I68-$J68-$K68)</f>
      </c>
      <c r="O68" s="7">
        <f>IF($B68="","",$C68+$D68+$L68-$E68-$H68-$I68-$J68-$K68-IF(OR($AN68="CA",$AN68="NJ"),0,$G68))</f>
      </c>
      <c r="P68" s="7">
        <f>IF($B68="","",IF(Inputs!$C$18,0,ROUND(MAX(0,IF(Inputs!$C$13,SUMPRODUCT(($AH68&gt;INDEX('Methodology &amp; Sources'!$B$29:$J$36,0,IF(Inputs!$C$12="MFJ",1,IF(Inputs!$C$12="HoH",7,4))))*($AH68-INDEX('Methodology &amp; Sources'!$B$29:$J$36,0,IF(Inputs!$C$12="MFJ",1,IF(Inputs!$C$12="HoH",7,4))))*INDEX('Methodology &amp; Sources'!$B$29:$J$36,0,IF(Inputs!$C$12="MFJ",1,IF(Inputs!$C$12="HoH",7,4))+2)),SUMPRODUCT(($AH68&gt;INDEX('Methodology &amp; Sources'!$B$19:$J$26,0,IF(Inputs!$C$12="MFJ",1,IF(Inputs!$C$12="HoH",7,4))))*($AH68-INDEX('Methodology &amp; Sources'!$B$19:$J$26,0,IF(Inputs!$C$12="MFJ",1,IF(Inputs!$C$12="HoH",7,4))))*INDEX('Methodology &amp; Sources'!$B$19:$J$26,0,IF(Inputs!$C$12="MFJ",1,IF(Inputs!$C$12="HoH",7,4))+2)))/Inputs!$C$8-$AO68/Inputs!$C$8)+$AR68+IF(Inputs!$C$89="Aggregate",MAX(0,IF(Inputs!$C$13,SUMPRODUCT((($AH68+$D68)&gt;INDEX('Methodology &amp; Sources'!$B$29:$J$36,0,IF(Inputs!$C$12="MFJ",1,IF(Inputs!$C$12="HoH",7,4))))*(($AH68+$D68)-INDEX('Methodology &amp; Sources'!$B$29:$J$36,0,IF(Inputs!$C$12="MFJ",1,IF(Inputs!$C$12="HoH",7,4))))*INDEX('Methodology &amp; Sources'!$B$29:$J$36,0,IF(Inputs!$C$12="MFJ",1,IF(Inputs!$C$12="HoH",7,4))+2)),SUMPRODUCT((($AH68+$D68)&gt;INDEX('Methodology &amp; Sources'!$B$19:$J$26,0,IF(Inputs!$C$12="MFJ",1,IF(Inputs!$C$12="HoH",7,4))))*(($AH68+$D68)-INDEX('Methodology &amp; Sources'!$B$19:$J$26,0,IF(Inputs!$C$12="MFJ",1,IF(Inputs!$C$12="HoH",7,4))))*INDEX('Methodology &amp; Sources'!$B$19:$J$26,0,IF(Inputs!$C$12="MFJ",1,IF(Inputs!$C$12="HoH",7,4))+2)))-IF(Inputs!$C$13,SUMPRODUCT(($AH68&gt;INDEX('Methodology &amp; Sources'!$B$29:$J$36,0,IF(Inputs!$C$12="MFJ",1,IF(Inputs!$C$12="HoH",7,4))))*($AH68-INDEX('Methodology &amp; Sources'!$B$29:$J$36,0,IF(Inputs!$C$12="MFJ",1,IF(Inputs!$C$12="HoH",7,4))))*INDEX('Methodology &amp; Sources'!$B$29:$J$36,0,IF(Inputs!$C$12="MFJ",1,IF(Inputs!$C$12="HoH",7,4))+2)),SUMPRODUCT(($AH68&gt;INDEX('Methodology &amp; Sources'!$B$19:$J$26,0,IF(Inputs!$C$12="MFJ",1,IF(Inputs!$C$12="HoH",7,4))))*($AH68-INDEX('Methodology &amp; Sources'!$B$19:$J$26,0,IF(Inputs!$C$12="MFJ",1,IF(Inputs!$C$12="HoH",7,4))))*INDEX('Methodology &amp; Sources'!$B$19:$J$26,0,IF(Inputs!$C$12="MFJ",1,IF(Inputs!$C$12="HoH",7,4))+2)))),'Methodology &amp; Sources'!$C$10*$D68),2)))</f>
      </c>
      <c r="Q68" s="7">
        <f>IF($B68="","",ROUND('Methodology &amp; Sources'!$C$4*MIN($N68,MAX(0,'Methodology &amp; Sources'!$C$3-($AX68+$AB67-$AW68))),2))</f>
      </c>
      <c r="R68" s="7">
        <f>IF($B68="","",ROUND('Methodology &amp; Sources'!$C$5*$N68,2))</f>
      </c>
      <c r="S68" s="7">
        <f>IF($B68="","",ROUND('Methodology &amp; Sources'!$C$6*MAX(0,MIN($N68,$AG67+$N68-'Methodology &amp; Sources'!$C$7)),2))</f>
      </c>
      <c r="T68" s="7">
        <f>IF($B68="","",IF(Inputs!$C$26,0,IF($AN68="CA",ROUND(IF($AI68&lt;=IF(($AS68+$AT68)&gt;=2,VLOOKUP($AN68,StateTables!$A$6:$AB$56,10,FALSE),VLOOKUP($AN68,StateTables!$A$6:$AB$56,9,FALSE)),0,MAX(0,SUMPRODUCT(($AJ68&gt;INDEX('Methodology &amp; Sources'!$B$39:$J$48,0,IF($AU68="Married",4,IF($AU68="Head of household",7,1))))*($AJ68-INDEX('Methodology &amp; Sources'!$B$39:$J$48,0,IF($AU68="Married",4,IF($AU68="Head of household",7,1))))*INDEX('Methodology &amp; Sources'!$B$39:$J$48,0,IF($AU68="Married",4,IF($AU68="Head of household",7,1))+2))-VLOOKUP($AN68,StateTables!$A$6:$AB$56,11,FALSE)*$AS68)/Inputs!$C$8)+Inputs!$C$25+VLOOKUP($AN68,StateTables!$A$6:$AB$56,13,FALSE)*$D68,2),IF(VLOOKUP($AN68,StateTables!$A$6:$AB$56,4,FALSE)="None",0,IF(ISNUMBER(SEARCH("MANUAL",VLOOKUP($AN68,StateTables!$A$6:$AB$56,5,FALSE))),Inputs!$C$28,ROUND(MAX(0,$BA68+$BB68)/Inputs!$C$8+Inputs!$C$25+$BC68,2))))))</f>
      </c>
      <c r="U68" s="7">
        <f>IF($B68="","",IF(VLOOKUP($AN68,StateTables!$A$6:$AB$56,24,FALSE)="flatq",IF(OR(MONTH($B68)=1,MONTH($B68)=4,MONTH($B68)=7,MONTH($B68)=10),VLOOKUP($AN68,StateTables!$A$6:$AB$56,25,FALSE),0),IF(VLOOKUP($AN68,StateTables!$A$6:$AB$56,24,FALSE)="dbl",MIN(ROUND(0.005*$N68,2),ROUND(0.6*52/Inputs!$C$8,2)),IF(OR(VLOOKUP($AN68,StateTables!$A$6:$AB$56,15,FALSE)="",VLOOKUP($AN68,StateTables!$A$6:$AB$56,15,FALSE)=0),0,ROUND(VLOOKUP($AN68,StateTables!$A$6:$AB$56,15,FALSE)*IF(OR(VLOOKUP($AN68,StateTables!$A$6:$AB$56,16,FALSE)="",VLOOKUP($AN68,StateTables!$A$6:$AB$56,16,FALSE)=0),$N68,MIN($N68,MAX(0,VLOOKUP($AN68,StateTables!$A$6:$AB$56,16,FALSE)-($AX68+$AB67-$AW68)))),2))))+IF(VLOOKUP($AN68,StateTables!$A$6:$AB$56,27,FALSE)="flatq",IF(OR(MONTH($B68)=1,MONTH($B68)=4,MONTH($B68)=7,MONTH($B68)=10),VLOOKUP($AN68,StateTables!$A$6:$AB$56,28,FALSE),0),IF(VLOOKUP($AN68,StateTables!$A$6:$AB$56,27,FALSE)="dbl",MIN(ROUND(0.005*$N68,2),ROUND(0.6*52/Inputs!$C$8,2)),IF(OR(VLOOKUP($AN68,StateTables!$A$6:$AB$56,18,FALSE)="",VLOOKUP($AN68,StateTables!$A$6:$AB$56,18,FALSE)=0),0,ROUND(VLOOKUP($AN68,StateTables!$A$6:$AB$56,18,FALSE)*IF(OR(VLOOKUP($AN68,StateTables!$A$6:$AB$56,19,FALSE)="",VLOOKUP($AN68,StateTables!$A$6:$AB$56,19,FALSE)=0),$N68,MIN($N68,MAX(0,VLOOKUP($AN68,StateTables!$A$6:$AB$56,19,FALSE)-($AX68+$AB67-$AW68)))),2)))))</f>
      </c>
      <c r="V68" s="7">
        <f>IF($B68="","",IF($AN68="NY",IF(Inputs!$C$78,ROUND(SUMPRODUCT((MAX(0,($O68-$D68)*Inputs!$C$8-(IF($AU68="Married",5500,5000)+1000*$AS68))&gt;INDEX('Methodology &amp; Sources'!$B$184:$J$198,0,4))*(MAX(0,($O68-$D68)*Inputs!$C$8-(IF($AU68="Married",5500,5000)+1000*$AS68))-INDEX('Methodology &amp; Sources'!$B$184:$J$198,0,4))*INDEX('Methodology &amp; Sources'!$B$184:$J$198,0,4+2))/Inputs!$C$8+0.0425*$D68,2),0)+IF(Inputs!$C$79="Resident",ROUND(0.1675*$T68,2),IF(Inputs!$C$79="Nonresident",ROUND(0.005*MAX(0,($O68-$D68)-(IF($AU68="Married",7950,7400)+1000*$AS68)/Inputs!$C$8),2),0)),IF($AN68="PA",IF(Inputs!$C$80="None",Inputs!$C$27+ROUND(Inputs!$C$81*($C68+$D68),2),ROUND(IF(Inputs!$C$80="Resident",IF($B68&lt;DATE(2027,7,1),0.03735,0.03735),IF($B68&lt;DATE(2027,7,1),0.03425,0.03425))*($C68+$D68),2)),IF($BF68=0,ROUND(Inputs!$C$81*($C68+$D68),2),Inputs!$C$27+ROUND(Inputs!$C$81*($C68+$D68),2)))))</f>
      </c>
      <c r="W68" s="7">
        <f>IF($B68="","",IF($BF68=0,0,$BP68))</f>
      </c>
      <c r="X68" s="7">
        <f>IF($B68="","",SUM($E68:$K68)+$P68+$Q68+$R68+$S68+$T68+$U68+$V68+$W68)</f>
      </c>
      <c r="Y68" s="22">
        <f>IF($B68="","",$C68+$D68-$X68)</f>
      </c>
      <c r="Z68" s="7">
        <f>IF($B68="","",$Z67+$C68+$D68)</f>
      </c>
      <c r="AA68" s="7">
        <f>IF($B68="","",$AA67+$Y68)</f>
      </c>
      <c r="AB68" s="7">
        <f>IF($B68="","",$AB67+MIN($N68,MAX(0,'Methodology &amp; Sources'!$C$3-($AX68+$AB67-$AW68))))</f>
      </c>
      <c r="AC68" s="7">
        <f>IF($B68="","",$AC67+$E68+$F68)</f>
      </c>
      <c r="AD68" s="3">
        <f>IF($B68="","",IF(AND($AB67&lt;'Methodology &amp; Sources'!$C$3,$AB68&gt;='Methodology &amp; Sources'!$C$3),"★ Social Security maxed on this check — from the next check your net rises by about $"&amp;TEXT(ROUND('Methodology &amp; Sources'!$C$4*$N68,2),"#,##0.00")&amp;". ","")&amp;IF(AND($AC67&lt;Inputs!$C$34,$AC68&gt;=Inputs!$C$34),"★ 401(k) reaches the $"&amp;TEXT(Inputs!$C$34,"#,##0")&amp;" cap on this check — deferrals stop and net pay rises. ","")&amp;IF(AND($AG67&lt;'Methodology &amp; Sources'!$C$7,$AG68&gt;='Methodology &amp; Sources'!$C$7),"★ Wages pass $200,000 — the 0.9% Additional Medicare Tax starts here. ","")&amp;IF(AND($BJ68&gt;0,$H68&gt;0,$BG67&lt;MIN($BJ68,'Methodology &amp; Sources'!$C$13),$BG67+$H68&gt;=MIN($BJ68,'Methodology &amp; Sources'!$C$13)),"★ Health FSA election is now fully deferred for the year. ",""))</f>
      </c>
      <c r="AE68" s="41" t="n"/>
      <c r="AF68" s="7">
        <f>IF(OR($B68="",$AE68=""),"",$AE68-$Y68)</f>
      </c>
      <c r="AG68" s="7">
        <f>IF($B68="","",$AG67+$N68)</f>
      </c>
      <c r="AH68" s="7">
        <f>IF($B68="","",MAX(0,($M68-$D68)*Inputs!$C$8+$AP68-$AQ68-IF(Inputs!$C$13,0,IF(Inputs!$C$12="MFJ",'Methodology &amp; Sources'!$C$8,'Methodology &amp; Sources'!$C$9))))</f>
      </c>
      <c r="AI68" s="7">
        <f>IF($B68="","",$O68*Inputs!$C$8)</f>
      </c>
      <c r="AJ68" s="7">
        <f>IF($B68="","",MAX(0,$AI68-VLOOKUP($AN68,StateTables!$A$6:$AB$56,12,FALSE)*$AT68-IF(($AS68+$AT68)&gt;=2,VLOOKUP($AN68,StateTables!$A$6:$AB$56,8,FALSE),VLOOKUP($AN68,StateTables!$A$6:$AB$56,7,FALSE))))</f>
      </c>
      <c r="AK68" s="7">
        <f>IF($B68="","",IFERROR(LOOKUP(2,1/((Events!$C$6:$C$17="Salary change")*(Events!$B$6:$B$17&lt;=$B68)*(Events!$B$6:$B$17&lt;&gt;"")),Events!$D$6:$D$17),IF(Inputs!$C$4="Annual salary",Inputs!$C$5,Inputs!$C$6)))</f>
      </c>
      <c r="AL68">
        <f>IF($B68="","",IFERROR(LOOKUP(2,1/((Events!$C$6:$C$17="401(k) change")*(Events!$B$6:$B$17&lt;=$B68)*(Events!$B$6:$B$17&lt;&gt;"")),Events!$D$6:$D$17),Inputs!$C$30))</f>
      </c>
      <c r="AM68" s="7">
        <f>IF($B68="","",IFERROR(LOOKUP(2,1/((Events!$C$6:$C$17="401(k) change")*(Events!$B$6:$B$17&lt;=$B68)*(Events!$B$6:$B$17&lt;&gt;"")),Events!$E$6:$E$17),Inputs!$D$30))</f>
      </c>
      <c r="AN68">
        <f>IF($B68="","",IFERROR(LOOKUP(2,1/((Events!$C$6:$C$17="State move")*(Events!$B$6:$B$17&lt;=$B68)*(Events!$B$6:$B$17&lt;&gt;"")),Events!$D$6:$D$17),Inputs!$C$21))</f>
      </c>
      <c r="AO68" s="7">
        <f>IF($B68="","",IFERROR(LOOKUP(2,1/((Events!$C$6:$C$17="W-4 change")*(Events!$B$6:$B$17&lt;=$B68)*(Events!$B$6:$B$17&lt;&gt;"")),Events!$D$6:$D$17),Inputs!$C$14))</f>
      </c>
      <c r="AP68" s="7">
        <f>IF($B68="","",IFERROR(LOOKUP(2,1/((Events!$C$6:$C$17="W-4 change")*(Events!$B$6:$B$17&lt;=$B68)*(Events!$B$6:$B$17&lt;&gt;"")),Events!$E$6:$E$17),Inputs!$C$15))</f>
      </c>
      <c r="AQ68" s="7">
        <f>IF($B68="","",IFERROR(LOOKUP(2,1/((Events!$C$6:$C$17="W-4 change")*(Events!$B$6:$B$17&lt;=$B68)*(Events!$B$6:$B$17&lt;&gt;"")),Events!$F$6:$F$17),Inputs!$C$16))</f>
      </c>
      <c r="AR68" s="7">
        <f>IF($B68="","",IFERROR(LOOKUP(2,1/((Events!$C$6:$C$17="W-4 change")*(Events!$B$6:$B$17&lt;=$B68)*(Events!$B$6:$B$17&lt;&gt;"")),Events!$G$6:$G$17),Inputs!$C$17))</f>
      </c>
      <c r="AS68" s="6">
        <f>IF($B68="","",IFERROR(LOOKUP(2,1/(((Events!$C$6:$C$17="State move")+(Events!$C$6:$C$17="State cert change"))*(Events!$B$6:$B$17&lt;=$B68)*(Events!$B$6:$B$17&lt;&gt;"")),Events!$F$6:$F$17),Inputs!$C$23))</f>
      </c>
      <c r="AT68" s="6">
        <f>IF($B68="","",IFERROR(LOOKUP(2,1/(((Events!$C$6:$C$17="State move")+(Events!$C$6:$C$17="State cert change"))*(Events!$B$6:$B$17&lt;=$B68)*(Events!$B$6:$B$17&lt;&gt;"")),Events!$G$6:$G$17),Inputs!$C$24))</f>
      </c>
      <c r="AU68">
        <f>IF($B68="","",IFERROR(LOOKUP(2,1/((Events!$C$6:$C$17="State move")*(Events!$B$6:$B$17&lt;=$B68)*(Events!$B$6:$B$17&lt;&gt;"")),Events!$E$6:$E$17),Inputs!$C$22))</f>
      </c>
      <c r="AV68" s="6">
        <f>IF($B68="","",1+COUNTIFS(Events!$C$6:$C$17,"Employer change",Events!$B$6:$B$17,"&lt;="&amp;$B68,Events!$B$6:$B$17,"&lt;&gt;"))</f>
      </c>
      <c r="AW68" s="7">
        <f>IF($B68="","",IF($AV68=1,Inputs!$C$94,IF(IFERROR(MATCH(IFERROR(LOOKUP(2,1/((Events!$C$6:$C$17="Employer change")*(Events!$B$6:$B$17&lt;=$B68)*(Events!$B$6:$B$17&lt;&gt;"")),Events!$B$6:$B$17),""),$B$6:$B$68,1),1)&lt;=1,Inputs!$C$94,INDEX($AB$6:$AB$68,MATCH(IFERROR(LOOKUP(2,1/((Events!$C$6:$C$17="Employer change")*(Events!$B$6:$B$17&lt;=$B68)*(Events!$B$6:$B$17&lt;&gt;"")),Events!$B$6:$B$17),""),$B$6:$B$68,1)-1))))</f>
      </c>
      <c r="AX68" s="7">
        <f>IF($B68="","",IF($AV68=1,Inputs!$C$94,IFERROR(LOOKUP(2,1/((Events!$C$6:$C$17="Employer change")*(Events!$B$6:$B$17&lt;=$B68)*(Events!$B$6:$B$17&lt;&gt;"")),Events!$D$6:$D$17),0)))</f>
      </c>
      <c r="AY68" s="7">
        <f>IF($B68="","",($O68-$D68)*Inputs!$C$8)</f>
      </c>
      <c r="AZ68" s="7">
        <f>IF($B68="","",IF($AN68="AL",MAX(0,$AY68-IF($AU68="Married",IF($AY68&lt;=25999,8500,MAX(5000,8500-175*CEILING(($AY68-25999)/500,1))),IF($AU68="Head of household",IF($AY68&lt;=25999,5200,MAX(2500,5200-135*CEILING(($AY68-25999)/500,1))),IF($AY68&lt;=25999,3000,MAX(2500,3000-25*CEILING(($AY68-25999)/500,1)))))-($P68-'Methodology &amp; Sources'!$C$10*$D68)*Inputs!$C$8-IF(OR($AU68="Married",$AU68="Head of household"),3000,1500)-$AT68*IF($AY68&lt;=50000,1000,IF($AY68&lt;=100000,500,300))),IF($AN68="AR",IF(MAX(0,$AY68-2470)&lt;97701,INT(MAX(0,$AY68-2470)/100)*100+50,MAX(0,$AY68-2470)),IF($AN68="DE",MAX(0,$AI68-3250),IF($AN68="HI",MAX(0,$AI68-1144*$AS68-4350),IF($AN68="KS",MAX(0,$AI68-(9160*IF($AU68="Married",2,1)+2320*$AT68+IF($AU68="Head of household",2320,0))),IF($AN68="MD",MAX(0,$AI68-3400-3200*$AS68),IF($AN68="MN",MAX(0,$AY68-5300*$AS68),IF($AN68="MO",MAX(0,$AI68-IF($AU68="Head of household",24150,IF($AU68="Married",IF(Inputs!$C$83,16100,32200),16100))),IF($AN68="MT",$AY68,IF($AN68="ND",($C68+$L68)*Inputs!$C$8,IF($AN68="NE",MAX(0,$AY68-2440*$AS68),IF($AN68="NJ",MAX(0,$AY68-1000*$AS68),IF($AN68="NY",MAX(0,$AY68-(IF($AU68="Married",7950,7400)+1000*$AS68)),IF($AN68="OH",MAX(0,$AY68-650*$AS68),IF($AN68="OK",MAX(0,$AY68-1000*$AS68),IF($AN68="RI",MAX(0,$AI68-1000*$AS68),IF($AN68="SC",MAX(0,$AI68-5000*$AS68-IF($AS68=0,0,MIN(0.1*$AI68,7500))),IF($AN68="VA",MAX(0,$AI68-IF($AU68="Married",17500,8750)-930*$AS68-800*$AT68),IF($AN68="VT",MAX(0,$AI68-5400*$AS68),IF($AN68="WI",MAX(0,$AI68-MAX(0,IF($AU68="Married",9461-0.2*MAX(0,$AI68-25727),6702-0.12*MAX(0,$AI68-17780)))-400*$AS68),IF($AN68="WV",MAX(0,$AI68-2000*$AS68),$AI68))))))))))))))))))))))</f>
      </c>
      <c r="BA68" s="7">
        <f>IF($B68="","",IF($BW68&lt;&gt;"",$BW68,IF($BX68&lt;&gt;"",$BX68,IF($BY68&lt;&gt;"",$BY68,0))))</f>
      </c>
      <c r="BB68" s="7">
        <f>IF($B68="","",IF($AN68="AR",-29*$AS68,IF($AN68="DE",-110*$AS68,IF($AN68="MD",$AZ68*Inputs!$C$74,IF($AN68="AZ",Inputs!$C$82*($M68-$D68)*Inputs!$C$8,IF($AN68="CO",0.044*MAX(0,$AY68-IF($AU68="Married",10000,5000)),IF($AN68="IA",MAX(0,0.038*MAX(0,$AY68-IF($AU68="Head of household",19500,IF($AU68="Married",26000,13000)))-40*$AS68),IF($AN68="ID",0.053*MAX(0,$AY68-IF($AU68="Married",32000,16094)),IF($AN68="IL",0.0495*MAX(0,$AY68-(2925*$AS68+1000*$AT68)),IF($AN68="IN",(0.0295+Inputs!$C$76)*MAX(0,$AY68-(1000*$AS68+1500*$AT68+3000*Inputs!$C$86)),IF($AN68="KY",0.035*MAX(0,$AI68-3360),IF($AN68="LA",IF(Inputs!$C$84="0",0.0309*$AI68,0.0309*MAX(0,$AI68-IF(Inputs!$C$84="2",25750,12875))),IF($AN68="MA",0.05*MIN(MAX(0,$AY68-MIN(($BD67+$Q68+$R68+$S68),2000)-IF($AS68=0,0,IF($AS68=1,4400,1000*$AS68+3400))),1107750)+0.09*MAX(0,MAX(0,$AY68-MIN(($BD67+$Q68+$R68+$S68),2000)-IF($AS68=0,0,IF($AS68=1,4400,1000*$AS68+3400)))-1107750)-IF($AU68="Head of household",120,0)-110*Inputs!$C$75,IF($AN68="MI",0.0425*MAX(0,$AY68-5900*$AS68),IF($AN68="MS",0.04*MAX(0,$AI68-IF($AU68="Head of household",3400,IF($AU68="Married",4600,2300))-Inputs!$C$85-10000),IF($AN68="OR",IF(OR($AU68="Married",AND($AU68="Single",$AS68&gt;=3)),SUMPRODUCT((MAX(0,$AY68-MIN(($P68-'Methodology &amp; Sources'!$C$10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Sources'!$B$211:$J$214,0,4))*(MAX(0,$AY68-MIN(($P68-'Methodology &amp; Sources'!$C$10*$D68)*Inputs!$C$8,IF(OR($AU68="Married",AND($AU68="Single",$AS68&gt;=3)),IF($AY68&lt;250000,8750,IF($AY68&lt;260000,7000,IF($AY68&lt;270000,5250,IF($AY68&lt;280000,3500,IF($AY68&lt;290000,1750,0))))),IF($AY68&lt;125000,8750,IF($AY68&lt;130000,7000,IF($AY68&lt;135000,5250,IF($AY68&lt;140000,3500,IF($AY68&lt;145000,1750,0)))))))-IF(OR($AU68="Married",AND($AU68="Single",$AS68&gt;=3)),5820,2910))-INDEX('Methodology &amp; Sources'!$B$211:$J$214,0,4))*INDEX('Methodology &amp; Sources'!$B$211:$J$214,0,4+2)),SUMPRODUCT((MAX(0,$AY68-MIN(($P68-'Methodology &amp; Sources'!$C$10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Sources'!$B$211:$J$214,0,1))*(MAX(0,$AY68-MIN(($P68-'Methodology &amp; Sources'!$C$10*$D68)*Inputs!$C$8,IF(OR($AU68="Married",AND($AU68="Single",$AS68&gt;=3)),IF($AY68&lt;250000,8750,IF($AY68&lt;260000,7000,IF($AY68&lt;270000,5250,IF($AY68&lt;280000,3500,IF($AY68&lt;290000,1750,0))))),IF($AY68&lt;125000,8750,IF($AY68&lt;130000,7000,IF($AY68&lt;135000,5250,IF($AY68&lt;140000,3500,IF($AY68&lt;145000,1750,0)))))))-IF(OR($AU68="Married",AND($AU68="Single",$AS68&gt;=3)),5820,2910))-INDEX('Methodology &amp; Sources'!$B$211:$J$214,0,1))*INDEX('Methodology &amp; Sources'!$B$211:$J$214,0,1+2)))+263-263*IF(IF($AU68="Married",$AY68&gt;200000,$AY68&gt;100000),0,$AS68),IF($AN68="PA",0.0307*(($O68+$E68+$G68)*Inputs!$C$8),IF($AN68="NY",IF($AU68="Married",IF($AZ68&gt;=2155350,0,IF($AZ68&gt;=1077550,0.48,IF($AZ68&gt;=373200,1.21,IF($AZ68&gt;=323200,0.21,IF($AZ68&gt;=211550,-0.19,IF($AZ68&gt;=157650,-2.8,IF($AZ68&gt;=107650,-0.8,IF($AZ68&gt;=96800,0.05,IF($AZ68&gt;=80650,-0.1,IF($AZ68&gt;=13900,0.4,IF($AZ68&gt;=11700,-0.3,IF($AZ68&gt;=8500,0.5,0)))))))))))),IF($AZ68&gt;=1077550,0,IF($AZ68&gt;=265400,4.29,IF($AZ68&gt;=215400,2.29,IF($AZ68&gt;=157650,2.29,IF($AZ68&gt;=107650,0.29,IF($AZ68&gt;=96800,0.05,IF($AZ68&gt;=80650,-0.1,IF($AZ68&gt;=13900,0.4,IF($AZ68&gt;=11700,-0.3,IF($AZ68&gt;=8500,0.5,0))))))))))),0))))))))))))))))))</f>
      </c>
      <c r="BC68" s="7">
        <f>IF($B68="","",IF($AN68="AL",0.05*$D68,IF($AN68="AR",0.039*$D68,IF($AN68="ID",0.053*$D68,IF($AN68="IN",(0.0295+Inputs!$C$76)*$D68,IF($AN68="KS",0.05*$D68,IF($AN68="MA",0.09*MIN($D68,MAX(0,MAX(0,$AY68-MIN(($BD67+$Q68+$R68+$S68),2000)-IF($AS68=0,0,IF($AS68=1,4400,1000*$AS68+3400)))+$D68-1107750))+0.05*($D68-MIN($D68,MAX(0,MAX(0,$AY68-MIN(($BD67+$Q68+$R68+$S68),2000)-IF($AS68=0,0,IF($AS68=1,4400,1000*$AS68+3400)))+$D68-1107750))),IF($AN68="MD",(0.065+Inputs!$C$74)*$D68,IF($AN68="MI",0.0425*$D68,IF($AN68="MN",0.0625*$D68,IF($AN68="MO",0.047*$D68,IF($AN68="MT",0.05*$D68,IF($AN68="ND",0.015*$D68,IF($AN68="NE",0.035*$D68,IF($AN68="NJ",IF(Inputs!$C$77="B",SUMPRODUCT(($D68*Inputs!$C$8&gt;INDEX('Methodology &amp; Sources'!$B$155:$J$162,0,4))*($D68*Inputs!$C$8-INDEX('Methodology &amp; Sources'!$B$155:$J$162,0,4))*INDEX('Methodology &amp; Sources'!$B$155:$J$162,0,4+2)),IF(Inputs!$C$77="C",SUMPRODUCT(($D68*Inputs!$C$8&gt;INDEX('Methodology &amp; Sources'!$B$155:$J$162,0,7))*($D68*Inputs!$C$8-INDEX('Methodology &amp; Sources'!$B$155:$J$162,0,7))*INDEX('Methodology &amp; Sources'!$B$155:$J$162,0,7+2)),IF(Inputs!$C$77="D",SUMPRODUCT(($D68*Inputs!$C$8&gt;INDEX('Methodology &amp; Sources'!$B$167:$J$179,0,1))*($D68*Inputs!$C$8-INDEX('Methodology &amp; Sources'!$B$167:$J$179,0,1))*INDEX('Methodology &amp; Sources'!$B$167:$J$179,0,1+2)),IF(Inputs!$C$77="E",SUMPRODUCT(($D68*Inputs!$C$8&gt;INDEX('Methodology &amp; Sources'!$B$167:$J$179,0,4))*($D68*Inputs!$C$8-INDEX('Methodology &amp; Sources'!$B$167:$J$179,0,4))*INDEX('Methodology &amp; Sources'!$B$167:$J$179,0,4+2)),SUMPRODUCT(($D68*Inputs!$C$8&gt;INDEX('Methodology &amp; Sources'!$B$155:$J$162,0,1))*($D68*Inputs!$C$8-INDEX('Methodology &amp; Sources'!$B$155:$J$162,0,1))*INDEX('Methodology &amp; Sources'!$B$155:$J$162,0,1+2))))))/Inputs!$C$8,IF($AN68="NY",0.117*$D68,IF($AN68="OH",0.0275*$D68,IF($AN68="OK",0.045*$D68,IF($AN68="OR",0.08*$D68,IF($AN68="WI",IF($AY68&lt;12760,0.0354,IF($AY68&lt;25520,0.0465,IF($AY68&lt;280950,0.053,0.0765)))*$D68,0))))))))))))))))))))</f>
      </c>
      <c r="BD68" s="7">
        <f>IF($B68="","",$BD67+$Q68+$R68+$S68)</f>
      </c>
      <c r="BE68" s="6">
        <f>IF($B68="",$BE67,$BE67+$BF68)</f>
      </c>
      <c r="BF68" s="6">
        <f>IF($B68="","",IF(AND(IF(YEAR(IF(Inputs!$C$7="Weekly",Inputs!$C$90+7*(($BE67+1)-1),IF(Inputs!$C$7="Biweekly",Inputs!$C$90+14*(($BE67+1)-1),IF(Inputs!$C$7="Semimonthly",DATE(YEAR(Inputs!$C$9),MONTH(Inputs!$C$9)+INT((($BE67+1)-1+'Rest of 2026'!$C$2)/2),MIN(DAY(Inputs!$C$9),DAY(EOMONTH(DATE(YEAR(Inputs!$C$9),MONTH(Inputs!$C$9)+INT((($BE67+1)-1+'Rest of 2026'!$C$2)/2),1),0))))+IF(MOD(($BE67+1)-1+'Rest of 2026'!$C$2,2)=1,15,0),EDATE(Inputs!$C$90,($BE67+1)-1)))))&lt;&gt;Inputs!$C$10,"",IF(Inputs!$C$7="Weekly",Inputs!$C$90+7*(($BE67+1)-1),IF(Inputs!$C$7="Biweekly",Inputs!$C$90+14*(($BE67+1)-1),IF(Inputs!$C$7="Semimonthly",DATE(YEAR(Inputs!$C$9),MONTH(Inputs!$C$9)+INT((($BE67+1)-1+'Rest of 2026'!$C$2)/2),MIN(DAY(Inputs!$C$9),DAY(EOMONTH(DATE(YEAR(Inputs!$C$9),MONTH(Inputs!$C$9)+INT((($BE67+1)-1+'Rest of 2026'!$C$2)/2),1),0))))+IF(MOD(($BE67+1)-1+'Rest of 2026'!$C$2,2)=1,15,0),EDATE(Inputs!$C$90,($BE67+1)-1)))))&lt;&gt;"",$B68=IF(YEAR(IF(Inputs!$C$7="Weekly",Inputs!$C$90+7*(($BE67+1)-1),IF(Inputs!$C$7="Biweekly",Inputs!$C$90+14*(($BE67+1)-1),IF(Inputs!$C$7="Semimonthly",DATE(YEAR(Inputs!$C$9),MONTH(Inputs!$C$9)+INT((($BE67+1)-1+'Rest of 2026'!$C$2)/2),MIN(DAY(Inputs!$C$9),DAY(EOMONTH(DATE(YEAR(Inputs!$C$9),MONTH(Inputs!$C$9)+INT((($BE67+1)-1+'Rest of 2026'!$C$2)/2),1),0))))+IF(MOD(($BE67+1)-1+'Rest of 2026'!$C$2,2)=1,15,0),EDATE(Inputs!$C$90,($BE67+1)-1)))))&lt;&gt;Inputs!$C$10,"",IF(Inputs!$C$7="Weekly",Inputs!$C$90+7*(($BE67+1)-1),IF(Inputs!$C$7="Biweekly",Inputs!$C$90+14*(($BE67+1)-1),IF(Inputs!$C$7="Semimonthly",DATE(YEAR(Inputs!$C$9),MONTH(Inputs!$C$9)+INT((($BE67+1)-1+'Rest of 2026'!$C$2)/2),MIN(DAY(Inputs!$C$9),DAY(EOMONTH(DATE(YEAR(Inputs!$C$9),MONTH(Inputs!$C$9)+INT((($BE67+1)-1+'Rest of 2026'!$C$2)/2),1),0))))+IF(MOD(($BE67+1)-1+'Rest of 2026'!$C$2,2)=1,15,0),EDATE(Inputs!$C$90,($BE67+1)-1)))))),1,0))</f>
      </c>
      <c r="BG68" s="7">
        <f>IF($B68="","",$BG67+$H68)</f>
      </c>
      <c r="BH68" s="7">
        <f>IF($B68="","",$BH67+$I68)</f>
      </c>
      <c r="BI68" s="7">
        <f>IF($B68="","",$BI67+$G68)</f>
      </c>
      <c r="BJ68" s="7">
        <f>IF($B68="","",IFERROR(LOOKUP(2,1/((((Events!$C$6:$C$17="Deduction start"))*(Events!$D$6:$D$17="Health FSA"))*(Events!$B$6:$B$17&lt;=$B68)*(Events!$B$6:$B$17&lt;&gt;"")),Events!$E$6:$E$17),Inputs!$D$38))</f>
      </c>
      <c r="BK68" s="7">
        <f>IF($B68="","",IFERROR(LOOKUP(2,1/((((Events!$C$6:$C$17="Deduction start"))*(Events!$D$6:$D$17="Dependent-care FSA"))*(Events!$B$6:$B$17&lt;=$B68)*(Events!$B$6:$B$17&lt;&gt;"")),Events!$E$6:$E$17),Inputs!$D$39))</f>
      </c>
      <c r="BL68" s="7">
        <f>IF($B68="","",IFERROR(LOOKUP(2,1/((((Events!$C$6:$C$17="Deduction start")+(Events!$C$6:$C$17="Deduction stop"))*(Events!$D$6:$D$17="HSA"))*(Events!$B$6:$B$17&lt;=$B68)*(Events!$B$6:$B$17&lt;&gt;"")),Events!$I$6:$I$17),Inputs!$D$35))</f>
      </c>
      <c r="BM68" s="7">
        <f>IF($B68="","",IFERROR(LOOKUP(2,1/((((Events!$C$6:$C$17="Deduction start")+(Events!$C$6:$C$17="Deduction stop"))*(Events!$D$6:$D$17="Premiums"))*(Events!$B$6:$B$17&lt;=$B68)*(Events!$B$6:$B$17&lt;&gt;"")),Events!$I$6:$I$17),Inputs!$D$40+Inputs!$D$41+Inputs!$D$42))</f>
      </c>
      <c r="BN68" s="7">
        <f>IF($B68="","",IFERROR(LOOKUP(2,1/((((Events!$C$6:$C$17="Deduction start")+(Events!$C$6:$C$17="Deduction stop"))*(Events!$D$6:$D$17="Commuter"))*(Events!$B$6:$B$17&lt;=$B68)*(Events!$B$6:$B$17&lt;&gt;"")),Events!$I$6:$I$17),Inputs!$D$43))</f>
      </c>
      <c r="BO68" s="7">
        <f>IF($B68="","",IFERROR(LOOKUP(2,1/((((Events!$C$6:$C$17="Deduction start")+(Events!$C$6:$C$17="Deduction stop"))*(Events!$D$6:$D$17="Other pre-tax"))*(Events!$B$6:$B$17&lt;=$B68)*(Events!$B$6:$B$17&lt;&gt;"")),Events!$I$6:$I$17),Inputs!$D$44))</f>
      </c>
      <c r="BP68" s="7">
        <f>IF($B68="","",IFERROR(LOOKUP(2,1/((((Events!$C$6:$C$17="Deduction start")+(Events!$C$6:$C$17="Deduction stop"))*(Events!$D$6:$D$17="Other post-tax"))*(Events!$B$6:$B$17&lt;=$B68)*(Events!$B$6:$B$17&lt;&gt;"")),Events!$I$6:$I$17),Inputs!$D$45))</f>
      </c>
      <c r="BQ68" s="6">
        <f>IF($B68="","",IFERROR(LOOKUP(2,1/((((Events!$C$6:$C$17="Deduction start")+(Events!$C$6:$C$17="Deduction stop"))*(Events!$D$6:$D$17="Health FSA"))*(Events!$B$6:$B$17&lt;=$B68)*(Events!$B$6:$B$17&lt;&gt;"")),Events!$J$6:$J$17),0))</f>
      </c>
      <c r="BR68" s="6">
        <f>IF($B68="","",IFERROR(LOOKUP(2,1/((((Events!$C$6:$C$17="Deduction start")+(Events!$C$6:$C$17="Deduction stop"))*(Events!$D$6:$D$17="Dependent-care FSA"))*(Events!$B$6:$B$17&lt;=$B68)*(Events!$B$6:$B$17&lt;&gt;"")),Events!$J$6:$J$17),0))</f>
      </c>
      <c r="BS68" s="6">
        <f>IF($B68="","",IF(SUMPRODUCT((Events!$C$6:$C$17="Deduction start")*(Events!$B$6:$B$17&lt;=$B68)*(Events!$B$6:$B$17&lt;&gt;"")*(Events!$D$6:$D$17="Health FSA"))&gt;0,1,0))</f>
      </c>
      <c r="BT68" s="6">
        <f>IF($B68="","",IF(SUMPRODUCT((Events!$C$6:$C$17="Deduction start")*(Events!$B$6:$B$17&lt;=$B68)*(Events!$B$6:$B$17&lt;&gt;"")*(Events!$D$6:$D$17="Dependent-care FSA"))&gt;0,1,0))</f>
      </c>
      <c r="BU68" s="24">
        <f>IF($B68="","",IF(Inputs!$C$13,SUMPRODUCT(($AH68&gt;=INDEX('Methodology &amp; Sources'!$B$29:$J$36,0,IF(Inputs!$C$12="MFJ",1,IF(Inputs!$C$12="HoH",7,4))))*INDEX('Methodology &amp; Sources'!$B$29:$J$36,0,IF(Inputs!$C$12="MFJ",1,IF(Inputs!$C$12="HoH",7,4))+2)),SUMPRODUCT(($AH68&gt;=INDEX('Methodology &amp; Sources'!$B$19:$J$26,0,IF(Inputs!$C$12="MFJ",1,IF(Inputs!$C$12="HoH",7,4))))*INDEX('Methodology &amp; Sources'!$B$19:$J$26,0,IF(Inputs!$C$12="MFJ",1,IF(Inputs!$C$12="HoH",7,4))+2))))</f>
      </c>
      <c r="BV68" s="24">
        <f>IF($B68="","",IF($BZ68&lt;&gt;"",$BZ68,IF($CA68&lt;&gt;"",$CA68,IF($CB68&lt;&gt;"",$CB68,IF($CC68&lt;&gt;"",$CC68,0)))))</f>
      </c>
      <c r="BW68" s="7">
        <f>IF($B68="","",IF($AN68="MD",IF(OR($AU68="Married",$AU68="Head of household"),SUMPRODUCT(($AZ68&gt;INDEX('Methodology &amp; Sources'!$B$114:$J$120,0,1))*($AZ68-INDEX('Methodology &amp; Sources'!$B$114:$J$120,0,1))*INDEX('Methodology &amp; Sources'!$B$114:$J$120,0,1+2)),SUMPRODUCT(($AZ68&gt;INDEX('Methodology &amp; Sources'!$B$103:$J$109,0,7))*($AZ68-INDEX('Methodology &amp; Sources'!$B$103:$J$109,0,7))*INDEX('Methodology &amp; Sources'!$B$103:$J$109,0,7+2))),IF($AN68="MO",SUMPRODUCT(($AZ68&gt;INDEX('Methodology &amp; Sources'!$B$125:$J$132,0,1))*($AZ68-INDEX('Methodology &amp; Sources'!$B$125:$J$132,0,1))*INDEX('Methodology &amp; Sources'!$B$125:$J$132,0,1+2)),IF($AN68="MT",IF($AU68="Head of household",SUMPRODUCT(($AZ68&gt;INDEX('Methodology &amp; Sources'!$B$137:$J$139,0,1))*($AZ68-INDEX('Methodology &amp; Sources'!$B$137:$J$139,0,1))*INDEX('Methodology &amp; Sources'!$B$137:$J$139,0,1+2)),IF($AU68="Married",SUMPRODUCT(($AZ68&gt;INDEX('Methodology &amp; Sources'!$B$125:$J$132,0,7))*($AZ68-INDEX('Methodology &amp; Sources'!$B$125:$J$132,0,7))*INDEX('Methodology &amp; Sources'!$B$125:$J$132,0,7+2)),SUMPRODUCT(($AZ68&gt;INDEX('Methodology &amp; Sources'!$B$125:$J$132,0,4))*($AZ68-INDEX('Methodology &amp; Sources'!$B$125:$J$132,0,4))*INDEX('Methodology &amp; Sources'!$B$125:$J$132,0,4+2)))),IF($AN68="ND",IF($AU68="Head of household",SUMPRODUCT(($AZ68&gt;INDEX('Methodology &amp; Sources'!$B$144:$J$150,0,1))*($AZ68-INDEX('Methodology &amp; Sources'!$B$144:$J$150,0,1))*INDEX('Methodology &amp; Sources'!$B$144:$J$150,0,1+2)),IF($AU68="Married",SUMPRODUCT(($AZ68&gt;INDEX('Methodology &amp; Sources'!$B$137:$J$139,0,7))*($AZ68-INDEX('Methodology &amp; Sources'!$B$137:$J$139,0,7))*INDEX('Methodology &amp; Sources'!$B$137:$J$139,0,7+2)),SUMPRODUCT(($AZ68&gt;INDEX('Methodology &amp; Sources'!$B$137:$J$139,0,4))*($AZ68-INDEX('Methodology &amp; Sources'!$B$137:$J$139,0,4))*INDEX('Methodology &amp; Sources'!$B$137:$J$139,0,4+2)))),IF($AN68="NJ",IF(Inputs!$C$77="B",SUMPRODUCT(($AZ68&gt;INDEX('Methodology &amp; Sources'!$B$155:$J$162,0,4))*($AZ68-INDEX('Methodology &amp; Sources'!$B$155:$J$162,0,4))*INDEX('Methodology &amp; Sources'!$B$155:$J$162,0,4+2)),IF(Inputs!$C$77="C",SUMPRODUCT(($AZ68&gt;INDEX('Methodology &amp; Sources'!$B$155:$J$162,0,7))*($AZ68-INDEX('Methodology &amp; Sources'!$B$155:$J$162,0,7))*INDEX('Methodology &amp; Sources'!$B$155:$J$162,0,7+2)),IF(Inputs!$C$77="D",SUMPRODUCT(($AZ68&gt;INDEX('Methodology &amp; Sources'!$B$167:$J$179,0,1))*($AZ68-INDEX('Methodology &amp; Sources'!$B$167:$J$179,0,1))*INDEX('Methodology &amp; Sources'!$B$167:$J$179,0,1+2)),IF(Inputs!$C$77="E",SUMPRODUCT(($AZ68&gt;INDEX('Methodology &amp; Sources'!$B$167:$J$179,0,4))*($AZ68-INDEX('Methodology &amp; Sources'!$B$167:$J$179,0,4))*INDEX('Methodology &amp; Sources'!$B$167:$J$179,0,4+2)),SUMPRODUCT(($AZ68&gt;INDEX('Methodology &amp; Sources'!$B$155:$J$162,0,1))*($AZ68-INDEX('Methodology &amp; Sources'!$B$155:$J$162,0,1))*INDEX('Methodology &amp; Sources'!$B$155:$J$162,0,1+2)))))),IF($AN68="NY",IF($AU68="Married",IF($AZ68&gt;=2155350,$AZ68*IF($AZ68&gt;25000000,0.117,IF($AZ68&gt;5000000,0.111,0.1045)),SUMPRODUCT(($AZ68&gt;INDEX('Methodology &amp; Sources'!$B$184:$J$198,0,1))*($AZ68-INDEX('Methodology &amp; Sources'!$B$184:$J$198,0,1))*INDEX('Methodology &amp; Sources'!$B$184:$J$198,0,1+2))),IF($AZ68&gt;=1077550,$AZ68*IF($AZ68&gt;25000000,0.117,IF($AZ68&gt;5000000,0.111,0.1045)),SUMPRODUCT(($AZ68&gt;INDEX('Methodology &amp; Sources'!$B$167:$J$179,0,7))*($AZ68-INDEX('Methodology &amp; Sources'!$B$167:$J$179,0,7))*INDEX('Methodology &amp; Sources'!$B$167:$J$179,0,7+2)))),"")))))))</f>
      </c>
      <c r="BX68" s="7">
        <f>IF($B68="","",IF($AN68="AL",IF(OR($AU68="Married",$AU68="Head of household"),SUMPRODUCT(($AZ68&gt;INDEX('Methodology &amp; Sources'!$B$82:$J$86,0,4))*($AZ68-INDEX('Methodology &amp; Sources'!$B$82:$J$86,0,4))*INDEX('Methodology &amp; Sources'!$B$82:$J$86,0,4+2)),SUMPRODUCT(($AZ68&gt;INDEX('Methodology &amp; Sources'!$B$82:$J$86,0,1))*($AZ68-INDEX('Methodology &amp; Sources'!$B$82:$J$86,0,1))*INDEX('Methodology &amp; Sources'!$B$82:$J$86,0,1+2))),IF($AN68="KS",IF($AU68="Married",SUMPRODUCT(($AZ68&gt;INDEX('Methodology &amp; Sources'!$B$103:$J$109,0,4))*($AZ68-INDEX('Methodology &amp; Sources'!$B$103:$J$109,0,4))*INDEX('Methodology &amp; Sources'!$B$103:$J$109,0,4+2)),SUMPRODUCT(($AZ68&gt;INDEX('Methodology &amp; Sources'!$B$103:$J$109,0,1))*($AZ68-INDEX('Methodology &amp; Sources'!$B$103:$J$109,0,1))*INDEX('Methodology &amp; Sources'!$B$103:$J$109,0,1+2))),IF($AN68="MN",IF($AU68="Married",SUMPRODUCT(($AZ68&gt;INDEX('Methodology &amp; Sources'!$B$114:$J$120,0,7))*($AZ68-INDEX('Methodology &amp; Sources'!$B$114:$J$120,0,7))*INDEX('Methodology &amp; Sources'!$B$114:$J$120,0,7+2)),SUMPRODUCT(($AZ68&gt;INDEX('Methodology &amp; Sources'!$B$114:$J$120,0,4))*($AZ68-INDEX('Methodology &amp; Sources'!$B$114:$J$120,0,4))*INDEX('Methodology &amp; Sources'!$B$114:$J$120,0,4+2))),IF($AN68="NE",MAX(IF($AU68="Married",SUMPRODUCT(($AZ68&gt;INDEX('Methodology &amp; Sources'!$B$144:$J$150,0,7))*($AZ68-INDEX('Methodology &amp; Sources'!$B$144:$J$150,0,7))*INDEX('Methodology &amp; Sources'!$B$144:$J$150,0,7+2)),SUMPRODUCT(($AZ68&gt;INDEX('Methodology &amp; Sources'!$B$144:$J$150,0,4))*($AZ68-INDEX('Methodology &amp; Sources'!$B$144:$J$150,0,4))*INDEX('Methodology &amp; Sources'!$B$144:$J$150,0,4+2))),0.015*$AZ68),IF($AN68="OH",IF($B68&gt;=DATE(2027,8,1),SUMPRODUCT(($AZ68&gt;INDEX('Methodology &amp; Sources'!$B$203:$J$206,0,1))*($AZ68-INDEX('Methodology &amp; Sources'!$B$203:$J$206,0,1))*INDEX('Methodology &amp; Sources'!$B$203:$J$206,0,1+2)),SUMPRODUCT(($AZ68&gt;INDEX('Methodology &amp; Sources'!$B$184:$J$198,0,7))*($AZ68-INDEX('Methodology &amp; Sources'!$B$184:$J$198,0,7))*INDEX('Methodology &amp; Sources'!$B$184:$J$198,0,7+2))),IF($AN68="OK",IF($AU68="Married",SUMPRODUCT(($AZ68&gt;INDEX('Methodology &amp; Sources'!$B$203:$J$206,0,7))*($AZ68-INDEX('Methodology &amp; Sources'!$B$203:$J$206,0,7))*INDEX('Methodology &amp; Sources'!$B$203:$J$206,0,7+2)),SUMPRODUCT(($AZ68&gt;INDEX('Methodology &amp; Sources'!$B$203:$J$206,0,4))*($AZ68-INDEX('Methodology &amp; Sources'!$B$203:$J$206,0,4))*INDEX('Methodology &amp; Sources'!$B$203:$J$206,0,4+2))),IF($AN68="RI",SUMPRODUCT(($AZ68&gt;INDEX('Methodology &amp; Sources'!$B$211:$J$214,0,7))*($AZ68-INDEX('Methodology &amp; Sources'!$B$211:$J$214,0,7))*INDEX('Methodology &amp; Sources'!$B$211:$J$214,0,7+2)),IF($AN68="VT",IF($AU68="Married",SUMPRODUCT(($AZ68&gt;INDEX('Methodology &amp; Sources'!$B$228:$J$232,0,1))*($AZ68-INDEX('Methodology &amp; Sources'!$B$228:$J$232,0,1))*INDEX('Methodology &amp; Sources'!$B$228:$J$232,0,1+2)),SUMPRODUCT(($AZ68&gt;INDEX('Methodology &amp; Sources'!$B$219:$J$223,0,7))*($AZ68-INDEX('Methodology &amp; Sources'!$B$219:$J$223,0,7))*INDEX('Methodology &amp; Sources'!$B$219:$J$223,0,7+2))),IF($AN68="WV",IF($AU68="Married",SUMPRODUCT(($AZ68&gt;INDEX('Methodology &amp; Sources'!$B$237:$J$241,0,7))*($AZ68-INDEX('Methodology &amp; Sources'!$B$237:$J$241,0,7))*INDEX('Methodology &amp; Sources'!$B$237:$J$241,0,7+2)),SUMPRODUCT(($AZ68&gt;INDEX('Methodology &amp; Sources'!$B$228:$J$232,0,7))*($AZ68-INDEX('Methodology &amp; Sources'!$B$228:$J$232,0,7))*INDEX('Methodology &amp; Sources'!$B$228:$J$232,0,7+2))),""))))))))))</f>
      </c>
      <c r="BY68" s="7">
        <f>IF($B68="","",IF($AN68="AR",SUMPRODUCT(($AZ68&gt;INDEX('Methodology &amp; Sources'!$B$82:$J$86,0,7))*($AZ68-INDEX('Methodology &amp; Sources'!$B$82:$J$86,0,7))*INDEX('Methodology &amp; Sources'!$B$82:$J$86,0,7+2)),IF($AN68="DE",SUMPRODUCT(($AZ68&gt;INDEX('Methodology &amp; Sources'!$B$91:$J$98,0,1))*($AZ68-INDEX('Methodology &amp; Sources'!$B$91:$J$98,0,1))*INDEX('Methodology &amp; Sources'!$B$91:$J$98,0,1+2)),IF($AN68="HI",IF($AU68="Married",SUMPRODUCT(($AZ68&gt;INDEX('Methodology &amp; Sources'!$B$91:$J$98,0,7))*($AZ68-INDEX('Methodology &amp; Sources'!$B$91:$J$98,0,7))*INDEX('Methodology &amp; Sources'!$B$91:$J$98,0,7+2)),SUMPRODUCT(($AZ68&gt;INDEX('Methodology &amp; Sources'!$B$91:$J$98,0,4))*($AZ68-INDEX('Methodology &amp; Sources'!$B$91:$J$98,0,4))*INDEX('Methodology &amp; Sources'!$B$91:$J$98,0,4+2))),IF($AN68="SC",SUMPRODUCT(($AZ68&gt;INDEX('Methodology &amp; Sources'!$B$219:$J$223,0,1))*($AZ68-INDEX('Methodology &amp; Sources'!$B$219:$J$223,0,1))*INDEX('Methodology &amp; Sources'!$B$219:$J$223,0,1+2)),IF($AN68="VA",SUMPRODUCT(($AZ68&gt;INDEX('Methodology &amp; Sources'!$B$219:$J$223,0,4))*($AZ68-INDEX('Methodology &amp; Sources'!$B$219:$J$223,0,4))*INDEX('Methodology &amp; Sources'!$B$219:$J$223,0,4+2)),IF($AN68="WI",SUMPRODUCT(($AZ68&gt;INDEX('Methodology &amp; Sources'!$B$228:$J$232,0,4))*($AZ68-INDEX('Methodology &amp; Sources'!$B$228:$J$232,0,4))*INDEX('Methodology &amp; Sources'!$B$228:$J$232,0,4+2)),"")))))))</f>
      </c>
      <c r="BZ68" s="24">
        <f>IF($B68="","",IF($AN68="NJ",IF(Inputs!$C$77="B",SUMPRODUCT(($AZ68&gt;=INDEX('Methodology &amp; Sources'!$B$155:$J$162,0,4))*INDEX('Methodology &amp; Sources'!$B$155:$J$162,0,4+2)),IF(Inputs!$C$77="C",SUMPRODUCT(($AZ68&gt;=INDEX('Methodology &amp; Sources'!$B$155:$J$162,0,7))*INDEX('Methodology &amp; Sources'!$B$155:$J$162,0,7+2)),IF(Inputs!$C$77="D",SUMPRODUCT(($AZ68&gt;=INDEX('Methodology &amp; Sources'!$B$167:$J$179,0,1))*INDEX('Methodology &amp; Sources'!$B$167:$J$179,0,1+2)),IF(Inputs!$C$77="E",SUMPRODUCT(($AZ68&gt;=INDEX('Methodology &amp; Sources'!$B$167:$J$179,0,4))*INDEX('Methodology &amp; Sources'!$B$167:$J$179,0,4+2)),SUMPRODUCT(($AZ68&gt;=INDEX('Methodology &amp; Sources'!$B$155:$J$162,0,1))*INDEX('Methodology &amp; Sources'!$B$155:$J$162,0,1+2)))))),IF($AN68="OR",IF(OR($AU68="Married",AND($AU68="Single",$AS68&gt;=3)),SUMPRODUCT((MAX(0,$AY68-MIN(($P68-'Methodology &amp; Sources'!$C$10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Sources'!$B$211:$J$214,0,4))*INDEX('Methodology &amp; Sources'!$B$211:$J$214,0,4+2)),SUMPRODUCT((MAX(0,$AY68-MIN(($P68-'Methodology &amp; Sources'!$C$10*$D68)*Inputs!$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Sources'!$B$211:$J$214,0,1))*INDEX('Methodology &amp; Sources'!$B$211:$J$214,0,1+2)))*IF(($P68-'Methodology &amp; Sources'!$C$10*$D68)*Inputs!$C$8&gt;=IF(OR($AU68="Married",AND($AU68="Single",$AS68&gt;=3)),IF($AY68&lt;250000,8750,IF($AY68&lt;260000,7000,IF($AY68&lt;270000,5250,IF($AY68&lt;280000,3500,IF($AY68&lt;290000,1750,0))))),IF($AY68&lt;125000,8750,IF($AY68&lt;130000,7000,IF($AY68&lt;135000,5250,IF($AY68&lt;140000,3500,IF($AY68&lt;145000,1750,0)))))),1,1-IF(Inputs!$C$13,SUMPRODUCT(($AH68&gt;=INDEX('Methodology &amp; Sources'!$B$29:$J$36,0,IF(Inputs!$C$12="MFJ",1,IF(Inputs!$C$12="HoH",7,4))))*INDEX('Methodology &amp; Sources'!$B$29:$J$36,0,IF(Inputs!$C$12="MFJ",1,IF(Inputs!$C$12="HoH",7,4))+2)),SUMPRODUCT(($AH68&gt;=INDEX('Methodology &amp; Sources'!$B$19:$J$26,0,IF(Inputs!$C$12="MFJ",1,IF(Inputs!$C$12="HoH",7,4))))*INDEX('Methodology &amp; Sources'!$B$19:$J$26,0,IF(Inputs!$C$12="MFJ",1,IF(Inputs!$C$12="HoH",7,4))+2)))),IF($AN68="MI",IF($AY68&gt;5900*$AS68,0.0425,0),""))))</f>
      </c>
      <c r="CA68" s="24">
        <f>IF($B68="","",IF($AN68="AL",IF(OR($AU68="Married",$AU68="Head of household"),SUMPRODUCT(($AZ68&gt;=INDEX('Methodology &amp; Sources'!$B$82:$J$86,0,4))*INDEX('Methodology &amp; Sources'!$B$82:$J$86,0,4+2)),SUMPRODUCT(($AZ68&gt;=INDEX('Methodology &amp; Sources'!$B$82:$J$86,0,1))*INDEX('Methodology &amp; Sources'!$B$82:$J$86,0,1+2)))*(1-IF(Inputs!$C$13,SUMPRODUCT(($AH68&gt;=INDEX('Methodology &amp; Sources'!$B$29:$J$36,0,IF(Inputs!$C$12="MFJ",1,IF(Inputs!$C$12="HoH",7,4))))*INDEX('Methodology &amp; Sources'!$B$29:$J$36,0,IF(Inputs!$C$12="MFJ",1,IF(Inputs!$C$12="HoH",7,4))+2)),SUMPRODUCT(($AH68&gt;=INDEX('Methodology &amp; Sources'!$B$19:$J$26,0,IF(Inputs!$C$12="MFJ",1,IF(Inputs!$C$12="HoH",7,4))))*INDEX('Methodology &amp; Sources'!$B$19:$J$26,0,IF(Inputs!$C$12="MFJ",1,IF(Inputs!$C$12="HoH",7,4))+2)))),IF($AN68="KS",IF($AU68="Married",SUMPRODUCT(($AZ68&gt;=INDEX('Methodology &amp; Sources'!$B$103:$J$109,0,4))*INDEX('Methodology &amp; Sources'!$B$103:$J$109,0,4+2)),SUMPRODUCT(($AZ68&gt;=INDEX('Methodology &amp; Sources'!$B$103:$J$109,0,1))*INDEX('Methodology &amp; Sources'!$B$103:$J$109,0,1+2))),IF($AN68="MD",IF(OR($AU68="Married",$AU68="Head of household"),SUMPRODUCT(($AZ68&gt;=INDEX('Methodology &amp; Sources'!$B$114:$J$120,0,1))*INDEX('Methodology &amp; Sources'!$B$114:$J$120,0,1+2)),SUMPRODUCT(($AZ68&gt;=INDEX('Methodology &amp; Sources'!$B$103:$J$109,0,7))*INDEX('Methodology &amp; Sources'!$B$103:$J$109,0,7+2)))+Inputs!$C$74,IF($AN68="MT",IF($AU68="Head of household",SUMPRODUCT(($AZ68&gt;=INDEX('Methodology &amp; Sources'!$B$137:$J$139,0,1))*INDEX('Methodology &amp; Sources'!$B$137:$J$139,0,1+2)),IF($AU68="Married",SUMPRODUCT(($AZ68&gt;=INDEX('Methodology &amp; Sources'!$B$125:$J$132,0,7))*INDEX('Methodology &amp; Sources'!$B$125:$J$132,0,7+2)),SUMPRODUCT(($AZ68&gt;=INDEX('Methodology &amp; Sources'!$B$125:$J$132,0,4))*INDEX('Methodology &amp; Sources'!$B$125:$J$132,0,4+2)))),IF($AN68="ND",IF($AU68="Head of household",SUMPRODUCT(($AZ68&gt;=INDEX('Methodology &amp; Sources'!$B$144:$J$150,0,1))*INDEX('Methodology &amp; Sources'!$B$144:$J$150,0,1+2)),IF($AU68="Married",SUMPRODUCT(($AZ68&gt;=INDEX('Methodology &amp; Sources'!$B$137:$J$139,0,7))*INDEX('Methodology &amp; Sources'!$B$137:$J$139,0,7+2)),SUMPRODUCT(($AZ68&gt;=INDEX('Methodology &amp; Sources'!$B$137:$J$139,0,4))*INDEX('Methodology &amp; Sources'!$B$137:$J$139,0,4+2)))),IF($AN68="NY",IF($AU68="Married",IF($AZ68&gt;=2155350,IF($AZ68&gt;25000000,0.117,IF($AZ68&gt;5000000,0.111,0.1045)),SUMPRODUCT(($AZ68&gt;=INDEX('Methodology &amp; Sources'!$B$184:$J$198,0,1))*INDEX('Methodology &amp; Sources'!$B$184:$J$198,0,1+2))),IF($AZ68&gt;=1077550,IF($AZ68&gt;25000000,0.117,IF($AZ68&gt;5000000,0.111,0.1045)),SUMPRODUCT(($AZ68&gt;=INDEX('Methodology &amp; Sources'!$B$167:$J$179,0,7))*INDEX('Methodology &amp; Sources'!$B$167:$J$179,0,7+2)))),"")))))))</f>
      </c>
      <c r="CB68" s="24">
        <f>IF($B68="","",IF($AN68="CA",SUMPRODUCT(($AJ68&gt;=INDEX('Methodology &amp; Sources'!$B$39:$J$48,0,IF($AU68="Married",4,IF($AU68="Head of household",7,1))))*INDEX('Methodology &amp; Sources'!$B$39:$J$48,0,IF($AU68="Married",4,IF($AU68="Head of household",7,1))+2)),IF($AN68="HI",IF($AU68="Married",SUMPRODUCT(($AZ68&gt;=INDEX('Methodology &amp; Sources'!$B$91:$J$98,0,7))*INDEX('Methodology &amp; Sources'!$B$91:$J$98,0,7+2)),SUMPRODUCT(($AZ68&gt;=INDEX('Methodology &amp; Sources'!$B$91:$J$98,0,4))*INDEX('Methodology &amp; Sources'!$B$91:$J$98,0,4+2))),IF($AN68="MN",IF($AU68="Married",SUMPRODUCT(($AZ68&gt;=INDEX('Methodology &amp; Sources'!$B$114:$J$120,0,7))*INDEX('Methodology &amp; Sources'!$B$114:$J$120,0,7+2)),SUMPRODUCT(($AZ68&gt;=INDEX('Methodology &amp; Sources'!$B$114:$J$120,0,4))*INDEX('Methodology &amp; Sources'!$B$114:$J$120,0,4+2))),IF($AN68="MO",SUMPRODUCT(($AZ68&gt;=INDEX('Methodology &amp; Sources'!$B$125:$J$132,0,1))*INDEX('Methodology &amp; Sources'!$B$125:$J$132,0,1+2)),IF($AN68="NE",MAX(IF($AU68="Married",SUMPRODUCT(($AZ68&gt;=INDEX('Methodology &amp; Sources'!$B$144:$J$150,0,7))*INDEX('Methodology &amp; Sources'!$B$144:$J$150,0,7+2)),SUMPRODUCT(($AZ68&gt;=INDEX('Methodology &amp; Sources'!$B$144:$J$150,0,4))*INDEX('Methodology &amp; Sources'!$B$144:$J$150,0,4+2))),0.015),IF($AN68="OH",IF($B68&gt;=DATE(2027,8,1),SUMPRODUCT(($AZ68&gt;=INDEX('Methodology &amp; Sources'!$B$203:$J$206,0,1))*INDEX('Methodology &amp; Sources'!$B$203:$J$206,0,1+2)),SUMPRODUCT(($AZ68&gt;=INDEX('Methodology &amp; Sources'!$B$184:$J$198,0,7))*INDEX('Methodology &amp; Sources'!$B$184:$J$198,0,7+2))),IF($AN68="OK",IF($AU68="Married",SUMPRODUCT(($AZ68&gt;=INDEX('Methodology &amp; Sources'!$B$203:$J$206,0,7))*INDEX('Methodology &amp; Sources'!$B$203:$J$206,0,7+2)),SUMPRODUCT(($AZ68&gt;=INDEX('Methodology &amp; Sources'!$B$203:$J$206,0,4))*INDEX('Methodology &amp; Sources'!$B$203:$J$206,0,4+2))),IF($AN68="RI",SUMPRODUCT(($AZ68&gt;=INDEX('Methodology &amp; Sources'!$B$211:$J$214,0,7))*INDEX('Methodology &amp; Sources'!$B$211:$J$214,0,7+2)),IF($AN68="SC",SUMPRODUCT(($AZ68&gt;=INDEX('Methodology &amp; Sources'!$B$219:$J$223,0,1))*INDEX('Methodology &amp; Sources'!$B$219:$J$223,0,1+2)),IF($AN68="VT",IF($AU68="Married",SUMPRODUCT(($AZ68&gt;=INDEX('Methodology &amp; Sources'!$B$228:$J$232,0,1))*INDEX('Methodology &amp; Sources'!$B$228:$J$232,0,1+2)),SUMPRODUCT(($AZ68&gt;=INDEX('Methodology &amp; Sources'!$B$219:$J$223,0,7))*INDEX('Methodology &amp; Sources'!$B$219:$J$223,0,7+2))),IF($AN68="WV",IF($AU68="Married",SUMPRODUCT(($AZ68&gt;=INDEX('Methodology &amp; Sources'!$B$237:$J$241,0,7))*INDEX('Methodology &amp; Sources'!$B$237:$J$241,0,7+2)),SUMPRODUCT(($AZ68&gt;=INDEX('Methodology &amp; Sources'!$B$228:$J$232,0,7))*INDEX('Methodology &amp; Sources'!$B$228:$J$232,0,7+2))),IF($AN68="IN",(0.0295+Inputs!$C$76),"")))))))))))))</f>
      </c>
      <c r="CC68" s="24">
        <f>IF($B68="","",IF($AN68="AR",SUMPRODUCT(($AZ68&gt;=INDEX('Methodology &amp; Sources'!$B$82:$J$86,0,7))*INDEX('Methodology &amp; Sources'!$B$82:$J$86,0,7+2)),IF($AN68="DE",SUMPRODUCT(($AZ68&gt;=INDEX('Methodology &amp; Sources'!$B$91:$J$98,0,1))*INDEX('Methodology &amp; Sources'!$B$91:$J$98,0,1+2)),IF($AN68="VA",SUMPRODUCT(($AZ68&gt;=INDEX('Methodology &amp; Sources'!$B$219:$J$223,0,4))*INDEX('Methodology &amp; Sources'!$B$219:$J$223,0,4+2)),IF($AN68="WI",SUMPRODUCT(($AZ68&gt;=INDEX('Methodology &amp; Sources'!$B$228:$J$232,0,4))*INDEX('Methodology &amp; Sources'!$B$228:$J$232,0,4+2)),IF($AN68="AZ",Inputs!$C$82,IF($AN68="CO",IF($AY68&gt;IF($AU68="Married",10000,5000),0.044,0),IF($AN68="IA",IF($AY68&gt;IF($AU68="Head of household",19500,IF($AU68="Married",26000,13000)),0.038,0),IF($AN68="ID",IF($AY68&gt;IF($AU68="Married",32000,16094),0.053,0),IF($AN68="IL",IF($AY68&gt;(2925*$AS68+1000*$AT68),0.0495,0),IF($AN68="KY",IF($AI68&gt;3360,0.035,0),IF($AN68="LA",0.0309,IF($AN68="MA",IF(MAX(0,$AY68-MIN(($BD67+$Q68+$R68+$S68),2000)-IF($AS68=0,0,IF($AS68=1,4400,1000*$AS68+3400)))&gt;=1107750,0.09,0.05),IF($AN68="MS",IF($AI68-IF($AU68="Head of household",3400,IF($AU68="Married",4600,2300))-Inputs!$C$85&gt;10000,0.04,0),IF($AN68="PA",0.0307,"")))))))))))))))</f>
      </c>
      <c r="CD68" s="21">
        <f>IF(YEAR(IF(Inputs!$C$7="Weekly",Inputs!$C$90+7*(($BE67+1)-1),IF(Inputs!$C$7="Biweekly",Inputs!$C$90+14*(($BE67+1)-1),IF(Inputs!$C$7="Semimonthly",DATE(YEAR(Inputs!$C$9),MONTH(Inputs!$C$9)+INT((($BE67+1)-1+'Rest of 2026'!$C$2)/2),MIN(DAY(Inputs!$C$9),DAY(EOMONTH(DATE(YEAR(Inputs!$C$9),MONTH(Inputs!$C$9)+INT((($BE67+1)-1+'Rest of 2026'!$C$2)/2),1),0))))+IF(MOD(($BE67+1)-1+'Rest of 2026'!$C$2,2)=1,15,0),EDATE(Inputs!$C$90,($BE67+1)-1)))))&lt;&gt;Inputs!$C$10,"",IF(Inputs!$C$7="Weekly",Inputs!$C$90+7*(($BE67+1)-1),IF(Inputs!$C$7="Biweekly",Inputs!$C$90+14*(($BE67+1)-1),IF(Inputs!$C$7="Semimonthly",DATE(YEAR(Inputs!$C$9),MONTH(Inputs!$C$9)+INT((($BE67+1)-1+'Rest of 2026'!$C$2)/2),MIN(DAY(Inputs!$C$9),DAY(EOMONTH(DATE(YEAR(Inputs!$C$9),MONTH(Inputs!$C$9)+INT((($BE67+1)-1+'Rest of 2026'!$C$2)/2),1),0))))+IF(MOD(($BE67+1)-1+'Rest of 2026'!$C$2,2)=1,15,0),EDATE(Inputs!$C$90,($BE67+1)-1)))))</f>
      </c>
      <c r="CE68" s="21">
        <f>IF(SUMPRODUCT(MIN(IF((Inputs!$C$58:$C$67&gt;MAX($B$6:$B67))*(Inputs!$C$58:$C$67&gt;=DATE(Inputs!$C$10,1,1))*(Inputs!$C$58:$C$67&lt;=DATE(Inputs!$C$10,12,31)),Inputs!$C$58:$C$67,999999)))=999999,"",SUMPRODUCT(MIN(IF((Inputs!$C$58:$C$67&gt;MAX($B$6:$B67))*(Inputs!$C$58:$C$67&gt;=DATE(Inputs!$C$10,1,1))*(Inputs!$C$58:$C$67&lt;=DATE(Inputs!$C$10,12,31)),Inputs!$C$58:$C$67,999999))))</f>
      </c>
    </row>
  </sheetData>
  <sheetProtection selectLockedCells="0" selectUnlockedCells="0" sheet="1" objects="0" insertRows="1" insertHyperlinks="1" autoFilter="1" scenarios="0" formatColumns="1" deleteColumns="1" insertColumns="1" pivotTables="1" deleteRows="1" formatCells="1" formatRows="1" sort="1"/>
  <mergeCells count="1">
    <mergeCell ref="B4:J4"/>
  </mergeCells>
  <conditionalFormatting sqref="T6:T68">
    <cfRule type="expression" priority="1" dxfId="1">
      <formula>AND($B6&lt;&gt;"",ISNUMBER(SEARCH("MANUAL",IFERROR(VLOOKUP($AN6,StateTables!$A$6:$AB$56,5,FALSE),""))),NOT(Inputs!$C$26),OR(Inputs!$C$28="",Inputs!$C$28&lt;=0))</formula>
    </cfRule>
  </conditionalFormatting>
  <pageMargins left="0.75" right="0.75" top="1" bottom="1" header="0.5" footer="0.5"/>
</worksheet>
</file>

<file path=xl/worksheets/sheet8.xml><?xml version="1.0" encoding="utf-8"?>
<worksheet xmlns="http://schemas.openxmlformats.org/spreadsheetml/2006/main">
  <sheetPr>
    <tabColor rgb="001F4E79"/>
    <outlinePr summaryBelow="1" summaryRight="1"/>
    <pageSetUpPr/>
  </sheetPr>
  <dimension ref="A1:CE68"/>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2" customWidth="1" min="2" max="2"/>
    <col width="12" customWidth="1" min="3" max="3"/>
    <col width="11" customWidth="1" min="4" max="4"/>
    <col width="12" customWidth="1" min="5" max="5"/>
    <col width="11" customWidth="1" min="6" max="6"/>
    <col width="10" customWidth="1" min="7" max="7"/>
    <col width="11" customWidth="1" min="8" max="8"/>
    <col width="11" customWidth="1" min="9" max="9"/>
    <col width="12" customWidth="1" min="10" max="10"/>
    <col width="11" customWidth="1" min="11" max="11"/>
    <col width="11" customWidth="1" min="12" max="12"/>
    <col width="13" customWidth="1" min="13" max="13"/>
    <col width="12" customWidth="1" min="14" max="14"/>
    <col width="13" customWidth="1" min="15" max="15"/>
    <col width="11" customWidth="1" min="16" max="16"/>
    <col width="11" customWidth="1" min="17" max="17"/>
    <col width="10" customWidth="1" min="18" max="18"/>
    <col width="11" customWidth="1" min="19" max="19"/>
    <col width="11" customWidth="1" min="20" max="20"/>
    <col width="11" customWidth="1" min="21" max="21"/>
    <col width="10" customWidth="1" min="22" max="22"/>
    <col width="11" customWidth="1" min="23" max="23"/>
    <col width="12" customWidth="1" min="24" max="24"/>
    <col width="12" customWidth="1" min="25" max="25"/>
    <col width="12" customWidth="1" min="26" max="26"/>
    <col width="12" customWidth="1" min="27" max="27"/>
    <col width="12" customWidth="1" min="28" max="28"/>
    <col width="11" customWidth="1" min="29" max="29"/>
    <col width="62" customWidth="1" min="30" max="30"/>
    <col width="13" customWidth="1" min="31" max="31"/>
    <col width="10" customWidth="1" min="32" max="32"/>
    <col width="12" customWidth="1" min="33" max="33"/>
    <col width="13" customWidth="1" min="34" max="34"/>
    <col width="13" customWidth="1" min="35" max="35"/>
    <col width="13" customWidth="1" min="36" max="36"/>
    <col width="12" customWidth="1" min="37" max="37"/>
    <col width="11" customWidth="1" min="38" max="38"/>
    <col width="12" customWidth="1" min="39" max="39"/>
    <col width="9" customWidth="1" min="40" max="40"/>
    <col width="11" customWidth="1" min="41" max="41"/>
    <col width="11" customWidth="1" min="42" max="42"/>
    <col width="11" customWidth="1" min="43" max="43"/>
    <col width="11" customWidth="1" min="44" max="44"/>
    <col width="11" customWidth="1" min="45" max="45"/>
    <col width="11" customWidth="1" min="46" max="46"/>
    <col width="13" customWidth="1" min="47" max="47"/>
    <col width="9" customWidth="1" min="48" max="48"/>
    <col width="12" customWidth="1" min="49" max="49"/>
    <col width="12" customWidth="1" min="50" max="50"/>
    <col width="13" customWidth="1" min="51" max="51"/>
    <col width="13" customWidth="1" min="52" max="52"/>
    <col width="13" customWidth="1" min="53" max="53"/>
    <col width="13" customWidth="1" min="54" max="54"/>
    <col width="12" customWidth="1" min="55" max="55"/>
    <col width="12" customWidth="1" min="56" max="56"/>
    <col width="10" customWidth="1" min="57" max="57"/>
    <col width="10" customWidth="1" min="58" max="58"/>
    <col width="12" customWidth="1" min="59" max="59"/>
    <col width="12" customWidth="1" min="60" max="60"/>
    <col width="12" customWidth="1" min="61" max="61"/>
    <col width="13" customWidth="1" min="62" max="62"/>
    <col width="13" customWidth="1" min="63" max="63"/>
    <col width="12" customWidth="1" min="64" max="64"/>
    <col width="12" customWidth="1" min="65" max="65"/>
    <col width="12" customWidth="1" min="66" max="66"/>
    <col width="12" customWidth="1" min="67" max="67"/>
    <col width="12" customWidth="1" min="68" max="68"/>
    <col width="10" customWidth="1" min="69" max="69"/>
    <col width="10" customWidth="1" min="70" max="70"/>
    <col width="10" customWidth="1" min="71" max="71"/>
    <col width="10" customWidth="1" min="72" max="72"/>
    <col width="11" customWidth="1" min="73" max="73"/>
    <col width="11" customWidth="1" min="74" max="74"/>
    <col width="13" customWidth="1" min="75" max="75"/>
    <col width="13" customWidth="1" min="76" max="76"/>
    <col width="13" customWidth="1" min="77" max="77"/>
    <col width="11" customWidth="1" min="78" max="78"/>
    <col width="11" customWidth="1" min="79" max="79"/>
    <col width="11" customWidth="1" min="80" max="80"/>
    <col width="11" customWidth="1" min="81" max="81"/>
    <col width="12" customWidth="1" min="82" max="82"/>
    <col width="12" customWidth="1" min="83" max="83"/>
  </cols>
  <sheetData>
    <row r="1">
      <c r="B1" s="9" t="inlineStr">
        <is>
          <t>Pay Schedule 2 — Earner 2, paycheck by paycheck</t>
        </is>
      </c>
    </row>
    <row r="2">
      <c r="B2" s="5" t="inlineStr">
        <is>
          <t>Paydays projected:</t>
        </is>
      </c>
      <c r="C2" s="6">
        <f>SUM(BF6:BF68)</f>
      </c>
      <c r="D2" s="5" t="inlineStr">
        <is>
          <t>Total gross:</t>
        </is>
      </c>
      <c r="E2" s="7">
        <f>SUM(C6:C68)+SUM(D6:D68)</f>
      </c>
      <c r="F2" s="5" t="inlineStr">
        <is>
          <t>Projected annual take-home:</t>
        </is>
      </c>
      <c r="G2" s="7">
        <f>SUM(Y6:Y68)</f>
      </c>
    </row>
    <row r="3">
      <c r="B3" s="5" t="inlineStr">
        <is>
          <t>Total federal WH:</t>
        </is>
      </c>
      <c r="C3" s="7">
        <f>SUM(P6:P68)</f>
      </c>
      <c r="D3" s="5" t="inlineStr">
        <is>
          <t>Total FICA:</t>
        </is>
      </c>
      <c r="E3" s="7">
        <f>SUM(Q6:Q68)+SUM(R6:R68)+SUM(S6:S68)</f>
      </c>
      <c r="F3" s="5" t="inlineStr">
        <is>
          <t>Total state WH:</t>
        </is>
      </c>
      <c r="G3" s="7">
        <f>SUM(T6:T68)</f>
      </c>
    </row>
    <row r="4">
      <c r="B4" s="2" t="inlineStr">
        <is>
          <t>★ notes appear on the exact checks where a cap or threshold changes your pay. Type each real net into 'Actual net' as the year unfolds. ⚠ Manual-entry states: if the per-check amount on Inputs 2 row 28 is blank, the State WH column is shaded red and shows $0 — that is missing data, not a real zero.</t>
        </is>
      </c>
    </row>
    <row r="5">
      <c r="A5" s="19" t="inlineStr">
        <is>
          <t>#</t>
        </is>
      </c>
      <c r="B5" s="19" t="inlineStr">
        <is>
          <t>Pay date</t>
        </is>
      </c>
      <c r="C5" s="19" t="inlineStr">
        <is>
          <t>Gross pay</t>
        </is>
      </c>
      <c r="D5" s="19" t="inlineStr">
        <is>
          <t>One-off pay</t>
        </is>
      </c>
      <c r="E5" s="19" t="inlineStr">
        <is>
          <t>401(k) pre-tax</t>
        </is>
      </c>
      <c r="F5" s="19" t="inlineStr">
        <is>
          <t>Roth 401(k)</t>
        </is>
      </c>
      <c r="G5" s="19" t="inlineStr">
        <is>
          <t>HSA</t>
        </is>
      </c>
      <c r="H5" s="19" t="inlineStr">
        <is>
          <t>Health FSA</t>
        </is>
      </c>
      <c r="I5" s="19" t="inlineStr">
        <is>
          <t>Dep-care FSA</t>
        </is>
      </c>
      <c r="J5" s="19" t="inlineStr">
        <is>
          <t>Premiums (§125)</t>
        </is>
      </c>
      <c r="K5" s="19" t="inlineStr">
        <is>
          <t>Other pre-tax</t>
        </is>
      </c>
      <c r="L5" s="19" t="inlineStr">
        <is>
          <t>Imputed income</t>
        </is>
      </c>
      <c r="M5" s="19" t="inlineStr">
        <is>
          <t>Federal taxable wages</t>
        </is>
      </c>
      <c r="N5" s="19" t="inlineStr">
        <is>
          <t>FICA wages</t>
        </is>
      </c>
      <c r="O5" s="19" t="inlineStr">
        <is>
          <t>State taxable wages</t>
        </is>
      </c>
      <c r="P5" s="19" t="inlineStr">
        <is>
          <t>Federal WH</t>
        </is>
      </c>
      <c r="Q5" s="19" t="inlineStr">
        <is>
          <t>Social Security</t>
        </is>
      </c>
      <c r="R5" s="19" t="inlineStr">
        <is>
          <t>Medicare</t>
        </is>
      </c>
      <c r="S5" s="19" t="inlineStr">
        <is>
          <t>Addl Medicare</t>
        </is>
      </c>
      <c r="T5" s="19" t="inlineStr">
        <is>
          <t>State WH</t>
        </is>
      </c>
      <c r="U5" s="19" t="inlineStr">
        <is>
          <t>State programs</t>
        </is>
      </c>
      <c r="V5" s="19" t="inlineStr">
        <is>
          <t>Local WH</t>
        </is>
      </c>
      <c r="W5" s="19" t="inlineStr">
        <is>
          <t>Other post-tax</t>
        </is>
      </c>
      <c r="X5" s="19" t="inlineStr">
        <is>
          <t>Total deducted</t>
        </is>
      </c>
      <c r="Y5" s="19" t="inlineStr">
        <is>
          <t>NET PAY</t>
        </is>
      </c>
      <c r="Z5" s="19" t="inlineStr">
        <is>
          <t>YTD gross</t>
        </is>
      </c>
      <c r="AA5" s="19" t="inlineStr">
        <is>
          <t>YTD net</t>
        </is>
      </c>
      <c r="AB5" s="19" t="inlineStr">
        <is>
          <t>SS wages YTD</t>
        </is>
      </c>
      <c r="AC5" s="19" t="inlineStr">
        <is>
          <t>401(k) YTD</t>
        </is>
      </c>
      <c r="AD5" s="19" t="inlineStr">
        <is>
          <t>★ Cap events</t>
        </is>
      </c>
      <c r="AE5" s="19" t="inlineStr">
        <is>
          <t>Actual net (you fill in)</t>
        </is>
      </c>
      <c r="AF5" s="19" t="inlineStr">
        <is>
          <t>Variance</t>
        </is>
      </c>
      <c r="AG5" s="19" t="inlineStr">
        <is>
          <t>Medicare wages YTD</t>
        </is>
      </c>
      <c r="AH5" s="19" t="inlineStr">
        <is>
          <t>Fed adj. annual wage (engine)</t>
        </is>
      </c>
      <c r="AI5" s="19" t="inlineStr">
        <is>
          <t>State annual wages (engine)</t>
        </is>
      </c>
      <c r="AJ5" s="19" t="inlineStr">
        <is>
          <t>State taxable, annual (engine)</t>
        </is>
      </c>
      <c r="AK5" s="19" t="inlineStr">
        <is>
          <t>Salary basis (resolved)</t>
        </is>
      </c>
      <c r="AL5" s="19" t="inlineStr">
        <is>
          <t>401(k) mode (resolved)</t>
        </is>
      </c>
      <c r="AM5" s="19" t="inlineStr">
        <is>
          <t>401(k) value (resolved)</t>
        </is>
      </c>
      <c r="AN5" s="19" t="inlineStr">
        <is>
          <t>State (resolved)</t>
        </is>
      </c>
      <c r="AO5" s="19" t="inlineStr">
        <is>
          <t>W-4 Step 3 (resolved)</t>
        </is>
      </c>
      <c r="AP5" s="19" t="inlineStr">
        <is>
          <t>W-4 4(a) (resolved)</t>
        </is>
      </c>
      <c r="AQ5" s="19" t="inlineStr">
        <is>
          <t>W-4 4(b) (resolved)</t>
        </is>
      </c>
      <c r="AR5" s="19" t="inlineStr">
        <is>
          <t>W-4 4(c) (resolved)</t>
        </is>
      </c>
      <c r="AS5" s="19" t="inlineStr">
        <is>
          <t>State reg allow. (resolved)</t>
        </is>
      </c>
      <c r="AT5" s="19" t="inlineStr">
        <is>
          <t>State est allow. (resolved)</t>
        </is>
      </c>
      <c r="AU5" s="19" t="inlineStr">
        <is>
          <t>State status (resolved)</t>
        </is>
      </c>
      <c r="AV5" s="19" t="inlineStr">
        <is>
          <t>Employer segment</t>
        </is>
      </c>
      <c r="AW5" s="19" t="inlineStr">
        <is>
          <t>Seg. SS marker (engine)</t>
        </is>
      </c>
      <c r="AX5" s="19" t="inlineStr">
        <is>
          <t>Seg. SS start balance (engine)</t>
        </is>
      </c>
      <c r="AY5" s="19" t="inlineStr">
        <is>
          <t>State annual wages, regular (engine)</t>
        </is>
      </c>
      <c r="AZ5" s="19" t="inlineStr">
        <is>
          <t>State taxable wages, annual (engine)</t>
        </is>
      </c>
      <c r="BA5" s="19" t="inlineStr">
        <is>
          <t>State bracket tax, annual (engine)</t>
        </is>
      </c>
      <c r="BB5" s="19" t="inlineStr">
        <is>
          <t>State direct tax / credits, annual (engine)</t>
        </is>
      </c>
      <c r="BC5" s="19" t="inlineStr">
        <is>
          <t>State one-off tax (engine)</t>
        </is>
      </c>
      <c r="BD5" s="19" t="inlineStr">
        <is>
          <t>FICA $ YTD (engine)</t>
        </is>
      </c>
      <c r="BE5" s="19" t="inlineStr">
        <is>
          <t>Payday count (engine)</t>
        </is>
      </c>
      <c r="BF5" s="19" t="inlineStr">
        <is>
          <t>Is payday row (engine)</t>
        </is>
      </c>
      <c r="BG5" s="19" t="inlineStr">
        <is>
          <t>Health FSA YTD (engine)</t>
        </is>
      </c>
      <c r="BH5" s="19" t="inlineStr">
        <is>
          <t>Dep-care FSA YTD (engine)</t>
        </is>
      </c>
      <c r="BI5" s="19" t="inlineStr">
        <is>
          <t>HSA YTD (engine)</t>
        </is>
      </c>
      <c r="BJ5" s="19" t="inlineStr">
        <is>
          <t>Health FSA election (resolved)</t>
        </is>
      </c>
      <c r="BK5" s="19" t="inlineStr">
        <is>
          <t>Dep-care FSA election (resolved)</t>
        </is>
      </c>
      <c r="BL5" s="19" t="inlineStr">
        <is>
          <t>HSA $/check (resolved)</t>
        </is>
      </c>
      <c r="BM5" s="19" t="inlineStr">
        <is>
          <t>Premiums $/check (resolved)</t>
        </is>
      </c>
      <c r="BN5" s="19" t="inlineStr">
        <is>
          <t>Commuter $/check (resolved)</t>
        </is>
      </c>
      <c r="BO5" s="19" t="inlineStr">
        <is>
          <t>Other pre-tax $/check (resolved)</t>
        </is>
      </c>
      <c r="BP5" s="19" t="inlineStr">
        <is>
          <t>Other post-tax $/check (resolved)</t>
        </is>
      </c>
      <c r="BQ5" s="19" t="inlineStr">
        <is>
          <t>Health FSA stopped (engine)</t>
        </is>
      </c>
      <c r="BR5" s="19" t="inlineStr">
        <is>
          <t>Dep-care FSA stopped (engine)</t>
        </is>
      </c>
      <c r="BS5" s="19" t="inlineStr">
        <is>
          <t>Health FSA event-started (engine)</t>
        </is>
      </c>
      <c r="BT5" s="19" t="inlineStr">
        <is>
          <t>Dep-care FSA event-started (engine)</t>
        </is>
      </c>
      <c r="BU5" s="19" t="inlineStr">
        <is>
          <t>Federal marginal rate (engine)</t>
        </is>
      </c>
      <c r="BV5" s="19" t="inlineStr">
        <is>
          <t>State marginal rate (engine)</t>
        </is>
      </c>
      <c r="BW5" s="19" t="inlineStr">
        <is>
          <t>State bracket tax, annual (engine) — part 1</t>
        </is>
      </c>
      <c r="BX5" s="19" t="inlineStr">
        <is>
          <t>State bracket tax, annual (engine) — part 2</t>
        </is>
      </c>
      <c r="BY5" s="19" t="inlineStr">
        <is>
          <t>State bracket tax, annual (engine) — part 3</t>
        </is>
      </c>
      <c r="BZ5" s="19" t="inlineStr">
        <is>
          <t>State marginal rate (engine) — part 1</t>
        </is>
      </c>
      <c r="CA5" s="19" t="inlineStr">
        <is>
          <t>State marginal rate (engine) — part 2</t>
        </is>
      </c>
      <c r="CB5" s="19" t="inlineStr">
        <is>
          <t>State marginal rate (engine) — part 3</t>
        </is>
      </c>
      <c r="CC5" s="19" t="inlineStr">
        <is>
          <t>State marginal rate (engine) — part 4</t>
        </is>
      </c>
      <c r="CD5" s="19" t="inlineStr">
        <is>
          <t>Next scheduled pay date (engine)</t>
        </is>
      </c>
      <c r="CE5" s="19" t="inlineStr">
        <is>
          <t>Next one-off date (engine)</t>
        </is>
      </c>
    </row>
    <row r="6">
      <c r="A6" t="n">
        <v>1</v>
      </c>
      <c r="B6" s="21">
        <f>IF(AND($CD6="",$CE6=""),"",IF($CE6="",$CD6,IF($CD6="",$CE6,MIN($CD6,$CE6))))</f>
      </c>
      <c r="C6" s="7">
        <f>IF($B6="","",IF($BF6=0,0,IF('Inputs 2'!$C$4="Annual salary",ROUND($AK6/IF(AND('Inputs 2'!$C$88="Actual paydays",MONTH('Inputs 2'!$C$9)=1),MAX(1,MAX($BE$6:$BE$68)),'Inputs 2'!$C$8),2),$AK6)))</f>
      </c>
      <c r="D6" s="7">
        <f>IF($B6="","",SUMIF('Inputs 2'!$C$58:$C$67,$B6,'Inputs 2'!$D$58:$D$67))</f>
      </c>
      <c r="E6" s="7">
        <f>IF($B6="","",ROUND(MAX(0,MIN(IF($AL6="Percent",$AM6*($C6+$D6),$AM6),MAX(0,'Inputs 2'!$C$34-'Inputs 2'!$C$51))),2))</f>
      </c>
      <c r="F6" s="7">
        <f>IF($B6="","",ROUND(MAX(0,MIN(IF('Inputs 2'!$C$32="Percent",'Inputs 2'!$D$32*($C6+$D6),'Inputs 2'!$D$32),MAX(0,'Inputs 2'!$C$34-'Inputs 2'!$C$51-$E6))),2))</f>
      </c>
      <c r="G6" s="7">
        <f>IF($B6="","",IF($BF6=0,0,ROUND(MAX(0,MIN($BL6,'Inputs 2'!$C$37-'Inputs 2'!$C$54-0)),2)))</f>
      </c>
      <c r="H6" s="7">
        <f>IF($B6="","",IF(OR($BF6=0,$BQ6=1),0,ROUND(MAX(0,MIN(IF($BS6=1,ROUND(MAX(0,MIN($BJ6,'Methodology &amp; Sources'!$C$13)-'Inputs 2'!$C$52)/MAX(1,MAX($BE$6:$BE$68)-(0)),2),ROUND(MIN($BJ6,'Methodology &amp; Sources'!$C$13)/'Inputs 2'!$C$8,2)),MIN($BJ6,'Methodology &amp; Sources'!$C$13)-'Inputs 2'!$C$52)),2)))</f>
      </c>
      <c r="I6" s="7">
        <f>IF($B6="","",IF(OR($BF6=0,$BR6=1),0,ROUND(MAX(0,MIN(IF($BT6=1,ROUND(MAX(0,MIN($BK6,IF('Inputs 2'!$C$12="MFJ",'Methodology &amp; Sources'!$C$14,'Methodology &amp; Sources'!$C$15))-'Inputs 2'!$C$53)/MAX(1,MAX($BE$6:$BE$68)-(0)),2),ROUND(MIN($BK6,IF('Inputs 2'!$C$12="MFJ",'Methodology &amp; Sources'!$C$14,'Methodology &amp; Sources'!$C$15))/'Inputs 2'!$C$8,2)),MIN($BK6,IF('Inputs 2'!$C$12="MFJ",'Methodology &amp; Sources'!$C$14,'Methodology &amp; Sources'!$C$15))-'Inputs 2'!$C$53)),2)))</f>
      </c>
      <c r="J6" s="7">
        <f>IF($B6="","",IF($BF6=0,0,$BM6))</f>
      </c>
      <c r="K6" s="7">
        <f>IF($B6="","",IF($BF6=0,0,$BN6+$BO6))</f>
      </c>
      <c r="L6" s="7">
        <f>IF($B6="","",IF($BF6=0,0,'Inputs 2'!$D$46))</f>
      </c>
      <c r="M6" s="7">
        <f>IF($B6="","",$C6+$D6+$L6-$E6-$G6-$H6-$I6-$J6-$K6)</f>
      </c>
      <c r="N6" s="7">
        <f>IF($B6="","",$C6+$D6+$L6-$G6-$H6-$I6-$J6-$K6)</f>
      </c>
      <c r="O6" s="7">
        <f>IF($B6="","",$C6+$D6+$L6-$E6-$H6-$I6-$J6-$K6-IF(OR($AN6="CA",$AN6="NJ"),0,$G6))</f>
      </c>
      <c r="P6" s="7">
        <f>IF($B6="","",IF('Inputs 2'!$C$18,0,ROUND(MAX(0,IF('Inputs 2'!$C$13,SUMPRODUCT(($AH6&gt;INDEX('Methodology &amp; Sources'!$B$29:$J$36,0,IF('Inputs 2'!$C$12="MFJ",1,IF('Inputs 2'!$C$12="HoH",7,4))))*($AH6-INDEX('Methodology &amp; Sources'!$B$29:$J$36,0,IF('Inputs 2'!$C$12="MFJ",1,IF('Inputs 2'!$C$12="HoH",7,4))))*INDEX('Methodology &amp; Sources'!$B$29:$J$36,0,IF('Inputs 2'!$C$12="MFJ",1,IF('Inputs 2'!$C$12="HoH",7,4))+2)),SUMPRODUCT(($AH6&gt;INDEX('Methodology &amp; Sources'!$B$19:$J$26,0,IF('Inputs 2'!$C$12="MFJ",1,IF('Inputs 2'!$C$12="HoH",7,4))))*($AH6-INDEX('Methodology &amp; Sources'!$B$19:$J$26,0,IF('Inputs 2'!$C$12="MFJ",1,IF('Inputs 2'!$C$12="HoH",7,4))))*INDEX('Methodology &amp; Sources'!$B$19:$J$26,0,IF('Inputs 2'!$C$12="MFJ",1,IF('Inputs 2'!$C$12="HoH",7,4))+2)))/'Inputs 2'!$C$8-$AO6/'Inputs 2'!$C$8)+$AR6+IF('Inputs 2'!$C$89="Aggregate",MAX(0,IF('Inputs 2'!$C$13,SUMPRODUCT((($AH6+$D6)&gt;INDEX('Methodology &amp; Sources'!$B$29:$J$36,0,IF('Inputs 2'!$C$12="MFJ",1,IF('Inputs 2'!$C$12="HoH",7,4))))*(($AH6+$D6)-INDEX('Methodology &amp; Sources'!$B$29:$J$36,0,IF('Inputs 2'!$C$12="MFJ",1,IF('Inputs 2'!$C$12="HoH",7,4))))*INDEX('Methodology &amp; Sources'!$B$29:$J$36,0,IF('Inputs 2'!$C$12="MFJ",1,IF('Inputs 2'!$C$12="HoH",7,4))+2)),SUMPRODUCT((($AH6+$D6)&gt;INDEX('Methodology &amp; Sources'!$B$19:$J$26,0,IF('Inputs 2'!$C$12="MFJ",1,IF('Inputs 2'!$C$12="HoH",7,4))))*(($AH6+$D6)-INDEX('Methodology &amp; Sources'!$B$19:$J$26,0,IF('Inputs 2'!$C$12="MFJ",1,IF('Inputs 2'!$C$12="HoH",7,4))))*INDEX('Methodology &amp; Sources'!$B$19:$J$26,0,IF('Inputs 2'!$C$12="MFJ",1,IF('Inputs 2'!$C$12="HoH",7,4))+2)))-IF('Inputs 2'!$C$13,SUMPRODUCT(($AH6&gt;INDEX('Methodology &amp; Sources'!$B$29:$J$36,0,IF('Inputs 2'!$C$12="MFJ",1,IF('Inputs 2'!$C$12="HoH",7,4))))*($AH6-INDEX('Methodology &amp; Sources'!$B$29:$J$36,0,IF('Inputs 2'!$C$12="MFJ",1,IF('Inputs 2'!$C$12="HoH",7,4))))*INDEX('Methodology &amp; Sources'!$B$29:$J$36,0,IF('Inputs 2'!$C$12="MFJ",1,IF('Inputs 2'!$C$12="HoH",7,4))+2)),SUMPRODUCT(($AH6&gt;INDEX('Methodology &amp; Sources'!$B$19:$J$26,0,IF('Inputs 2'!$C$12="MFJ",1,IF('Inputs 2'!$C$12="HoH",7,4))))*($AH6-INDEX('Methodology &amp; Sources'!$B$19:$J$26,0,IF('Inputs 2'!$C$12="MFJ",1,IF('Inputs 2'!$C$12="HoH",7,4))))*INDEX('Methodology &amp; Sources'!$B$19:$J$26,0,IF('Inputs 2'!$C$12="MFJ",1,IF('Inputs 2'!$C$12="HoH",7,4))+2)))),'Methodology &amp; Sources'!$C$10*$D6),2)))</f>
      </c>
      <c r="Q6" s="7">
        <f>IF($B6="","",ROUND('Methodology &amp; Sources'!$C$4*MIN($N6,MAX(0,'Methodology &amp; Sources'!$C$3-($AX6+'Inputs 2'!$C$49-$AW6))),2))</f>
      </c>
      <c r="R6" s="7">
        <f>IF($B6="","",ROUND('Methodology &amp; Sources'!$C$5*$N6,2))</f>
      </c>
      <c r="S6" s="7">
        <f>IF($B6="","",ROUND('Methodology &amp; Sources'!$C$6*MAX(0,MIN($N6,'Inputs 2'!$C$50+$N6-'Methodology &amp; Sources'!$C$7)),2))</f>
      </c>
      <c r="T6" s="7">
        <f>IF($B6="","",IF('Inputs 2'!$C$26,0,IF($AN6="CA",ROUND(IF($AI6&lt;=IF(($AS6+$AT6)&gt;=2,VLOOKUP($AN6,StateTables!$A$6:$AB$56,10,FALSE),VLOOKUP($AN6,StateTables!$A$6:$AB$56,9,FALSE)),0,MAX(0,SUMPRODUCT(($AJ6&gt;INDEX('Methodology &amp; Sources'!$B$39:$J$48,0,IF($AU6="Married",4,IF($AU6="Head of household",7,1))))*($AJ6-INDEX('Methodology &amp; Sources'!$B$39:$J$48,0,IF($AU6="Married",4,IF($AU6="Head of household",7,1))))*INDEX('Methodology &amp; Sources'!$B$39:$J$48,0,IF($AU6="Married",4,IF($AU6="Head of household",7,1))+2))-VLOOKUP($AN6,StateTables!$A$6:$AB$56,11,FALSE)*$AS6)/'Inputs 2'!$C$8)+'Inputs 2'!$C$25+VLOOKUP($AN6,StateTables!$A$6:$AB$56,13,FALSE)*$D6,2),IF(VLOOKUP($AN6,StateTables!$A$6:$AB$56,4,FALSE)="None",0,IF(ISNUMBER(SEARCH("MANUAL",VLOOKUP($AN6,StateTables!$A$6:$AB$56,5,FALSE))),'Inputs 2'!$C$28,ROUND(MAX(0,$BA6+$BB6)/'Inputs 2'!$C$8+'Inputs 2'!$C$25+$BC6,2))))))</f>
      </c>
      <c r="U6" s="7">
        <f>IF($B6="","",IF(VLOOKUP($AN6,StateTables!$A$6:$AB$56,24,FALSE)="flatq",IF(OR(MONTH($B6)=1,MONTH($B6)=4,MONTH($B6)=7,MONTH($B6)=10),VLOOKUP($AN6,StateTables!$A$6:$AB$56,25,FALSE),0),IF(VLOOKUP($AN6,StateTables!$A$6:$AB$56,24,FALSE)="dbl",MIN(ROUND(0.005*$N6,2),ROUND(0.6*52/'Inputs 2'!$C$8,2)),IF(OR(VLOOKUP($AN6,StateTables!$A$6:$AB$56,15,FALSE)="",VLOOKUP($AN6,StateTables!$A$6:$AB$56,15,FALSE)=0),0,ROUND(VLOOKUP($AN6,StateTables!$A$6:$AB$56,15,FALSE)*IF(OR(VLOOKUP($AN6,StateTables!$A$6:$AB$56,16,FALSE)="",VLOOKUP($AN6,StateTables!$A$6:$AB$56,16,FALSE)=0),$N6,MIN($N6,MAX(0,VLOOKUP($AN6,StateTables!$A$6:$AB$56,16,FALSE)-($AX6+'Inputs 2'!$C$49-$AW6)))),2))))+IF(VLOOKUP($AN6,StateTables!$A$6:$AB$56,27,FALSE)="flatq",IF(OR(MONTH($B6)=1,MONTH($B6)=4,MONTH($B6)=7,MONTH($B6)=10),VLOOKUP($AN6,StateTables!$A$6:$AB$56,28,FALSE),0),IF(VLOOKUP($AN6,StateTables!$A$6:$AB$56,27,FALSE)="dbl",MIN(ROUND(0.005*$N6,2),ROUND(0.6*52/'Inputs 2'!$C$8,2)),IF(OR(VLOOKUP($AN6,StateTables!$A$6:$AB$56,18,FALSE)="",VLOOKUP($AN6,StateTables!$A$6:$AB$56,18,FALSE)=0),0,ROUND(VLOOKUP($AN6,StateTables!$A$6:$AB$56,18,FALSE)*IF(OR(VLOOKUP($AN6,StateTables!$A$6:$AB$56,19,FALSE)="",VLOOKUP($AN6,StateTables!$A$6:$AB$56,19,FALSE)=0),$N6,MIN($N6,MAX(0,VLOOKUP($AN6,StateTables!$A$6:$AB$56,19,FALSE)-($AX6+'Inputs 2'!$C$49-$AW6)))),2)))))</f>
      </c>
      <c r="V6" s="7">
        <f>IF($B6="","",IF($AN6="NY",IF('Inputs 2'!$C$78,ROUND(SUMPRODUCT((MAX(0,($O6-$D6)*'Inputs 2'!$C$8-(IF($AU6="Married",5500,5000)+1000*$AS6))&gt;INDEX('Methodology &amp; Sources'!$B$184:$J$198,0,4))*(MAX(0,($O6-$D6)*'Inputs 2'!$C$8-(IF($AU6="Married",5500,5000)+1000*$AS6))-INDEX('Methodology &amp; Sources'!$B$184:$J$198,0,4))*INDEX('Methodology &amp; Sources'!$B$184:$J$198,0,4+2))/'Inputs 2'!$C$8+0.0425*$D6,2),0)+IF('Inputs 2'!$C$79="Resident",ROUND(0.1675*$T6,2),IF('Inputs 2'!$C$79="Nonresident",ROUND(0.005*MAX(0,($O6-$D6)-(IF($AU6="Married",7950,7400)+1000*$AS6)/'Inputs 2'!$C$8),2),0)),IF($AN6="PA",IF('Inputs 2'!$C$80="None",'Inputs 2'!$C$27+ROUND('Inputs 2'!$C$81*($C6+$D6),2),ROUND(IF('Inputs 2'!$C$80="Resident",IF($B6&lt;DATE(2027,7,1),0.03735,0.03735),IF($B6&lt;DATE(2027,7,1),0.03425,0.03425))*($C6+$D6),2)),IF($BF6=0,ROUND('Inputs 2'!$C$81*($C6+$D6),2),'Inputs 2'!$C$27+ROUND('Inputs 2'!$C$81*($C6+$D6),2)))))</f>
      </c>
      <c r="W6" s="7">
        <f>IF($B6="","",IF($BF6=0,0,$BP6))</f>
      </c>
      <c r="X6" s="7">
        <f>IF($B6="","",SUM($E6:$K6)+$P6+$Q6+$R6+$S6+$T6+$U6+$V6+$W6)</f>
      </c>
      <c r="Y6" s="22">
        <f>IF($B6="","",$C6+$D6-$X6)</f>
      </c>
      <c r="Z6" s="7">
        <f>IF($B6="","",'Inputs 2'!$C$48+$C6+$D6)</f>
      </c>
      <c r="AA6" s="7">
        <f>IF($B6="","",0+$Y6)</f>
      </c>
      <c r="AB6" s="7">
        <f>IF($B6="","",'Inputs 2'!$C$49+MIN($N6,MAX(0,'Methodology &amp; Sources'!$C$3-($AX6+'Inputs 2'!$C$49-$AW6))))</f>
      </c>
      <c r="AC6" s="7">
        <f>IF($B6="","",'Inputs 2'!$C$51+$E6+$F6)</f>
      </c>
      <c r="AD6" s="3">
        <f>IF($B6="","",IF(AND('Inputs 2'!$C$49&lt;'Methodology &amp; Sources'!$C$3,$AB6&gt;='Methodology &amp; Sources'!$C$3),"★ Social Security maxed on this check — from the next check your net rises by about $"&amp;TEXT(ROUND('Methodology &amp; Sources'!$C$4*$N6,2),"#,##0.00")&amp;". ","")&amp;IF(AND('Inputs 2'!$C$51&lt;'Inputs 2'!$C$34,$AC6&gt;='Inputs 2'!$C$34),"★ 401(k) reaches the $"&amp;TEXT('Inputs 2'!$C$34,"#,##0")&amp;" cap on this check — deferrals stop and net pay rises. ","")&amp;IF(AND('Inputs 2'!$C$50&lt;'Methodology &amp; Sources'!$C$7,$AG6&gt;='Methodology &amp; Sources'!$C$7),"★ Wages pass $200,000 — the 0.9% Additional Medicare Tax starts here. ","")&amp;IF(AND($BJ6&gt;0,$H6&gt;0,'Inputs 2'!$C$52&lt;MIN($BJ6,'Methodology &amp; Sources'!$C$13),'Inputs 2'!$C$52+$H6&gt;=MIN($BJ6,'Methodology &amp; Sources'!$C$13)),"★ Health FSA election is now fully deferred for the year. ",""))</f>
      </c>
      <c r="AE6" s="41" t="n"/>
      <c r="AF6" s="7">
        <f>IF(OR($B6="",$AE6=""),"",$AE6-$Y6)</f>
      </c>
      <c r="AG6" s="7">
        <f>IF($B6="","",'Inputs 2'!$C$50+$N6)</f>
      </c>
      <c r="AH6" s="7">
        <f>IF($B6="","",MAX(0,($M6-$D6)*'Inputs 2'!$C$8+$AP6-$AQ6-IF('Inputs 2'!$C$13,0,IF('Inputs 2'!$C$12="MFJ",'Methodology &amp; Sources'!$C$8,'Methodology &amp; Sources'!$C$9))))</f>
      </c>
      <c r="AI6" s="7">
        <f>IF($B6="","",$O6*'Inputs 2'!$C$8)</f>
      </c>
      <c r="AJ6" s="7">
        <f>IF($B6="","",MAX(0,$AI6-VLOOKUP($AN6,StateTables!$A$6:$AB$56,12,FALSE)*$AT6-IF(($AS6+$AT6)&gt;=2,VLOOKUP($AN6,StateTables!$A$6:$AB$56,8,FALSE),VLOOKUP($AN6,StateTables!$A$6:$AB$56,7,FALSE))))</f>
      </c>
      <c r="AK6" s="7">
        <f>IF($B6="","",IFERROR(LOOKUP(2,1/(('Events 2'!$C$6:$C$17="Salary change")*('Events 2'!$B$6:$B$17&lt;=$B6)*('Events 2'!$B$6:$B$17&lt;&gt;"")),'Events 2'!$D$6:$D$17),IF('Inputs 2'!$C$4="Annual salary",'Inputs 2'!$C$5,'Inputs 2'!$C$6)))</f>
      </c>
      <c r="AL6">
        <f>IF($B6="","",IFERROR(LOOKUP(2,1/(('Events 2'!$C$6:$C$17="401(k) change")*('Events 2'!$B$6:$B$17&lt;=$B6)*('Events 2'!$B$6:$B$17&lt;&gt;"")),'Events 2'!$D$6:$D$17),'Inputs 2'!$C$30))</f>
      </c>
      <c r="AM6" s="7">
        <f>IF($B6="","",IFERROR(LOOKUP(2,1/(('Events 2'!$C$6:$C$17="401(k) change")*('Events 2'!$B$6:$B$17&lt;=$B6)*('Events 2'!$B$6:$B$17&lt;&gt;"")),'Events 2'!$E$6:$E$17),'Inputs 2'!$D$30))</f>
      </c>
      <c r="AN6">
        <f>IF($B6="","",IFERROR(LOOKUP(2,1/(('Events 2'!$C$6:$C$17="State move")*('Events 2'!$B$6:$B$17&lt;=$B6)*('Events 2'!$B$6:$B$17&lt;&gt;"")),'Events 2'!$D$6:$D$17),'Inputs 2'!$C$21))</f>
      </c>
      <c r="AO6" s="7">
        <f>IF($B6="","",IFERROR(LOOKUP(2,1/(('Events 2'!$C$6:$C$17="W-4 change")*('Events 2'!$B$6:$B$17&lt;=$B6)*('Events 2'!$B$6:$B$17&lt;&gt;"")),'Events 2'!$D$6:$D$17),'Inputs 2'!$C$14))</f>
      </c>
      <c r="AP6" s="7">
        <f>IF($B6="","",IFERROR(LOOKUP(2,1/(('Events 2'!$C$6:$C$17="W-4 change")*('Events 2'!$B$6:$B$17&lt;=$B6)*('Events 2'!$B$6:$B$17&lt;&gt;"")),'Events 2'!$E$6:$E$17),'Inputs 2'!$C$15))</f>
      </c>
      <c r="AQ6" s="7">
        <f>IF($B6="","",IFERROR(LOOKUP(2,1/(('Events 2'!$C$6:$C$17="W-4 change")*('Events 2'!$B$6:$B$17&lt;=$B6)*('Events 2'!$B$6:$B$17&lt;&gt;"")),'Events 2'!$F$6:$F$17),'Inputs 2'!$C$16))</f>
      </c>
      <c r="AR6" s="7">
        <f>IF($B6="","",IFERROR(LOOKUP(2,1/(('Events 2'!$C$6:$C$17="W-4 change")*('Events 2'!$B$6:$B$17&lt;=$B6)*('Events 2'!$B$6:$B$17&lt;&gt;"")),'Events 2'!$G$6:$G$17),'Inputs 2'!$C$17))</f>
      </c>
      <c r="AS6" s="6">
        <f>IF($B6="","",IFERROR(LOOKUP(2,1/((('Events 2'!$C$6:$C$17="State move")+('Events 2'!$C$6:$C$17="State cert change"))*('Events 2'!$B$6:$B$17&lt;=$B6)*('Events 2'!$B$6:$B$17&lt;&gt;"")),'Events 2'!$F$6:$F$17),'Inputs 2'!$C$23))</f>
      </c>
      <c r="AT6" s="6">
        <f>IF($B6="","",IFERROR(LOOKUP(2,1/((('Events 2'!$C$6:$C$17="State move")+('Events 2'!$C$6:$C$17="State cert change"))*('Events 2'!$B$6:$B$17&lt;=$B6)*('Events 2'!$B$6:$B$17&lt;&gt;"")),'Events 2'!$G$6:$G$17),'Inputs 2'!$C$24))</f>
      </c>
      <c r="AU6">
        <f>IF($B6="","",IFERROR(LOOKUP(2,1/(('Events 2'!$C$6:$C$17="State move")*('Events 2'!$B$6:$B$17&lt;=$B6)*('Events 2'!$B$6:$B$17&lt;&gt;"")),'Events 2'!$E$6:$E$17),'Inputs 2'!$C$22))</f>
      </c>
      <c r="AV6" s="6">
        <f>IF($B6="","",1+COUNTIFS('Events 2'!$C$6:$C$17,"Employer change",'Events 2'!$B$6:$B$17,"&lt;="&amp;$B6,'Events 2'!$B$6:$B$17,"&lt;&gt;"))</f>
      </c>
      <c r="AW6" s="7">
        <f>IF($B6="","",IF($AV6=1,'Inputs 2'!$C$49,IF(IFERROR(MATCH(IFERROR(LOOKUP(2,1/(('Events 2'!$C$6:$C$17="Employer change")*('Events 2'!$B$6:$B$17&lt;=$B6)*('Events 2'!$B$6:$B$17&lt;&gt;"")),'Events 2'!$B$6:$B$17),""),$B$6:$B$68,1),1)&lt;=1,'Inputs 2'!$C$49,INDEX($AB$6:$AB$68,MATCH(IFERROR(LOOKUP(2,1/(('Events 2'!$C$6:$C$17="Employer change")*('Events 2'!$B$6:$B$17&lt;=$B6)*('Events 2'!$B$6:$B$17&lt;&gt;"")),'Events 2'!$B$6:$B$17),""),$B$6:$B$68,1)-1))))</f>
      </c>
      <c r="AX6" s="7">
        <f>IF($B6="","",IF($AV6=1,'Inputs 2'!$C$49,IFERROR(LOOKUP(2,1/(('Events 2'!$C$6:$C$17="Employer change")*('Events 2'!$B$6:$B$17&lt;=$B6)*('Events 2'!$B$6:$B$17&lt;&gt;"")),'Events 2'!$D$6:$D$17),0)))</f>
      </c>
      <c r="AY6" s="7">
        <f>IF($B6="","",($O6-$D6)*'Inputs 2'!$C$8)</f>
      </c>
      <c r="AZ6" s="7">
        <f>IF($B6="","",IF($AN6="AL",MAX(0,$AY6-IF($AU6="Married",IF($AY6&lt;=25999,8500,MAX(5000,8500-175*CEILING(($AY6-25999)/500,1))),IF($AU6="Head of household",IF($AY6&lt;=25999,5200,MAX(2500,5200-135*CEILING(($AY6-25999)/500,1))),IF($AY6&lt;=25999,3000,MAX(2500,3000-25*CEILING(($AY6-25999)/500,1)))))-($P6-'Methodology &amp; Sources'!$C$10*$D6)*'Inputs 2'!$C$8-IF(OR($AU6="Married",$AU6="Head of household"),3000,1500)-$AT6*IF($AY6&lt;=50000,1000,IF($AY6&lt;=100000,500,300))),IF($AN6="AR",IF(MAX(0,$AY6-2470)&lt;97701,INT(MAX(0,$AY6-2470)/100)*100+50,MAX(0,$AY6-2470)),IF($AN6="DE",MAX(0,$AI6-3250),IF($AN6="HI",MAX(0,$AI6-1144*$AS6-4350),IF($AN6="KS",MAX(0,$AI6-(9160*IF($AU6="Married",2,1)+2320*$AT6+IF($AU6="Head of household",2320,0))),IF($AN6="MD",MAX(0,$AI6-3400-3200*$AS6),IF($AN6="MN",MAX(0,$AY6-5300*$AS6),IF($AN6="MO",MAX(0,$AI6-IF($AU6="Head of household",24150,IF($AU6="Married",IF('Inputs 2'!$C$83,16100,32200),16100))),IF($AN6="MT",$AY6,IF($AN6="ND",($C6+$L6)*'Inputs 2'!$C$8,IF($AN6="NE",MAX(0,$AY6-2440*$AS6),IF($AN6="NJ",MAX(0,$AY6-1000*$AS6),IF($AN6="NY",MAX(0,$AY6-(IF($AU6="Married",7950,7400)+1000*$AS6)),IF($AN6="OH",MAX(0,$AY6-650*$AS6),IF($AN6="OK",MAX(0,$AY6-1000*$AS6),IF($AN6="RI",MAX(0,$AI6-1000*$AS6),IF($AN6="SC",MAX(0,$AI6-5000*$AS6-IF($AS6=0,0,MIN(0.1*$AI6,7500))),IF($AN6="VA",MAX(0,$AI6-IF($AU6="Married",17500,8750)-930*$AS6-800*$AT6),IF($AN6="VT",MAX(0,$AI6-5400*$AS6),IF($AN6="WI",MAX(0,$AI6-MAX(0,IF($AU6="Married",9461-0.2*MAX(0,$AI6-25727),6702-0.12*MAX(0,$AI6-17780)))-400*$AS6),IF($AN6="WV",MAX(0,$AI6-2000*$AS6),$AI6))))))))))))))))))))))</f>
      </c>
      <c r="BA6" s="7">
        <f>IF($B6="","",IF($BW6&lt;&gt;"",$BW6,IF($BX6&lt;&gt;"",$BX6,IF($BY6&lt;&gt;"",$BY6,0))))</f>
      </c>
      <c r="BB6" s="7">
        <f>IF($B6="","",IF($AN6="AR",-29*$AS6,IF($AN6="DE",-110*$AS6,IF($AN6="MD",$AZ6*'Inputs 2'!$C$74,IF($AN6="AZ",'Inputs 2'!$C$82*($M6-$D6)*'Inputs 2'!$C$8,IF($AN6="CO",0.044*MAX(0,$AY6-IF($AU6="Married",10000,5000)),IF($AN6="IA",MAX(0,0.038*MAX(0,$AY6-IF($AU6="Head of household",19500,IF($AU6="Married",26000,13000)))-40*$AS6),IF($AN6="ID",0.053*MAX(0,$AY6-IF($AU6="Married",32000,16094)),IF($AN6="IL",0.0495*MAX(0,$AY6-(2925*$AS6+1000*$AT6)),IF($AN6="IN",(0.0295+'Inputs 2'!$C$76)*MAX(0,$AY6-(1000*$AS6+1500*$AT6+3000*'Inputs 2'!$C$86)),IF($AN6="KY",0.035*MAX(0,$AI6-3360),IF($AN6="LA",IF('Inputs 2'!$C$84="0",0.0309*$AI6,0.0309*MAX(0,$AI6-IF('Inputs 2'!$C$84="2",25750,12875))),IF($AN6="MA",0.05*MIN(MAX(0,$AY6-MIN((0+$Q6+$R6+$S6),2000)-IF($AS6=0,0,IF($AS6=1,4400,1000*$AS6+3400))),1107750)+0.09*MAX(0,MAX(0,$AY6-MIN((0+$Q6+$R6+$S6),2000)-IF($AS6=0,0,IF($AS6=1,4400,1000*$AS6+3400)))-1107750)-IF($AU6="Head of household",120,0)-110*'Inputs 2'!$C$75,IF($AN6="MI",0.0425*MAX(0,$AY6-5900*$AS6),IF($AN6="MS",0.04*MAX(0,$AI6-IF($AU6="Head of household",3400,IF($AU6="Married",4600,2300))-'Inputs 2'!$C$85-10000),IF($AN6="OR",IF(OR($AU6="Married",AND($AU6="Single",$AS6&gt;=3)),SUMPRODUCT((MAX(0,$AY6-MIN(($P6-'Methodology &amp; Sources'!$C$10*$D6)*'Inputs 2'!$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Sources'!$B$211:$J$214,0,4))*(MAX(0,$AY6-MIN(($P6-'Methodology &amp; Sources'!$C$10*$D6)*'Inputs 2'!$C$8,IF(OR($AU6="Married",AND($AU6="Single",$AS6&gt;=3)),IF($AY6&lt;250000,8750,IF($AY6&lt;260000,7000,IF($AY6&lt;270000,5250,IF($AY6&lt;280000,3500,IF($AY6&lt;290000,1750,0))))),IF($AY6&lt;125000,8750,IF($AY6&lt;130000,7000,IF($AY6&lt;135000,5250,IF($AY6&lt;140000,3500,IF($AY6&lt;145000,1750,0)))))))-IF(OR($AU6="Married",AND($AU6="Single",$AS6&gt;=3)),5820,2910))-INDEX('Methodology &amp; Sources'!$B$211:$J$214,0,4))*INDEX('Methodology &amp; Sources'!$B$211:$J$214,0,4+2)),SUMPRODUCT((MAX(0,$AY6-MIN(($P6-'Methodology &amp; Sources'!$C$10*$D6)*'Inputs 2'!$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Sources'!$B$211:$J$214,0,1))*(MAX(0,$AY6-MIN(($P6-'Methodology &amp; Sources'!$C$10*$D6)*'Inputs 2'!$C$8,IF(OR($AU6="Married",AND($AU6="Single",$AS6&gt;=3)),IF($AY6&lt;250000,8750,IF($AY6&lt;260000,7000,IF($AY6&lt;270000,5250,IF($AY6&lt;280000,3500,IF($AY6&lt;290000,1750,0))))),IF($AY6&lt;125000,8750,IF($AY6&lt;130000,7000,IF($AY6&lt;135000,5250,IF($AY6&lt;140000,3500,IF($AY6&lt;145000,1750,0)))))))-IF(OR($AU6="Married",AND($AU6="Single",$AS6&gt;=3)),5820,2910))-INDEX('Methodology &amp; Sources'!$B$211:$J$214,0,1))*INDEX('Methodology &amp; Sources'!$B$211:$J$214,0,1+2)))+263-263*IF(IF($AU6="Married",$AY6&gt;200000,$AY6&gt;100000),0,$AS6),IF($AN6="PA",0.0307*(($O6+$E6+$G6)*'Inputs 2'!$C$8),IF($AN6="NY",IF($AU6="Married",IF($AZ6&gt;=2155350,0,IF($AZ6&gt;=1077550,0.48,IF($AZ6&gt;=373200,1.21,IF($AZ6&gt;=323200,0.21,IF($AZ6&gt;=211550,-0.19,IF($AZ6&gt;=157650,-2.8,IF($AZ6&gt;=107650,-0.8,IF($AZ6&gt;=96800,0.05,IF($AZ6&gt;=80650,-0.1,IF($AZ6&gt;=13900,0.4,IF($AZ6&gt;=11700,-0.3,IF($AZ6&gt;=8500,0.5,0)))))))))))),IF($AZ6&gt;=1077550,0,IF($AZ6&gt;=265400,4.29,IF($AZ6&gt;=215400,2.29,IF($AZ6&gt;=157650,2.29,IF($AZ6&gt;=107650,0.29,IF($AZ6&gt;=96800,0.05,IF($AZ6&gt;=80650,-0.1,IF($AZ6&gt;=13900,0.4,IF($AZ6&gt;=11700,-0.3,IF($AZ6&gt;=8500,0.5,0))))))))))),0))))))))))))))))))</f>
      </c>
      <c r="BC6" s="7">
        <f>IF($B6="","",IF($AN6="AL",0.05*$D6,IF($AN6="AR",0.039*$D6,IF($AN6="ID",0.053*$D6,IF($AN6="IN",(0.0295+'Inputs 2'!$C$76)*$D6,IF($AN6="KS",0.05*$D6,IF($AN6="MA",0.09*MIN($D6,MAX(0,MAX(0,$AY6-MIN((0+$Q6+$R6+$S6),2000)-IF($AS6=0,0,IF($AS6=1,4400,1000*$AS6+3400)))+$D6-1107750))+0.05*($D6-MIN($D6,MAX(0,MAX(0,$AY6-MIN((0+$Q6+$R6+$S6),2000)-IF($AS6=0,0,IF($AS6=1,4400,1000*$AS6+3400)))+$D6-1107750))),IF($AN6="MD",(0.065+'Inputs 2'!$C$74)*$D6,IF($AN6="MI",0.0425*$D6,IF($AN6="MN",0.0625*$D6,IF($AN6="MO",0.047*$D6,IF($AN6="MT",0.05*$D6,IF($AN6="ND",0.015*$D6,IF($AN6="NE",0.035*$D6,IF($AN6="NJ",IF('Inputs 2'!$C$77="B",SUMPRODUCT(($D6*'Inputs 2'!$C$8&gt;INDEX('Methodology &amp; Sources'!$B$155:$J$162,0,4))*($D6*'Inputs 2'!$C$8-INDEX('Methodology &amp; Sources'!$B$155:$J$162,0,4))*INDEX('Methodology &amp; Sources'!$B$155:$J$162,0,4+2)),IF('Inputs 2'!$C$77="C",SUMPRODUCT(($D6*'Inputs 2'!$C$8&gt;INDEX('Methodology &amp; Sources'!$B$155:$J$162,0,7))*($D6*'Inputs 2'!$C$8-INDEX('Methodology &amp; Sources'!$B$155:$J$162,0,7))*INDEX('Methodology &amp; Sources'!$B$155:$J$162,0,7+2)),IF('Inputs 2'!$C$77="D",SUMPRODUCT(($D6*'Inputs 2'!$C$8&gt;INDEX('Methodology &amp; Sources'!$B$167:$J$179,0,1))*($D6*'Inputs 2'!$C$8-INDEX('Methodology &amp; Sources'!$B$167:$J$179,0,1))*INDEX('Methodology &amp; Sources'!$B$167:$J$179,0,1+2)),IF('Inputs 2'!$C$77="E",SUMPRODUCT(($D6*'Inputs 2'!$C$8&gt;INDEX('Methodology &amp; Sources'!$B$167:$J$179,0,4))*($D6*'Inputs 2'!$C$8-INDEX('Methodology &amp; Sources'!$B$167:$J$179,0,4))*INDEX('Methodology &amp; Sources'!$B$167:$J$179,0,4+2)),SUMPRODUCT(($D6*'Inputs 2'!$C$8&gt;INDEX('Methodology &amp; Sources'!$B$155:$J$162,0,1))*($D6*'Inputs 2'!$C$8-INDEX('Methodology &amp; Sources'!$B$155:$J$162,0,1))*INDEX('Methodology &amp; Sources'!$B$155:$J$162,0,1+2))))))/'Inputs 2'!$C$8,IF($AN6="NY",0.117*$D6,IF($AN6="OH",0.0275*$D6,IF($AN6="OK",0.045*$D6,IF($AN6="OR",0.08*$D6,IF($AN6="WI",IF($AY6&lt;12760,0.0354,IF($AY6&lt;25520,0.0465,IF($AY6&lt;280950,0.053,0.0765)))*$D6,0))))))))))))))))))))</f>
      </c>
      <c r="BD6" s="7">
        <f>IF($B6="","",0+$Q6+$R6+$S6)</f>
      </c>
      <c r="BE6" s="6">
        <f>IF($B6="",0,0+$BF6)</f>
      </c>
      <c r="BF6" s="6">
        <f>IF($B6="","",IF(AND(IF(YEAR(IF('Inputs 2'!$C$7="Weekly",'Inputs 2'!$C$9+7*((0+1)-1),IF('Inputs 2'!$C$7="Biweekly",'Inputs 2'!$C$9+14*((0+1)-1),IF('Inputs 2'!$C$7="Semimonthly",DATE(YEAR('Inputs 2'!$C$9),MONTH('Inputs 2'!$C$9)+INT(((0+1)-1)/2),MIN(DAY('Inputs 2'!$C$9),DAY(EOMONTH(DATE(YEAR('Inputs 2'!$C$9),MONTH('Inputs 2'!$C$9)+INT(((0+1)-1)/2),1),0))))+IF(MOD((0+1)-1,2)=1,15,0),EDATE('Inputs 2'!$C$9,(0+1)-1)))))&lt;&gt;'Inputs 2'!$C$10,"",IF('Inputs 2'!$C$7="Weekly",'Inputs 2'!$C$9+7*((0+1)-1),IF('Inputs 2'!$C$7="Biweekly",'Inputs 2'!$C$9+14*((0+1)-1),IF('Inputs 2'!$C$7="Semimonthly",DATE(YEAR('Inputs 2'!$C$9),MONTH('Inputs 2'!$C$9)+INT(((0+1)-1)/2),MIN(DAY('Inputs 2'!$C$9),DAY(EOMONTH(DATE(YEAR('Inputs 2'!$C$9),MONTH('Inputs 2'!$C$9)+INT(((0+1)-1)/2),1),0))))+IF(MOD((0+1)-1,2)=1,15,0),EDATE('Inputs 2'!$C$9,(0+1)-1)))))&lt;&gt;"",$B6=IF(YEAR(IF('Inputs 2'!$C$7="Weekly",'Inputs 2'!$C$9+7*((0+1)-1),IF('Inputs 2'!$C$7="Biweekly",'Inputs 2'!$C$9+14*((0+1)-1),IF('Inputs 2'!$C$7="Semimonthly",DATE(YEAR('Inputs 2'!$C$9),MONTH('Inputs 2'!$C$9)+INT(((0+1)-1)/2),MIN(DAY('Inputs 2'!$C$9),DAY(EOMONTH(DATE(YEAR('Inputs 2'!$C$9),MONTH('Inputs 2'!$C$9)+INT(((0+1)-1)/2),1),0))))+IF(MOD((0+1)-1,2)=1,15,0),EDATE('Inputs 2'!$C$9,(0+1)-1)))))&lt;&gt;'Inputs 2'!$C$10,"",IF('Inputs 2'!$C$7="Weekly",'Inputs 2'!$C$9+7*((0+1)-1),IF('Inputs 2'!$C$7="Biweekly",'Inputs 2'!$C$9+14*((0+1)-1),IF('Inputs 2'!$C$7="Semimonthly",DATE(YEAR('Inputs 2'!$C$9),MONTH('Inputs 2'!$C$9)+INT(((0+1)-1)/2),MIN(DAY('Inputs 2'!$C$9),DAY(EOMONTH(DATE(YEAR('Inputs 2'!$C$9),MONTH('Inputs 2'!$C$9)+INT(((0+1)-1)/2),1),0))))+IF(MOD((0+1)-1,2)=1,15,0),EDATE('Inputs 2'!$C$9,(0+1)-1)))))),1,0))</f>
      </c>
      <c r="BG6" s="7">
        <f>IF($B6="","",'Inputs 2'!$C$52+$H6)</f>
      </c>
      <c r="BH6" s="7">
        <f>IF($B6="","",'Inputs 2'!$C$53+$I6)</f>
      </c>
      <c r="BI6" s="7">
        <f>IF($B6="","",0+$G6)</f>
      </c>
      <c r="BJ6" s="7">
        <f>IF($B6="","",IFERROR(LOOKUP(2,1/(((('Events 2'!$C$6:$C$17="Deduction start"))*('Events 2'!$D$6:$D$17="Health FSA"))*('Events 2'!$B$6:$B$17&lt;=$B6)*('Events 2'!$B$6:$B$17&lt;&gt;"")),'Events 2'!$E$6:$E$17),'Inputs 2'!$D$38))</f>
      </c>
      <c r="BK6" s="7">
        <f>IF($B6="","",IFERROR(LOOKUP(2,1/(((('Events 2'!$C$6:$C$17="Deduction start"))*('Events 2'!$D$6:$D$17="Dependent-care FSA"))*('Events 2'!$B$6:$B$17&lt;=$B6)*('Events 2'!$B$6:$B$17&lt;&gt;"")),'Events 2'!$E$6:$E$17),'Inputs 2'!$D$39))</f>
      </c>
      <c r="BL6" s="7">
        <f>IF($B6="","",IFERROR(LOOKUP(2,1/(((('Events 2'!$C$6:$C$17="Deduction start")+('Events 2'!$C$6:$C$17="Deduction stop"))*('Events 2'!$D$6:$D$17="HSA"))*('Events 2'!$B$6:$B$17&lt;=$B6)*('Events 2'!$B$6:$B$17&lt;&gt;"")),'Events 2'!$I$6:$I$17),'Inputs 2'!$D$35))</f>
      </c>
      <c r="BM6" s="7">
        <f>IF($B6="","",IFERROR(LOOKUP(2,1/(((('Events 2'!$C$6:$C$17="Deduction start")+('Events 2'!$C$6:$C$17="Deduction stop"))*('Events 2'!$D$6:$D$17="Premiums"))*('Events 2'!$B$6:$B$17&lt;=$B6)*('Events 2'!$B$6:$B$17&lt;&gt;"")),'Events 2'!$I$6:$I$17),'Inputs 2'!$D$40+'Inputs 2'!$D$41+'Inputs 2'!$D$42))</f>
      </c>
      <c r="BN6" s="7">
        <f>IF($B6="","",IFERROR(LOOKUP(2,1/(((('Events 2'!$C$6:$C$17="Deduction start")+('Events 2'!$C$6:$C$17="Deduction stop"))*('Events 2'!$D$6:$D$17="Commuter"))*('Events 2'!$B$6:$B$17&lt;=$B6)*('Events 2'!$B$6:$B$17&lt;&gt;"")),'Events 2'!$I$6:$I$17),'Inputs 2'!$D$43))</f>
      </c>
      <c r="BO6" s="7">
        <f>IF($B6="","",IFERROR(LOOKUP(2,1/(((('Events 2'!$C$6:$C$17="Deduction start")+('Events 2'!$C$6:$C$17="Deduction stop"))*('Events 2'!$D$6:$D$17="Other pre-tax"))*('Events 2'!$B$6:$B$17&lt;=$B6)*('Events 2'!$B$6:$B$17&lt;&gt;"")),'Events 2'!$I$6:$I$17),'Inputs 2'!$D$44))</f>
      </c>
      <c r="BP6" s="7">
        <f>IF($B6="","",IFERROR(LOOKUP(2,1/(((('Events 2'!$C$6:$C$17="Deduction start")+('Events 2'!$C$6:$C$17="Deduction stop"))*('Events 2'!$D$6:$D$17="Other post-tax"))*('Events 2'!$B$6:$B$17&lt;=$B6)*('Events 2'!$B$6:$B$17&lt;&gt;"")),'Events 2'!$I$6:$I$17),'Inputs 2'!$D$45))</f>
      </c>
      <c r="BQ6" s="6">
        <f>IF($B6="","",IFERROR(LOOKUP(2,1/(((('Events 2'!$C$6:$C$17="Deduction start")+('Events 2'!$C$6:$C$17="Deduction stop"))*('Events 2'!$D$6:$D$17="Health FSA"))*('Events 2'!$B$6:$B$17&lt;=$B6)*('Events 2'!$B$6:$B$17&lt;&gt;"")),'Events 2'!$J$6:$J$17),0))</f>
      </c>
      <c r="BR6" s="6">
        <f>IF($B6="","",IFERROR(LOOKUP(2,1/(((('Events 2'!$C$6:$C$17="Deduction start")+('Events 2'!$C$6:$C$17="Deduction stop"))*('Events 2'!$D$6:$D$17="Dependent-care FSA"))*('Events 2'!$B$6:$B$17&lt;=$B6)*('Events 2'!$B$6:$B$17&lt;&gt;"")),'Events 2'!$J$6:$J$17),0))</f>
      </c>
      <c r="BS6" s="6">
        <f>IF($B6="","",IF(SUMPRODUCT(('Events 2'!$C$6:$C$17="Deduction start")*('Events 2'!$B$6:$B$17&lt;=$B6)*('Events 2'!$B$6:$B$17&lt;&gt;"")*('Events 2'!$D$6:$D$17="Health FSA"))&gt;0,1,0))</f>
      </c>
      <c r="BT6" s="6">
        <f>IF($B6="","",IF(SUMPRODUCT(('Events 2'!$C$6:$C$17="Deduction start")*('Events 2'!$B$6:$B$17&lt;=$B6)*('Events 2'!$B$6:$B$17&lt;&gt;"")*('Events 2'!$D$6:$D$17="Dependent-care FSA"))&gt;0,1,0))</f>
      </c>
      <c r="BU6" s="24">
        <f>IF($B6="","",IF('Inputs 2'!$C$13,SUMPRODUCT(($AH6&gt;=INDEX('Methodology &amp; Sources'!$B$29:$J$36,0,IF('Inputs 2'!$C$12="MFJ",1,IF('Inputs 2'!$C$12="HoH",7,4))))*INDEX('Methodology &amp; Sources'!$B$29:$J$36,0,IF('Inputs 2'!$C$12="MFJ",1,IF('Inputs 2'!$C$12="HoH",7,4))+2)),SUMPRODUCT(($AH6&gt;=INDEX('Methodology &amp; Sources'!$B$19:$J$26,0,IF('Inputs 2'!$C$12="MFJ",1,IF('Inputs 2'!$C$12="HoH",7,4))))*INDEX('Methodology &amp; Sources'!$B$19:$J$26,0,IF('Inputs 2'!$C$12="MFJ",1,IF('Inputs 2'!$C$12="HoH",7,4))+2))))</f>
      </c>
      <c r="BV6" s="24">
        <f>IF($B6="","",IF($BZ6&lt;&gt;"",$BZ6,IF($CA6&lt;&gt;"",$CA6,IF($CB6&lt;&gt;"",$CB6,IF($CC6&lt;&gt;"",$CC6,0)))))</f>
      </c>
      <c r="BW6" s="7">
        <f>IF($B6="","",IF($AN6="MD",IF(OR($AU6="Married",$AU6="Head of household"),SUMPRODUCT(($AZ6&gt;INDEX('Methodology &amp; Sources'!$B$114:$J$120,0,1))*($AZ6-INDEX('Methodology &amp; Sources'!$B$114:$J$120,0,1))*INDEX('Methodology &amp; Sources'!$B$114:$J$120,0,1+2)),SUMPRODUCT(($AZ6&gt;INDEX('Methodology &amp; Sources'!$B$103:$J$109,0,7))*($AZ6-INDEX('Methodology &amp; Sources'!$B$103:$J$109,0,7))*INDEX('Methodology &amp; Sources'!$B$103:$J$109,0,7+2))),IF($AN6="MO",SUMPRODUCT(($AZ6&gt;INDEX('Methodology &amp; Sources'!$B$125:$J$132,0,1))*($AZ6-INDEX('Methodology &amp; Sources'!$B$125:$J$132,0,1))*INDEX('Methodology &amp; Sources'!$B$125:$J$132,0,1+2)),IF($AN6="MT",IF($AU6="Head of household",SUMPRODUCT(($AZ6&gt;INDEX('Methodology &amp; Sources'!$B$137:$J$139,0,1))*($AZ6-INDEX('Methodology &amp; Sources'!$B$137:$J$139,0,1))*INDEX('Methodology &amp; Sources'!$B$137:$J$139,0,1+2)),IF($AU6="Married",SUMPRODUCT(($AZ6&gt;INDEX('Methodology &amp; Sources'!$B$125:$J$132,0,7))*($AZ6-INDEX('Methodology &amp; Sources'!$B$125:$J$132,0,7))*INDEX('Methodology &amp; Sources'!$B$125:$J$132,0,7+2)),SUMPRODUCT(($AZ6&gt;INDEX('Methodology &amp; Sources'!$B$125:$J$132,0,4))*($AZ6-INDEX('Methodology &amp; Sources'!$B$125:$J$132,0,4))*INDEX('Methodology &amp; Sources'!$B$125:$J$132,0,4+2)))),IF($AN6="ND",IF($AU6="Head of household",SUMPRODUCT(($AZ6&gt;INDEX('Methodology &amp; Sources'!$B$144:$J$150,0,1))*($AZ6-INDEX('Methodology &amp; Sources'!$B$144:$J$150,0,1))*INDEX('Methodology &amp; Sources'!$B$144:$J$150,0,1+2)),IF($AU6="Married",SUMPRODUCT(($AZ6&gt;INDEX('Methodology &amp; Sources'!$B$137:$J$139,0,7))*($AZ6-INDEX('Methodology &amp; Sources'!$B$137:$J$139,0,7))*INDEX('Methodology &amp; Sources'!$B$137:$J$139,0,7+2)),SUMPRODUCT(($AZ6&gt;INDEX('Methodology &amp; Sources'!$B$137:$J$139,0,4))*($AZ6-INDEX('Methodology &amp; Sources'!$B$137:$J$139,0,4))*INDEX('Methodology &amp; Sources'!$B$137:$J$139,0,4+2)))),IF($AN6="NJ",IF('Inputs 2'!$C$77="B",SUMPRODUCT(($AZ6&gt;INDEX('Methodology &amp; Sources'!$B$155:$J$162,0,4))*($AZ6-INDEX('Methodology &amp; Sources'!$B$155:$J$162,0,4))*INDEX('Methodology &amp; Sources'!$B$155:$J$162,0,4+2)),IF('Inputs 2'!$C$77="C",SUMPRODUCT(($AZ6&gt;INDEX('Methodology &amp; Sources'!$B$155:$J$162,0,7))*($AZ6-INDEX('Methodology &amp; Sources'!$B$155:$J$162,0,7))*INDEX('Methodology &amp; Sources'!$B$155:$J$162,0,7+2)),IF('Inputs 2'!$C$77="D",SUMPRODUCT(($AZ6&gt;INDEX('Methodology &amp; Sources'!$B$167:$J$179,0,1))*($AZ6-INDEX('Methodology &amp; Sources'!$B$167:$J$179,0,1))*INDEX('Methodology &amp; Sources'!$B$167:$J$179,0,1+2)),IF('Inputs 2'!$C$77="E",SUMPRODUCT(($AZ6&gt;INDEX('Methodology &amp; Sources'!$B$167:$J$179,0,4))*($AZ6-INDEX('Methodology &amp; Sources'!$B$167:$J$179,0,4))*INDEX('Methodology &amp; Sources'!$B$167:$J$179,0,4+2)),SUMPRODUCT(($AZ6&gt;INDEX('Methodology &amp; Sources'!$B$155:$J$162,0,1))*($AZ6-INDEX('Methodology &amp; Sources'!$B$155:$J$162,0,1))*INDEX('Methodology &amp; Sources'!$B$155:$J$162,0,1+2)))))),IF($AN6="NY",IF($AU6="Married",IF($AZ6&gt;=2155350,$AZ6*IF($AZ6&gt;25000000,0.117,IF($AZ6&gt;5000000,0.111,0.1045)),SUMPRODUCT(($AZ6&gt;INDEX('Methodology &amp; Sources'!$B$184:$J$198,0,1))*($AZ6-INDEX('Methodology &amp; Sources'!$B$184:$J$198,0,1))*INDEX('Methodology &amp; Sources'!$B$184:$J$198,0,1+2))),IF($AZ6&gt;=1077550,$AZ6*IF($AZ6&gt;25000000,0.117,IF($AZ6&gt;5000000,0.111,0.1045)),SUMPRODUCT(($AZ6&gt;INDEX('Methodology &amp; Sources'!$B$167:$J$179,0,7))*($AZ6-INDEX('Methodology &amp; Sources'!$B$167:$J$179,0,7))*INDEX('Methodology &amp; Sources'!$B$167:$J$179,0,7+2)))),"")))))))</f>
      </c>
      <c r="BX6" s="7">
        <f>IF($B6="","",IF($AN6="AL",IF(OR($AU6="Married",$AU6="Head of household"),SUMPRODUCT(($AZ6&gt;INDEX('Methodology &amp; Sources'!$B$82:$J$86,0,4))*($AZ6-INDEX('Methodology &amp; Sources'!$B$82:$J$86,0,4))*INDEX('Methodology &amp; Sources'!$B$82:$J$86,0,4+2)),SUMPRODUCT(($AZ6&gt;INDEX('Methodology &amp; Sources'!$B$82:$J$86,0,1))*($AZ6-INDEX('Methodology &amp; Sources'!$B$82:$J$86,0,1))*INDEX('Methodology &amp; Sources'!$B$82:$J$86,0,1+2))),IF($AN6="KS",IF($AU6="Married",SUMPRODUCT(($AZ6&gt;INDEX('Methodology &amp; Sources'!$B$103:$J$109,0,4))*($AZ6-INDEX('Methodology &amp; Sources'!$B$103:$J$109,0,4))*INDEX('Methodology &amp; Sources'!$B$103:$J$109,0,4+2)),SUMPRODUCT(($AZ6&gt;INDEX('Methodology &amp; Sources'!$B$103:$J$109,0,1))*($AZ6-INDEX('Methodology &amp; Sources'!$B$103:$J$109,0,1))*INDEX('Methodology &amp; Sources'!$B$103:$J$109,0,1+2))),IF($AN6="MN",IF($AU6="Married",SUMPRODUCT(($AZ6&gt;INDEX('Methodology &amp; Sources'!$B$114:$J$120,0,7))*($AZ6-INDEX('Methodology &amp; Sources'!$B$114:$J$120,0,7))*INDEX('Methodology &amp; Sources'!$B$114:$J$120,0,7+2)),SUMPRODUCT(($AZ6&gt;INDEX('Methodology &amp; Sources'!$B$114:$J$120,0,4))*($AZ6-INDEX('Methodology &amp; Sources'!$B$114:$J$120,0,4))*INDEX('Methodology &amp; Sources'!$B$114:$J$120,0,4+2))),IF($AN6="NE",MAX(IF($AU6="Married",SUMPRODUCT(($AZ6&gt;INDEX('Methodology &amp; Sources'!$B$144:$J$150,0,7))*($AZ6-INDEX('Methodology &amp; Sources'!$B$144:$J$150,0,7))*INDEX('Methodology &amp; Sources'!$B$144:$J$150,0,7+2)),SUMPRODUCT(($AZ6&gt;INDEX('Methodology &amp; Sources'!$B$144:$J$150,0,4))*($AZ6-INDEX('Methodology &amp; Sources'!$B$144:$J$150,0,4))*INDEX('Methodology &amp; Sources'!$B$144:$J$150,0,4+2))),0.015*$AZ6),IF($AN6="OH",IF($B6&gt;=DATE(2027,8,1),SUMPRODUCT(($AZ6&gt;INDEX('Methodology &amp; Sources'!$B$203:$J$206,0,1))*($AZ6-INDEX('Methodology &amp; Sources'!$B$203:$J$206,0,1))*INDEX('Methodology &amp; Sources'!$B$203:$J$206,0,1+2)),SUMPRODUCT(($AZ6&gt;INDEX('Methodology &amp; Sources'!$B$184:$J$198,0,7))*($AZ6-INDEX('Methodology &amp; Sources'!$B$184:$J$198,0,7))*INDEX('Methodology &amp; Sources'!$B$184:$J$198,0,7+2))),IF($AN6="OK",IF($AU6="Married",SUMPRODUCT(($AZ6&gt;INDEX('Methodology &amp; Sources'!$B$203:$J$206,0,7))*($AZ6-INDEX('Methodology &amp; Sources'!$B$203:$J$206,0,7))*INDEX('Methodology &amp; Sources'!$B$203:$J$206,0,7+2)),SUMPRODUCT(($AZ6&gt;INDEX('Methodology &amp; Sources'!$B$203:$J$206,0,4))*($AZ6-INDEX('Methodology &amp; Sources'!$B$203:$J$206,0,4))*INDEX('Methodology &amp; Sources'!$B$203:$J$206,0,4+2))),IF($AN6="RI",SUMPRODUCT(($AZ6&gt;INDEX('Methodology &amp; Sources'!$B$211:$J$214,0,7))*($AZ6-INDEX('Methodology &amp; Sources'!$B$211:$J$214,0,7))*INDEX('Methodology &amp; Sources'!$B$211:$J$214,0,7+2)),IF($AN6="VT",IF($AU6="Married",SUMPRODUCT(($AZ6&gt;INDEX('Methodology &amp; Sources'!$B$228:$J$232,0,1))*($AZ6-INDEX('Methodology &amp; Sources'!$B$228:$J$232,0,1))*INDEX('Methodology &amp; Sources'!$B$228:$J$232,0,1+2)),SUMPRODUCT(($AZ6&gt;INDEX('Methodology &amp; Sources'!$B$219:$J$223,0,7))*($AZ6-INDEX('Methodology &amp; Sources'!$B$219:$J$223,0,7))*INDEX('Methodology &amp; Sources'!$B$219:$J$223,0,7+2))),IF($AN6="WV",IF($AU6="Married",SUMPRODUCT(($AZ6&gt;INDEX('Methodology &amp; Sources'!$B$237:$J$241,0,7))*($AZ6-INDEX('Methodology &amp; Sources'!$B$237:$J$241,0,7))*INDEX('Methodology &amp; Sources'!$B$237:$J$241,0,7+2)),SUMPRODUCT(($AZ6&gt;INDEX('Methodology &amp; Sources'!$B$228:$J$232,0,7))*($AZ6-INDEX('Methodology &amp; Sources'!$B$228:$J$232,0,7))*INDEX('Methodology &amp; Sources'!$B$228:$J$232,0,7+2))),""))))))))))</f>
      </c>
      <c r="BY6" s="7">
        <f>IF($B6="","",IF($AN6="AR",SUMPRODUCT(($AZ6&gt;INDEX('Methodology &amp; Sources'!$B$82:$J$86,0,7))*($AZ6-INDEX('Methodology &amp; Sources'!$B$82:$J$86,0,7))*INDEX('Methodology &amp; Sources'!$B$82:$J$86,0,7+2)),IF($AN6="DE",SUMPRODUCT(($AZ6&gt;INDEX('Methodology &amp; Sources'!$B$91:$J$98,0,1))*($AZ6-INDEX('Methodology &amp; Sources'!$B$91:$J$98,0,1))*INDEX('Methodology &amp; Sources'!$B$91:$J$98,0,1+2)),IF($AN6="HI",IF($AU6="Married",SUMPRODUCT(($AZ6&gt;INDEX('Methodology &amp; Sources'!$B$91:$J$98,0,7))*($AZ6-INDEX('Methodology &amp; Sources'!$B$91:$J$98,0,7))*INDEX('Methodology &amp; Sources'!$B$91:$J$98,0,7+2)),SUMPRODUCT(($AZ6&gt;INDEX('Methodology &amp; Sources'!$B$91:$J$98,0,4))*($AZ6-INDEX('Methodology &amp; Sources'!$B$91:$J$98,0,4))*INDEX('Methodology &amp; Sources'!$B$91:$J$98,0,4+2))),IF($AN6="SC",SUMPRODUCT(($AZ6&gt;INDEX('Methodology &amp; Sources'!$B$219:$J$223,0,1))*($AZ6-INDEX('Methodology &amp; Sources'!$B$219:$J$223,0,1))*INDEX('Methodology &amp; Sources'!$B$219:$J$223,0,1+2)),IF($AN6="VA",SUMPRODUCT(($AZ6&gt;INDEX('Methodology &amp; Sources'!$B$219:$J$223,0,4))*($AZ6-INDEX('Methodology &amp; Sources'!$B$219:$J$223,0,4))*INDEX('Methodology &amp; Sources'!$B$219:$J$223,0,4+2)),IF($AN6="WI",SUMPRODUCT(($AZ6&gt;INDEX('Methodology &amp; Sources'!$B$228:$J$232,0,4))*($AZ6-INDEX('Methodology &amp; Sources'!$B$228:$J$232,0,4))*INDEX('Methodology &amp; Sources'!$B$228:$J$232,0,4+2)),"")))))))</f>
      </c>
      <c r="BZ6" s="24">
        <f>IF($B6="","",IF($AN6="NJ",IF('Inputs 2'!$C$77="B",SUMPRODUCT(($AZ6&gt;=INDEX('Methodology &amp; Sources'!$B$155:$J$162,0,4))*INDEX('Methodology &amp; Sources'!$B$155:$J$162,0,4+2)),IF('Inputs 2'!$C$77="C",SUMPRODUCT(($AZ6&gt;=INDEX('Methodology &amp; Sources'!$B$155:$J$162,0,7))*INDEX('Methodology &amp; Sources'!$B$155:$J$162,0,7+2)),IF('Inputs 2'!$C$77="D",SUMPRODUCT(($AZ6&gt;=INDEX('Methodology &amp; Sources'!$B$167:$J$179,0,1))*INDEX('Methodology &amp; Sources'!$B$167:$J$179,0,1+2)),IF('Inputs 2'!$C$77="E",SUMPRODUCT(($AZ6&gt;=INDEX('Methodology &amp; Sources'!$B$167:$J$179,0,4))*INDEX('Methodology &amp; Sources'!$B$167:$J$179,0,4+2)),SUMPRODUCT(($AZ6&gt;=INDEX('Methodology &amp; Sources'!$B$155:$J$162,0,1))*INDEX('Methodology &amp; Sources'!$B$155:$J$162,0,1+2)))))),IF($AN6="OR",IF(OR($AU6="Married",AND($AU6="Single",$AS6&gt;=3)),SUMPRODUCT((MAX(0,$AY6-MIN(($P6-'Methodology &amp; Sources'!$C$10*$D6)*'Inputs 2'!$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Sources'!$B$211:$J$214,0,4))*INDEX('Methodology &amp; Sources'!$B$211:$J$214,0,4+2)),SUMPRODUCT((MAX(0,$AY6-MIN(($P6-'Methodology &amp; Sources'!$C$10*$D6)*'Inputs 2'!$C$8,IF(OR($AU6="Married",AND($AU6="Single",$AS6&gt;=3)),IF($AY6&lt;250000,8750,IF($AY6&lt;260000,7000,IF($AY6&lt;270000,5250,IF($AY6&lt;280000,3500,IF($AY6&lt;290000,1750,0))))),IF($AY6&lt;125000,8750,IF($AY6&lt;130000,7000,IF($AY6&lt;135000,5250,IF($AY6&lt;140000,3500,IF($AY6&lt;145000,1750,0)))))))-IF(OR($AU6="Married",AND($AU6="Single",$AS6&gt;=3)),5820,2910))&gt;=INDEX('Methodology &amp; Sources'!$B$211:$J$214,0,1))*INDEX('Methodology &amp; Sources'!$B$211:$J$214,0,1+2)))*IF(($P6-'Methodology &amp; Sources'!$C$10*$D6)*'Inputs 2'!$C$8&gt;=IF(OR($AU6="Married",AND($AU6="Single",$AS6&gt;=3)),IF($AY6&lt;250000,8750,IF($AY6&lt;260000,7000,IF($AY6&lt;270000,5250,IF($AY6&lt;280000,3500,IF($AY6&lt;290000,1750,0))))),IF($AY6&lt;125000,8750,IF($AY6&lt;130000,7000,IF($AY6&lt;135000,5250,IF($AY6&lt;140000,3500,IF($AY6&lt;145000,1750,0)))))),1,1-IF('Inputs 2'!$C$13,SUMPRODUCT(($AH6&gt;=INDEX('Methodology &amp; Sources'!$B$29:$J$36,0,IF('Inputs 2'!$C$12="MFJ",1,IF('Inputs 2'!$C$12="HoH",7,4))))*INDEX('Methodology &amp; Sources'!$B$29:$J$36,0,IF('Inputs 2'!$C$12="MFJ",1,IF('Inputs 2'!$C$12="HoH",7,4))+2)),SUMPRODUCT(($AH6&gt;=INDEX('Methodology &amp; Sources'!$B$19:$J$26,0,IF('Inputs 2'!$C$12="MFJ",1,IF('Inputs 2'!$C$12="HoH",7,4))))*INDEX('Methodology &amp; Sources'!$B$19:$J$26,0,IF('Inputs 2'!$C$12="MFJ",1,IF('Inputs 2'!$C$12="HoH",7,4))+2)))),IF($AN6="MI",IF($AY6&gt;5900*$AS6,0.0425,0),""))))</f>
      </c>
      <c r="CA6" s="24">
        <f>IF($B6="","",IF($AN6="AL",IF(OR($AU6="Married",$AU6="Head of household"),SUMPRODUCT(($AZ6&gt;=INDEX('Methodology &amp; Sources'!$B$82:$J$86,0,4))*INDEX('Methodology &amp; Sources'!$B$82:$J$86,0,4+2)),SUMPRODUCT(($AZ6&gt;=INDEX('Methodology &amp; Sources'!$B$82:$J$86,0,1))*INDEX('Methodology &amp; Sources'!$B$82:$J$86,0,1+2)))*(1-IF('Inputs 2'!$C$13,SUMPRODUCT(($AH6&gt;=INDEX('Methodology &amp; Sources'!$B$29:$J$36,0,IF('Inputs 2'!$C$12="MFJ",1,IF('Inputs 2'!$C$12="HoH",7,4))))*INDEX('Methodology &amp; Sources'!$B$29:$J$36,0,IF('Inputs 2'!$C$12="MFJ",1,IF('Inputs 2'!$C$12="HoH",7,4))+2)),SUMPRODUCT(($AH6&gt;=INDEX('Methodology &amp; Sources'!$B$19:$J$26,0,IF('Inputs 2'!$C$12="MFJ",1,IF('Inputs 2'!$C$12="HoH",7,4))))*INDEX('Methodology &amp; Sources'!$B$19:$J$26,0,IF('Inputs 2'!$C$12="MFJ",1,IF('Inputs 2'!$C$12="HoH",7,4))+2)))),IF($AN6="KS",IF($AU6="Married",SUMPRODUCT(($AZ6&gt;=INDEX('Methodology &amp; Sources'!$B$103:$J$109,0,4))*INDEX('Methodology &amp; Sources'!$B$103:$J$109,0,4+2)),SUMPRODUCT(($AZ6&gt;=INDEX('Methodology &amp; Sources'!$B$103:$J$109,0,1))*INDEX('Methodology &amp; Sources'!$B$103:$J$109,0,1+2))),IF($AN6="MD",IF(OR($AU6="Married",$AU6="Head of household"),SUMPRODUCT(($AZ6&gt;=INDEX('Methodology &amp; Sources'!$B$114:$J$120,0,1))*INDEX('Methodology &amp; Sources'!$B$114:$J$120,0,1+2)),SUMPRODUCT(($AZ6&gt;=INDEX('Methodology &amp; Sources'!$B$103:$J$109,0,7))*INDEX('Methodology &amp; Sources'!$B$103:$J$109,0,7+2)))+'Inputs 2'!$C$74,IF($AN6="MT",IF($AU6="Head of household",SUMPRODUCT(($AZ6&gt;=INDEX('Methodology &amp; Sources'!$B$137:$J$139,0,1))*INDEX('Methodology &amp; Sources'!$B$137:$J$139,0,1+2)),IF($AU6="Married",SUMPRODUCT(($AZ6&gt;=INDEX('Methodology &amp; Sources'!$B$125:$J$132,0,7))*INDEX('Methodology &amp; Sources'!$B$125:$J$132,0,7+2)),SUMPRODUCT(($AZ6&gt;=INDEX('Methodology &amp; Sources'!$B$125:$J$132,0,4))*INDEX('Methodology &amp; Sources'!$B$125:$J$132,0,4+2)))),IF($AN6="ND",IF($AU6="Head of household",SUMPRODUCT(($AZ6&gt;=INDEX('Methodology &amp; Sources'!$B$144:$J$150,0,1))*INDEX('Methodology &amp; Sources'!$B$144:$J$150,0,1+2)),IF($AU6="Married",SUMPRODUCT(($AZ6&gt;=INDEX('Methodology &amp; Sources'!$B$137:$J$139,0,7))*INDEX('Methodology &amp; Sources'!$B$137:$J$139,0,7+2)),SUMPRODUCT(($AZ6&gt;=INDEX('Methodology &amp; Sources'!$B$137:$J$139,0,4))*INDEX('Methodology &amp; Sources'!$B$137:$J$139,0,4+2)))),IF($AN6="NY",IF($AU6="Married",IF($AZ6&gt;=2155350,IF($AZ6&gt;25000000,0.117,IF($AZ6&gt;5000000,0.111,0.1045)),SUMPRODUCT(($AZ6&gt;=INDEX('Methodology &amp; Sources'!$B$184:$J$198,0,1))*INDEX('Methodology &amp; Sources'!$B$184:$J$198,0,1+2))),IF($AZ6&gt;=1077550,IF($AZ6&gt;25000000,0.117,IF($AZ6&gt;5000000,0.111,0.1045)),SUMPRODUCT(($AZ6&gt;=INDEX('Methodology &amp; Sources'!$B$167:$J$179,0,7))*INDEX('Methodology &amp; Sources'!$B$167:$J$179,0,7+2)))),"")))))))</f>
      </c>
      <c r="CB6" s="24">
        <f>IF($B6="","",IF($AN6="CA",SUMPRODUCT(($AJ6&gt;=INDEX('Methodology &amp; Sources'!$B$39:$J$48,0,IF($AU6="Married",4,IF($AU6="Head of household",7,1))))*INDEX('Methodology &amp; Sources'!$B$39:$J$48,0,IF($AU6="Married",4,IF($AU6="Head of household",7,1))+2)),IF($AN6="HI",IF($AU6="Married",SUMPRODUCT(($AZ6&gt;=INDEX('Methodology &amp; Sources'!$B$91:$J$98,0,7))*INDEX('Methodology &amp; Sources'!$B$91:$J$98,0,7+2)),SUMPRODUCT(($AZ6&gt;=INDEX('Methodology &amp; Sources'!$B$91:$J$98,0,4))*INDEX('Methodology &amp; Sources'!$B$91:$J$98,0,4+2))),IF($AN6="MN",IF($AU6="Married",SUMPRODUCT(($AZ6&gt;=INDEX('Methodology &amp; Sources'!$B$114:$J$120,0,7))*INDEX('Methodology &amp; Sources'!$B$114:$J$120,0,7+2)),SUMPRODUCT(($AZ6&gt;=INDEX('Methodology &amp; Sources'!$B$114:$J$120,0,4))*INDEX('Methodology &amp; Sources'!$B$114:$J$120,0,4+2))),IF($AN6="MO",SUMPRODUCT(($AZ6&gt;=INDEX('Methodology &amp; Sources'!$B$125:$J$132,0,1))*INDEX('Methodology &amp; Sources'!$B$125:$J$132,0,1+2)),IF($AN6="NE",MAX(IF($AU6="Married",SUMPRODUCT(($AZ6&gt;=INDEX('Methodology &amp; Sources'!$B$144:$J$150,0,7))*INDEX('Methodology &amp; Sources'!$B$144:$J$150,0,7+2)),SUMPRODUCT(($AZ6&gt;=INDEX('Methodology &amp; Sources'!$B$144:$J$150,0,4))*INDEX('Methodology &amp; Sources'!$B$144:$J$150,0,4+2))),0.015),IF($AN6="OH",IF($B6&gt;=DATE(2027,8,1),SUMPRODUCT(($AZ6&gt;=INDEX('Methodology &amp; Sources'!$B$203:$J$206,0,1))*INDEX('Methodology &amp; Sources'!$B$203:$J$206,0,1+2)),SUMPRODUCT(($AZ6&gt;=INDEX('Methodology &amp; Sources'!$B$184:$J$198,0,7))*INDEX('Methodology &amp; Sources'!$B$184:$J$198,0,7+2))),IF($AN6="OK",IF($AU6="Married",SUMPRODUCT(($AZ6&gt;=INDEX('Methodology &amp; Sources'!$B$203:$J$206,0,7))*INDEX('Methodology &amp; Sources'!$B$203:$J$206,0,7+2)),SUMPRODUCT(($AZ6&gt;=INDEX('Methodology &amp; Sources'!$B$203:$J$206,0,4))*INDEX('Methodology &amp; Sources'!$B$203:$J$206,0,4+2))),IF($AN6="RI",SUMPRODUCT(($AZ6&gt;=INDEX('Methodology &amp; Sources'!$B$211:$J$214,0,7))*INDEX('Methodology &amp; Sources'!$B$211:$J$214,0,7+2)),IF($AN6="SC",SUMPRODUCT(($AZ6&gt;=INDEX('Methodology &amp; Sources'!$B$219:$J$223,0,1))*INDEX('Methodology &amp; Sources'!$B$219:$J$223,0,1+2)),IF($AN6="VT",IF($AU6="Married",SUMPRODUCT(($AZ6&gt;=INDEX('Methodology &amp; Sources'!$B$228:$J$232,0,1))*INDEX('Methodology &amp; Sources'!$B$228:$J$232,0,1+2)),SUMPRODUCT(($AZ6&gt;=INDEX('Methodology &amp; Sources'!$B$219:$J$223,0,7))*INDEX('Methodology &amp; Sources'!$B$219:$J$223,0,7+2))),IF($AN6="WV",IF($AU6="Married",SUMPRODUCT(($AZ6&gt;=INDEX('Methodology &amp; Sources'!$B$237:$J$241,0,7))*INDEX('Methodology &amp; Sources'!$B$237:$J$241,0,7+2)),SUMPRODUCT(($AZ6&gt;=INDEX('Methodology &amp; Sources'!$B$228:$J$232,0,7))*INDEX('Methodology &amp; Sources'!$B$228:$J$232,0,7+2))),IF($AN6="IN",(0.0295+'Inputs 2'!$C$76),"")))))))))))))</f>
      </c>
      <c r="CC6" s="24">
        <f>IF($B6="","",IF($AN6="AR",SUMPRODUCT(($AZ6&gt;=INDEX('Methodology &amp; Sources'!$B$82:$J$86,0,7))*INDEX('Methodology &amp; Sources'!$B$82:$J$86,0,7+2)),IF($AN6="DE",SUMPRODUCT(($AZ6&gt;=INDEX('Methodology &amp; Sources'!$B$91:$J$98,0,1))*INDEX('Methodology &amp; Sources'!$B$91:$J$98,0,1+2)),IF($AN6="VA",SUMPRODUCT(($AZ6&gt;=INDEX('Methodology &amp; Sources'!$B$219:$J$223,0,4))*INDEX('Methodology &amp; Sources'!$B$219:$J$223,0,4+2)),IF($AN6="WI",SUMPRODUCT(($AZ6&gt;=INDEX('Methodology &amp; Sources'!$B$228:$J$232,0,4))*INDEX('Methodology &amp; Sources'!$B$228:$J$232,0,4+2)),IF($AN6="AZ",'Inputs 2'!$C$82,IF($AN6="CO",IF($AY6&gt;IF($AU6="Married",10000,5000),0.044,0),IF($AN6="IA",IF($AY6&gt;IF($AU6="Head of household",19500,IF($AU6="Married",26000,13000)),0.038,0),IF($AN6="ID",IF($AY6&gt;IF($AU6="Married",32000,16094),0.053,0),IF($AN6="IL",IF($AY6&gt;(2925*$AS6+1000*$AT6),0.0495,0),IF($AN6="KY",IF($AI6&gt;3360,0.035,0),IF($AN6="LA",0.0309,IF($AN6="MA",IF(MAX(0,$AY6-MIN((0+$Q6+$R6+$S6),2000)-IF($AS6=0,0,IF($AS6=1,4400,1000*$AS6+3400)))&gt;=1107750,0.09,0.05),IF($AN6="MS",IF($AI6-IF($AU6="Head of household",3400,IF($AU6="Married",4600,2300))-'Inputs 2'!$C$85&gt;10000,0.04,0),IF($AN6="PA",0.0307,"")))))))))))))))</f>
      </c>
      <c r="CD6" s="21">
        <f>IF(YEAR(IF('Inputs 2'!$C$7="Weekly",'Inputs 2'!$C$9+7*((0+1)-1),IF('Inputs 2'!$C$7="Biweekly",'Inputs 2'!$C$9+14*((0+1)-1),IF('Inputs 2'!$C$7="Semimonthly",DATE(YEAR('Inputs 2'!$C$9),MONTH('Inputs 2'!$C$9)+INT(((0+1)-1)/2),MIN(DAY('Inputs 2'!$C$9),DAY(EOMONTH(DATE(YEAR('Inputs 2'!$C$9),MONTH('Inputs 2'!$C$9)+INT(((0+1)-1)/2),1),0))))+IF(MOD((0+1)-1,2)=1,15,0),EDATE('Inputs 2'!$C$9,(0+1)-1)))))&lt;&gt;'Inputs 2'!$C$10,"",IF('Inputs 2'!$C$7="Weekly",'Inputs 2'!$C$9+7*((0+1)-1),IF('Inputs 2'!$C$7="Biweekly",'Inputs 2'!$C$9+14*((0+1)-1),IF('Inputs 2'!$C$7="Semimonthly",DATE(YEAR('Inputs 2'!$C$9),MONTH('Inputs 2'!$C$9)+INT(((0+1)-1)/2),MIN(DAY('Inputs 2'!$C$9),DAY(EOMONTH(DATE(YEAR('Inputs 2'!$C$9),MONTH('Inputs 2'!$C$9)+INT(((0+1)-1)/2),1),0))))+IF(MOD((0+1)-1,2)=1,15,0),EDATE('Inputs 2'!$C$9,(0+1)-1)))))</f>
      </c>
      <c r="CE6" s="21">
        <f>IF(SUMPRODUCT(MIN(IF(('Inputs 2'!$C$58:$C$67&gt;0)*('Inputs 2'!$C$58:$C$67&gt;=DATE('Inputs 2'!$C$10,1,1))*('Inputs 2'!$C$58:$C$67&lt;=DATE('Inputs 2'!$C$10,12,31)),'Inputs 2'!$C$58:$C$67,999999)))=999999,"",SUMPRODUCT(MIN(IF(('Inputs 2'!$C$58:$C$67&gt;0)*('Inputs 2'!$C$58:$C$67&gt;=DATE('Inputs 2'!$C$10,1,1))*('Inputs 2'!$C$58:$C$67&lt;=DATE('Inputs 2'!$C$10,12,31)),'Inputs 2'!$C$58:$C$67,999999))))</f>
      </c>
    </row>
    <row r="7">
      <c r="A7" t="n">
        <v>2</v>
      </c>
      <c r="B7" s="21">
        <f>IF(AND($CD7="",$CE7=""),"",IF($CE7="",$CD7,IF($CD7="",$CE7,MIN($CD7,$CE7))))</f>
      </c>
      <c r="C7" s="7">
        <f>IF($B7="","",IF($BF7=0,0,IF('Inputs 2'!$C$4="Annual salary",ROUND($AK7/IF(AND('Inputs 2'!$C$88="Actual paydays",MONTH('Inputs 2'!$C$9)=1),MAX(1,MAX($BE$6:$BE$68)),'Inputs 2'!$C$8),2),$AK7)))</f>
      </c>
      <c r="D7" s="7">
        <f>IF($B7="","",SUMIF('Inputs 2'!$C$58:$C$67,$B7,'Inputs 2'!$D$58:$D$67))</f>
      </c>
      <c r="E7" s="7">
        <f>IF($B7="","",ROUND(MAX(0,MIN(IF($AL7="Percent",$AM7*($C7+$D7),$AM7),MAX(0,'Inputs 2'!$C$34-$AC6))),2))</f>
      </c>
      <c r="F7" s="7">
        <f>IF($B7="","",ROUND(MAX(0,MIN(IF('Inputs 2'!$C$32="Percent",'Inputs 2'!$D$32*($C7+$D7),'Inputs 2'!$D$32),MAX(0,'Inputs 2'!$C$34-$AC6-$E7))),2))</f>
      </c>
      <c r="G7" s="7">
        <f>IF($B7="","",IF($BF7=0,0,ROUND(MAX(0,MIN($BL7,'Inputs 2'!$C$37-'Inputs 2'!$C$54-$BI6)),2)))</f>
      </c>
      <c r="H7" s="7">
        <f>IF($B7="","",IF(OR($BF7=0,$BQ7=1),0,ROUND(MAX(0,MIN(IF($BS7=1,ROUND(MAX(0,MIN($BJ7,'Methodology &amp; Sources'!$C$13)-$BG6)/MAX(1,MAX($BE$6:$BE$68)-($BE6)),2),ROUND(MIN($BJ7,'Methodology &amp; Sources'!$C$13)/'Inputs 2'!$C$8,2)),MIN($BJ7,'Methodology &amp; Sources'!$C$13)-$BG6)),2)))</f>
      </c>
      <c r="I7" s="7">
        <f>IF($B7="","",IF(OR($BF7=0,$BR7=1),0,ROUND(MAX(0,MIN(IF($BT7=1,ROUND(MAX(0,MIN($BK7,IF('Inputs 2'!$C$12="MFJ",'Methodology &amp; Sources'!$C$14,'Methodology &amp; Sources'!$C$15))-$BH6)/MAX(1,MAX($BE$6:$BE$68)-($BE6)),2),ROUND(MIN($BK7,IF('Inputs 2'!$C$12="MFJ",'Methodology &amp; Sources'!$C$14,'Methodology &amp; Sources'!$C$15))/'Inputs 2'!$C$8,2)),MIN($BK7,IF('Inputs 2'!$C$12="MFJ",'Methodology &amp; Sources'!$C$14,'Methodology &amp; Sources'!$C$15))-$BH6)),2)))</f>
      </c>
      <c r="J7" s="7">
        <f>IF($B7="","",IF($BF7=0,0,$BM7))</f>
      </c>
      <c r="K7" s="7">
        <f>IF($B7="","",IF($BF7=0,0,$BN7+$BO7))</f>
      </c>
      <c r="L7" s="7">
        <f>IF($B7="","",IF($BF7=0,0,'Inputs 2'!$D$46))</f>
      </c>
      <c r="M7" s="7">
        <f>IF($B7="","",$C7+$D7+$L7-$E7-$G7-$H7-$I7-$J7-$K7)</f>
      </c>
      <c r="N7" s="7">
        <f>IF($B7="","",$C7+$D7+$L7-$G7-$H7-$I7-$J7-$K7)</f>
      </c>
      <c r="O7" s="7">
        <f>IF($B7="","",$C7+$D7+$L7-$E7-$H7-$I7-$J7-$K7-IF(OR($AN7="CA",$AN7="NJ"),0,$G7))</f>
      </c>
      <c r="P7" s="7">
        <f>IF($B7="","",IF('Inputs 2'!$C$18,0,ROUND(MAX(0,IF('Inputs 2'!$C$13,SUMPRODUCT(($AH7&gt;INDEX('Methodology &amp; Sources'!$B$29:$J$36,0,IF('Inputs 2'!$C$12="MFJ",1,IF('Inputs 2'!$C$12="HoH",7,4))))*($AH7-INDEX('Methodology &amp; Sources'!$B$29:$J$36,0,IF('Inputs 2'!$C$12="MFJ",1,IF('Inputs 2'!$C$12="HoH",7,4))))*INDEX('Methodology &amp; Sources'!$B$29:$J$36,0,IF('Inputs 2'!$C$12="MFJ",1,IF('Inputs 2'!$C$12="HoH",7,4))+2)),SUMPRODUCT(($AH7&gt;INDEX('Methodology &amp; Sources'!$B$19:$J$26,0,IF('Inputs 2'!$C$12="MFJ",1,IF('Inputs 2'!$C$12="HoH",7,4))))*($AH7-INDEX('Methodology &amp; Sources'!$B$19:$J$26,0,IF('Inputs 2'!$C$12="MFJ",1,IF('Inputs 2'!$C$12="HoH",7,4))))*INDEX('Methodology &amp; Sources'!$B$19:$J$26,0,IF('Inputs 2'!$C$12="MFJ",1,IF('Inputs 2'!$C$12="HoH",7,4))+2)))/'Inputs 2'!$C$8-$AO7/'Inputs 2'!$C$8)+$AR7+IF('Inputs 2'!$C$89="Aggregate",MAX(0,IF('Inputs 2'!$C$13,SUMPRODUCT((($AH7+$D7)&gt;INDEX('Methodology &amp; Sources'!$B$29:$J$36,0,IF('Inputs 2'!$C$12="MFJ",1,IF('Inputs 2'!$C$12="HoH",7,4))))*(($AH7+$D7)-INDEX('Methodology &amp; Sources'!$B$29:$J$36,0,IF('Inputs 2'!$C$12="MFJ",1,IF('Inputs 2'!$C$12="HoH",7,4))))*INDEX('Methodology &amp; Sources'!$B$29:$J$36,0,IF('Inputs 2'!$C$12="MFJ",1,IF('Inputs 2'!$C$12="HoH",7,4))+2)),SUMPRODUCT((($AH7+$D7)&gt;INDEX('Methodology &amp; Sources'!$B$19:$J$26,0,IF('Inputs 2'!$C$12="MFJ",1,IF('Inputs 2'!$C$12="HoH",7,4))))*(($AH7+$D7)-INDEX('Methodology &amp; Sources'!$B$19:$J$26,0,IF('Inputs 2'!$C$12="MFJ",1,IF('Inputs 2'!$C$12="HoH",7,4))))*INDEX('Methodology &amp; Sources'!$B$19:$J$26,0,IF('Inputs 2'!$C$12="MFJ",1,IF('Inputs 2'!$C$12="HoH",7,4))+2)))-IF('Inputs 2'!$C$13,SUMPRODUCT(($AH7&gt;INDEX('Methodology &amp; Sources'!$B$29:$J$36,0,IF('Inputs 2'!$C$12="MFJ",1,IF('Inputs 2'!$C$12="HoH",7,4))))*($AH7-INDEX('Methodology &amp; Sources'!$B$29:$J$36,0,IF('Inputs 2'!$C$12="MFJ",1,IF('Inputs 2'!$C$12="HoH",7,4))))*INDEX('Methodology &amp; Sources'!$B$29:$J$36,0,IF('Inputs 2'!$C$12="MFJ",1,IF('Inputs 2'!$C$12="HoH",7,4))+2)),SUMPRODUCT(($AH7&gt;INDEX('Methodology &amp; Sources'!$B$19:$J$26,0,IF('Inputs 2'!$C$12="MFJ",1,IF('Inputs 2'!$C$12="HoH",7,4))))*($AH7-INDEX('Methodology &amp; Sources'!$B$19:$J$26,0,IF('Inputs 2'!$C$12="MFJ",1,IF('Inputs 2'!$C$12="HoH",7,4))))*INDEX('Methodology &amp; Sources'!$B$19:$J$26,0,IF('Inputs 2'!$C$12="MFJ",1,IF('Inputs 2'!$C$12="HoH",7,4))+2)))),'Methodology &amp; Sources'!$C$10*$D7),2)))</f>
      </c>
      <c r="Q7" s="7">
        <f>IF($B7="","",ROUND('Methodology &amp; Sources'!$C$4*MIN($N7,MAX(0,'Methodology &amp; Sources'!$C$3-($AX7+$AB6-$AW7))),2))</f>
      </c>
      <c r="R7" s="7">
        <f>IF($B7="","",ROUND('Methodology &amp; Sources'!$C$5*$N7,2))</f>
      </c>
      <c r="S7" s="7">
        <f>IF($B7="","",ROUND('Methodology &amp; Sources'!$C$6*MAX(0,MIN($N7,$AG6+$N7-'Methodology &amp; Sources'!$C$7)),2))</f>
      </c>
      <c r="T7" s="7">
        <f>IF($B7="","",IF('Inputs 2'!$C$26,0,IF($AN7="CA",ROUND(IF($AI7&lt;=IF(($AS7+$AT7)&gt;=2,VLOOKUP($AN7,StateTables!$A$6:$AB$56,10,FALSE),VLOOKUP($AN7,StateTables!$A$6:$AB$56,9,FALSE)),0,MAX(0,SUMPRODUCT(($AJ7&gt;INDEX('Methodology &amp; Sources'!$B$39:$J$48,0,IF($AU7="Married",4,IF($AU7="Head of household",7,1))))*($AJ7-INDEX('Methodology &amp; Sources'!$B$39:$J$48,0,IF($AU7="Married",4,IF($AU7="Head of household",7,1))))*INDEX('Methodology &amp; Sources'!$B$39:$J$48,0,IF($AU7="Married",4,IF($AU7="Head of household",7,1))+2))-VLOOKUP($AN7,StateTables!$A$6:$AB$56,11,FALSE)*$AS7)/'Inputs 2'!$C$8)+'Inputs 2'!$C$25+VLOOKUP($AN7,StateTables!$A$6:$AB$56,13,FALSE)*$D7,2),IF(VLOOKUP($AN7,StateTables!$A$6:$AB$56,4,FALSE)="None",0,IF(ISNUMBER(SEARCH("MANUAL",VLOOKUP($AN7,StateTables!$A$6:$AB$56,5,FALSE))),'Inputs 2'!$C$28,ROUND(MAX(0,$BA7+$BB7)/'Inputs 2'!$C$8+'Inputs 2'!$C$25+$BC7,2))))))</f>
      </c>
      <c r="U7" s="7">
        <f>IF($B7="","",IF(VLOOKUP($AN7,StateTables!$A$6:$AB$56,24,FALSE)="flatq",IF(OR(MONTH($B7)=1,MONTH($B7)=4,MONTH($B7)=7,MONTH($B7)=10),VLOOKUP($AN7,StateTables!$A$6:$AB$56,25,FALSE),0),IF(VLOOKUP($AN7,StateTables!$A$6:$AB$56,24,FALSE)="dbl",MIN(ROUND(0.005*$N7,2),ROUND(0.6*52/'Inputs 2'!$C$8,2)),IF(OR(VLOOKUP($AN7,StateTables!$A$6:$AB$56,15,FALSE)="",VLOOKUP($AN7,StateTables!$A$6:$AB$56,15,FALSE)=0),0,ROUND(VLOOKUP($AN7,StateTables!$A$6:$AB$56,15,FALSE)*IF(OR(VLOOKUP($AN7,StateTables!$A$6:$AB$56,16,FALSE)="",VLOOKUP($AN7,StateTables!$A$6:$AB$56,16,FALSE)=0),$N7,MIN($N7,MAX(0,VLOOKUP($AN7,StateTables!$A$6:$AB$56,16,FALSE)-($AX7+$AB6-$AW7)))),2))))+IF(VLOOKUP($AN7,StateTables!$A$6:$AB$56,27,FALSE)="flatq",IF(OR(MONTH($B7)=1,MONTH($B7)=4,MONTH($B7)=7,MONTH($B7)=10),VLOOKUP($AN7,StateTables!$A$6:$AB$56,28,FALSE),0),IF(VLOOKUP($AN7,StateTables!$A$6:$AB$56,27,FALSE)="dbl",MIN(ROUND(0.005*$N7,2),ROUND(0.6*52/'Inputs 2'!$C$8,2)),IF(OR(VLOOKUP($AN7,StateTables!$A$6:$AB$56,18,FALSE)="",VLOOKUP($AN7,StateTables!$A$6:$AB$56,18,FALSE)=0),0,ROUND(VLOOKUP($AN7,StateTables!$A$6:$AB$56,18,FALSE)*IF(OR(VLOOKUP($AN7,StateTables!$A$6:$AB$56,19,FALSE)="",VLOOKUP($AN7,StateTables!$A$6:$AB$56,19,FALSE)=0),$N7,MIN($N7,MAX(0,VLOOKUP($AN7,StateTables!$A$6:$AB$56,19,FALSE)-($AX7+$AB6-$AW7)))),2)))))</f>
      </c>
      <c r="V7" s="7">
        <f>IF($B7="","",IF($AN7="NY",IF('Inputs 2'!$C$78,ROUND(SUMPRODUCT((MAX(0,($O7-$D7)*'Inputs 2'!$C$8-(IF($AU7="Married",5500,5000)+1000*$AS7))&gt;INDEX('Methodology &amp; Sources'!$B$184:$J$198,0,4))*(MAX(0,($O7-$D7)*'Inputs 2'!$C$8-(IF($AU7="Married",5500,5000)+1000*$AS7))-INDEX('Methodology &amp; Sources'!$B$184:$J$198,0,4))*INDEX('Methodology &amp; Sources'!$B$184:$J$198,0,4+2))/'Inputs 2'!$C$8+0.0425*$D7,2),0)+IF('Inputs 2'!$C$79="Resident",ROUND(0.1675*$T7,2),IF('Inputs 2'!$C$79="Nonresident",ROUND(0.005*MAX(0,($O7-$D7)-(IF($AU7="Married",7950,7400)+1000*$AS7)/'Inputs 2'!$C$8),2),0)),IF($AN7="PA",IF('Inputs 2'!$C$80="None",'Inputs 2'!$C$27+ROUND('Inputs 2'!$C$81*($C7+$D7),2),ROUND(IF('Inputs 2'!$C$80="Resident",IF($B7&lt;DATE(2027,7,1),0.03735,0.03735),IF($B7&lt;DATE(2027,7,1),0.03425,0.03425))*($C7+$D7),2)),IF($BF7=0,ROUND('Inputs 2'!$C$81*($C7+$D7),2),'Inputs 2'!$C$27+ROUND('Inputs 2'!$C$81*($C7+$D7),2)))))</f>
      </c>
      <c r="W7" s="7">
        <f>IF($B7="","",IF($BF7=0,0,$BP7))</f>
      </c>
      <c r="X7" s="7">
        <f>IF($B7="","",SUM($E7:$K7)+$P7+$Q7+$R7+$S7+$T7+$U7+$V7+$W7)</f>
      </c>
      <c r="Y7" s="22">
        <f>IF($B7="","",$C7+$D7-$X7)</f>
      </c>
      <c r="Z7" s="7">
        <f>IF($B7="","",$Z6+$C7+$D7)</f>
      </c>
      <c r="AA7" s="7">
        <f>IF($B7="","",$AA6+$Y7)</f>
      </c>
      <c r="AB7" s="7">
        <f>IF($B7="","",$AB6+MIN($N7,MAX(0,'Methodology &amp; Sources'!$C$3-($AX7+$AB6-$AW7))))</f>
      </c>
      <c r="AC7" s="7">
        <f>IF($B7="","",$AC6+$E7+$F7)</f>
      </c>
      <c r="AD7" s="3">
        <f>IF($B7="","",IF(AND($AB6&lt;'Methodology &amp; Sources'!$C$3,$AB7&gt;='Methodology &amp; Sources'!$C$3),"★ Social Security maxed on this check — from the next check your net rises by about $"&amp;TEXT(ROUND('Methodology &amp; Sources'!$C$4*$N7,2),"#,##0.00")&amp;". ","")&amp;IF(AND($AC6&lt;'Inputs 2'!$C$34,$AC7&gt;='Inputs 2'!$C$34),"★ 401(k) reaches the $"&amp;TEXT('Inputs 2'!$C$34,"#,##0")&amp;" cap on this check — deferrals stop and net pay rises. ","")&amp;IF(AND($AG6&lt;'Methodology &amp; Sources'!$C$7,$AG7&gt;='Methodology &amp; Sources'!$C$7),"★ Wages pass $200,000 — the 0.9% Additional Medicare Tax starts here. ","")&amp;IF(AND($BJ7&gt;0,$H7&gt;0,$BG6&lt;MIN($BJ7,'Methodology &amp; Sources'!$C$13),$BG6+$H7&gt;=MIN($BJ7,'Methodology &amp; Sources'!$C$13)),"★ Health FSA election is now fully deferred for the year. ",""))</f>
      </c>
      <c r="AE7" s="41" t="n"/>
      <c r="AF7" s="7">
        <f>IF(OR($B7="",$AE7=""),"",$AE7-$Y7)</f>
      </c>
      <c r="AG7" s="7">
        <f>IF($B7="","",$AG6+$N7)</f>
      </c>
      <c r="AH7" s="7">
        <f>IF($B7="","",MAX(0,($M7-$D7)*'Inputs 2'!$C$8+$AP7-$AQ7-IF('Inputs 2'!$C$13,0,IF('Inputs 2'!$C$12="MFJ",'Methodology &amp; Sources'!$C$8,'Methodology &amp; Sources'!$C$9))))</f>
      </c>
      <c r="AI7" s="7">
        <f>IF($B7="","",$O7*'Inputs 2'!$C$8)</f>
      </c>
      <c r="AJ7" s="7">
        <f>IF($B7="","",MAX(0,$AI7-VLOOKUP($AN7,StateTables!$A$6:$AB$56,12,FALSE)*$AT7-IF(($AS7+$AT7)&gt;=2,VLOOKUP($AN7,StateTables!$A$6:$AB$56,8,FALSE),VLOOKUP($AN7,StateTables!$A$6:$AB$56,7,FALSE))))</f>
      </c>
      <c r="AK7" s="7">
        <f>IF($B7="","",IFERROR(LOOKUP(2,1/(('Events 2'!$C$6:$C$17="Salary change")*('Events 2'!$B$6:$B$17&lt;=$B7)*('Events 2'!$B$6:$B$17&lt;&gt;"")),'Events 2'!$D$6:$D$17),IF('Inputs 2'!$C$4="Annual salary",'Inputs 2'!$C$5,'Inputs 2'!$C$6)))</f>
      </c>
      <c r="AL7">
        <f>IF($B7="","",IFERROR(LOOKUP(2,1/(('Events 2'!$C$6:$C$17="401(k) change")*('Events 2'!$B$6:$B$17&lt;=$B7)*('Events 2'!$B$6:$B$17&lt;&gt;"")),'Events 2'!$D$6:$D$17),'Inputs 2'!$C$30))</f>
      </c>
      <c r="AM7" s="7">
        <f>IF($B7="","",IFERROR(LOOKUP(2,1/(('Events 2'!$C$6:$C$17="401(k) change")*('Events 2'!$B$6:$B$17&lt;=$B7)*('Events 2'!$B$6:$B$17&lt;&gt;"")),'Events 2'!$E$6:$E$17),'Inputs 2'!$D$30))</f>
      </c>
      <c r="AN7">
        <f>IF($B7="","",IFERROR(LOOKUP(2,1/(('Events 2'!$C$6:$C$17="State move")*('Events 2'!$B$6:$B$17&lt;=$B7)*('Events 2'!$B$6:$B$17&lt;&gt;"")),'Events 2'!$D$6:$D$17),'Inputs 2'!$C$21))</f>
      </c>
      <c r="AO7" s="7">
        <f>IF($B7="","",IFERROR(LOOKUP(2,1/(('Events 2'!$C$6:$C$17="W-4 change")*('Events 2'!$B$6:$B$17&lt;=$B7)*('Events 2'!$B$6:$B$17&lt;&gt;"")),'Events 2'!$D$6:$D$17),'Inputs 2'!$C$14))</f>
      </c>
      <c r="AP7" s="7">
        <f>IF($B7="","",IFERROR(LOOKUP(2,1/(('Events 2'!$C$6:$C$17="W-4 change")*('Events 2'!$B$6:$B$17&lt;=$B7)*('Events 2'!$B$6:$B$17&lt;&gt;"")),'Events 2'!$E$6:$E$17),'Inputs 2'!$C$15))</f>
      </c>
      <c r="AQ7" s="7">
        <f>IF($B7="","",IFERROR(LOOKUP(2,1/(('Events 2'!$C$6:$C$17="W-4 change")*('Events 2'!$B$6:$B$17&lt;=$B7)*('Events 2'!$B$6:$B$17&lt;&gt;"")),'Events 2'!$F$6:$F$17),'Inputs 2'!$C$16))</f>
      </c>
      <c r="AR7" s="7">
        <f>IF($B7="","",IFERROR(LOOKUP(2,1/(('Events 2'!$C$6:$C$17="W-4 change")*('Events 2'!$B$6:$B$17&lt;=$B7)*('Events 2'!$B$6:$B$17&lt;&gt;"")),'Events 2'!$G$6:$G$17),'Inputs 2'!$C$17))</f>
      </c>
      <c r="AS7" s="6">
        <f>IF($B7="","",IFERROR(LOOKUP(2,1/((('Events 2'!$C$6:$C$17="State move")+('Events 2'!$C$6:$C$17="State cert change"))*('Events 2'!$B$6:$B$17&lt;=$B7)*('Events 2'!$B$6:$B$17&lt;&gt;"")),'Events 2'!$F$6:$F$17),'Inputs 2'!$C$23))</f>
      </c>
      <c r="AT7" s="6">
        <f>IF($B7="","",IFERROR(LOOKUP(2,1/((('Events 2'!$C$6:$C$17="State move")+('Events 2'!$C$6:$C$17="State cert change"))*('Events 2'!$B$6:$B$17&lt;=$B7)*('Events 2'!$B$6:$B$17&lt;&gt;"")),'Events 2'!$G$6:$G$17),'Inputs 2'!$C$24))</f>
      </c>
      <c r="AU7">
        <f>IF($B7="","",IFERROR(LOOKUP(2,1/(('Events 2'!$C$6:$C$17="State move")*('Events 2'!$B$6:$B$17&lt;=$B7)*('Events 2'!$B$6:$B$17&lt;&gt;"")),'Events 2'!$E$6:$E$17),'Inputs 2'!$C$22))</f>
      </c>
      <c r="AV7" s="6">
        <f>IF($B7="","",1+COUNTIFS('Events 2'!$C$6:$C$17,"Employer change",'Events 2'!$B$6:$B$17,"&lt;="&amp;$B7,'Events 2'!$B$6:$B$17,"&lt;&gt;"))</f>
      </c>
      <c r="AW7" s="7">
        <f>IF($B7="","",IF($AV7=1,'Inputs 2'!$C$49,IF(IFERROR(MATCH(IFERROR(LOOKUP(2,1/(('Events 2'!$C$6:$C$17="Employer change")*('Events 2'!$B$6:$B$17&lt;=$B7)*('Events 2'!$B$6:$B$17&lt;&gt;"")),'Events 2'!$B$6:$B$17),""),$B$6:$B$68,1),1)&lt;=1,'Inputs 2'!$C$49,INDEX($AB$6:$AB$68,MATCH(IFERROR(LOOKUP(2,1/(('Events 2'!$C$6:$C$17="Employer change")*('Events 2'!$B$6:$B$17&lt;=$B7)*('Events 2'!$B$6:$B$17&lt;&gt;"")),'Events 2'!$B$6:$B$17),""),$B$6:$B$68,1)-1))))</f>
      </c>
      <c r="AX7" s="7">
        <f>IF($B7="","",IF($AV7=1,'Inputs 2'!$C$49,IFERROR(LOOKUP(2,1/(('Events 2'!$C$6:$C$17="Employer change")*('Events 2'!$B$6:$B$17&lt;=$B7)*('Events 2'!$B$6:$B$17&lt;&gt;"")),'Events 2'!$D$6:$D$17),0)))</f>
      </c>
      <c r="AY7" s="7">
        <f>IF($B7="","",($O7-$D7)*'Inputs 2'!$C$8)</f>
      </c>
      <c r="AZ7" s="7">
        <f>IF($B7="","",IF($AN7="AL",MAX(0,$AY7-IF($AU7="Married",IF($AY7&lt;=25999,8500,MAX(5000,8500-175*CEILING(($AY7-25999)/500,1))),IF($AU7="Head of household",IF($AY7&lt;=25999,5200,MAX(2500,5200-135*CEILING(($AY7-25999)/500,1))),IF($AY7&lt;=25999,3000,MAX(2500,3000-25*CEILING(($AY7-25999)/500,1)))))-($P7-'Methodology &amp; Sources'!$C$10*$D7)*'Inputs 2'!$C$8-IF(OR($AU7="Married",$AU7="Head of household"),3000,1500)-$AT7*IF($AY7&lt;=50000,1000,IF($AY7&lt;=100000,500,300))),IF($AN7="AR",IF(MAX(0,$AY7-2470)&lt;97701,INT(MAX(0,$AY7-2470)/100)*100+50,MAX(0,$AY7-2470)),IF($AN7="DE",MAX(0,$AI7-3250),IF($AN7="HI",MAX(0,$AI7-1144*$AS7-4350),IF($AN7="KS",MAX(0,$AI7-(9160*IF($AU7="Married",2,1)+2320*$AT7+IF($AU7="Head of household",2320,0))),IF($AN7="MD",MAX(0,$AI7-3400-3200*$AS7),IF($AN7="MN",MAX(0,$AY7-5300*$AS7),IF($AN7="MO",MAX(0,$AI7-IF($AU7="Head of household",24150,IF($AU7="Married",IF('Inputs 2'!$C$83,16100,32200),16100))),IF($AN7="MT",$AY7,IF($AN7="ND",($C7+$L7)*'Inputs 2'!$C$8,IF($AN7="NE",MAX(0,$AY7-2440*$AS7),IF($AN7="NJ",MAX(0,$AY7-1000*$AS7),IF($AN7="NY",MAX(0,$AY7-(IF($AU7="Married",7950,7400)+1000*$AS7)),IF($AN7="OH",MAX(0,$AY7-650*$AS7),IF($AN7="OK",MAX(0,$AY7-1000*$AS7),IF($AN7="RI",MAX(0,$AI7-1000*$AS7),IF($AN7="SC",MAX(0,$AI7-5000*$AS7-IF($AS7=0,0,MIN(0.1*$AI7,7500))),IF($AN7="VA",MAX(0,$AI7-IF($AU7="Married",17500,8750)-930*$AS7-800*$AT7),IF($AN7="VT",MAX(0,$AI7-5400*$AS7),IF($AN7="WI",MAX(0,$AI7-MAX(0,IF($AU7="Married",9461-0.2*MAX(0,$AI7-25727),6702-0.12*MAX(0,$AI7-17780)))-400*$AS7),IF($AN7="WV",MAX(0,$AI7-2000*$AS7),$AI7))))))))))))))))))))))</f>
      </c>
      <c r="BA7" s="7">
        <f>IF($B7="","",IF($BW7&lt;&gt;"",$BW7,IF($BX7&lt;&gt;"",$BX7,IF($BY7&lt;&gt;"",$BY7,0))))</f>
      </c>
      <c r="BB7" s="7">
        <f>IF($B7="","",IF($AN7="AR",-29*$AS7,IF($AN7="DE",-110*$AS7,IF($AN7="MD",$AZ7*'Inputs 2'!$C$74,IF($AN7="AZ",'Inputs 2'!$C$82*($M7-$D7)*'Inputs 2'!$C$8,IF($AN7="CO",0.044*MAX(0,$AY7-IF($AU7="Married",10000,5000)),IF($AN7="IA",MAX(0,0.038*MAX(0,$AY7-IF($AU7="Head of household",19500,IF($AU7="Married",26000,13000)))-40*$AS7),IF($AN7="ID",0.053*MAX(0,$AY7-IF($AU7="Married",32000,16094)),IF($AN7="IL",0.0495*MAX(0,$AY7-(2925*$AS7+1000*$AT7)),IF($AN7="IN",(0.0295+'Inputs 2'!$C$76)*MAX(0,$AY7-(1000*$AS7+1500*$AT7+3000*'Inputs 2'!$C$86)),IF($AN7="KY",0.035*MAX(0,$AI7-3360),IF($AN7="LA",IF('Inputs 2'!$C$84="0",0.0309*$AI7,0.0309*MAX(0,$AI7-IF('Inputs 2'!$C$84="2",25750,12875))),IF($AN7="MA",0.05*MIN(MAX(0,$AY7-MIN(($BD6+$Q7+$R7+$S7),2000)-IF($AS7=0,0,IF($AS7=1,4400,1000*$AS7+3400))),1107750)+0.09*MAX(0,MAX(0,$AY7-MIN(($BD6+$Q7+$R7+$S7),2000)-IF($AS7=0,0,IF($AS7=1,4400,1000*$AS7+3400)))-1107750)-IF($AU7="Head of household",120,0)-110*'Inputs 2'!$C$75,IF($AN7="MI",0.0425*MAX(0,$AY7-5900*$AS7),IF($AN7="MS",0.04*MAX(0,$AI7-IF($AU7="Head of household",3400,IF($AU7="Married",4600,2300))-'Inputs 2'!$C$85-10000),IF($AN7="OR",IF(OR($AU7="Married",AND($AU7="Single",$AS7&gt;=3)),SUMPRODUCT((MAX(0,$AY7-MIN(($P7-'Methodology &amp; Sources'!$C$10*$D7)*'Inputs 2'!$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Sources'!$B$211:$J$214,0,4))*(MAX(0,$AY7-MIN(($P7-'Methodology &amp; Sources'!$C$10*$D7)*'Inputs 2'!$C$8,IF(OR($AU7="Married",AND($AU7="Single",$AS7&gt;=3)),IF($AY7&lt;250000,8750,IF($AY7&lt;260000,7000,IF($AY7&lt;270000,5250,IF($AY7&lt;280000,3500,IF($AY7&lt;290000,1750,0))))),IF($AY7&lt;125000,8750,IF($AY7&lt;130000,7000,IF($AY7&lt;135000,5250,IF($AY7&lt;140000,3500,IF($AY7&lt;145000,1750,0)))))))-IF(OR($AU7="Married",AND($AU7="Single",$AS7&gt;=3)),5820,2910))-INDEX('Methodology &amp; Sources'!$B$211:$J$214,0,4))*INDEX('Methodology &amp; Sources'!$B$211:$J$214,0,4+2)),SUMPRODUCT((MAX(0,$AY7-MIN(($P7-'Methodology &amp; Sources'!$C$10*$D7)*'Inputs 2'!$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Sources'!$B$211:$J$214,0,1))*(MAX(0,$AY7-MIN(($P7-'Methodology &amp; Sources'!$C$10*$D7)*'Inputs 2'!$C$8,IF(OR($AU7="Married",AND($AU7="Single",$AS7&gt;=3)),IF($AY7&lt;250000,8750,IF($AY7&lt;260000,7000,IF($AY7&lt;270000,5250,IF($AY7&lt;280000,3500,IF($AY7&lt;290000,1750,0))))),IF($AY7&lt;125000,8750,IF($AY7&lt;130000,7000,IF($AY7&lt;135000,5250,IF($AY7&lt;140000,3500,IF($AY7&lt;145000,1750,0)))))))-IF(OR($AU7="Married",AND($AU7="Single",$AS7&gt;=3)),5820,2910))-INDEX('Methodology &amp; Sources'!$B$211:$J$214,0,1))*INDEX('Methodology &amp; Sources'!$B$211:$J$214,0,1+2)))+263-263*IF(IF($AU7="Married",$AY7&gt;200000,$AY7&gt;100000),0,$AS7),IF($AN7="PA",0.0307*(($O7+$E7+$G7)*'Inputs 2'!$C$8),IF($AN7="NY",IF($AU7="Married",IF($AZ7&gt;=2155350,0,IF($AZ7&gt;=1077550,0.48,IF($AZ7&gt;=373200,1.21,IF($AZ7&gt;=323200,0.21,IF($AZ7&gt;=211550,-0.19,IF($AZ7&gt;=157650,-2.8,IF($AZ7&gt;=107650,-0.8,IF($AZ7&gt;=96800,0.05,IF($AZ7&gt;=80650,-0.1,IF($AZ7&gt;=13900,0.4,IF($AZ7&gt;=11700,-0.3,IF($AZ7&gt;=8500,0.5,0)))))))))))),IF($AZ7&gt;=1077550,0,IF($AZ7&gt;=265400,4.29,IF($AZ7&gt;=215400,2.29,IF($AZ7&gt;=157650,2.29,IF($AZ7&gt;=107650,0.29,IF($AZ7&gt;=96800,0.05,IF($AZ7&gt;=80650,-0.1,IF($AZ7&gt;=13900,0.4,IF($AZ7&gt;=11700,-0.3,IF($AZ7&gt;=8500,0.5,0))))))))))),0))))))))))))))))))</f>
      </c>
      <c r="BC7" s="7">
        <f>IF($B7="","",IF($AN7="AL",0.05*$D7,IF($AN7="AR",0.039*$D7,IF($AN7="ID",0.053*$D7,IF($AN7="IN",(0.0295+'Inputs 2'!$C$76)*$D7,IF($AN7="KS",0.05*$D7,IF($AN7="MA",0.09*MIN($D7,MAX(0,MAX(0,$AY7-MIN(($BD6+$Q7+$R7+$S7),2000)-IF($AS7=0,0,IF($AS7=1,4400,1000*$AS7+3400)))+$D7-1107750))+0.05*($D7-MIN($D7,MAX(0,MAX(0,$AY7-MIN(($BD6+$Q7+$R7+$S7),2000)-IF($AS7=0,0,IF($AS7=1,4400,1000*$AS7+3400)))+$D7-1107750))),IF($AN7="MD",(0.065+'Inputs 2'!$C$74)*$D7,IF($AN7="MI",0.0425*$D7,IF($AN7="MN",0.0625*$D7,IF($AN7="MO",0.047*$D7,IF($AN7="MT",0.05*$D7,IF($AN7="ND",0.015*$D7,IF($AN7="NE",0.035*$D7,IF($AN7="NJ",IF('Inputs 2'!$C$77="B",SUMPRODUCT(($D7*'Inputs 2'!$C$8&gt;INDEX('Methodology &amp; Sources'!$B$155:$J$162,0,4))*($D7*'Inputs 2'!$C$8-INDEX('Methodology &amp; Sources'!$B$155:$J$162,0,4))*INDEX('Methodology &amp; Sources'!$B$155:$J$162,0,4+2)),IF('Inputs 2'!$C$77="C",SUMPRODUCT(($D7*'Inputs 2'!$C$8&gt;INDEX('Methodology &amp; Sources'!$B$155:$J$162,0,7))*($D7*'Inputs 2'!$C$8-INDEX('Methodology &amp; Sources'!$B$155:$J$162,0,7))*INDEX('Methodology &amp; Sources'!$B$155:$J$162,0,7+2)),IF('Inputs 2'!$C$77="D",SUMPRODUCT(($D7*'Inputs 2'!$C$8&gt;INDEX('Methodology &amp; Sources'!$B$167:$J$179,0,1))*($D7*'Inputs 2'!$C$8-INDEX('Methodology &amp; Sources'!$B$167:$J$179,0,1))*INDEX('Methodology &amp; Sources'!$B$167:$J$179,0,1+2)),IF('Inputs 2'!$C$77="E",SUMPRODUCT(($D7*'Inputs 2'!$C$8&gt;INDEX('Methodology &amp; Sources'!$B$167:$J$179,0,4))*($D7*'Inputs 2'!$C$8-INDEX('Methodology &amp; Sources'!$B$167:$J$179,0,4))*INDEX('Methodology &amp; Sources'!$B$167:$J$179,0,4+2)),SUMPRODUCT(($D7*'Inputs 2'!$C$8&gt;INDEX('Methodology &amp; Sources'!$B$155:$J$162,0,1))*($D7*'Inputs 2'!$C$8-INDEX('Methodology &amp; Sources'!$B$155:$J$162,0,1))*INDEX('Methodology &amp; Sources'!$B$155:$J$162,0,1+2))))))/'Inputs 2'!$C$8,IF($AN7="NY",0.117*$D7,IF($AN7="OH",0.0275*$D7,IF($AN7="OK",0.045*$D7,IF($AN7="OR",0.08*$D7,IF($AN7="WI",IF($AY7&lt;12760,0.0354,IF($AY7&lt;25520,0.0465,IF($AY7&lt;280950,0.053,0.0765)))*$D7,0))))))))))))))))))))</f>
      </c>
      <c r="BD7" s="7">
        <f>IF($B7="","",$BD6+$Q7+$R7+$S7)</f>
      </c>
      <c r="BE7" s="6">
        <f>IF($B7="",$BE6,$BE6+$BF7)</f>
      </c>
      <c r="BF7" s="6">
        <f>IF($B7="","",IF(AND(IF(YEAR(IF('Inputs 2'!$C$7="Weekly",'Inputs 2'!$C$9+7*(($BE6+1)-1),IF('Inputs 2'!$C$7="Biweekly",'Inputs 2'!$C$9+14*(($BE6+1)-1),IF('Inputs 2'!$C$7="Semimonthly",DATE(YEAR('Inputs 2'!$C$9),MONTH('Inputs 2'!$C$9)+INT((($BE6+1)-1)/2),MIN(DAY('Inputs 2'!$C$9),DAY(EOMONTH(DATE(YEAR('Inputs 2'!$C$9),MONTH('Inputs 2'!$C$9)+INT((($BE6+1)-1)/2),1),0))))+IF(MOD(($BE6+1)-1,2)=1,15,0),EDATE('Inputs 2'!$C$9,($BE6+1)-1)))))&lt;&gt;'Inputs 2'!$C$10,"",IF('Inputs 2'!$C$7="Weekly",'Inputs 2'!$C$9+7*(($BE6+1)-1),IF('Inputs 2'!$C$7="Biweekly",'Inputs 2'!$C$9+14*(($BE6+1)-1),IF('Inputs 2'!$C$7="Semimonthly",DATE(YEAR('Inputs 2'!$C$9),MONTH('Inputs 2'!$C$9)+INT((($BE6+1)-1)/2),MIN(DAY('Inputs 2'!$C$9),DAY(EOMONTH(DATE(YEAR('Inputs 2'!$C$9),MONTH('Inputs 2'!$C$9)+INT((($BE6+1)-1)/2),1),0))))+IF(MOD(($BE6+1)-1,2)=1,15,0),EDATE('Inputs 2'!$C$9,($BE6+1)-1)))))&lt;&gt;"",$B7=IF(YEAR(IF('Inputs 2'!$C$7="Weekly",'Inputs 2'!$C$9+7*(($BE6+1)-1),IF('Inputs 2'!$C$7="Biweekly",'Inputs 2'!$C$9+14*(($BE6+1)-1),IF('Inputs 2'!$C$7="Semimonthly",DATE(YEAR('Inputs 2'!$C$9),MONTH('Inputs 2'!$C$9)+INT((($BE6+1)-1)/2),MIN(DAY('Inputs 2'!$C$9),DAY(EOMONTH(DATE(YEAR('Inputs 2'!$C$9),MONTH('Inputs 2'!$C$9)+INT((($BE6+1)-1)/2),1),0))))+IF(MOD(($BE6+1)-1,2)=1,15,0),EDATE('Inputs 2'!$C$9,($BE6+1)-1)))))&lt;&gt;'Inputs 2'!$C$10,"",IF('Inputs 2'!$C$7="Weekly",'Inputs 2'!$C$9+7*(($BE6+1)-1),IF('Inputs 2'!$C$7="Biweekly",'Inputs 2'!$C$9+14*(($BE6+1)-1),IF('Inputs 2'!$C$7="Semimonthly",DATE(YEAR('Inputs 2'!$C$9),MONTH('Inputs 2'!$C$9)+INT((($BE6+1)-1)/2),MIN(DAY('Inputs 2'!$C$9),DAY(EOMONTH(DATE(YEAR('Inputs 2'!$C$9),MONTH('Inputs 2'!$C$9)+INT((($BE6+1)-1)/2),1),0))))+IF(MOD(($BE6+1)-1,2)=1,15,0),EDATE('Inputs 2'!$C$9,($BE6+1)-1)))))),1,0))</f>
      </c>
      <c r="BG7" s="7">
        <f>IF($B7="","",$BG6+$H7)</f>
      </c>
      <c r="BH7" s="7">
        <f>IF($B7="","",$BH6+$I7)</f>
      </c>
      <c r="BI7" s="7">
        <f>IF($B7="","",$BI6+$G7)</f>
      </c>
      <c r="BJ7" s="7">
        <f>IF($B7="","",IFERROR(LOOKUP(2,1/(((('Events 2'!$C$6:$C$17="Deduction start"))*('Events 2'!$D$6:$D$17="Health FSA"))*('Events 2'!$B$6:$B$17&lt;=$B7)*('Events 2'!$B$6:$B$17&lt;&gt;"")),'Events 2'!$E$6:$E$17),'Inputs 2'!$D$38))</f>
      </c>
      <c r="BK7" s="7">
        <f>IF($B7="","",IFERROR(LOOKUP(2,1/(((('Events 2'!$C$6:$C$17="Deduction start"))*('Events 2'!$D$6:$D$17="Dependent-care FSA"))*('Events 2'!$B$6:$B$17&lt;=$B7)*('Events 2'!$B$6:$B$17&lt;&gt;"")),'Events 2'!$E$6:$E$17),'Inputs 2'!$D$39))</f>
      </c>
      <c r="BL7" s="7">
        <f>IF($B7="","",IFERROR(LOOKUP(2,1/(((('Events 2'!$C$6:$C$17="Deduction start")+('Events 2'!$C$6:$C$17="Deduction stop"))*('Events 2'!$D$6:$D$17="HSA"))*('Events 2'!$B$6:$B$17&lt;=$B7)*('Events 2'!$B$6:$B$17&lt;&gt;"")),'Events 2'!$I$6:$I$17),'Inputs 2'!$D$35))</f>
      </c>
      <c r="BM7" s="7">
        <f>IF($B7="","",IFERROR(LOOKUP(2,1/(((('Events 2'!$C$6:$C$17="Deduction start")+('Events 2'!$C$6:$C$17="Deduction stop"))*('Events 2'!$D$6:$D$17="Premiums"))*('Events 2'!$B$6:$B$17&lt;=$B7)*('Events 2'!$B$6:$B$17&lt;&gt;"")),'Events 2'!$I$6:$I$17),'Inputs 2'!$D$40+'Inputs 2'!$D$41+'Inputs 2'!$D$42))</f>
      </c>
      <c r="BN7" s="7">
        <f>IF($B7="","",IFERROR(LOOKUP(2,1/(((('Events 2'!$C$6:$C$17="Deduction start")+('Events 2'!$C$6:$C$17="Deduction stop"))*('Events 2'!$D$6:$D$17="Commuter"))*('Events 2'!$B$6:$B$17&lt;=$B7)*('Events 2'!$B$6:$B$17&lt;&gt;"")),'Events 2'!$I$6:$I$17),'Inputs 2'!$D$43))</f>
      </c>
      <c r="BO7" s="7">
        <f>IF($B7="","",IFERROR(LOOKUP(2,1/(((('Events 2'!$C$6:$C$17="Deduction start")+('Events 2'!$C$6:$C$17="Deduction stop"))*('Events 2'!$D$6:$D$17="Other pre-tax"))*('Events 2'!$B$6:$B$17&lt;=$B7)*('Events 2'!$B$6:$B$17&lt;&gt;"")),'Events 2'!$I$6:$I$17),'Inputs 2'!$D$44))</f>
      </c>
      <c r="BP7" s="7">
        <f>IF($B7="","",IFERROR(LOOKUP(2,1/(((('Events 2'!$C$6:$C$17="Deduction start")+('Events 2'!$C$6:$C$17="Deduction stop"))*('Events 2'!$D$6:$D$17="Other post-tax"))*('Events 2'!$B$6:$B$17&lt;=$B7)*('Events 2'!$B$6:$B$17&lt;&gt;"")),'Events 2'!$I$6:$I$17),'Inputs 2'!$D$45))</f>
      </c>
      <c r="BQ7" s="6">
        <f>IF($B7="","",IFERROR(LOOKUP(2,1/(((('Events 2'!$C$6:$C$17="Deduction start")+('Events 2'!$C$6:$C$17="Deduction stop"))*('Events 2'!$D$6:$D$17="Health FSA"))*('Events 2'!$B$6:$B$17&lt;=$B7)*('Events 2'!$B$6:$B$17&lt;&gt;"")),'Events 2'!$J$6:$J$17),0))</f>
      </c>
      <c r="BR7" s="6">
        <f>IF($B7="","",IFERROR(LOOKUP(2,1/(((('Events 2'!$C$6:$C$17="Deduction start")+('Events 2'!$C$6:$C$17="Deduction stop"))*('Events 2'!$D$6:$D$17="Dependent-care FSA"))*('Events 2'!$B$6:$B$17&lt;=$B7)*('Events 2'!$B$6:$B$17&lt;&gt;"")),'Events 2'!$J$6:$J$17),0))</f>
      </c>
      <c r="BS7" s="6">
        <f>IF($B7="","",IF(SUMPRODUCT(('Events 2'!$C$6:$C$17="Deduction start")*('Events 2'!$B$6:$B$17&lt;=$B7)*('Events 2'!$B$6:$B$17&lt;&gt;"")*('Events 2'!$D$6:$D$17="Health FSA"))&gt;0,1,0))</f>
      </c>
      <c r="BT7" s="6">
        <f>IF($B7="","",IF(SUMPRODUCT(('Events 2'!$C$6:$C$17="Deduction start")*('Events 2'!$B$6:$B$17&lt;=$B7)*('Events 2'!$B$6:$B$17&lt;&gt;"")*('Events 2'!$D$6:$D$17="Dependent-care FSA"))&gt;0,1,0))</f>
      </c>
      <c r="BU7" s="24">
        <f>IF($B7="","",IF('Inputs 2'!$C$13,SUMPRODUCT(($AH7&gt;=INDEX('Methodology &amp; Sources'!$B$29:$J$36,0,IF('Inputs 2'!$C$12="MFJ",1,IF('Inputs 2'!$C$12="HoH",7,4))))*INDEX('Methodology &amp; Sources'!$B$29:$J$36,0,IF('Inputs 2'!$C$12="MFJ",1,IF('Inputs 2'!$C$12="HoH",7,4))+2)),SUMPRODUCT(($AH7&gt;=INDEX('Methodology &amp; Sources'!$B$19:$J$26,0,IF('Inputs 2'!$C$12="MFJ",1,IF('Inputs 2'!$C$12="HoH",7,4))))*INDEX('Methodology &amp; Sources'!$B$19:$J$26,0,IF('Inputs 2'!$C$12="MFJ",1,IF('Inputs 2'!$C$12="HoH",7,4))+2))))</f>
      </c>
      <c r="BV7" s="24">
        <f>IF($B7="","",IF($BZ7&lt;&gt;"",$BZ7,IF($CA7&lt;&gt;"",$CA7,IF($CB7&lt;&gt;"",$CB7,IF($CC7&lt;&gt;"",$CC7,0)))))</f>
      </c>
      <c r="BW7" s="7">
        <f>IF($B7="","",IF($AN7="MD",IF(OR($AU7="Married",$AU7="Head of household"),SUMPRODUCT(($AZ7&gt;INDEX('Methodology &amp; Sources'!$B$114:$J$120,0,1))*($AZ7-INDEX('Methodology &amp; Sources'!$B$114:$J$120,0,1))*INDEX('Methodology &amp; Sources'!$B$114:$J$120,0,1+2)),SUMPRODUCT(($AZ7&gt;INDEX('Methodology &amp; Sources'!$B$103:$J$109,0,7))*($AZ7-INDEX('Methodology &amp; Sources'!$B$103:$J$109,0,7))*INDEX('Methodology &amp; Sources'!$B$103:$J$109,0,7+2))),IF($AN7="MO",SUMPRODUCT(($AZ7&gt;INDEX('Methodology &amp; Sources'!$B$125:$J$132,0,1))*($AZ7-INDEX('Methodology &amp; Sources'!$B$125:$J$132,0,1))*INDEX('Methodology &amp; Sources'!$B$125:$J$132,0,1+2)),IF($AN7="MT",IF($AU7="Head of household",SUMPRODUCT(($AZ7&gt;INDEX('Methodology &amp; Sources'!$B$137:$J$139,0,1))*($AZ7-INDEX('Methodology &amp; Sources'!$B$137:$J$139,0,1))*INDEX('Methodology &amp; Sources'!$B$137:$J$139,0,1+2)),IF($AU7="Married",SUMPRODUCT(($AZ7&gt;INDEX('Methodology &amp; Sources'!$B$125:$J$132,0,7))*($AZ7-INDEX('Methodology &amp; Sources'!$B$125:$J$132,0,7))*INDEX('Methodology &amp; Sources'!$B$125:$J$132,0,7+2)),SUMPRODUCT(($AZ7&gt;INDEX('Methodology &amp; Sources'!$B$125:$J$132,0,4))*($AZ7-INDEX('Methodology &amp; Sources'!$B$125:$J$132,0,4))*INDEX('Methodology &amp; Sources'!$B$125:$J$132,0,4+2)))),IF($AN7="ND",IF($AU7="Head of household",SUMPRODUCT(($AZ7&gt;INDEX('Methodology &amp; Sources'!$B$144:$J$150,0,1))*($AZ7-INDEX('Methodology &amp; Sources'!$B$144:$J$150,0,1))*INDEX('Methodology &amp; Sources'!$B$144:$J$150,0,1+2)),IF($AU7="Married",SUMPRODUCT(($AZ7&gt;INDEX('Methodology &amp; Sources'!$B$137:$J$139,0,7))*($AZ7-INDEX('Methodology &amp; Sources'!$B$137:$J$139,0,7))*INDEX('Methodology &amp; Sources'!$B$137:$J$139,0,7+2)),SUMPRODUCT(($AZ7&gt;INDEX('Methodology &amp; Sources'!$B$137:$J$139,0,4))*($AZ7-INDEX('Methodology &amp; Sources'!$B$137:$J$139,0,4))*INDEX('Methodology &amp; Sources'!$B$137:$J$139,0,4+2)))),IF($AN7="NJ",IF('Inputs 2'!$C$77="B",SUMPRODUCT(($AZ7&gt;INDEX('Methodology &amp; Sources'!$B$155:$J$162,0,4))*($AZ7-INDEX('Methodology &amp; Sources'!$B$155:$J$162,0,4))*INDEX('Methodology &amp; Sources'!$B$155:$J$162,0,4+2)),IF('Inputs 2'!$C$77="C",SUMPRODUCT(($AZ7&gt;INDEX('Methodology &amp; Sources'!$B$155:$J$162,0,7))*($AZ7-INDEX('Methodology &amp; Sources'!$B$155:$J$162,0,7))*INDEX('Methodology &amp; Sources'!$B$155:$J$162,0,7+2)),IF('Inputs 2'!$C$77="D",SUMPRODUCT(($AZ7&gt;INDEX('Methodology &amp; Sources'!$B$167:$J$179,0,1))*($AZ7-INDEX('Methodology &amp; Sources'!$B$167:$J$179,0,1))*INDEX('Methodology &amp; Sources'!$B$167:$J$179,0,1+2)),IF('Inputs 2'!$C$77="E",SUMPRODUCT(($AZ7&gt;INDEX('Methodology &amp; Sources'!$B$167:$J$179,0,4))*($AZ7-INDEX('Methodology &amp; Sources'!$B$167:$J$179,0,4))*INDEX('Methodology &amp; Sources'!$B$167:$J$179,0,4+2)),SUMPRODUCT(($AZ7&gt;INDEX('Methodology &amp; Sources'!$B$155:$J$162,0,1))*($AZ7-INDEX('Methodology &amp; Sources'!$B$155:$J$162,0,1))*INDEX('Methodology &amp; Sources'!$B$155:$J$162,0,1+2)))))),IF($AN7="NY",IF($AU7="Married",IF($AZ7&gt;=2155350,$AZ7*IF($AZ7&gt;25000000,0.117,IF($AZ7&gt;5000000,0.111,0.1045)),SUMPRODUCT(($AZ7&gt;INDEX('Methodology &amp; Sources'!$B$184:$J$198,0,1))*($AZ7-INDEX('Methodology &amp; Sources'!$B$184:$J$198,0,1))*INDEX('Methodology &amp; Sources'!$B$184:$J$198,0,1+2))),IF($AZ7&gt;=1077550,$AZ7*IF($AZ7&gt;25000000,0.117,IF($AZ7&gt;5000000,0.111,0.1045)),SUMPRODUCT(($AZ7&gt;INDEX('Methodology &amp; Sources'!$B$167:$J$179,0,7))*($AZ7-INDEX('Methodology &amp; Sources'!$B$167:$J$179,0,7))*INDEX('Methodology &amp; Sources'!$B$167:$J$179,0,7+2)))),"")))))))</f>
      </c>
      <c r="BX7" s="7">
        <f>IF($B7="","",IF($AN7="AL",IF(OR($AU7="Married",$AU7="Head of household"),SUMPRODUCT(($AZ7&gt;INDEX('Methodology &amp; Sources'!$B$82:$J$86,0,4))*($AZ7-INDEX('Methodology &amp; Sources'!$B$82:$J$86,0,4))*INDEX('Methodology &amp; Sources'!$B$82:$J$86,0,4+2)),SUMPRODUCT(($AZ7&gt;INDEX('Methodology &amp; Sources'!$B$82:$J$86,0,1))*($AZ7-INDEX('Methodology &amp; Sources'!$B$82:$J$86,0,1))*INDEX('Methodology &amp; Sources'!$B$82:$J$86,0,1+2))),IF($AN7="KS",IF($AU7="Married",SUMPRODUCT(($AZ7&gt;INDEX('Methodology &amp; Sources'!$B$103:$J$109,0,4))*($AZ7-INDEX('Methodology &amp; Sources'!$B$103:$J$109,0,4))*INDEX('Methodology &amp; Sources'!$B$103:$J$109,0,4+2)),SUMPRODUCT(($AZ7&gt;INDEX('Methodology &amp; Sources'!$B$103:$J$109,0,1))*($AZ7-INDEX('Methodology &amp; Sources'!$B$103:$J$109,0,1))*INDEX('Methodology &amp; Sources'!$B$103:$J$109,0,1+2))),IF($AN7="MN",IF($AU7="Married",SUMPRODUCT(($AZ7&gt;INDEX('Methodology &amp; Sources'!$B$114:$J$120,0,7))*($AZ7-INDEX('Methodology &amp; Sources'!$B$114:$J$120,0,7))*INDEX('Methodology &amp; Sources'!$B$114:$J$120,0,7+2)),SUMPRODUCT(($AZ7&gt;INDEX('Methodology &amp; Sources'!$B$114:$J$120,0,4))*($AZ7-INDEX('Methodology &amp; Sources'!$B$114:$J$120,0,4))*INDEX('Methodology &amp; Sources'!$B$114:$J$120,0,4+2))),IF($AN7="NE",MAX(IF($AU7="Married",SUMPRODUCT(($AZ7&gt;INDEX('Methodology &amp; Sources'!$B$144:$J$150,0,7))*($AZ7-INDEX('Methodology &amp; Sources'!$B$144:$J$150,0,7))*INDEX('Methodology &amp; Sources'!$B$144:$J$150,0,7+2)),SUMPRODUCT(($AZ7&gt;INDEX('Methodology &amp; Sources'!$B$144:$J$150,0,4))*($AZ7-INDEX('Methodology &amp; Sources'!$B$144:$J$150,0,4))*INDEX('Methodology &amp; Sources'!$B$144:$J$150,0,4+2))),0.015*$AZ7),IF($AN7="OH",IF($B7&gt;=DATE(2027,8,1),SUMPRODUCT(($AZ7&gt;INDEX('Methodology &amp; Sources'!$B$203:$J$206,0,1))*($AZ7-INDEX('Methodology &amp; Sources'!$B$203:$J$206,0,1))*INDEX('Methodology &amp; Sources'!$B$203:$J$206,0,1+2)),SUMPRODUCT(($AZ7&gt;INDEX('Methodology &amp; Sources'!$B$184:$J$198,0,7))*($AZ7-INDEX('Methodology &amp; Sources'!$B$184:$J$198,0,7))*INDEX('Methodology &amp; Sources'!$B$184:$J$198,0,7+2))),IF($AN7="OK",IF($AU7="Married",SUMPRODUCT(($AZ7&gt;INDEX('Methodology &amp; Sources'!$B$203:$J$206,0,7))*($AZ7-INDEX('Methodology &amp; Sources'!$B$203:$J$206,0,7))*INDEX('Methodology &amp; Sources'!$B$203:$J$206,0,7+2)),SUMPRODUCT(($AZ7&gt;INDEX('Methodology &amp; Sources'!$B$203:$J$206,0,4))*($AZ7-INDEX('Methodology &amp; Sources'!$B$203:$J$206,0,4))*INDEX('Methodology &amp; Sources'!$B$203:$J$206,0,4+2))),IF($AN7="RI",SUMPRODUCT(($AZ7&gt;INDEX('Methodology &amp; Sources'!$B$211:$J$214,0,7))*($AZ7-INDEX('Methodology &amp; Sources'!$B$211:$J$214,0,7))*INDEX('Methodology &amp; Sources'!$B$211:$J$214,0,7+2)),IF($AN7="VT",IF($AU7="Married",SUMPRODUCT(($AZ7&gt;INDEX('Methodology &amp; Sources'!$B$228:$J$232,0,1))*($AZ7-INDEX('Methodology &amp; Sources'!$B$228:$J$232,0,1))*INDEX('Methodology &amp; Sources'!$B$228:$J$232,0,1+2)),SUMPRODUCT(($AZ7&gt;INDEX('Methodology &amp; Sources'!$B$219:$J$223,0,7))*($AZ7-INDEX('Methodology &amp; Sources'!$B$219:$J$223,0,7))*INDEX('Methodology &amp; Sources'!$B$219:$J$223,0,7+2))),IF($AN7="WV",IF($AU7="Married",SUMPRODUCT(($AZ7&gt;INDEX('Methodology &amp; Sources'!$B$237:$J$241,0,7))*($AZ7-INDEX('Methodology &amp; Sources'!$B$237:$J$241,0,7))*INDEX('Methodology &amp; Sources'!$B$237:$J$241,0,7+2)),SUMPRODUCT(($AZ7&gt;INDEX('Methodology &amp; Sources'!$B$228:$J$232,0,7))*($AZ7-INDEX('Methodology &amp; Sources'!$B$228:$J$232,0,7))*INDEX('Methodology &amp; Sources'!$B$228:$J$232,0,7+2))),""))))))))))</f>
      </c>
      <c r="BY7" s="7">
        <f>IF($B7="","",IF($AN7="AR",SUMPRODUCT(($AZ7&gt;INDEX('Methodology &amp; Sources'!$B$82:$J$86,0,7))*($AZ7-INDEX('Methodology &amp; Sources'!$B$82:$J$86,0,7))*INDEX('Methodology &amp; Sources'!$B$82:$J$86,0,7+2)),IF($AN7="DE",SUMPRODUCT(($AZ7&gt;INDEX('Methodology &amp; Sources'!$B$91:$J$98,0,1))*($AZ7-INDEX('Methodology &amp; Sources'!$B$91:$J$98,0,1))*INDEX('Methodology &amp; Sources'!$B$91:$J$98,0,1+2)),IF($AN7="HI",IF($AU7="Married",SUMPRODUCT(($AZ7&gt;INDEX('Methodology &amp; Sources'!$B$91:$J$98,0,7))*($AZ7-INDEX('Methodology &amp; Sources'!$B$91:$J$98,0,7))*INDEX('Methodology &amp; Sources'!$B$91:$J$98,0,7+2)),SUMPRODUCT(($AZ7&gt;INDEX('Methodology &amp; Sources'!$B$91:$J$98,0,4))*($AZ7-INDEX('Methodology &amp; Sources'!$B$91:$J$98,0,4))*INDEX('Methodology &amp; Sources'!$B$91:$J$98,0,4+2))),IF($AN7="SC",SUMPRODUCT(($AZ7&gt;INDEX('Methodology &amp; Sources'!$B$219:$J$223,0,1))*($AZ7-INDEX('Methodology &amp; Sources'!$B$219:$J$223,0,1))*INDEX('Methodology &amp; Sources'!$B$219:$J$223,0,1+2)),IF($AN7="VA",SUMPRODUCT(($AZ7&gt;INDEX('Methodology &amp; Sources'!$B$219:$J$223,0,4))*($AZ7-INDEX('Methodology &amp; Sources'!$B$219:$J$223,0,4))*INDEX('Methodology &amp; Sources'!$B$219:$J$223,0,4+2)),IF($AN7="WI",SUMPRODUCT(($AZ7&gt;INDEX('Methodology &amp; Sources'!$B$228:$J$232,0,4))*($AZ7-INDEX('Methodology &amp; Sources'!$B$228:$J$232,0,4))*INDEX('Methodology &amp; Sources'!$B$228:$J$232,0,4+2)),"")))))))</f>
      </c>
      <c r="BZ7" s="24">
        <f>IF($B7="","",IF($AN7="NJ",IF('Inputs 2'!$C$77="B",SUMPRODUCT(($AZ7&gt;=INDEX('Methodology &amp; Sources'!$B$155:$J$162,0,4))*INDEX('Methodology &amp; Sources'!$B$155:$J$162,0,4+2)),IF('Inputs 2'!$C$77="C",SUMPRODUCT(($AZ7&gt;=INDEX('Methodology &amp; Sources'!$B$155:$J$162,0,7))*INDEX('Methodology &amp; Sources'!$B$155:$J$162,0,7+2)),IF('Inputs 2'!$C$77="D",SUMPRODUCT(($AZ7&gt;=INDEX('Methodology &amp; Sources'!$B$167:$J$179,0,1))*INDEX('Methodology &amp; Sources'!$B$167:$J$179,0,1+2)),IF('Inputs 2'!$C$77="E",SUMPRODUCT(($AZ7&gt;=INDEX('Methodology &amp; Sources'!$B$167:$J$179,0,4))*INDEX('Methodology &amp; Sources'!$B$167:$J$179,0,4+2)),SUMPRODUCT(($AZ7&gt;=INDEX('Methodology &amp; Sources'!$B$155:$J$162,0,1))*INDEX('Methodology &amp; Sources'!$B$155:$J$162,0,1+2)))))),IF($AN7="OR",IF(OR($AU7="Married",AND($AU7="Single",$AS7&gt;=3)),SUMPRODUCT((MAX(0,$AY7-MIN(($P7-'Methodology &amp; Sources'!$C$10*$D7)*'Inputs 2'!$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Sources'!$B$211:$J$214,0,4))*INDEX('Methodology &amp; Sources'!$B$211:$J$214,0,4+2)),SUMPRODUCT((MAX(0,$AY7-MIN(($P7-'Methodology &amp; Sources'!$C$10*$D7)*'Inputs 2'!$C$8,IF(OR($AU7="Married",AND($AU7="Single",$AS7&gt;=3)),IF($AY7&lt;250000,8750,IF($AY7&lt;260000,7000,IF($AY7&lt;270000,5250,IF($AY7&lt;280000,3500,IF($AY7&lt;290000,1750,0))))),IF($AY7&lt;125000,8750,IF($AY7&lt;130000,7000,IF($AY7&lt;135000,5250,IF($AY7&lt;140000,3500,IF($AY7&lt;145000,1750,0)))))))-IF(OR($AU7="Married",AND($AU7="Single",$AS7&gt;=3)),5820,2910))&gt;=INDEX('Methodology &amp; Sources'!$B$211:$J$214,0,1))*INDEX('Methodology &amp; Sources'!$B$211:$J$214,0,1+2)))*IF(($P7-'Methodology &amp; Sources'!$C$10*$D7)*'Inputs 2'!$C$8&gt;=IF(OR($AU7="Married",AND($AU7="Single",$AS7&gt;=3)),IF($AY7&lt;250000,8750,IF($AY7&lt;260000,7000,IF($AY7&lt;270000,5250,IF($AY7&lt;280000,3500,IF($AY7&lt;290000,1750,0))))),IF($AY7&lt;125000,8750,IF($AY7&lt;130000,7000,IF($AY7&lt;135000,5250,IF($AY7&lt;140000,3500,IF($AY7&lt;145000,1750,0)))))),1,1-IF('Inputs 2'!$C$13,SUMPRODUCT(($AH7&gt;=INDEX('Methodology &amp; Sources'!$B$29:$J$36,0,IF('Inputs 2'!$C$12="MFJ",1,IF('Inputs 2'!$C$12="HoH",7,4))))*INDEX('Methodology &amp; Sources'!$B$29:$J$36,0,IF('Inputs 2'!$C$12="MFJ",1,IF('Inputs 2'!$C$12="HoH",7,4))+2)),SUMPRODUCT(($AH7&gt;=INDEX('Methodology &amp; Sources'!$B$19:$J$26,0,IF('Inputs 2'!$C$12="MFJ",1,IF('Inputs 2'!$C$12="HoH",7,4))))*INDEX('Methodology &amp; Sources'!$B$19:$J$26,0,IF('Inputs 2'!$C$12="MFJ",1,IF('Inputs 2'!$C$12="HoH",7,4))+2)))),IF($AN7="MI",IF($AY7&gt;5900*$AS7,0.0425,0),""))))</f>
      </c>
      <c r="CA7" s="24">
        <f>IF($B7="","",IF($AN7="AL",IF(OR($AU7="Married",$AU7="Head of household"),SUMPRODUCT(($AZ7&gt;=INDEX('Methodology &amp; Sources'!$B$82:$J$86,0,4))*INDEX('Methodology &amp; Sources'!$B$82:$J$86,0,4+2)),SUMPRODUCT(($AZ7&gt;=INDEX('Methodology &amp; Sources'!$B$82:$J$86,0,1))*INDEX('Methodology &amp; Sources'!$B$82:$J$86,0,1+2)))*(1-IF('Inputs 2'!$C$13,SUMPRODUCT(($AH7&gt;=INDEX('Methodology &amp; Sources'!$B$29:$J$36,0,IF('Inputs 2'!$C$12="MFJ",1,IF('Inputs 2'!$C$12="HoH",7,4))))*INDEX('Methodology &amp; Sources'!$B$29:$J$36,0,IF('Inputs 2'!$C$12="MFJ",1,IF('Inputs 2'!$C$12="HoH",7,4))+2)),SUMPRODUCT(($AH7&gt;=INDEX('Methodology &amp; Sources'!$B$19:$J$26,0,IF('Inputs 2'!$C$12="MFJ",1,IF('Inputs 2'!$C$12="HoH",7,4))))*INDEX('Methodology &amp; Sources'!$B$19:$J$26,0,IF('Inputs 2'!$C$12="MFJ",1,IF('Inputs 2'!$C$12="HoH",7,4))+2)))),IF($AN7="KS",IF($AU7="Married",SUMPRODUCT(($AZ7&gt;=INDEX('Methodology &amp; Sources'!$B$103:$J$109,0,4))*INDEX('Methodology &amp; Sources'!$B$103:$J$109,0,4+2)),SUMPRODUCT(($AZ7&gt;=INDEX('Methodology &amp; Sources'!$B$103:$J$109,0,1))*INDEX('Methodology &amp; Sources'!$B$103:$J$109,0,1+2))),IF($AN7="MD",IF(OR($AU7="Married",$AU7="Head of household"),SUMPRODUCT(($AZ7&gt;=INDEX('Methodology &amp; Sources'!$B$114:$J$120,0,1))*INDEX('Methodology &amp; Sources'!$B$114:$J$120,0,1+2)),SUMPRODUCT(($AZ7&gt;=INDEX('Methodology &amp; Sources'!$B$103:$J$109,0,7))*INDEX('Methodology &amp; Sources'!$B$103:$J$109,0,7+2)))+'Inputs 2'!$C$74,IF($AN7="MT",IF($AU7="Head of household",SUMPRODUCT(($AZ7&gt;=INDEX('Methodology &amp; Sources'!$B$137:$J$139,0,1))*INDEX('Methodology &amp; Sources'!$B$137:$J$139,0,1+2)),IF($AU7="Married",SUMPRODUCT(($AZ7&gt;=INDEX('Methodology &amp; Sources'!$B$125:$J$132,0,7))*INDEX('Methodology &amp; Sources'!$B$125:$J$132,0,7+2)),SUMPRODUCT(($AZ7&gt;=INDEX('Methodology &amp; Sources'!$B$125:$J$132,0,4))*INDEX('Methodology &amp; Sources'!$B$125:$J$132,0,4+2)))),IF($AN7="ND",IF($AU7="Head of household",SUMPRODUCT(($AZ7&gt;=INDEX('Methodology &amp; Sources'!$B$144:$J$150,0,1))*INDEX('Methodology &amp; Sources'!$B$144:$J$150,0,1+2)),IF($AU7="Married",SUMPRODUCT(($AZ7&gt;=INDEX('Methodology &amp; Sources'!$B$137:$J$139,0,7))*INDEX('Methodology &amp; Sources'!$B$137:$J$139,0,7+2)),SUMPRODUCT(($AZ7&gt;=INDEX('Methodology &amp; Sources'!$B$137:$J$139,0,4))*INDEX('Methodology &amp; Sources'!$B$137:$J$139,0,4+2)))),IF($AN7="NY",IF($AU7="Married",IF($AZ7&gt;=2155350,IF($AZ7&gt;25000000,0.117,IF($AZ7&gt;5000000,0.111,0.1045)),SUMPRODUCT(($AZ7&gt;=INDEX('Methodology &amp; Sources'!$B$184:$J$198,0,1))*INDEX('Methodology &amp; Sources'!$B$184:$J$198,0,1+2))),IF($AZ7&gt;=1077550,IF($AZ7&gt;25000000,0.117,IF($AZ7&gt;5000000,0.111,0.1045)),SUMPRODUCT(($AZ7&gt;=INDEX('Methodology &amp; Sources'!$B$167:$J$179,0,7))*INDEX('Methodology &amp; Sources'!$B$167:$J$179,0,7+2)))),"")))))))</f>
      </c>
      <c r="CB7" s="24">
        <f>IF($B7="","",IF($AN7="CA",SUMPRODUCT(($AJ7&gt;=INDEX('Methodology &amp; Sources'!$B$39:$J$48,0,IF($AU7="Married",4,IF($AU7="Head of household",7,1))))*INDEX('Methodology &amp; Sources'!$B$39:$J$48,0,IF($AU7="Married",4,IF($AU7="Head of household",7,1))+2)),IF($AN7="HI",IF($AU7="Married",SUMPRODUCT(($AZ7&gt;=INDEX('Methodology &amp; Sources'!$B$91:$J$98,0,7))*INDEX('Methodology &amp; Sources'!$B$91:$J$98,0,7+2)),SUMPRODUCT(($AZ7&gt;=INDEX('Methodology &amp; Sources'!$B$91:$J$98,0,4))*INDEX('Methodology &amp; Sources'!$B$91:$J$98,0,4+2))),IF($AN7="MN",IF($AU7="Married",SUMPRODUCT(($AZ7&gt;=INDEX('Methodology &amp; Sources'!$B$114:$J$120,0,7))*INDEX('Methodology &amp; Sources'!$B$114:$J$120,0,7+2)),SUMPRODUCT(($AZ7&gt;=INDEX('Methodology &amp; Sources'!$B$114:$J$120,0,4))*INDEX('Methodology &amp; Sources'!$B$114:$J$120,0,4+2))),IF($AN7="MO",SUMPRODUCT(($AZ7&gt;=INDEX('Methodology &amp; Sources'!$B$125:$J$132,0,1))*INDEX('Methodology &amp; Sources'!$B$125:$J$132,0,1+2)),IF($AN7="NE",MAX(IF($AU7="Married",SUMPRODUCT(($AZ7&gt;=INDEX('Methodology &amp; Sources'!$B$144:$J$150,0,7))*INDEX('Methodology &amp; Sources'!$B$144:$J$150,0,7+2)),SUMPRODUCT(($AZ7&gt;=INDEX('Methodology &amp; Sources'!$B$144:$J$150,0,4))*INDEX('Methodology &amp; Sources'!$B$144:$J$150,0,4+2))),0.015),IF($AN7="OH",IF($B7&gt;=DATE(2027,8,1),SUMPRODUCT(($AZ7&gt;=INDEX('Methodology &amp; Sources'!$B$203:$J$206,0,1))*INDEX('Methodology &amp; Sources'!$B$203:$J$206,0,1+2)),SUMPRODUCT(($AZ7&gt;=INDEX('Methodology &amp; Sources'!$B$184:$J$198,0,7))*INDEX('Methodology &amp; Sources'!$B$184:$J$198,0,7+2))),IF($AN7="OK",IF($AU7="Married",SUMPRODUCT(($AZ7&gt;=INDEX('Methodology &amp; Sources'!$B$203:$J$206,0,7))*INDEX('Methodology &amp; Sources'!$B$203:$J$206,0,7+2)),SUMPRODUCT(($AZ7&gt;=INDEX('Methodology &amp; Sources'!$B$203:$J$206,0,4))*INDEX('Methodology &amp; Sources'!$B$203:$J$206,0,4+2))),IF($AN7="RI",SUMPRODUCT(($AZ7&gt;=INDEX('Methodology &amp; Sources'!$B$211:$J$214,0,7))*INDEX('Methodology &amp; Sources'!$B$211:$J$214,0,7+2)),IF($AN7="SC",SUMPRODUCT(($AZ7&gt;=INDEX('Methodology &amp; Sources'!$B$219:$J$223,0,1))*INDEX('Methodology &amp; Sources'!$B$219:$J$223,0,1+2)),IF($AN7="VT",IF($AU7="Married",SUMPRODUCT(($AZ7&gt;=INDEX('Methodology &amp; Sources'!$B$228:$J$232,0,1))*INDEX('Methodology &amp; Sources'!$B$228:$J$232,0,1+2)),SUMPRODUCT(($AZ7&gt;=INDEX('Methodology &amp; Sources'!$B$219:$J$223,0,7))*INDEX('Methodology &amp; Sources'!$B$219:$J$223,0,7+2))),IF($AN7="WV",IF($AU7="Married",SUMPRODUCT(($AZ7&gt;=INDEX('Methodology &amp; Sources'!$B$237:$J$241,0,7))*INDEX('Methodology &amp; Sources'!$B$237:$J$241,0,7+2)),SUMPRODUCT(($AZ7&gt;=INDEX('Methodology &amp; Sources'!$B$228:$J$232,0,7))*INDEX('Methodology &amp; Sources'!$B$228:$J$232,0,7+2))),IF($AN7="IN",(0.0295+'Inputs 2'!$C$76),"")))))))))))))</f>
      </c>
      <c r="CC7" s="24">
        <f>IF($B7="","",IF($AN7="AR",SUMPRODUCT(($AZ7&gt;=INDEX('Methodology &amp; Sources'!$B$82:$J$86,0,7))*INDEX('Methodology &amp; Sources'!$B$82:$J$86,0,7+2)),IF($AN7="DE",SUMPRODUCT(($AZ7&gt;=INDEX('Methodology &amp; Sources'!$B$91:$J$98,0,1))*INDEX('Methodology &amp; Sources'!$B$91:$J$98,0,1+2)),IF($AN7="VA",SUMPRODUCT(($AZ7&gt;=INDEX('Methodology &amp; Sources'!$B$219:$J$223,0,4))*INDEX('Methodology &amp; Sources'!$B$219:$J$223,0,4+2)),IF($AN7="WI",SUMPRODUCT(($AZ7&gt;=INDEX('Methodology &amp; Sources'!$B$228:$J$232,0,4))*INDEX('Methodology &amp; Sources'!$B$228:$J$232,0,4+2)),IF($AN7="AZ",'Inputs 2'!$C$82,IF($AN7="CO",IF($AY7&gt;IF($AU7="Married",10000,5000),0.044,0),IF($AN7="IA",IF($AY7&gt;IF($AU7="Head of household",19500,IF($AU7="Married",26000,13000)),0.038,0),IF($AN7="ID",IF($AY7&gt;IF($AU7="Married",32000,16094),0.053,0),IF($AN7="IL",IF($AY7&gt;(2925*$AS7+1000*$AT7),0.0495,0),IF($AN7="KY",IF($AI7&gt;3360,0.035,0),IF($AN7="LA",0.0309,IF($AN7="MA",IF(MAX(0,$AY7-MIN(($BD6+$Q7+$R7+$S7),2000)-IF($AS7=0,0,IF($AS7=1,4400,1000*$AS7+3400)))&gt;=1107750,0.09,0.05),IF($AN7="MS",IF($AI7-IF($AU7="Head of household",3400,IF($AU7="Married",4600,2300))-'Inputs 2'!$C$85&gt;10000,0.04,0),IF($AN7="PA",0.0307,"")))))))))))))))</f>
      </c>
      <c r="CD7" s="21">
        <f>IF(YEAR(IF('Inputs 2'!$C$7="Weekly",'Inputs 2'!$C$9+7*(($BE6+1)-1),IF('Inputs 2'!$C$7="Biweekly",'Inputs 2'!$C$9+14*(($BE6+1)-1),IF('Inputs 2'!$C$7="Semimonthly",DATE(YEAR('Inputs 2'!$C$9),MONTH('Inputs 2'!$C$9)+INT((($BE6+1)-1)/2),MIN(DAY('Inputs 2'!$C$9),DAY(EOMONTH(DATE(YEAR('Inputs 2'!$C$9),MONTH('Inputs 2'!$C$9)+INT((($BE6+1)-1)/2),1),0))))+IF(MOD(($BE6+1)-1,2)=1,15,0),EDATE('Inputs 2'!$C$9,($BE6+1)-1)))))&lt;&gt;'Inputs 2'!$C$10,"",IF('Inputs 2'!$C$7="Weekly",'Inputs 2'!$C$9+7*(($BE6+1)-1),IF('Inputs 2'!$C$7="Biweekly",'Inputs 2'!$C$9+14*(($BE6+1)-1),IF('Inputs 2'!$C$7="Semimonthly",DATE(YEAR('Inputs 2'!$C$9),MONTH('Inputs 2'!$C$9)+INT((($BE6+1)-1)/2),MIN(DAY('Inputs 2'!$C$9),DAY(EOMONTH(DATE(YEAR('Inputs 2'!$C$9),MONTH('Inputs 2'!$C$9)+INT((($BE6+1)-1)/2),1),0))))+IF(MOD(($BE6+1)-1,2)=1,15,0),EDATE('Inputs 2'!$C$9,($BE6+1)-1)))))</f>
      </c>
      <c r="CE7" s="21">
        <f>IF(SUMPRODUCT(MIN(IF(('Inputs 2'!$C$58:$C$67&gt;MAX($B$6:$B6))*('Inputs 2'!$C$58:$C$67&gt;=DATE('Inputs 2'!$C$10,1,1))*('Inputs 2'!$C$58:$C$67&lt;=DATE('Inputs 2'!$C$10,12,31)),'Inputs 2'!$C$58:$C$67,999999)))=999999,"",SUMPRODUCT(MIN(IF(('Inputs 2'!$C$58:$C$67&gt;MAX($B$6:$B6))*('Inputs 2'!$C$58:$C$67&gt;=DATE('Inputs 2'!$C$10,1,1))*('Inputs 2'!$C$58:$C$67&lt;=DATE('Inputs 2'!$C$10,12,31)),'Inputs 2'!$C$58:$C$67,999999))))</f>
      </c>
    </row>
    <row r="8">
      <c r="A8" t="n">
        <v>3</v>
      </c>
      <c r="B8" s="21">
        <f>IF(AND($CD8="",$CE8=""),"",IF($CE8="",$CD8,IF($CD8="",$CE8,MIN($CD8,$CE8))))</f>
      </c>
      <c r="C8" s="7">
        <f>IF($B8="","",IF($BF8=0,0,IF('Inputs 2'!$C$4="Annual salary",ROUND($AK8/IF(AND('Inputs 2'!$C$88="Actual paydays",MONTH('Inputs 2'!$C$9)=1),MAX(1,MAX($BE$6:$BE$68)),'Inputs 2'!$C$8),2),$AK8)))</f>
      </c>
      <c r="D8" s="7">
        <f>IF($B8="","",SUMIF('Inputs 2'!$C$58:$C$67,$B8,'Inputs 2'!$D$58:$D$67))</f>
      </c>
      <c r="E8" s="7">
        <f>IF($B8="","",ROUND(MAX(0,MIN(IF($AL8="Percent",$AM8*($C8+$D8),$AM8),MAX(0,'Inputs 2'!$C$34-$AC7))),2))</f>
      </c>
      <c r="F8" s="7">
        <f>IF($B8="","",ROUND(MAX(0,MIN(IF('Inputs 2'!$C$32="Percent",'Inputs 2'!$D$32*($C8+$D8),'Inputs 2'!$D$32),MAX(0,'Inputs 2'!$C$34-$AC7-$E8))),2))</f>
      </c>
      <c r="G8" s="7">
        <f>IF($B8="","",IF($BF8=0,0,ROUND(MAX(0,MIN($BL8,'Inputs 2'!$C$37-'Inputs 2'!$C$54-$BI7)),2)))</f>
      </c>
      <c r="H8" s="7">
        <f>IF($B8="","",IF(OR($BF8=0,$BQ8=1),0,ROUND(MAX(0,MIN(IF($BS8=1,ROUND(MAX(0,MIN($BJ8,'Methodology &amp; Sources'!$C$13)-$BG7)/MAX(1,MAX($BE$6:$BE$68)-($BE7)),2),ROUND(MIN($BJ8,'Methodology &amp; Sources'!$C$13)/'Inputs 2'!$C$8,2)),MIN($BJ8,'Methodology &amp; Sources'!$C$13)-$BG7)),2)))</f>
      </c>
      <c r="I8" s="7">
        <f>IF($B8="","",IF(OR($BF8=0,$BR8=1),0,ROUND(MAX(0,MIN(IF($BT8=1,ROUND(MAX(0,MIN($BK8,IF('Inputs 2'!$C$12="MFJ",'Methodology &amp; Sources'!$C$14,'Methodology &amp; Sources'!$C$15))-$BH7)/MAX(1,MAX($BE$6:$BE$68)-($BE7)),2),ROUND(MIN($BK8,IF('Inputs 2'!$C$12="MFJ",'Methodology &amp; Sources'!$C$14,'Methodology &amp; Sources'!$C$15))/'Inputs 2'!$C$8,2)),MIN($BK8,IF('Inputs 2'!$C$12="MFJ",'Methodology &amp; Sources'!$C$14,'Methodology &amp; Sources'!$C$15))-$BH7)),2)))</f>
      </c>
      <c r="J8" s="7">
        <f>IF($B8="","",IF($BF8=0,0,$BM8))</f>
      </c>
      <c r="K8" s="7">
        <f>IF($B8="","",IF($BF8=0,0,$BN8+$BO8))</f>
      </c>
      <c r="L8" s="7">
        <f>IF($B8="","",IF($BF8=0,0,'Inputs 2'!$D$46))</f>
      </c>
      <c r="M8" s="7">
        <f>IF($B8="","",$C8+$D8+$L8-$E8-$G8-$H8-$I8-$J8-$K8)</f>
      </c>
      <c r="N8" s="7">
        <f>IF($B8="","",$C8+$D8+$L8-$G8-$H8-$I8-$J8-$K8)</f>
      </c>
      <c r="O8" s="7">
        <f>IF($B8="","",$C8+$D8+$L8-$E8-$H8-$I8-$J8-$K8-IF(OR($AN8="CA",$AN8="NJ"),0,$G8))</f>
      </c>
      <c r="P8" s="7">
        <f>IF($B8="","",IF('Inputs 2'!$C$18,0,ROUND(MAX(0,IF('Inputs 2'!$C$13,SUMPRODUCT(($AH8&gt;INDEX('Methodology &amp; Sources'!$B$29:$J$36,0,IF('Inputs 2'!$C$12="MFJ",1,IF('Inputs 2'!$C$12="HoH",7,4))))*($AH8-INDEX('Methodology &amp; Sources'!$B$29:$J$36,0,IF('Inputs 2'!$C$12="MFJ",1,IF('Inputs 2'!$C$12="HoH",7,4))))*INDEX('Methodology &amp; Sources'!$B$29:$J$36,0,IF('Inputs 2'!$C$12="MFJ",1,IF('Inputs 2'!$C$12="HoH",7,4))+2)),SUMPRODUCT(($AH8&gt;INDEX('Methodology &amp; Sources'!$B$19:$J$26,0,IF('Inputs 2'!$C$12="MFJ",1,IF('Inputs 2'!$C$12="HoH",7,4))))*($AH8-INDEX('Methodology &amp; Sources'!$B$19:$J$26,0,IF('Inputs 2'!$C$12="MFJ",1,IF('Inputs 2'!$C$12="HoH",7,4))))*INDEX('Methodology &amp; Sources'!$B$19:$J$26,0,IF('Inputs 2'!$C$12="MFJ",1,IF('Inputs 2'!$C$12="HoH",7,4))+2)))/'Inputs 2'!$C$8-$AO8/'Inputs 2'!$C$8)+$AR8+IF('Inputs 2'!$C$89="Aggregate",MAX(0,IF('Inputs 2'!$C$13,SUMPRODUCT((($AH8+$D8)&gt;INDEX('Methodology &amp; Sources'!$B$29:$J$36,0,IF('Inputs 2'!$C$12="MFJ",1,IF('Inputs 2'!$C$12="HoH",7,4))))*(($AH8+$D8)-INDEX('Methodology &amp; Sources'!$B$29:$J$36,0,IF('Inputs 2'!$C$12="MFJ",1,IF('Inputs 2'!$C$12="HoH",7,4))))*INDEX('Methodology &amp; Sources'!$B$29:$J$36,0,IF('Inputs 2'!$C$12="MFJ",1,IF('Inputs 2'!$C$12="HoH",7,4))+2)),SUMPRODUCT((($AH8+$D8)&gt;INDEX('Methodology &amp; Sources'!$B$19:$J$26,0,IF('Inputs 2'!$C$12="MFJ",1,IF('Inputs 2'!$C$12="HoH",7,4))))*(($AH8+$D8)-INDEX('Methodology &amp; Sources'!$B$19:$J$26,0,IF('Inputs 2'!$C$12="MFJ",1,IF('Inputs 2'!$C$12="HoH",7,4))))*INDEX('Methodology &amp; Sources'!$B$19:$J$26,0,IF('Inputs 2'!$C$12="MFJ",1,IF('Inputs 2'!$C$12="HoH",7,4))+2)))-IF('Inputs 2'!$C$13,SUMPRODUCT(($AH8&gt;INDEX('Methodology &amp; Sources'!$B$29:$J$36,0,IF('Inputs 2'!$C$12="MFJ",1,IF('Inputs 2'!$C$12="HoH",7,4))))*($AH8-INDEX('Methodology &amp; Sources'!$B$29:$J$36,0,IF('Inputs 2'!$C$12="MFJ",1,IF('Inputs 2'!$C$12="HoH",7,4))))*INDEX('Methodology &amp; Sources'!$B$29:$J$36,0,IF('Inputs 2'!$C$12="MFJ",1,IF('Inputs 2'!$C$12="HoH",7,4))+2)),SUMPRODUCT(($AH8&gt;INDEX('Methodology &amp; Sources'!$B$19:$J$26,0,IF('Inputs 2'!$C$12="MFJ",1,IF('Inputs 2'!$C$12="HoH",7,4))))*($AH8-INDEX('Methodology &amp; Sources'!$B$19:$J$26,0,IF('Inputs 2'!$C$12="MFJ",1,IF('Inputs 2'!$C$12="HoH",7,4))))*INDEX('Methodology &amp; Sources'!$B$19:$J$26,0,IF('Inputs 2'!$C$12="MFJ",1,IF('Inputs 2'!$C$12="HoH",7,4))+2)))),'Methodology &amp; Sources'!$C$10*$D8),2)))</f>
      </c>
      <c r="Q8" s="7">
        <f>IF($B8="","",ROUND('Methodology &amp; Sources'!$C$4*MIN($N8,MAX(0,'Methodology &amp; Sources'!$C$3-($AX8+$AB7-$AW8))),2))</f>
      </c>
      <c r="R8" s="7">
        <f>IF($B8="","",ROUND('Methodology &amp; Sources'!$C$5*$N8,2))</f>
      </c>
      <c r="S8" s="7">
        <f>IF($B8="","",ROUND('Methodology &amp; Sources'!$C$6*MAX(0,MIN($N8,$AG7+$N8-'Methodology &amp; Sources'!$C$7)),2))</f>
      </c>
      <c r="T8" s="7">
        <f>IF($B8="","",IF('Inputs 2'!$C$26,0,IF($AN8="CA",ROUND(IF($AI8&lt;=IF(($AS8+$AT8)&gt;=2,VLOOKUP($AN8,StateTables!$A$6:$AB$56,10,FALSE),VLOOKUP($AN8,StateTables!$A$6:$AB$56,9,FALSE)),0,MAX(0,SUMPRODUCT(($AJ8&gt;INDEX('Methodology &amp; Sources'!$B$39:$J$48,0,IF($AU8="Married",4,IF($AU8="Head of household",7,1))))*($AJ8-INDEX('Methodology &amp; Sources'!$B$39:$J$48,0,IF($AU8="Married",4,IF($AU8="Head of household",7,1))))*INDEX('Methodology &amp; Sources'!$B$39:$J$48,0,IF($AU8="Married",4,IF($AU8="Head of household",7,1))+2))-VLOOKUP($AN8,StateTables!$A$6:$AB$56,11,FALSE)*$AS8)/'Inputs 2'!$C$8)+'Inputs 2'!$C$25+VLOOKUP($AN8,StateTables!$A$6:$AB$56,13,FALSE)*$D8,2),IF(VLOOKUP($AN8,StateTables!$A$6:$AB$56,4,FALSE)="None",0,IF(ISNUMBER(SEARCH("MANUAL",VLOOKUP($AN8,StateTables!$A$6:$AB$56,5,FALSE))),'Inputs 2'!$C$28,ROUND(MAX(0,$BA8+$BB8)/'Inputs 2'!$C$8+'Inputs 2'!$C$25+$BC8,2))))))</f>
      </c>
      <c r="U8" s="7">
        <f>IF($B8="","",IF(VLOOKUP($AN8,StateTables!$A$6:$AB$56,24,FALSE)="flatq",IF(OR(MONTH($B8)=1,MONTH($B8)=4,MONTH($B8)=7,MONTH($B8)=10),VLOOKUP($AN8,StateTables!$A$6:$AB$56,25,FALSE),0),IF(VLOOKUP($AN8,StateTables!$A$6:$AB$56,24,FALSE)="dbl",MIN(ROUND(0.005*$N8,2),ROUND(0.6*52/'Inputs 2'!$C$8,2)),IF(OR(VLOOKUP($AN8,StateTables!$A$6:$AB$56,15,FALSE)="",VLOOKUP($AN8,StateTables!$A$6:$AB$56,15,FALSE)=0),0,ROUND(VLOOKUP($AN8,StateTables!$A$6:$AB$56,15,FALSE)*IF(OR(VLOOKUP($AN8,StateTables!$A$6:$AB$56,16,FALSE)="",VLOOKUP($AN8,StateTables!$A$6:$AB$56,16,FALSE)=0),$N8,MIN($N8,MAX(0,VLOOKUP($AN8,StateTables!$A$6:$AB$56,16,FALSE)-($AX8+$AB7-$AW8)))),2))))+IF(VLOOKUP($AN8,StateTables!$A$6:$AB$56,27,FALSE)="flatq",IF(OR(MONTH($B8)=1,MONTH($B8)=4,MONTH($B8)=7,MONTH($B8)=10),VLOOKUP($AN8,StateTables!$A$6:$AB$56,28,FALSE),0),IF(VLOOKUP($AN8,StateTables!$A$6:$AB$56,27,FALSE)="dbl",MIN(ROUND(0.005*$N8,2),ROUND(0.6*52/'Inputs 2'!$C$8,2)),IF(OR(VLOOKUP($AN8,StateTables!$A$6:$AB$56,18,FALSE)="",VLOOKUP($AN8,StateTables!$A$6:$AB$56,18,FALSE)=0),0,ROUND(VLOOKUP($AN8,StateTables!$A$6:$AB$56,18,FALSE)*IF(OR(VLOOKUP($AN8,StateTables!$A$6:$AB$56,19,FALSE)="",VLOOKUP($AN8,StateTables!$A$6:$AB$56,19,FALSE)=0),$N8,MIN($N8,MAX(0,VLOOKUP($AN8,StateTables!$A$6:$AB$56,19,FALSE)-($AX8+$AB7-$AW8)))),2)))))</f>
      </c>
      <c r="V8" s="7">
        <f>IF($B8="","",IF($AN8="NY",IF('Inputs 2'!$C$78,ROUND(SUMPRODUCT((MAX(0,($O8-$D8)*'Inputs 2'!$C$8-(IF($AU8="Married",5500,5000)+1000*$AS8))&gt;INDEX('Methodology &amp; Sources'!$B$184:$J$198,0,4))*(MAX(0,($O8-$D8)*'Inputs 2'!$C$8-(IF($AU8="Married",5500,5000)+1000*$AS8))-INDEX('Methodology &amp; Sources'!$B$184:$J$198,0,4))*INDEX('Methodology &amp; Sources'!$B$184:$J$198,0,4+2))/'Inputs 2'!$C$8+0.0425*$D8,2),0)+IF('Inputs 2'!$C$79="Resident",ROUND(0.1675*$T8,2),IF('Inputs 2'!$C$79="Nonresident",ROUND(0.005*MAX(0,($O8-$D8)-(IF($AU8="Married",7950,7400)+1000*$AS8)/'Inputs 2'!$C$8),2),0)),IF($AN8="PA",IF('Inputs 2'!$C$80="None",'Inputs 2'!$C$27+ROUND('Inputs 2'!$C$81*($C8+$D8),2),ROUND(IF('Inputs 2'!$C$80="Resident",IF($B8&lt;DATE(2027,7,1),0.03735,0.03735),IF($B8&lt;DATE(2027,7,1),0.03425,0.03425))*($C8+$D8),2)),IF($BF8=0,ROUND('Inputs 2'!$C$81*($C8+$D8),2),'Inputs 2'!$C$27+ROUND('Inputs 2'!$C$81*($C8+$D8),2)))))</f>
      </c>
      <c r="W8" s="7">
        <f>IF($B8="","",IF($BF8=0,0,$BP8))</f>
      </c>
      <c r="X8" s="7">
        <f>IF($B8="","",SUM($E8:$K8)+$P8+$Q8+$R8+$S8+$T8+$U8+$V8+$W8)</f>
      </c>
      <c r="Y8" s="22">
        <f>IF($B8="","",$C8+$D8-$X8)</f>
      </c>
      <c r="Z8" s="7">
        <f>IF($B8="","",$Z7+$C8+$D8)</f>
      </c>
      <c r="AA8" s="7">
        <f>IF($B8="","",$AA7+$Y8)</f>
      </c>
      <c r="AB8" s="7">
        <f>IF($B8="","",$AB7+MIN($N8,MAX(0,'Methodology &amp; Sources'!$C$3-($AX8+$AB7-$AW8))))</f>
      </c>
      <c r="AC8" s="7">
        <f>IF($B8="","",$AC7+$E8+$F8)</f>
      </c>
      <c r="AD8" s="3">
        <f>IF($B8="","",IF(AND($AB7&lt;'Methodology &amp; Sources'!$C$3,$AB8&gt;='Methodology &amp; Sources'!$C$3),"★ Social Security maxed on this check — from the next check your net rises by about $"&amp;TEXT(ROUND('Methodology &amp; Sources'!$C$4*$N8,2),"#,##0.00")&amp;". ","")&amp;IF(AND($AC7&lt;'Inputs 2'!$C$34,$AC8&gt;='Inputs 2'!$C$34),"★ 401(k) reaches the $"&amp;TEXT('Inputs 2'!$C$34,"#,##0")&amp;" cap on this check — deferrals stop and net pay rises. ","")&amp;IF(AND($AG7&lt;'Methodology &amp; Sources'!$C$7,$AG8&gt;='Methodology &amp; Sources'!$C$7),"★ Wages pass $200,000 — the 0.9% Additional Medicare Tax starts here. ","")&amp;IF(AND($BJ8&gt;0,$H8&gt;0,$BG7&lt;MIN($BJ8,'Methodology &amp; Sources'!$C$13),$BG7+$H8&gt;=MIN($BJ8,'Methodology &amp; Sources'!$C$13)),"★ Health FSA election is now fully deferred for the year. ",""))</f>
      </c>
      <c r="AE8" s="41" t="n"/>
      <c r="AF8" s="7">
        <f>IF(OR($B8="",$AE8=""),"",$AE8-$Y8)</f>
      </c>
      <c r="AG8" s="7">
        <f>IF($B8="","",$AG7+$N8)</f>
      </c>
      <c r="AH8" s="7">
        <f>IF($B8="","",MAX(0,($M8-$D8)*'Inputs 2'!$C$8+$AP8-$AQ8-IF('Inputs 2'!$C$13,0,IF('Inputs 2'!$C$12="MFJ",'Methodology &amp; Sources'!$C$8,'Methodology &amp; Sources'!$C$9))))</f>
      </c>
      <c r="AI8" s="7">
        <f>IF($B8="","",$O8*'Inputs 2'!$C$8)</f>
      </c>
      <c r="AJ8" s="7">
        <f>IF($B8="","",MAX(0,$AI8-VLOOKUP($AN8,StateTables!$A$6:$AB$56,12,FALSE)*$AT8-IF(($AS8+$AT8)&gt;=2,VLOOKUP($AN8,StateTables!$A$6:$AB$56,8,FALSE),VLOOKUP($AN8,StateTables!$A$6:$AB$56,7,FALSE))))</f>
      </c>
      <c r="AK8" s="7">
        <f>IF($B8="","",IFERROR(LOOKUP(2,1/(('Events 2'!$C$6:$C$17="Salary change")*('Events 2'!$B$6:$B$17&lt;=$B8)*('Events 2'!$B$6:$B$17&lt;&gt;"")),'Events 2'!$D$6:$D$17),IF('Inputs 2'!$C$4="Annual salary",'Inputs 2'!$C$5,'Inputs 2'!$C$6)))</f>
      </c>
      <c r="AL8">
        <f>IF($B8="","",IFERROR(LOOKUP(2,1/(('Events 2'!$C$6:$C$17="401(k) change")*('Events 2'!$B$6:$B$17&lt;=$B8)*('Events 2'!$B$6:$B$17&lt;&gt;"")),'Events 2'!$D$6:$D$17),'Inputs 2'!$C$30))</f>
      </c>
      <c r="AM8" s="7">
        <f>IF($B8="","",IFERROR(LOOKUP(2,1/(('Events 2'!$C$6:$C$17="401(k) change")*('Events 2'!$B$6:$B$17&lt;=$B8)*('Events 2'!$B$6:$B$17&lt;&gt;"")),'Events 2'!$E$6:$E$17),'Inputs 2'!$D$30))</f>
      </c>
      <c r="AN8">
        <f>IF($B8="","",IFERROR(LOOKUP(2,1/(('Events 2'!$C$6:$C$17="State move")*('Events 2'!$B$6:$B$17&lt;=$B8)*('Events 2'!$B$6:$B$17&lt;&gt;"")),'Events 2'!$D$6:$D$17),'Inputs 2'!$C$21))</f>
      </c>
      <c r="AO8" s="7">
        <f>IF($B8="","",IFERROR(LOOKUP(2,1/(('Events 2'!$C$6:$C$17="W-4 change")*('Events 2'!$B$6:$B$17&lt;=$B8)*('Events 2'!$B$6:$B$17&lt;&gt;"")),'Events 2'!$D$6:$D$17),'Inputs 2'!$C$14))</f>
      </c>
      <c r="AP8" s="7">
        <f>IF($B8="","",IFERROR(LOOKUP(2,1/(('Events 2'!$C$6:$C$17="W-4 change")*('Events 2'!$B$6:$B$17&lt;=$B8)*('Events 2'!$B$6:$B$17&lt;&gt;"")),'Events 2'!$E$6:$E$17),'Inputs 2'!$C$15))</f>
      </c>
      <c r="AQ8" s="7">
        <f>IF($B8="","",IFERROR(LOOKUP(2,1/(('Events 2'!$C$6:$C$17="W-4 change")*('Events 2'!$B$6:$B$17&lt;=$B8)*('Events 2'!$B$6:$B$17&lt;&gt;"")),'Events 2'!$F$6:$F$17),'Inputs 2'!$C$16))</f>
      </c>
      <c r="AR8" s="7">
        <f>IF($B8="","",IFERROR(LOOKUP(2,1/(('Events 2'!$C$6:$C$17="W-4 change")*('Events 2'!$B$6:$B$17&lt;=$B8)*('Events 2'!$B$6:$B$17&lt;&gt;"")),'Events 2'!$G$6:$G$17),'Inputs 2'!$C$17))</f>
      </c>
      <c r="AS8" s="6">
        <f>IF($B8="","",IFERROR(LOOKUP(2,1/((('Events 2'!$C$6:$C$17="State move")+('Events 2'!$C$6:$C$17="State cert change"))*('Events 2'!$B$6:$B$17&lt;=$B8)*('Events 2'!$B$6:$B$17&lt;&gt;"")),'Events 2'!$F$6:$F$17),'Inputs 2'!$C$23))</f>
      </c>
      <c r="AT8" s="6">
        <f>IF($B8="","",IFERROR(LOOKUP(2,1/((('Events 2'!$C$6:$C$17="State move")+('Events 2'!$C$6:$C$17="State cert change"))*('Events 2'!$B$6:$B$17&lt;=$B8)*('Events 2'!$B$6:$B$17&lt;&gt;"")),'Events 2'!$G$6:$G$17),'Inputs 2'!$C$24))</f>
      </c>
      <c r="AU8">
        <f>IF($B8="","",IFERROR(LOOKUP(2,1/(('Events 2'!$C$6:$C$17="State move")*('Events 2'!$B$6:$B$17&lt;=$B8)*('Events 2'!$B$6:$B$17&lt;&gt;"")),'Events 2'!$E$6:$E$17),'Inputs 2'!$C$22))</f>
      </c>
      <c r="AV8" s="6">
        <f>IF($B8="","",1+COUNTIFS('Events 2'!$C$6:$C$17,"Employer change",'Events 2'!$B$6:$B$17,"&lt;="&amp;$B8,'Events 2'!$B$6:$B$17,"&lt;&gt;"))</f>
      </c>
      <c r="AW8" s="7">
        <f>IF($B8="","",IF($AV8=1,'Inputs 2'!$C$49,IF(IFERROR(MATCH(IFERROR(LOOKUP(2,1/(('Events 2'!$C$6:$C$17="Employer change")*('Events 2'!$B$6:$B$17&lt;=$B8)*('Events 2'!$B$6:$B$17&lt;&gt;"")),'Events 2'!$B$6:$B$17),""),$B$6:$B$68,1),1)&lt;=1,'Inputs 2'!$C$49,INDEX($AB$6:$AB$68,MATCH(IFERROR(LOOKUP(2,1/(('Events 2'!$C$6:$C$17="Employer change")*('Events 2'!$B$6:$B$17&lt;=$B8)*('Events 2'!$B$6:$B$17&lt;&gt;"")),'Events 2'!$B$6:$B$17),""),$B$6:$B$68,1)-1))))</f>
      </c>
      <c r="AX8" s="7">
        <f>IF($B8="","",IF($AV8=1,'Inputs 2'!$C$49,IFERROR(LOOKUP(2,1/(('Events 2'!$C$6:$C$17="Employer change")*('Events 2'!$B$6:$B$17&lt;=$B8)*('Events 2'!$B$6:$B$17&lt;&gt;"")),'Events 2'!$D$6:$D$17),0)))</f>
      </c>
      <c r="AY8" s="7">
        <f>IF($B8="","",($O8-$D8)*'Inputs 2'!$C$8)</f>
      </c>
      <c r="AZ8" s="7">
        <f>IF($B8="","",IF($AN8="AL",MAX(0,$AY8-IF($AU8="Married",IF($AY8&lt;=25999,8500,MAX(5000,8500-175*CEILING(($AY8-25999)/500,1))),IF($AU8="Head of household",IF($AY8&lt;=25999,5200,MAX(2500,5200-135*CEILING(($AY8-25999)/500,1))),IF($AY8&lt;=25999,3000,MAX(2500,3000-25*CEILING(($AY8-25999)/500,1)))))-($P8-'Methodology &amp; Sources'!$C$10*$D8)*'Inputs 2'!$C$8-IF(OR($AU8="Married",$AU8="Head of household"),3000,1500)-$AT8*IF($AY8&lt;=50000,1000,IF($AY8&lt;=100000,500,300))),IF($AN8="AR",IF(MAX(0,$AY8-2470)&lt;97701,INT(MAX(0,$AY8-2470)/100)*100+50,MAX(0,$AY8-2470)),IF($AN8="DE",MAX(0,$AI8-3250),IF($AN8="HI",MAX(0,$AI8-1144*$AS8-4350),IF($AN8="KS",MAX(0,$AI8-(9160*IF($AU8="Married",2,1)+2320*$AT8+IF($AU8="Head of household",2320,0))),IF($AN8="MD",MAX(0,$AI8-3400-3200*$AS8),IF($AN8="MN",MAX(0,$AY8-5300*$AS8),IF($AN8="MO",MAX(0,$AI8-IF($AU8="Head of household",24150,IF($AU8="Married",IF('Inputs 2'!$C$83,16100,32200),16100))),IF($AN8="MT",$AY8,IF($AN8="ND",($C8+$L8)*'Inputs 2'!$C$8,IF($AN8="NE",MAX(0,$AY8-2440*$AS8),IF($AN8="NJ",MAX(0,$AY8-1000*$AS8),IF($AN8="NY",MAX(0,$AY8-(IF($AU8="Married",7950,7400)+1000*$AS8)),IF($AN8="OH",MAX(0,$AY8-650*$AS8),IF($AN8="OK",MAX(0,$AY8-1000*$AS8),IF($AN8="RI",MAX(0,$AI8-1000*$AS8),IF($AN8="SC",MAX(0,$AI8-5000*$AS8-IF($AS8=0,0,MIN(0.1*$AI8,7500))),IF($AN8="VA",MAX(0,$AI8-IF($AU8="Married",17500,8750)-930*$AS8-800*$AT8),IF($AN8="VT",MAX(0,$AI8-5400*$AS8),IF($AN8="WI",MAX(0,$AI8-MAX(0,IF($AU8="Married",9461-0.2*MAX(0,$AI8-25727),6702-0.12*MAX(0,$AI8-17780)))-400*$AS8),IF($AN8="WV",MAX(0,$AI8-2000*$AS8),$AI8))))))))))))))))))))))</f>
      </c>
      <c r="BA8" s="7">
        <f>IF($B8="","",IF($BW8&lt;&gt;"",$BW8,IF($BX8&lt;&gt;"",$BX8,IF($BY8&lt;&gt;"",$BY8,0))))</f>
      </c>
      <c r="BB8" s="7">
        <f>IF($B8="","",IF($AN8="AR",-29*$AS8,IF($AN8="DE",-110*$AS8,IF($AN8="MD",$AZ8*'Inputs 2'!$C$74,IF($AN8="AZ",'Inputs 2'!$C$82*($M8-$D8)*'Inputs 2'!$C$8,IF($AN8="CO",0.044*MAX(0,$AY8-IF($AU8="Married",10000,5000)),IF($AN8="IA",MAX(0,0.038*MAX(0,$AY8-IF($AU8="Head of household",19500,IF($AU8="Married",26000,13000)))-40*$AS8),IF($AN8="ID",0.053*MAX(0,$AY8-IF($AU8="Married",32000,16094)),IF($AN8="IL",0.0495*MAX(0,$AY8-(2925*$AS8+1000*$AT8)),IF($AN8="IN",(0.0295+'Inputs 2'!$C$76)*MAX(0,$AY8-(1000*$AS8+1500*$AT8+3000*'Inputs 2'!$C$86)),IF($AN8="KY",0.035*MAX(0,$AI8-3360),IF($AN8="LA",IF('Inputs 2'!$C$84="0",0.0309*$AI8,0.0309*MAX(0,$AI8-IF('Inputs 2'!$C$84="2",25750,12875))),IF($AN8="MA",0.05*MIN(MAX(0,$AY8-MIN(($BD7+$Q8+$R8+$S8),2000)-IF($AS8=0,0,IF($AS8=1,4400,1000*$AS8+3400))),1107750)+0.09*MAX(0,MAX(0,$AY8-MIN(($BD7+$Q8+$R8+$S8),2000)-IF($AS8=0,0,IF($AS8=1,4400,1000*$AS8+3400)))-1107750)-IF($AU8="Head of household",120,0)-110*'Inputs 2'!$C$75,IF($AN8="MI",0.0425*MAX(0,$AY8-5900*$AS8),IF($AN8="MS",0.04*MAX(0,$AI8-IF($AU8="Head of household",3400,IF($AU8="Married",4600,2300))-'Inputs 2'!$C$85-10000),IF($AN8="OR",IF(OR($AU8="Married",AND($AU8="Single",$AS8&gt;=3)),SUMPRODUCT((MAX(0,$AY8-MIN(($P8-'Methodology &amp; Sources'!$C$10*$D8)*'Inputs 2'!$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Sources'!$B$211:$J$214,0,4))*(MAX(0,$AY8-MIN(($P8-'Methodology &amp; Sources'!$C$10*$D8)*'Inputs 2'!$C$8,IF(OR($AU8="Married",AND($AU8="Single",$AS8&gt;=3)),IF($AY8&lt;250000,8750,IF($AY8&lt;260000,7000,IF($AY8&lt;270000,5250,IF($AY8&lt;280000,3500,IF($AY8&lt;290000,1750,0))))),IF($AY8&lt;125000,8750,IF($AY8&lt;130000,7000,IF($AY8&lt;135000,5250,IF($AY8&lt;140000,3500,IF($AY8&lt;145000,1750,0)))))))-IF(OR($AU8="Married",AND($AU8="Single",$AS8&gt;=3)),5820,2910))-INDEX('Methodology &amp; Sources'!$B$211:$J$214,0,4))*INDEX('Methodology &amp; Sources'!$B$211:$J$214,0,4+2)),SUMPRODUCT((MAX(0,$AY8-MIN(($P8-'Methodology &amp; Sources'!$C$10*$D8)*'Inputs 2'!$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Sources'!$B$211:$J$214,0,1))*(MAX(0,$AY8-MIN(($P8-'Methodology &amp; Sources'!$C$10*$D8)*'Inputs 2'!$C$8,IF(OR($AU8="Married",AND($AU8="Single",$AS8&gt;=3)),IF($AY8&lt;250000,8750,IF($AY8&lt;260000,7000,IF($AY8&lt;270000,5250,IF($AY8&lt;280000,3500,IF($AY8&lt;290000,1750,0))))),IF($AY8&lt;125000,8750,IF($AY8&lt;130000,7000,IF($AY8&lt;135000,5250,IF($AY8&lt;140000,3500,IF($AY8&lt;145000,1750,0)))))))-IF(OR($AU8="Married",AND($AU8="Single",$AS8&gt;=3)),5820,2910))-INDEX('Methodology &amp; Sources'!$B$211:$J$214,0,1))*INDEX('Methodology &amp; Sources'!$B$211:$J$214,0,1+2)))+263-263*IF(IF($AU8="Married",$AY8&gt;200000,$AY8&gt;100000),0,$AS8),IF($AN8="PA",0.0307*(($O8+$E8+$G8)*'Inputs 2'!$C$8),IF($AN8="NY",IF($AU8="Married",IF($AZ8&gt;=2155350,0,IF($AZ8&gt;=1077550,0.48,IF($AZ8&gt;=373200,1.21,IF($AZ8&gt;=323200,0.21,IF($AZ8&gt;=211550,-0.19,IF($AZ8&gt;=157650,-2.8,IF($AZ8&gt;=107650,-0.8,IF($AZ8&gt;=96800,0.05,IF($AZ8&gt;=80650,-0.1,IF($AZ8&gt;=13900,0.4,IF($AZ8&gt;=11700,-0.3,IF($AZ8&gt;=8500,0.5,0)))))))))))),IF($AZ8&gt;=1077550,0,IF($AZ8&gt;=265400,4.29,IF($AZ8&gt;=215400,2.29,IF($AZ8&gt;=157650,2.29,IF($AZ8&gt;=107650,0.29,IF($AZ8&gt;=96800,0.05,IF($AZ8&gt;=80650,-0.1,IF($AZ8&gt;=13900,0.4,IF($AZ8&gt;=11700,-0.3,IF($AZ8&gt;=8500,0.5,0))))))))))),0))))))))))))))))))</f>
      </c>
      <c r="BC8" s="7">
        <f>IF($B8="","",IF($AN8="AL",0.05*$D8,IF($AN8="AR",0.039*$D8,IF($AN8="ID",0.053*$D8,IF($AN8="IN",(0.0295+'Inputs 2'!$C$76)*$D8,IF($AN8="KS",0.05*$D8,IF($AN8="MA",0.09*MIN($D8,MAX(0,MAX(0,$AY8-MIN(($BD7+$Q8+$R8+$S8),2000)-IF($AS8=0,0,IF($AS8=1,4400,1000*$AS8+3400)))+$D8-1107750))+0.05*($D8-MIN($D8,MAX(0,MAX(0,$AY8-MIN(($BD7+$Q8+$R8+$S8),2000)-IF($AS8=0,0,IF($AS8=1,4400,1000*$AS8+3400)))+$D8-1107750))),IF($AN8="MD",(0.065+'Inputs 2'!$C$74)*$D8,IF($AN8="MI",0.0425*$D8,IF($AN8="MN",0.0625*$D8,IF($AN8="MO",0.047*$D8,IF($AN8="MT",0.05*$D8,IF($AN8="ND",0.015*$D8,IF($AN8="NE",0.035*$D8,IF($AN8="NJ",IF('Inputs 2'!$C$77="B",SUMPRODUCT(($D8*'Inputs 2'!$C$8&gt;INDEX('Methodology &amp; Sources'!$B$155:$J$162,0,4))*($D8*'Inputs 2'!$C$8-INDEX('Methodology &amp; Sources'!$B$155:$J$162,0,4))*INDEX('Methodology &amp; Sources'!$B$155:$J$162,0,4+2)),IF('Inputs 2'!$C$77="C",SUMPRODUCT(($D8*'Inputs 2'!$C$8&gt;INDEX('Methodology &amp; Sources'!$B$155:$J$162,0,7))*($D8*'Inputs 2'!$C$8-INDEX('Methodology &amp; Sources'!$B$155:$J$162,0,7))*INDEX('Methodology &amp; Sources'!$B$155:$J$162,0,7+2)),IF('Inputs 2'!$C$77="D",SUMPRODUCT(($D8*'Inputs 2'!$C$8&gt;INDEX('Methodology &amp; Sources'!$B$167:$J$179,0,1))*($D8*'Inputs 2'!$C$8-INDEX('Methodology &amp; Sources'!$B$167:$J$179,0,1))*INDEX('Methodology &amp; Sources'!$B$167:$J$179,0,1+2)),IF('Inputs 2'!$C$77="E",SUMPRODUCT(($D8*'Inputs 2'!$C$8&gt;INDEX('Methodology &amp; Sources'!$B$167:$J$179,0,4))*($D8*'Inputs 2'!$C$8-INDEX('Methodology &amp; Sources'!$B$167:$J$179,0,4))*INDEX('Methodology &amp; Sources'!$B$167:$J$179,0,4+2)),SUMPRODUCT(($D8*'Inputs 2'!$C$8&gt;INDEX('Methodology &amp; Sources'!$B$155:$J$162,0,1))*($D8*'Inputs 2'!$C$8-INDEX('Methodology &amp; Sources'!$B$155:$J$162,0,1))*INDEX('Methodology &amp; Sources'!$B$155:$J$162,0,1+2))))))/'Inputs 2'!$C$8,IF($AN8="NY",0.117*$D8,IF($AN8="OH",0.0275*$D8,IF($AN8="OK",0.045*$D8,IF($AN8="OR",0.08*$D8,IF($AN8="WI",IF($AY8&lt;12760,0.0354,IF($AY8&lt;25520,0.0465,IF($AY8&lt;280950,0.053,0.0765)))*$D8,0))))))))))))))))))))</f>
      </c>
      <c r="BD8" s="7">
        <f>IF($B8="","",$BD7+$Q8+$R8+$S8)</f>
      </c>
      <c r="BE8" s="6">
        <f>IF($B8="",$BE7,$BE7+$BF8)</f>
      </c>
      <c r="BF8" s="6">
        <f>IF($B8="","",IF(AND(IF(YEAR(IF('Inputs 2'!$C$7="Weekly",'Inputs 2'!$C$9+7*(($BE7+1)-1),IF('Inputs 2'!$C$7="Biweekly",'Inputs 2'!$C$9+14*(($BE7+1)-1),IF('Inputs 2'!$C$7="Semimonthly",DATE(YEAR('Inputs 2'!$C$9),MONTH('Inputs 2'!$C$9)+INT((($BE7+1)-1)/2),MIN(DAY('Inputs 2'!$C$9),DAY(EOMONTH(DATE(YEAR('Inputs 2'!$C$9),MONTH('Inputs 2'!$C$9)+INT((($BE7+1)-1)/2),1),0))))+IF(MOD(($BE7+1)-1,2)=1,15,0),EDATE('Inputs 2'!$C$9,($BE7+1)-1)))))&lt;&gt;'Inputs 2'!$C$10,"",IF('Inputs 2'!$C$7="Weekly",'Inputs 2'!$C$9+7*(($BE7+1)-1),IF('Inputs 2'!$C$7="Biweekly",'Inputs 2'!$C$9+14*(($BE7+1)-1),IF('Inputs 2'!$C$7="Semimonthly",DATE(YEAR('Inputs 2'!$C$9),MONTH('Inputs 2'!$C$9)+INT((($BE7+1)-1)/2),MIN(DAY('Inputs 2'!$C$9),DAY(EOMONTH(DATE(YEAR('Inputs 2'!$C$9),MONTH('Inputs 2'!$C$9)+INT((($BE7+1)-1)/2),1),0))))+IF(MOD(($BE7+1)-1,2)=1,15,0),EDATE('Inputs 2'!$C$9,($BE7+1)-1)))))&lt;&gt;"",$B8=IF(YEAR(IF('Inputs 2'!$C$7="Weekly",'Inputs 2'!$C$9+7*(($BE7+1)-1),IF('Inputs 2'!$C$7="Biweekly",'Inputs 2'!$C$9+14*(($BE7+1)-1),IF('Inputs 2'!$C$7="Semimonthly",DATE(YEAR('Inputs 2'!$C$9),MONTH('Inputs 2'!$C$9)+INT((($BE7+1)-1)/2),MIN(DAY('Inputs 2'!$C$9),DAY(EOMONTH(DATE(YEAR('Inputs 2'!$C$9),MONTH('Inputs 2'!$C$9)+INT((($BE7+1)-1)/2),1),0))))+IF(MOD(($BE7+1)-1,2)=1,15,0),EDATE('Inputs 2'!$C$9,($BE7+1)-1)))))&lt;&gt;'Inputs 2'!$C$10,"",IF('Inputs 2'!$C$7="Weekly",'Inputs 2'!$C$9+7*(($BE7+1)-1),IF('Inputs 2'!$C$7="Biweekly",'Inputs 2'!$C$9+14*(($BE7+1)-1),IF('Inputs 2'!$C$7="Semimonthly",DATE(YEAR('Inputs 2'!$C$9),MONTH('Inputs 2'!$C$9)+INT((($BE7+1)-1)/2),MIN(DAY('Inputs 2'!$C$9),DAY(EOMONTH(DATE(YEAR('Inputs 2'!$C$9),MONTH('Inputs 2'!$C$9)+INT((($BE7+1)-1)/2),1),0))))+IF(MOD(($BE7+1)-1,2)=1,15,0),EDATE('Inputs 2'!$C$9,($BE7+1)-1)))))),1,0))</f>
      </c>
      <c r="BG8" s="7">
        <f>IF($B8="","",$BG7+$H8)</f>
      </c>
      <c r="BH8" s="7">
        <f>IF($B8="","",$BH7+$I8)</f>
      </c>
      <c r="BI8" s="7">
        <f>IF($B8="","",$BI7+$G8)</f>
      </c>
      <c r="BJ8" s="7">
        <f>IF($B8="","",IFERROR(LOOKUP(2,1/(((('Events 2'!$C$6:$C$17="Deduction start"))*('Events 2'!$D$6:$D$17="Health FSA"))*('Events 2'!$B$6:$B$17&lt;=$B8)*('Events 2'!$B$6:$B$17&lt;&gt;"")),'Events 2'!$E$6:$E$17),'Inputs 2'!$D$38))</f>
      </c>
      <c r="BK8" s="7">
        <f>IF($B8="","",IFERROR(LOOKUP(2,1/(((('Events 2'!$C$6:$C$17="Deduction start"))*('Events 2'!$D$6:$D$17="Dependent-care FSA"))*('Events 2'!$B$6:$B$17&lt;=$B8)*('Events 2'!$B$6:$B$17&lt;&gt;"")),'Events 2'!$E$6:$E$17),'Inputs 2'!$D$39))</f>
      </c>
      <c r="BL8" s="7">
        <f>IF($B8="","",IFERROR(LOOKUP(2,1/(((('Events 2'!$C$6:$C$17="Deduction start")+('Events 2'!$C$6:$C$17="Deduction stop"))*('Events 2'!$D$6:$D$17="HSA"))*('Events 2'!$B$6:$B$17&lt;=$B8)*('Events 2'!$B$6:$B$17&lt;&gt;"")),'Events 2'!$I$6:$I$17),'Inputs 2'!$D$35))</f>
      </c>
      <c r="BM8" s="7">
        <f>IF($B8="","",IFERROR(LOOKUP(2,1/(((('Events 2'!$C$6:$C$17="Deduction start")+('Events 2'!$C$6:$C$17="Deduction stop"))*('Events 2'!$D$6:$D$17="Premiums"))*('Events 2'!$B$6:$B$17&lt;=$B8)*('Events 2'!$B$6:$B$17&lt;&gt;"")),'Events 2'!$I$6:$I$17),'Inputs 2'!$D$40+'Inputs 2'!$D$41+'Inputs 2'!$D$42))</f>
      </c>
      <c r="BN8" s="7">
        <f>IF($B8="","",IFERROR(LOOKUP(2,1/(((('Events 2'!$C$6:$C$17="Deduction start")+('Events 2'!$C$6:$C$17="Deduction stop"))*('Events 2'!$D$6:$D$17="Commuter"))*('Events 2'!$B$6:$B$17&lt;=$B8)*('Events 2'!$B$6:$B$17&lt;&gt;"")),'Events 2'!$I$6:$I$17),'Inputs 2'!$D$43))</f>
      </c>
      <c r="BO8" s="7">
        <f>IF($B8="","",IFERROR(LOOKUP(2,1/(((('Events 2'!$C$6:$C$17="Deduction start")+('Events 2'!$C$6:$C$17="Deduction stop"))*('Events 2'!$D$6:$D$17="Other pre-tax"))*('Events 2'!$B$6:$B$17&lt;=$B8)*('Events 2'!$B$6:$B$17&lt;&gt;"")),'Events 2'!$I$6:$I$17),'Inputs 2'!$D$44))</f>
      </c>
      <c r="BP8" s="7">
        <f>IF($B8="","",IFERROR(LOOKUP(2,1/(((('Events 2'!$C$6:$C$17="Deduction start")+('Events 2'!$C$6:$C$17="Deduction stop"))*('Events 2'!$D$6:$D$17="Other post-tax"))*('Events 2'!$B$6:$B$17&lt;=$B8)*('Events 2'!$B$6:$B$17&lt;&gt;"")),'Events 2'!$I$6:$I$17),'Inputs 2'!$D$45))</f>
      </c>
      <c r="BQ8" s="6">
        <f>IF($B8="","",IFERROR(LOOKUP(2,1/(((('Events 2'!$C$6:$C$17="Deduction start")+('Events 2'!$C$6:$C$17="Deduction stop"))*('Events 2'!$D$6:$D$17="Health FSA"))*('Events 2'!$B$6:$B$17&lt;=$B8)*('Events 2'!$B$6:$B$17&lt;&gt;"")),'Events 2'!$J$6:$J$17),0))</f>
      </c>
      <c r="BR8" s="6">
        <f>IF($B8="","",IFERROR(LOOKUP(2,1/(((('Events 2'!$C$6:$C$17="Deduction start")+('Events 2'!$C$6:$C$17="Deduction stop"))*('Events 2'!$D$6:$D$17="Dependent-care FSA"))*('Events 2'!$B$6:$B$17&lt;=$B8)*('Events 2'!$B$6:$B$17&lt;&gt;"")),'Events 2'!$J$6:$J$17),0))</f>
      </c>
      <c r="BS8" s="6">
        <f>IF($B8="","",IF(SUMPRODUCT(('Events 2'!$C$6:$C$17="Deduction start")*('Events 2'!$B$6:$B$17&lt;=$B8)*('Events 2'!$B$6:$B$17&lt;&gt;"")*('Events 2'!$D$6:$D$17="Health FSA"))&gt;0,1,0))</f>
      </c>
      <c r="BT8" s="6">
        <f>IF($B8="","",IF(SUMPRODUCT(('Events 2'!$C$6:$C$17="Deduction start")*('Events 2'!$B$6:$B$17&lt;=$B8)*('Events 2'!$B$6:$B$17&lt;&gt;"")*('Events 2'!$D$6:$D$17="Dependent-care FSA"))&gt;0,1,0))</f>
      </c>
      <c r="BU8" s="24">
        <f>IF($B8="","",IF('Inputs 2'!$C$13,SUMPRODUCT(($AH8&gt;=INDEX('Methodology &amp; Sources'!$B$29:$J$36,0,IF('Inputs 2'!$C$12="MFJ",1,IF('Inputs 2'!$C$12="HoH",7,4))))*INDEX('Methodology &amp; Sources'!$B$29:$J$36,0,IF('Inputs 2'!$C$12="MFJ",1,IF('Inputs 2'!$C$12="HoH",7,4))+2)),SUMPRODUCT(($AH8&gt;=INDEX('Methodology &amp; Sources'!$B$19:$J$26,0,IF('Inputs 2'!$C$12="MFJ",1,IF('Inputs 2'!$C$12="HoH",7,4))))*INDEX('Methodology &amp; Sources'!$B$19:$J$26,0,IF('Inputs 2'!$C$12="MFJ",1,IF('Inputs 2'!$C$12="HoH",7,4))+2))))</f>
      </c>
      <c r="BV8" s="24">
        <f>IF($B8="","",IF($BZ8&lt;&gt;"",$BZ8,IF($CA8&lt;&gt;"",$CA8,IF($CB8&lt;&gt;"",$CB8,IF($CC8&lt;&gt;"",$CC8,0)))))</f>
      </c>
      <c r="BW8" s="7">
        <f>IF($B8="","",IF($AN8="MD",IF(OR($AU8="Married",$AU8="Head of household"),SUMPRODUCT(($AZ8&gt;INDEX('Methodology &amp; Sources'!$B$114:$J$120,0,1))*($AZ8-INDEX('Methodology &amp; Sources'!$B$114:$J$120,0,1))*INDEX('Methodology &amp; Sources'!$B$114:$J$120,0,1+2)),SUMPRODUCT(($AZ8&gt;INDEX('Methodology &amp; Sources'!$B$103:$J$109,0,7))*($AZ8-INDEX('Methodology &amp; Sources'!$B$103:$J$109,0,7))*INDEX('Methodology &amp; Sources'!$B$103:$J$109,0,7+2))),IF($AN8="MO",SUMPRODUCT(($AZ8&gt;INDEX('Methodology &amp; Sources'!$B$125:$J$132,0,1))*($AZ8-INDEX('Methodology &amp; Sources'!$B$125:$J$132,0,1))*INDEX('Methodology &amp; Sources'!$B$125:$J$132,0,1+2)),IF($AN8="MT",IF($AU8="Head of household",SUMPRODUCT(($AZ8&gt;INDEX('Methodology &amp; Sources'!$B$137:$J$139,0,1))*($AZ8-INDEX('Methodology &amp; Sources'!$B$137:$J$139,0,1))*INDEX('Methodology &amp; Sources'!$B$137:$J$139,0,1+2)),IF($AU8="Married",SUMPRODUCT(($AZ8&gt;INDEX('Methodology &amp; Sources'!$B$125:$J$132,0,7))*($AZ8-INDEX('Methodology &amp; Sources'!$B$125:$J$132,0,7))*INDEX('Methodology &amp; Sources'!$B$125:$J$132,0,7+2)),SUMPRODUCT(($AZ8&gt;INDEX('Methodology &amp; Sources'!$B$125:$J$132,0,4))*($AZ8-INDEX('Methodology &amp; Sources'!$B$125:$J$132,0,4))*INDEX('Methodology &amp; Sources'!$B$125:$J$132,0,4+2)))),IF($AN8="ND",IF($AU8="Head of household",SUMPRODUCT(($AZ8&gt;INDEX('Methodology &amp; Sources'!$B$144:$J$150,0,1))*($AZ8-INDEX('Methodology &amp; Sources'!$B$144:$J$150,0,1))*INDEX('Methodology &amp; Sources'!$B$144:$J$150,0,1+2)),IF($AU8="Married",SUMPRODUCT(($AZ8&gt;INDEX('Methodology &amp; Sources'!$B$137:$J$139,0,7))*($AZ8-INDEX('Methodology &amp; Sources'!$B$137:$J$139,0,7))*INDEX('Methodology &amp; Sources'!$B$137:$J$139,0,7+2)),SUMPRODUCT(($AZ8&gt;INDEX('Methodology &amp; Sources'!$B$137:$J$139,0,4))*($AZ8-INDEX('Methodology &amp; Sources'!$B$137:$J$139,0,4))*INDEX('Methodology &amp; Sources'!$B$137:$J$139,0,4+2)))),IF($AN8="NJ",IF('Inputs 2'!$C$77="B",SUMPRODUCT(($AZ8&gt;INDEX('Methodology &amp; Sources'!$B$155:$J$162,0,4))*($AZ8-INDEX('Methodology &amp; Sources'!$B$155:$J$162,0,4))*INDEX('Methodology &amp; Sources'!$B$155:$J$162,0,4+2)),IF('Inputs 2'!$C$77="C",SUMPRODUCT(($AZ8&gt;INDEX('Methodology &amp; Sources'!$B$155:$J$162,0,7))*($AZ8-INDEX('Methodology &amp; Sources'!$B$155:$J$162,0,7))*INDEX('Methodology &amp; Sources'!$B$155:$J$162,0,7+2)),IF('Inputs 2'!$C$77="D",SUMPRODUCT(($AZ8&gt;INDEX('Methodology &amp; Sources'!$B$167:$J$179,0,1))*($AZ8-INDEX('Methodology &amp; Sources'!$B$167:$J$179,0,1))*INDEX('Methodology &amp; Sources'!$B$167:$J$179,0,1+2)),IF('Inputs 2'!$C$77="E",SUMPRODUCT(($AZ8&gt;INDEX('Methodology &amp; Sources'!$B$167:$J$179,0,4))*($AZ8-INDEX('Methodology &amp; Sources'!$B$167:$J$179,0,4))*INDEX('Methodology &amp; Sources'!$B$167:$J$179,0,4+2)),SUMPRODUCT(($AZ8&gt;INDEX('Methodology &amp; Sources'!$B$155:$J$162,0,1))*($AZ8-INDEX('Methodology &amp; Sources'!$B$155:$J$162,0,1))*INDEX('Methodology &amp; Sources'!$B$155:$J$162,0,1+2)))))),IF($AN8="NY",IF($AU8="Married",IF($AZ8&gt;=2155350,$AZ8*IF($AZ8&gt;25000000,0.117,IF($AZ8&gt;5000000,0.111,0.1045)),SUMPRODUCT(($AZ8&gt;INDEX('Methodology &amp; Sources'!$B$184:$J$198,0,1))*($AZ8-INDEX('Methodology &amp; Sources'!$B$184:$J$198,0,1))*INDEX('Methodology &amp; Sources'!$B$184:$J$198,0,1+2))),IF($AZ8&gt;=1077550,$AZ8*IF($AZ8&gt;25000000,0.117,IF($AZ8&gt;5000000,0.111,0.1045)),SUMPRODUCT(($AZ8&gt;INDEX('Methodology &amp; Sources'!$B$167:$J$179,0,7))*($AZ8-INDEX('Methodology &amp; Sources'!$B$167:$J$179,0,7))*INDEX('Methodology &amp; Sources'!$B$167:$J$179,0,7+2)))),"")))))))</f>
      </c>
      <c r="BX8" s="7">
        <f>IF($B8="","",IF($AN8="AL",IF(OR($AU8="Married",$AU8="Head of household"),SUMPRODUCT(($AZ8&gt;INDEX('Methodology &amp; Sources'!$B$82:$J$86,0,4))*($AZ8-INDEX('Methodology &amp; Sources'!$B$82:$J$86,0,4))*INDEX('Methodology &amp; Sources'!$B$82:$J$86,0,4+2)),SUMPRODUCT(($AZ8&gt;INDEX('Methodology &amp; Sources'!$B$82:$J$86,0,1))*($AZ8-INDEX('Methodology &amp; Sources'!$B$82:$J$86,0,1))*INDEX('Methodology &amp; Sources'!$B$82:$J$86,0,1+2))),IF($AN8="KS",IF($AU8="Married",SUMPRODUCT(($AZ8&gt;INDEX('Methodology &amp; Sources'!$B$103:$J$109,0,4))*($AZ8-INDEX('Methodology &amp; Sources'!$B$103:$J$109,0,4))*INDEX('Methodology &amp; Sources'!$B$103:$J$109,0,4+2)),SUMPRODUCT(($AZ8&gt;INDEX('Methodology &amp; Sources'!$B$103:$J$109,0,1))*($AZ8-INDEX('Methodology &amp; Sources'!$B$103:$J$109,0,1))*INDEX('Methodology &amp; Sources'!$B$103:$J$109,0,1+2))),IF($AN8="MN",IF($AU8="Married",SUMPRODUCT(($AZ8&gt;INDEX('Methodology &amp; Sources'!$B$114:$J$120,0,7))*($AZ8-INDEX('Methodology &amp; Sources'!$B$114:$J$120,0,7))*INDEX('Methodology &amp; Sources'!$B$114:$J$120,0,7+2)),SUMPRODUCT(($AZ8&gt;INDEX('Methodology &amp; Sources'!$B$114:$J$120,0,4))*($AZ8-INDEX('Methodology &amp; Sources'!$B$114:$J$120,0,4))*INDEX('Methodology &amp; Sources'!$B$114:$J$120,0,4+2))),IF($AN8="NE",MAX(IF($AU8="Married",SUMPRODUCT(($AZ8&gt;INDEX('Methodology &amp; Sources'!$B$144:$J$150,0,7))*($AZ8-INDEX('Methodology &amp; Sources'!$B$144:$J$150,0,7))*INDEX('Methodology &amp; Sources'!$B$144:$J$150,0,7+2)),SUMPRODUCT(($AZ8&gt;INDEX('Methodology &amp; Sources'!$B$144:$J$150,0,4))*($AZ8-INDEX('Methodology &amp; Sources'!$B$144:$J$150,0,4))*INDEX('Methodology &amp; Sources'!$B$144:$J$150,0,4+2))),0.015*$AZ8),IF($AN8="OH",IF($B8&gt;=DATE(2027,8,1),SUMPRODUCT(($AZ8&gt;INDEX('Methodology &amp; Sources'!$B$203:$J$206,0,1))*($AZ8-INDEX('Methodology &amp; Sources'!$B$203:$J$206,0,1))*INDEX('Methodology &amp; Sources'!$B$203:$J$206,0,1+2)),SUMPRODUCT(($AZ8&gt;INDEX('Methodology &amp; Sources'!$B$184:$J$198,0,7))*($AZ8-INDEX('Methodology &amp; Sources'!$B$184:$J$198,0,7))*INDEX('Methodology &amp; Sources'!$B$184:$J$198,0,7+2))),IF($AN8="OK",IF($AU8="Married",SUMPRODUCT(($AZ8&gt;INDEX('Methodology &amp; Sources'!$B$203:$J$206,0,7))*($AZ8-INDEX('Methodology &amp; Sources'!$B$203:$J$206,0,7))*INDEX('Methodology &amp; Sources'!$B$203:$J$206,0,7+2)),SUMPRODUCT(($AZ8&gt;INDEX('Methodology &amp; Sources'!$B$203:$J$206,0,4))*($AZ8-INDEX('Methodology &amp; Sources'!$B$203:$J$206,0,4))*INDEX('Methodology &amp; Sources'!$B$203:$J$206,0,4+2))),IF($AN8="RI",SUMPRODUCT(($AZ8&gt;INDEX('Methodology &amp; Sources'!$B$211:$J$214,0,7))*($AZ8-INDEX('Methodology &amp; Sources'!$B$211:$J$214,0,7))*INDEX('Methodology &amp; Sources'!$B$211:$J$214,0,7+2)),IF($AN8="VT",IF($AU8="Married",SUMPRODUCT(($AZ8&gt;INDEX('Methodology &amp; Sources'!$B$228:$J$232,0,1))*($AZ8-INDEX('Methodology &amp; Sources'!$B$228:$J$232,0,1))*INDEX('Methodology &amp; Sources'!$B$228:$J$232,0,1+2)),SUMPRODUCT(($AZ8&gt;INDEX('Methodology &amp; Sources'!$B$219:$J$223,0,7))*($AZ8-INDEX('Methodology &amp; Sources'!$B$219:$J$223,0,7))*INDEX('Methodology &amp; Sources'!$B$219:$J$223,0,7+2))),IF($AN8="WV",IF($AU8="Married",SUMPRODUCT(($AZ8&gt;INDEX('Methodology &amp; Sources'!$B$237:$J$241,0,7))*($AZ8-INDEX('Methodology &amp; Sources'!$B$237:$J$241,0,7))*INDEX('Methodology &amp; Sources'!$B$237:$J$241,0,7+2)),SUMPRODUCT(($AZ8&gt;INDEX('Methodology &amp; Sources'!$B$228:$J$232,0,7))*($AZ8-INDEX('Methodology &amp; Sources'!$B$228:$J$232,0,7))*INDEX('Methodology &amp; Sources'!$B$228:$J$232,0,7+2))),""))))))))))</f>
      </c>
      <c r="BY8" s="7">
        <f>IF($B8="","",IF($AN8="AR",SUMPRODUCT(($AZ8&gt;INDEX('Methodology &amp; Sources'!$B$82:$J$86,0,7))*($AZ8-INDEX('Methodology &amp; Sources'!$B$82:$J$86,0,7))*INDEX('Methodology &amp; Sources'!$B$82:$J$86,0,7+2)),IF($AN8="DE",SUMPRODUCT(($AZ8&gt;INDEX('Methodology &amp; Sources'!$B$91:$J$98,0,1))*($AZ8-INDEX('Methodology &amp; Sources'!$B$91:$J$98,0,1))*INDEX('Methodology &amp; Sources'!$B$91:$J$98,0,1+2)),IF($AN8="HI",IF($AU8="Married",SUMPRODUCT(($AZ8&gt;INDEX('Methodology &amp; Sources'!$B$91:$J$98,0,7))*($AZ8-INDEX('Methodology &amp; Sources'!$B$91:$J$98,0,7))*INDEX('Methodology &amp; Sources'!$B$91:$J$98,0,7+2)),SUMPRODUCT(($AZ8&gt;INDEX('Methodology &amp; Sources'!$B$91:$J$98,0,4))*($AZ8-INDEX('Methodology &amp; Sources'!$B$91:$J$98,0,4))*INDEX('Methodology &amp; Sources'!$B$91:$J$98,0,4+2))),IF($AN8="SC",SUMPRODUCT(($AZ8&gt;INDEX('Methodology &amp; Sources'!$B$219:$J$223,0,1))*($AZ8-INDEX('Methodology &amp; Sources'!$B$219:$J$223,0,1))*INDEX('Methodology &amp; Sources'!$B$219:$J$223,0,1+2)),IF($AN8="VA",SUMPRODUCT(($AZ8&gt;INDEX('Methodology &amp; Sources'!$B$219:$J$223,0,4))*($AZ8-INDEX('Methodology &amp; Sources'!$B$219:$J$223,0,4))*INDEX('Methodology &amp; Sources'!$B$219:$J$223,0,4+2)),IF($AN8="WI",SUMPRODUCT(($AZ8&gt;INDEX('Methodology &amp; Sources'!$B$228:$J$232,0,4))*($AZ8-INDEX('Methodology &amp; Sources'!$B$228:$J$232,0,4))*INDEX('Methodology &amp; Sources'!$B$228:$J$232,0,4+2)),"")))))))</f>
      </c>
      <c r="BZ8" s="24">
        <f>IF($B8="","",IF($AN8="NJ",IF('Inputs 2'!$C$77="B",SUMPRODUCT(($AZ8&gt;=INDEX('Methodology &amp; Sources'!$B$155:$J$162,0,4))*INDEX('Methodology &amp; Sources'!$B$155:$J$162,0,4+2)),IF('Inputs 2'!$C$77="C",SUMPRODUCT(($AZ8&gt;=INDEX('Methodology &amp; Sources'!$B$155:$J$162,0,7))*INDEX('Methodology &amp; Sources'!$B$155:$J$162,0,7+2)),IF('Inputs 2'!$C$77="D",SUMPRODUCT(($AZ8&gt;=INDEX('Methodology &amp; Sources'!$B$167:$J$179,0,1))*INDEX('Methodology &amp; Sources'!$B$167:$J$179,0,1+2)),IF('Inputs 2'!$C$77="E",SUMPRODUCT(($AZ8&gt;=INDEX('Methodology &amp; Sources'!$B$167:$J$179,0,4))*INDEX('Methodology &amp; Sources'!$B$167:$J$179,0,4+2)),SUMPRODUCT(($AZ8&gt;=INDEX('Methodology &amp; Sources'!$B$155:$J$162,0,1))*INDEX('Methodology &amp; Sources'!$B$155:$J$162,0,1+2)))))),IF($AN8="OR",IF(OR($AU8="Married",AND($AU8="Single",$AS8&gt;=3)),SUMPRODUCT((MAX(0,$AY8-MIN(($P8-'Methodology &amp; Sources'!$C$10*$D8)*'Inputs 2'!$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Sources'!$B$211:$J$214,0,4))*INDEX('Methodology &amp; Sources'!$B$211:$J$214,0,4+2)),SUMPRODUCT((MAX(0,$AY8-MIN(($P8-'Methodology &amp; Sources'!$C$10*$D8)*'Inputs 2'!$C$8,IF(OR($AU8="Married",AND($AU8="Single",$AS8&gt;=3)),IF($AY8&lt;250000,8750,IF($AY8&lt;260000,7000,IF($AY8&lt;270000,5250,IF($AY8&lt;280000,3500,IF($AY8&lt;290000,1750,0))))),IF($AY8&lt;125000,8750,IF($AY8&lt;130000,7000,IF($AY8&lt;135000,5250,IF($AY8&lt;140000,3500,IF($AY8&lt;145000,1750,0)))))))-IF(OR($AU8="Married",AND($AU8="Single",$AS8&gt;=3)),5820,2910))&gt;=INDEX('Methodology &amp; Sources'!$B$211:$J$214,0,1))*INDEX('Methodology &amp; Sources'!$B$211:$J$214,0,1+2)))*IF(($P8-'Methodology &amp; Sources'!$C$10*$D8)*'Inputs 2'!$C$8&gt;=IF(OR($AU8="Married",AND($AU8="Single",$AS8&gt;=3)),IF($AY8&lt;250000,8750,IF($AY8&lt;260000,7000,IF($AY8&lt;270000,5250,IF($AY8&lt;280000,3500,IF($AY8&lt;290000,1750,0))))),IF($AY8&lt;125000,8750,IF($AY8&lt;130000,7000,IF($AY8&lt;135000,5250,IF($AY8&lt;140000,3500,IF($AY8&lt;145000,1750,0)))))),1,1-IF('Inputs 2'!$C$13,SUMPRODUCT(($AH8&gt;=INDEX('Methodology &amp; Sources'!$B$29:$J$36,0,IF('Inputs 2'!$C$12="MFJ",1,IF('Inputs 2'!$C$12="HoH",7,4))))*INDEX('Methodology &amp; Sources'!$B$29:$J$36,0,IF('Inputs 2'!$C$12="MFJ",1,IF('Inputs 2'!$C$12="HoH",7,4))+2)),SUMPRODUCT(($AH8&gt;=INDEX('Methodology &amp; Sources'!$B$19:$J$26,0,IF('Inputs 2'!$C$12="MFJ",1,IF('Inputs 2'!$C$12="HoH",7,4))))*INDEX('Methodology &amp; Sources'!$B$19:$J$26,0,IF('Inputs 2'!$C$12="MFJ",1,IF('Inputs 2'!$C$12="HoH",7,4))+2)))),IF($AN8="MI",IF($AY8&gt;5900*$AS8,0.0425,0),""))))</f>
      </c>
      <c r="CA8" s="24">
        <f>IF($B8="","",IF($AN8="AL",IF(OR($AU8="Married",$AU8="Head of household"),SUMPRODUCT(($AZ8&gt;=INDEX('Methodology &amp; Sources'!$B$82:$J$86,0,4))*INDEX('Methodology &amp; Sources'!$B$82:$J$86,0,4+2)),SUMPRODUCT(($AZ8&gt;=INDEX('Methodology &amp; Sources'!$B$82:$J$86,0,1))*INDEX('Methodology &amp; Sources'!$B$82:$J$86,0,1+2)))*(1-IF('Inputs 2'!$C$13,SUMPRODUCT(($AH8&gt;=INDEX('Methodology &amp; Sources'!$B$29:$J$36,0,IF('Inputs 2'!$C$12="MFJ",1,IF('Inputs 2'!$C$12="HoH",7,4))))*INDEX('Methodology &amp; Sources'!$B$29:$J$36,0,IF('Inputs 2'!$C$12="MFJ",1,IF('Inputs 2'!$C$12="HoH",7,4))+2)),SUMPRODUCT(($AH8&gt;=INDEX('Methodology &amp; Sources'!$B$19:$J$26,0,IF('Inputs 2'!$C$12="MFJ",1,IF('Inputs 2'!$C$12="HoH",7,4))))*INDEX('Methodology &amp; Sources'!$B$19:$J$26,0,IF('Inputs 2'!$C$12="MFJ",1,IF('Inputs 2'!$C$12="HoH",7,4))+2)))),IF($AN8="KS",IF($AU8="Married",SUMPRODUCT(($AZ8&gt;=INDEX('Methodology &amp; Sources'!$B$103:$J$109,0,4))*INDEX('Methodology &amp; Sources'!$B$103:$J$109,0,4+2)),SUMPRODUCT(($AZ8&gt;=INDEX('Methodology &amp; Sources'!$B$103:$J$109,0,1))*INDEX('Methodology &amp; Sources'!$B$103:$J$109,0,1+2))),IF($AN8="MD",IF(OR($AU8="Married",$AU8="Head of household"),SUMPRODUCT(($AZ8&gt;=INDEX('Methodology &amp; Sources'!$B$114:$J$120,0,1))*INDEX('Methodology &amp; Sources'!$B$114:$J$120,0,1+2)),SUMPRODUCT(($AZ8&gt;=INDEX('Methodology &amp; Sources'!$B$103:$J$109,0,7))*INDEX('Methodology &amp; Sources'!$B$103:$J$109,0,7+2)))+'Inputs 2'!$C$74,IF($AN8="MT",IF($AU8="Head of household",SUMPRODUCT(($AZ8&gt;=INDEX('Methodology &amp; Sources'!$B$137:$J$139,0,1))*INDEX('Methodology &amp; Sources'!$B$137:$J$139,0,1+2)),IF($AU8="Married",SUMPRODUCT(($AZ8&gt;=INDEX('Methodology &amp; Sources'!$B$125:$J$132,0,7))*INDEX('Methodology &amp; Sources'!$B$125:$J$132,0,7+2)),SUMPRODUCT(($AZ8&gt;=INDEX('Methodology &amp; Sources'!$B$125:$J$132,0,4))*INDEX('Methodology &amp; Sources'!$B$125:$J$132,0,4+2)))),IF($AN8="ND",IF($AU8="Head of household",SUMPRODUCT(($AZ8&gt;=INDEX('Methodology &amp; Sources'!$B$144:$J$150,0,1))*INDEX('Methodology &amp; Sources'!$B$144:$J$150,0,1+2)),IF($AU8="Married",SUMPRODUCT(($AZ8&gt;=INDEX('Methodology &amp; Sources'!$B$137:$J$139,0,7))*INDEX('Methodology &amp; Sources'!$B$137:$J$139,0,7+2)),SUMPRODUCT(($AZ8&gt;=INDEX('Methodology &amp; Sources'!$B$137:$J$139,0,4))*INDEX('Methodology &amp; Sources'!$B$137:$J$139,0,4+2)))),IF($AN8="NY",IF($AU8="Married",IF($AZ8&gt;=2155350,IF($AZ8&gt;25000000,0.117,IF($AZ8&gt;5000000,0.111,0.1045)),SUMPRODUCT(($AZ8&gt;=INDEX('Methodology &amp; Sources'!$B$184:$J$198,0,1))*INDEX('Methodology &amp; Sources'!$B$184:$J$198,0,1+2))),IF($AZ8&gt;=1077550,IF($AZ8&gt;25000000,0.117,IF($AZ8&gt;5000000,0.111,0.1045)),SUMPRODUCT(($AZ8&gt;=INDEX('Methodology &amp; Sources'!$B$167:$J$179,0,7))*INDEX('Methodology &amp; Sources'!$B$167:$J$179,0,7+2)))),"")))))))</f>
      </c>
      <c r="CB8" s="24">
        <f>IF($B8="","",IF($AN8="CA",SUMPRODUCT(($AJ8&gt;=INDEX('Methodology &amp; Sources'!$B$39:$J$48,0,IF($AU8="Married",4,IF($AU8="Head of household",7,1))))*INDEX('Methodology &amp; Sources'!$B$39:$J$48,0,IF($AU8="Married",4,IF($AU8="Head of household",7,1))+2)),IF($AN8="HI",IF($AU8="Married",SUMPRODUCT(($AZ8&gt;=INDEX('Methodology &amp; Sources'!$B$91:$J$98,0,7))*INDEX('Methodology &amp; Sources'!$B$91:$J$98,0,7+2)),SUMPRODUCT(($AZ8&gt;=INDEX('Methodology &amp; Sources'!$B$91:$J$98,0,4))*INDEX('Methodology &amp; Sources'!$B$91:$J$98,0,4+2))),IF($AN8="MN",IF($AU8="Married",SUMPRODUCT(($AZ8&gt;=INDEX('Methodology &amp; Sources'!$B$114:$J$120,0,7))*INDEX('Methodology &amp; Sources'!$B$114:$J$120,0,7+2)),SUMPRODUCT(($AZ8&gt;=INDEX('Methodology &amp; Sources'!$B$114:$J$120,0,4))*INDEX('Methodology &amp; Sources'!$B$114:$J$120,0,4+2))),IF($AN8="MO",SUMPRODUCT(($AZ8&gt;=INDEX('Methodology &amp; Sources'!$B$125:$J$132,0,1))*INDEX('Methodology &amp; Sources'!$B$125:$J$132,0,1+2)),IF($AN8="NE",MAX(IF($AU8="Married",SUMPRODUCT(($AZ8&gt;=INDEX('Methodology &amp; Sources'!$B$144:$J$150,0,7))*INDEX('Methodology &amp; Sources'!$B$144:$J$150,0,7+2)),SUMPRODUCT(($AZ8&gt;=INDEX('Methodology &amp; Sources'!$B$144:$J$150,0,4))*INDEX('Methodology &amp; Sources'!$B$144:$J$150,0,4+2))),0.015),IF($AN8="OH",IF($B8&gt;=DATE(2027,8,1),SUMPRODUCT(($AZ8&gt;=INDEX('Methodology &amp; Sources'!$B$203:$J$206,0,1))*INDEX('Methodology &amp; Sources'!$B$203:$J$206,0,1+2)),SUMPRODUCT(($AZ8&gt;=INDEX('Methodology &amp; Sources'!$B$184:$J$198,0,7))*INDEX('Methodology &amp; Sources'!$B$184:$J$198,0,7+2))),IF($AN8="OK",IF($AU8="Married",SUMPRODUCT(($AZ8&gt;=INDEX('Methodology &amp; Sources'!$B$203:$J$206,0,7))*INDEX('Methodology &amp; Sources'!$B$203:$J$206,0,7+2)),SUMPRODUCT(($AZ8&gt;=INDEX('Methodology &amp; Sources'!$B$203:$J$206,0,4))*INDEX('Methodology &amp; Sources'!$B$203:$J$206,0,4+2))),IF($AN8="RI",SUMPRODUCT(($AZ8&gt;=INDEX('Methodology &amp; Sources'!$B$211:$J$214,0,7))*INDEX('Methodology &amp; Sources'!$B$211:$J$214,0,7+2)),IF($AN8="SC",SUMPRODUCT(($AZ8&gt;=INDEX('Methodology &amp; Sources'!$B$219:$J$223,0,1))*INDEX('Methodology &amp; Sources'!$B$219:$J$223,0,1+2)),IF($AN8="VT",IF($AU8="Married",SUMPRODUCT(($AZ8&gt;=INDEX('Methodology &amp; Sources'!$B$228:$J$232,0,1))*INDEX('Methodology &amp; Sources'!$B$228:$J$232,0,1+2)),SUMPRODUCT(($AZ8&gt;=INDEX('Methodology &amp; Sources'!$B$219:$J$223,0,7))*INDEX('Methodology &amp; Sources'!$B$219:$J$223,0,7+2))),IF($AN8="WV",IF($AU8="Married",SUMPRODUCT(($AZ8&gt;=INDEX('Methodology &amp; Sources'!$B$237:$J$241,0,7))*INDEX('Methodology &amp; Sources'!$B$237:$J$241,0,7+2)),SUMPRODUCT(($AZ8&gt;=INDEX('Methodology &amp; Sources'!$B$228:$J$232,0,7))*INDEX('Methodology &amp; Sources'!$B$228:$J$232,0,7+2))),IF($AN8="IN",(0.0295+'Inputs 2'!$C$76),"")))))))))))))</f>
      </c>
      <c r="CC8" s="24">
        <f>IF($B8="","",IF($AN8="AR",SUMPRODUCT(($AZ8&gt;=INDEX('Methodology &amp; Sources'!$B$82:$J$86,0,7))*INDEX('Methodology &amp; Sources'!$B$82:$J$86,0,7+2)),IF($AN8="DE",SUMPRODUCT(($AZ8&gt;=INDEX('Methodology &amp; Sources'!$B$91:$J$98,0,1))*INDEX('Methodology &amp; Sources'!$B$91:$J$98,0,1+2)),IF($AN8="VA",SUMPRODUCT(($AZ8&gt;=INDEX('Methodology &amp; Sources'!$B$219:$J$223,0,4))*INDEX('Methodology &amp; Sources'!$B$219:$J$223,0,4+2)),IF($AN8="WI",SUMPRODUCT(($AZ8&gt;=INDEX('Methodology &amp; Sources'!$B$228:$J$232,0,4))*INDEX('Methodology &amp; Sources'!$B$228:$J$232,0,4+2)),IF($AN8="AZ",'Inputs 2'!$C$82,IF($AN8="CO",IF($AY8&gt;IF($AU8="Married",10000,5000),0.044,0),IF($AN8="IA",IF($AY8&gt;IF($AU8="Head of household",19500,IF($AU8="Married",26000,13000)),0.038,0),IF($AN8="ID",IF($AY8&gt;IF($AU8="Married",32000,16094),0.053,0),IF($AN8="IL",IF($AY8&gt;(2925*$AS8+1000*$AT8),0.0495,0),IF($AN8="KY",IF($AI8&gt;3360,0.035,0),IF($AN8="LA",0.0309,IF($AN8="MA",IF(MAX(0,$AY8-MIN(($BD7+$Q8+$R8+$S8),2000)-IF($AS8=0,0,IF($AS8=1,4400,1000*$AS8+3400)))&gt;=1107750,0.09,0.05),IF($AN8="MS",IF($AI8-IF($AU8="Head of household",3400,IF($AU8="Married",4600,2300))-'Inputs 2'!$C$85&gt;10000,0.04,0),IF($AN8="PA",0.0307,"")))))))))))))))</f>
      </c>
      <c r="CD8" s="21">
        <f>IF(YEAR(IF('Inputs 2'!$C$7="Weekly",'Inputs 2'!$C$9+7*(($BE7+1)-1),IF('Inputs 2'!$C$7="Biweekly",'Inputs 2'!$C$9+14*(($BE7+1)-1),IF('Inputs 2'!$C$7="Semimonthly",DATE(YEAR('Inputs 2'!$C$9),MONTH('Inputs 2'!$C$9)+INT((($BE7+1)-1)/2),MIN(DAY('Inputs 2'!$C$9),DAY(EOMONTH(DATE(YEAR('Inputs 2'!$C$9),MONTH('Inputs 2'!$C$9)+INT((($BE7+1)-1)/2),1),0))))+IF(MOD(($BE7+1)-1,2)=1,15,0),EDATE('Inputs 2'!$C$9,($BE7+1)-1)))))&lt;&gt;'Inputs 2'!$C$10,"",IF('Inputs 2'!$C$7="Weekly",'Inputs 2'!$C$9+7*(($BE7+1)-1),IF('Inputs 2'!$C$7="Biweekly",'Inputs 2'!$C$9+14*(($BE7+1)-1),IF('Inputs 2'!$C$7="Semimonthly",DATE(YEAR('Inputs 2'!$C$9),MONTH('Inputs 2'!$C$9)+INT((($BE7+1)-1)/2),MIN(DAY('Inputs 2'!$C$9),DAY(EOMONTH(DATE(YEAR('Inputs 2'!$C$9),MONTH('Inputs 2'!$C$9)+INT((($BE7+1)-1)/2),1),0))))+IF(MOD(($BE7+1)-1,2)=1,15,0),EDATE('Inputs 2'!$C$9,($BE7+1)-1)))))</f>
      </c>
      <c r="CE8" s="21">
        <f>IF(SUMPRODUCT(MIN(IF(('Inputs 2'!$C$58:$C$67&gt;MAX($B$6:$B7))*('Inputs 2'!$C$58:$C$67&gt;=DATE('Inputs 2'!$C$10,1,1))*('Inputs 2'!$C$58:$C$67&lt;=DATE('Inputs 2'!$C$10,12,31)),'Inputs 2'!$C$58:$C$67,999999)))=999999,"",SUMPRODUCT(MIN(IF(('Inputs 2'!$C$58:$C$67&gt;MAX($B$6:$B7))*('Inputs 2'!$C$58:$C$67&gt;=DATE('Inputs 2'!$C$10,1,1))*('Inputs 2'!$C$58:$C$67&lt;=DATE('Inputs 2'!$C$10,12,31)),'Inputs 2'!$C$58:$C$67,999999))))</f>
      </c>
    </row>
    <row r="9">
      <c r="A9" t="n">
        <v>4</v>
      </c>
      <c r="B9" s="21">
        <f>IF(AND($CD9="",$CE9=""),"",IF($CE9="",$CD9,IF($CD9="",$CE9,MIN($CD9,$CE9))))</f>
      </c>
      <c r="C9" s="7">
        <f>IF($B9="","",IF($BF9=0,0,IF('Inputs 2'!$C$4="Annual salary",ROUND($AK9/IF(AND('Inputs 2'!$C$88="Actual paydays",MONTH('Inputs 2'!$C$9)=1),MAX(1,MAX($BE$6:$BE$68)),'Inputs 2'!$C$8),2),$AK9)))</f>
      </c>
      <c r="D9" s="7">
        <f>IF($B9="","",SUMIF('Inputs 2'!$C$58:$C$67,$B9,'Inputs 2'!$D$58:$D$67))</f>
      </c>
      <c r="E9" s="7">
        <f>IF($B9="","",ROUND(MAX(0,MIN(IF($AL9="Percent",$AM9*($C9+$D9),$AM9),MAX(0,'Inputs 2'!$C$34-$AC8))),2))</f>
      </c>
      <c r="F9" s="7">
        <f>IF($B9="","",ROUND(MAX(0,MIN(IF('Inputs 2'!$C$32="Percent",'Inputs 2'!$D$32*($C9+$D9),'Inputs 2'!$D$32),MAX(0,'Inputs 2'!$C$34-$AC8-$E9))),2))</f>
      </c>
      <c r="G9" s="7">
        <f>IF($B9="","",IF($BF9=0,0,ROUND(MAX(0,MIN($BL9,'Inputs 2'!$C$37-'Inputs 2'!$C$54-$BI8)),2)))</f>
      </c>
      <c r="H9" s="7">
        <f>IF($B9="","",IF(OR($BF9=0,$BQ9=1),0,ROUND(MAX(0,MIN(IF($BS9=1,ROUND(MAX(0,MIN($BJ9,'Methodology &amp; Sources'!$C$13)-$BG8)/MAX(1,MAX($BE$6:$BE$68)-($BE8)),2),ROUND(MIN($BJ9,'Methodology &amp; Sources'!$C$13)/'Inputs 2'!$C$8,2)),MIN($BJ9,'Methodology &amp; Sources'!$C$13)-$BG8)),2)))</f>
      </c>
      <c r="I9" s="7">
        <f>IF($B9="","",IF(OR($BF9=0,$BR9=1),0,ROUND(MAX(0,MIN(IF($BT9=1,ROUND(MAX(0,MIN($BK9,IF('Inputs 2'!$C$12="MFJ",'Methodology &amp; Sources'!$C$14,'Methodology &amp; Sources'!$C$15))-$BH8)/MAX(1,MAX($BE$6:$BE$68)-($BE8)),2),ROUND(MIN($BK9,IF('Inputs 2'!$C$12="MFJ",'Methodology &amp; Sources'!$C$14,'Methodology &amp; Sources'!$C$15))/'Inputs 2'!$C$8,2)),MIN($BK9,IF('Inputs 2'!$C$12="MFJ",'Methodology &amp; Sources'!$C$14,'Methodology &amp; Sources'!$C$15))-$BH8)),2)))</f>
      </c>
      <c r="J9" s="7">
        <f>IF($B9="","",IF($BF9=0,0,$BM9))</f>
      </c>
      <c r="K9" s="7">
        <f>IF($B9="","",IF($BF9=0,0,$BN9+$BO9))</f>
      </c>
      <c r="L9" s="7">
        <f>IF($B9="","",IF($BF9=0,0,'Inputs 2'!$D$46))</f>
      </c>
      <c r="M9" s="7">
        <f>IF($B9="","",$C9+$D9+$L9-$E9-$G9-$H9-$I9-$J9-$K9)</f>
      </c>
      <c r="N9" s="7">
        <f>IF($B9="","",$C9+$D9+$L9-$G9-$H9-$I9-$J9-$K9)</f>
      </c>
      <c r="O9" s="7">
        <f>IF($B9="","",$C9+$D9+$L9-$E9-$H9-$I9-$J9-$K9-IF(OR($AN9="CA",$AN9="NJ"),0,$G9))</f>
      </c>
      <c r="P9" s="7">
        <f>IF($B9="","",IF('Inputs 2'!$C$18,0,ROUND(MAX(0,IF('Inputs 2'!$C$13,SUMPRODUCT(($AH9&gt;INDEX('Methodology &amp; Sources'!$B$29:$J$36,0,IF('Inputs 2'!$C$12="MFJ",1,IF('Inputs 2'!$C$12="HoH",7,4))))*($AH9-INDEX('Methodology &amp; Sources'!$B$29:$J$36,0,IF('Inputs 2'!$C$12="MFJ",1,IF('Inputs 2'!$C$12="HoH",7,4))))*INDEX('Methodology &amp; Sources'!$B$29:$J$36,0,IF('Inputs 2'!$C$12="MFJ",1,IF('Inputs 2'!$C$12="HoH",7,4))+2)),SUMPRODUCT(($AH9&gt;INDEX('Methodology &amp; Sources'!$B$19:$J$26,0,IF('Inputs 2'!$C$12="MFJ",1,IF('Inputs 2'!$C$12="HoH",7,4))))*($AH9-INDEX('Methodology &amp; Sources'!$B$19:$J$26,0,IF('Inputs 2'!$C$12="MFJ",1,IF('Inputs 2'!$C$12="HoH",7,4))))*INDEX('Methodology &amp; Sources'!$B$19:$J$26,0,IF('Inputs 2'!$C$12="MFJ",1,IF('Inputs 2'!$C$12="HoH",7,4))+2)))/'Inputs 2'!$C$8-$AO9/'Inputs 2'!$C$8)+$AR9+IF('Inputs 2'!$C$89="Aggregate",MAX(0,IF('Inputs 2'!$C$13,SUMPRODUCT((($AH9+$D9)&gt;INDEX('Methodology &amp; Sources'!$B$29:$J$36,0,IF('Inputs 2'!$C$12="MFJ",1,IF('Inputs 2'!$C$12="HoH",7,4))))*(($AH9+$D9)-INDEX('Methodology &amp; Sources'!$B$29:$J$36,0,IF('Inputs 2'!$C$12="MFJ",1,IF('Inputs 2'!$C$12="HoH",7,4))))*INDEX('Methodology &amp; Sources'!$B$29:$J$36,0,IF('Inputs 2'!$C$12="MFJ",1,IF('Inputs 2'!$C$12="HoH",7,4))+2)),SUMPRODUCT((($AH9+$D9)&gt;INDEX('Methodology &amp; Sources'!$B$19:$J$26,0,IF('Inputs 2'!$C$12="MFJ",1,IF('Inputs 2'!$C$12="HoH",7,4))))*(($AH9+$D9)-INDEX('Methodology &amp; Sources'!$B$19:$J$26,0,IF('Inputs 2'!$C$12="MFJ",1,IF('Inputs 2'!$C$12="HoH",7,4))))*INDEX('Methodology &amp; Sources'!$B$19:$J$26,0,IF('Inputs 2'!$C$12="MFJ",1,IF('Inputs 2'!$C$12="HoH",7,4))+2)))-IF('Inputs 2'!$C$13,SUMPRODUCT(($AH9&gt;INDEX('Methodology &amp; Sources'!$B$29:$J$36,0,IF('Inputs 2'!$C$12="MFJ",1,IF('Inputs 2'!$C$12="HoH",7,4))))*($AH9-INDEX('Methodology &amp; Sources'!$B$29:$J$36,0,IF('Inputs 2'!$C$12="MFJ",1,IF('Inputs 2'!$C$12="HoH",7,4))))*INDEX('Methodology &amp; Sources'!$B$29:$J$36,0,IF('Inputs 2'!$C$12="MFJ",1,IF('Inputs 2'!$C$12="HoH",7,4))+2)),SUMPRODUCT(($AH9&gt;INDEX('Methodology &amp; Sources'!$B$19:$J$26,0,IF('Inputs 2'!$C$12="MFJ",1,IF('Inputs 2'!$C$12="HoH",7,4))))*($AH9-INDEX('Methodology &amp; Sources'!$B$19:$J$26,0,IF('Inputs 2'!$C$12="MFJ",1,IF('Inputs 2'!$C$12="HoH",7,4))))*INDEX('Methodology &amp; Sources'!$B$19:$J$26,0,IF('Inputs 2'!$C$12="MFJ",1,IF('Inputs 2'!$C$12="HoH",7,4))+2)))),'Methodology &amp; Sources'!$C$10*$D9),2)))</f>
      </c>
      <c r="Q9" s="7">
        <f>IF($B9="","",ROUND('Methodology &amp; Sources'!$C$4*MIN($N9,MAX(0,'Methodology &amp; Sources'!$C$3-($AX9+$AB8-$AW9))),2))</f>
      </c>
      <c r="R9" s="7">
        <f>IF($B9="","",ROUND('Methodology &amp; Sources'!$C$5*$N9,2))</f>
      </c>
      <c r="S9" s="7">
        <f>IF($B9="","",ROUND('Methodology &amp; Sources'!$C$6*MAX(0,MIN($N9,$AG8+$N9-'Methodology &amp; Sources'!$C$7)),2))</f>
      </c>
      <c r="T9" s="7">
        <f>IF($B9="","",IF('Inputs 2'!$C$26,0,IF($AN9="CA",ROUND(IF($AI9&lt;=IF(($AS9+$AT9)&gt;=2,VLOOKUP($AN9,StateTables!$A$6:$AB$56,10,FALSE),VLOOKUP($AN9,StateTables!$A$6:$AB$56,9,FALSE)),0,MAX(0,SUMPRODUCT(($AJ9&gt;INDEX('Methodology &amp; Sources'!$B$39:$J$48,0,IF($AU9="Married",4,IF($AU9="Head of household",7,1))))*($AJ9-INDEX('Methodology &amp; Sources'!$B$39:$J$48,0,IF($AU9="Married",4,IF($AU9="Head of household",7,1))))*INDEX('Methodology &amp; Sources'!$B$39:$J$48,0,IF($AU9="Married",4,IF($AU9="Head of household",7,1))+2))-VLOOKUP($AN9,StateTables!$A$6:$AB$56,11,FALSE)*$AS9)/'Inputs 2'!$C$8)+'Inputs 2'!$C$25+VLOOKUP($AN9,StateTables!$A$6:$AB$56,13,FALSE)*$D9,2),IF(VLOOKUP($AN9,StateTables!$A$6:$AB$56,4,FALSE)="None",0,IF(ISNUMBER(SEARCH("MANUAL",VLOOKUP($AN9,StateTables!$A$6:$AB$56,5,FALSE))),'Inputs 2'!$C$28,ROUND(MAX(0,$BA9+$BB9)/'Inputs 2'!$C$8+'Inputs 2'!$C$25+$BC9,2))))))</f>
      </c>
      <c r="U9" s="7">
        <f>IF($B9="","",IF(VLOOKUP($AN9,StateTables!$A$6:$AB$56,24,FALSE)="flatq",IF(OR(MONTH($B9)=1,MONTH($B9)=4,MONTH($B9)=7,MONTH($B9)=10),VLOOKUP($AN9,StateTables!$A$6:$AB$56,25,FALSE),0),IF(VLOOKUP($AN9,StateTables!$A$6:$AB$56,24,FALSE)="dbl",MIN(ROUND(0.005*$N9,2),ROUND(0.6*52/'Inputs 2'!$C$8,2)),IF(OR(VLOOKUP($AN9,StateTables!$A$6:$AB$56,15,FALSE)="",VLOOKUP($AN9,StateTables!$A$6:$AB$56,15,FALSE)=0),0,ROUND(VLOOKUP($AN9,StateTables!$A$6:$AB$56,15,FALSE)*IF(OR(VLOOKUP($AN9,StateTables!$A$6:$AB$56,16,FALSE)="",VLOOKUP($AN9,StateTables!$A$6:$AB$56,16,FALSE)=0),$N9,MIN($N9,MAX(0,VLOOKUP($AN9,StateTables!$A$6:$AB$56,16,FALSE)-($AX9+$AB8-$AW9)))),2))))+IF(VLOOKUP($AN9,StateTables!$A$6:$AB$56,27,FALSE)="flatq",IF(OR(MONTH($B9)=1,MONTH($B9)=4,MONTH($B9)=7,MONTH($B9)=10),VLOOKUP($AN9,StateTables!$A$6:$AB$56,28,FALSE),0),IF(VLOOKUP($AN9,StateTables!$A$6:$AB$56,27,FALSE)="dbl",MIN(ROUND(0.005*$N9,2),ROUND(0.6*52/'Inputs 2'!$C$8,2)),IF(OR(VLOOKUP($AN9,StateTables!$A$6:$AB$56,18,FALSE)="",VLOOKUP($AN9,StateTables!$A$6:$AB$56,18,FALSE)=0),0,ROUND(VLOOKUP($AN9,StateTables!$A$6:$AB$56,18,FALSE)*IF(OR(VLOOKUP($AN9,StateTables!$A$6:$AB$56,19,FALSE)="",VLOOKUP($AN9,StateTables!$A$6:$AB$56,19,FALSE)=0),$N9,MIN($N9,MAX(0,VLOOKUP($AN9,StateTables!$A$6:$AB$56,19,FALSE)-($AX9+$AB8-$AW9)))),2)))))</f>
      </c>
      <c r="V9" s="7">
        <f>IF($B9="","",IF($AN9="NY",IF('Inputs 2'!$C$78,ROUND(SUMPRODUCT((MAX(0,($O9-$D9)*'Inputs 2'!$C$8-(IF($AU9="Married",5500,5000)+1000*$AS9))&gt;INDEX('Methodology &amp; Sources'!$B$184:$J$198,0,4))*(MAX(0,($O9-$D9)*'Inputs 2'!$C$8-(IF($AU9="Married",5500,5000)+1000*$AS9))-INDEX('Methodology &amp; Sources'!$B$184:$J$198,0,4))*INDEX('Methodology &amp; Sources'!$B$184:$J$198,0,4+2))/'Inputs 2'!$C$8+0.0425*$D9,2),0)+IF('Inputs 2'!$C$79="Resident",ROUND(0.1675*$T9,2),IF('Inputs 2'!$C$79="Nonresident",ROUND(0.005*MAX(0,($O9-$D9)-(IF($AU9="Married",7950,7400)+1000*$AS9)/'Inputs 2'!$C$8),2),0)),IF($AN9="PA",IF('Inputs 2'!$C$80="None",'Inputs 2'!$C$27+ROUND('Inputs 2'!$C$81*($C9+$D9),2),ROUND(IF('Inputs 2'!$C$80="Resident",IF($B9&lt;DATE(2027,7,1),0.03735,0.03735),IF($B9&lt;DATE(2027,7,1),0.03425,0.03425))*($C9+$D9),2)),IF($BF9=0,ROUND('Inputs 2'!$C$81*($C9+$D9),2),'Inputs 2'!$C$27+ROUND('Inputs 2'!$C$81*($C9+$D9),2)))))</f>
      </c>
      <c r="W9" s="7">
        <f>IF($B9="","",IF($BF9=0,0,$BP9))</f>
      </c>
      <c r="X9" s="7">
        <f>IF($B9="","",SUM($E9:$K9)+$P9+$Q9+$R9+$S9+$T9+$U9+$V9+$W9)</f>
      </c>
      <c r="Y9" s="22">
        <f>IF($B9="","",$C9+$D9-$X9)</f>
      </c>
      <c r="Z9" s="7">
        <f>IF($B9="","",$Z8+$C9+$D9)</f>
      </c>
      <c r="AA9" s="7">
        <f>IF($B9="","",$AA8+$Y9)</f>
      </c>
      <c r="AB9" s="7">
        <f>IF($B9="","",$AB8+MIN($N9,MAX(0,'Methodology &amp; Sources'!$C$3-($AX9+$AB8-$AW9))))</f>
      </c>
      <c r="AC9" s="7">
        <f>IF($B9="","",$AC8+$E9+$F9)</f>
      </c>
      <c r="AD9" s="3">
        <f>IF($B9="","",IF(AND($AB8&lt;'Methodology &amp; Sources'!$C$3,$AB9&gt;='Methodology &amp; Sources'!$C$3),"★ Social Security maxed on this check — from the next check your net rises by about $"&amp;TEXT(ROUND('Methodology &amp; Sources'!$C$4*$N9,2),"#,##0.00")&amp;". ","")&amp;IF(AND($AC8&lt;'Inputs 2'!$C$34,$AC9&gt;='Inputs 2'!$C$34),"★ 401(k) reaches the $"&amp;TEXT('Inputs 2'!$C$34,"#,##0")&amp;" cap on this check — deferrals stop and net pay rises. ","")&amp;IF(AND($AG8&lt;'Methodology &amp; Sources'!$C$7,$AG9&gt;='Methodology &amp; Sources'!$C$7),"★ Wages pass $200,000 — the 0.9% Additional Medicare Tax starts here. ","")&amp;IF(AND($BJ9&gt;0,$H9&gt;0,$BG8&lt;MIN($BJ9,'Methodology &amp; Sources'!$C$13),$BG8+$H9&gt;=MIN($BJ9,'Methodology &amp; Sources'!$C$13)),"★ Health FSA election is now fully deferred for the year. ",""))</f>
      </c>
      <c r="AE9" s="41" t="n"/>
      <c r="AF9" s="7">
        <f>IF(OR($B9="",$AE9=""),"",$AE9-$Y9)</f>
      </c>
      <c r="AG9" s="7">
        <f>IF($B9="","",$AG8+$N9)</f>
      </c>
      <c r="AH9" s="7">
        <f>IF($B9="","",MAX(0,($M9-$D9)*'Inputs 2'!$C$8+$AP9-$AQ9-IF('Inputs 2'!$C$13,0,IF('Inputs 2'!$C$12="MFJ",'Methodology &amp; Sources'!$C$8,'Methodology &amp; Sources'!$C$9))))</f>
      </c>
      <c r="AI9" s="7">
        <f>IF($B9="","",$O9*'Inputs 2'!$C$8)</f>
      </c>
      <c r="AJ9" s="7">
        <f>IF($B9="","",MAX(0,$AI9-VLOOKUP($AN9,StateTables!$A$6:$AB$56,12,FALSE)*$AT9-IF(($AS9+$AT9)&gt;=2,VLOOKUP($AN9,StateTables!$A$6:$AB$56,8,FALSE),VLOOKUP($AN9,StateTables!$A$6:$AB$56,7,FALSE))))</f>
      </c>
      <c r="AK9" s="7">
        <f>IF($B9="","",IFERROR(LOOKUP(2,1/(('Events 2'!$C$6:$C$17="Salary change")*('Events 2'!$B$6:$B$17&lt;=$B9)*('Events 2'!$B$6:$B$17&lt;&gt;"")),'Events 2'!$D$6:$D$17),IF('Inputs 2'!$C$4="Annual salary",'Inputs 2'!$C$5,'Inputs 2'!$C$6)))</f>
      </c>
      <c r="AL9">
        <f>IF($B9="","",IFERROR(LOOKUP(2,1/(('Events 2'!$C$6:$C$17="401(k) change")*('Events 2'!$B$6:$B$17&lt;=$B9)*('Events 2'!$B$6:$B$17&lt;&gt;"")),'Events 2'!$D$6:$D$17),'Inputs 2'!$C$30))</f>
      </c>
      <c r="AM9" s="7">
        <f>IF($B9="","",IFERROR(LOOKUP(2,1/(('Events 2'!$C$6:$C$17="401(k) change")*('Events 2'!$B$6:$B$17&lt;=$B9)*('Events 2'!$B$6:$B$17&lt;&gt;"")),'Events 2'!$E$6:$E$17),'Inputs 2'!$D$30))</f>
      </c>
      <c r="AN9">
        <f>IF($B9="","",IFERROR(LOOKUP(2,1/(('Events 2'!$C$6:$C$17="State move")*('Events 2'!$B$6:$B$17&lt;=$B9)*('Events 2'!$B$6:$B$17&lt;&gt;"")),'Events 2'!$D$6:$D$17),'Inputs 2'!$C$21))</f>
      </c>
      <c r="AO9" s="7">
        <f>IF($B9="","",IFERROR(LOOKUP(2,1/(('Events 2'!$C$6:$C$17="W-4 change")*('Events 2'!$B$6:$B$17&lt;=$B9)*('Events 2'!$B$6:$B$17&lt;&gt;"")),'Events 2'!$D$6:$D$17),'Inputs 2'!$C$14))</f>
      </c>
      <c r="AP9" s="7">
        <f>IF($B9="","",IFERROR(LOOKUP(2,1/(('Events 2'!$C$6:$C$17="W-4 change")*('Events 2'!$B$6:$B$17&lt;=$B9)*('Events 2'!$B$6:$B$17&lt;&gt;"")),'Events 2'!$E$6:$E$17),'Inputs 2'!$C$15))</f>
      </c>
      <c r="AQ9" s="7">
        <f>IF($B9="","",IFERROR(LOOKUP(2,1/(('Events 2'!$C$6:$C$17="W-4 change")*('Events 2'!$B$6:$B$17&lt;=$B9)*('Events 2'!$B$6:$B$17&lt;&gt;"")),'Events 2'!$F$6:$F$17),'Inputs 2'!$C$16))</f>
      </c>
      <c r="AR9" s="7">
        <f>IF($B9="","",IFERROR(LOOKUP(2,1/(('Events 2'!$C$6:$C$17="W-4 change")*('Events 2'!$B$6:$B$17&lt;=$B9)*('Events 2'!$B$6:$B$17&lt;&gt;"")),'Events 2'!$G$6:$G$17),'Inputs 2'!$C$17))</f>
      </c>
      <c r="AS9" s="6">
        <f>IF($B9="","",IFERROR(LOOKUP(2,1/((('Events 2'!$C$6:$C$17="State move")+('Events 2'!$C$6:$C$17="State cert change"))*('Events 2'!$B$6:$B$17&lt;=$B9)*('Events 2'!$B$6:$B$17&lt;&gt;"")),'Events 2'!$F$6:$F$17),'Inputs 2'!$C$23))</f>
      </c>
      <c r="AT9" s="6">
        <f>IF($B9="","",IFERROR(LOOKUP(2,1/((('Events 2'!$C$6:$C$17="State move")+('Events 2'!$C$6:$C$17="State cert change"))*('Events 2'!$B$6:$B$17&lt;=$B9)*('Events 2'!$B$6:$B$17&lt;&gt;"")),'Events 2'!$G$6:$G$17),'Inputs 2'!$C$24))</f>
      </c>
      <c r="AU9">
        <f>IF($B9="","",IFERROR(LOOKUP(2,1/(('Events 2'!$C$6:$C$17="State move")*('Events 2'!$B$6:$B$17&lt;=$B9)*('Events 2'!$B$6:$B$17&lt;&gt;"")),'Events 2'!$E$6:$E$17),'Inputs 2'!$C$22))</f>
      </c>
      <c r="AV9" s="6">
        <f>IF($B9="","",1+COUNTIFS('Events 2'!$C$6:$C$17,"Employer change",'Events 2'!$B$6:$B$17,"&lt;="&amp;$B9,'Events 2'!$B$6:$B$17,"&lt;&gt;"))</f>
      </c>
      <c r="AW9" s="7">
        <f>IF($B9="","",IF($AV9=1,'Inputs 2'!$C$49,IF(IFERROR(MATCH(IFERROR(LOOKUP(2,1/(('Events 2'!$C$6:$C$17="Employer change")*('Events 2'!$B$6:$B$17&lt;=$B9)*('Events 2'!$B$6:$B$17&lt;&gt;"")),'Events 2'!$B$6:$B$17),""),$B$6:$B$68,1),1)&lt;=1,'Inputs 2'!$C$49,INDEX($AB$6:$AB$68,MATCH(IFERROR(LOOKUP(2,1/(('Events 2'!$C$6:$C$17="Employer change")*('Events 2'!$B$6:$B$17&lt;=$B9)*('Events 2'!$B$6:$B$17&lt;&gt;"")),'Events 2'!$B$6:$B$17),""),$B$6:$B$68,1)-1))))</f>
      </c>
      <c r="AX9" s="7">
        <f>IF($B9="","",IF($AV9=1,'Inputs 2'!$C$49,IFERROR(LOOKUP(2,1/(('Events 2'!$C$6:$C$17="Employer change")*('Events 2'!$B$6:$B$17&lt;=$B9)*('Events 2'!$B$6:$B$17&lt;&gt;"")),'Events 2'!$D$6:$D$17),0)))</f>
      </c>
      <c r="AY9" s="7">
        <f>IF($B9="","",($O9-$D9)*'Inputs 2'!$C$8)</f>
      </c>
      <c r="AZ9" s="7">
        <f>IF($B9="","",IF($AN9="AL",MAX(0,$AY9-IF($AU9="Married",IF($AY9&lt;=25999,8500,MAX(5000,8500-175*CEILING(($AY9-25999)/500,1))),IF($AU9="Head of household",IF($AY9&lt;=25999,5200,MAX(2500,5200-135*CEILING(($AY9-25999)/500,1))),IF($AY9&lt;=25999,3000,MAX(2500,3000-25*CEILING(($AY9-25999)/500,1)))))-($P9-'Methodology &amp; Sources'!$C$10*$D9)*'Inputs 2'!$C$8-IF(OR($AU9="Married",$AU9="Head of household"),3000,1500)-$AT9*IF($AY9&lt;=50000,1000,IF($AY9&lt;=100000,500,300))),IF($AN9="AR",IF(MAX(0,$AY9-2470)&lt;97701,INT(MAX(0,$AY9-2470)/100)*100+50,MAX(0,$AY9-2470)),IF($AN9="DE",MAX(0,$AI9-3250),IF($AN9="HI",MAX(0,$AI9-1144*$AS9-4350),IF($AN9="KS",MAX(0,$AI9-(9160*IF($AU9="Married",2,1)+2320*$AT9+IF($AU9="Head of household",2320,0))),IF($AN9="MD",MAX(0,$AI9-3400-3200*$AS9),IF($AN9="MN",MAX(0,$AY9-5300*$AS9),IF($AN9="MO",MAX(0,$AI9-IF($AU9="Head of household",24150,IF($AU9="Married",IF('Inputs 2'!$C$83,16100,32200),16100))),IF($AN9="MT",$AY9,IF($AN9="ND",($C9+$L9)*'Inputs 2'!$C$8,IF($AN9="NE",MAX(0,$AY9-2440*$AS9),IF($AN9="NJ",MAX(0,$AY9-1000*$AS9),IF($AN9="NY",MAX(0,$AY9-(IF($AU9="Married",7950,7400)+1000*$AS9)),IF($AN9="OH",MAX(0,$AY9-650*$AS9),IF($AN9="OK",MAX(0,$AY9-1000*$AS9),IF($AN9="RI",MAX(0,$AI9-1000*$AS9),IF($AN9="SC",MAX(0,$AI9-5000*$AS9-IF($AS9=0,0,MIN(0.1*$AI9,7500))),IF($AN9="VA",MAX(0,$AI9-IF($AU9="Married",17500,8750)-930*$AS9-800*$AT9),IF($AN9="VT",MAX(0,$AI9-5400*$AS9),IF($AN9="WI",MAX(0,$AI9-MAX(0,IF($AU9="Married",9461-0.2*MAX(0,$AI9-25727),6702-0.12*MAX(0,$AI9-17780)))-400*$AS9),IF($AN9="WV",MAX(0,$AI9-2000*$AS9),$AI9))))))))))))))))))))))</f>
      </c>
      <c r="BA9" s="7">
        <f>IF($B9="","",IF($BW9&lt;&gt;"",$BW9,IF($BX9&lt;&gt;"",$BX9,IF($BY9&lt;&gt;"",$BY9,0))))</f>
      </c>
      <c r="BB9" s="7">
        <f>IF($B9="","",IF($AN9="AR",-29*$AS9,IF($AN9="DE",-110*$AS9,IF($AN9="MD",$AZ9*'Inputs 2'!$C$74,IF($AN9="AZ",'Inputs 2'!$C$82*($M9-$D9)*'Inputs 2'!$C$8,IF($AN9="CO",0.044*MAX(0,$AY9-IF($AU9="Married",10000,5000)),IF($AN9="IA",MAX(0,0.038*MAX(0,$AY9-IF($AU9="Head of household",19500,IF($AU9="Married",26000,13000)))-40*$AS9),IF($AN9="ID",0.053*MAX(0,$AY9-IF($AU9="Married",32000,16094)),IF($AN9="IL",0.0495*MAX(0,$AY9-(2925*$AS9+1000*$AT9)),IF($AN9="IN",(0.0295+'Inputs 2'!$C$76)*MAX(0,$AY9-(1000*$AS9+1500*$AT9+3000*'Inputs 2'!$C$86)),IF($AN9="KY",0.035*MAX(0,$AI9-3360),IF($AN9="LA",IF('Inputs 2'!$C$84="0",0.0309*$AI9,0.0309*MAX(0,$AI9-IF('Inputs 2'!$C$84="2",25750,12875))),IF($AN9="MA",0.05*MIN(MAX(0,$AY9-MIN(($BD8+$Q9+$R9+$S9),2000)-IF($AS9=0,0,IF($AS9=1,4400,1000*$AS9+3400))),1107750)+0.09*MAX(0,MAX(0,$AY9-MIN(($BD8+$Q9+$R9+$S9),2000)-IF($AS9=0,0,IF($AS9=1,4400,1000*$AS9+3400)))-1107750)-IF($AU9="Head of household",120,0)-110*'Inputs 2'!$C$75,IF($AN9="MI",0.0425*MAX(0,$AY9-5900*$AS9),IF($AN9="MS",0.04*MAX(0,$AI9-IF($AU9="Head of household",3400,IF($AU9="Married",4600,2300))-'Inputs 2'!$C$85-10000),IF($AN9="OR",IF(OR($AU9="Married",AND($AU9="Single",$AS9&gt;=3)),SUMPRODUCT((MAX(0,$AY9-MIN(($P9-'Methodology &amp; Sources'!$C$10*$D9)*'Inputs 2'!$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Sources'!$B$211:$J$214,0,4))*(MAX(0,$AY9-MIN(($P9-'Methodology &amp; Sources'!$C$10*$D9)*'Inputs 2'!$C$8,IF(OR($AU9="Married",AND($AU9="Single",$AS9&gt;=3)),IF($AY9&lt;250000,8750,IF($AY9&lt;260000,7000,IF($AY9&lt;270000,5250,IF($AY9&lt;280000,3500,IF($AY9&lt;290000,1750,0))))),IF($AY9&lt;125000,8750,IF($AY9&lt;130000,7000,IF($AY9&lt;135000,5250,IF($AY9&lt;140000,3500,IF($AY9&lt;145000,1750,0)))))))-IF(OR($AU9="Married",AND($AU9="Single",$AS9&gt;=3)),5820,2910))-INDEX('Methodology &amp; Sources'!$B$211:$J$214,0,4))*INDEX('Methodology &amp; Sources'!$B$211:$J$214,0,4+2)),SUMPRODUCT((MAX(0,$AY9-MIN(($P9-'Methodology &amp; Sources'!$C$10*$D9)*'Inputs 2'!$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Sources'!$B$211:$J$214,0,1))*(MAX(0,$AY9-MIN(($P9-'Methodology &amp; Sources'!$C$10*$D9)*'Inputs 2'!$C$8,IF(OR($AU9="Married",AND($AU9="Single",$AS9&gt;=3)),IF($AY9&lt;250000,8750,IF($AY9&lt;260000,7000,IF($AY9&lt;270000,5250,IF($AY9&lt;280000,3500,IF($AY9&lt;290000,1750,0))))),IF($AY9&lt;125000,8750,IF($AY9&lt;130000,7000,IF($AY9&lt;135000,5250,IF($AY9&lt;140000,3500,IF($AY9&lt;145000,1750,0)))))))-IF(OR($AU9="Married",AND($AU9="Single",$AS9&gt;=3)),5820,2910))-INDEX('Methodology &amp; Sources'!$B$211:$J$214,0,1))*INDEX('Methodology &amp; Sources'!$B$211:$J$214,0,1+2)))+263-263*IF(IF($AU9="Married",$AY9&gt;200000,$AY9&gt;100000),0,$AS9),IF($AN9="PA",0.0307*(($O9+$E9+$G9)*'Inputs 2'!$C$8),IF($AN9="NY",IF($AU9="Married",IF($AZ9&gt;=2155350,0,IF($AZ9&gt;=1077550,0.48,IF($AZ9&gt;=373200,1.21,IF($AZ9&gt;=323200,0.21,IF($AZ9&gt;=211550,-0.19,IF($AZ9&gt;=157650,-2.8,IF($AZ9&gt;=107650,-0.8,IF($AZ9&gt;=96800,0.05,IF($AZ9&gt;=80650,-0.1,IF($AZ9&gt;=13900,0.4,IF($AZ9&gt;=11700,-0.3,IF($AZ9&gt;=8500,0.5,0)))))))))))),IF($AZ9&gt;=1077550,0,IF($AZ9&gt;=265400,4.29,IF($AZ9&gt;=215400,2.29,IF($AZ9&gt;=157650,2.29,IF($AZ9&gt;=107650,0.29,IF($AZ9&gt;=96800,0.05,IF($AZ9&gt;=80650,-0.1,IF($AZ9&gt;=13900,0.4,IF($AZ9&gt;=11700,-0.3,IF($AZ9&gt;=8500,0.5,0))))))))))),0))))))))))))))))))</f>
      </c>
      <c r="BC9" s="7">
        <f>IF($B9="","",IF($AN9="AL",0.05*$D9,IF($AN9="AR",0.039*$D9,IF($AN9="ID",0.053*$D9,IF($AN9="IN",(0.0295+'Inputs 2'!$C$76)*$D9,IF($AN9="KS",0.05*$D9,IF($AN9="MA",0.09*MIN($D9,MAX(0,MAX(0,$AY9-MIN(($BD8+$Q9+$R9+$S9),2000)-IF($AS9=0,0,IF($AS9=1,4400,1000*$AS9+3400)))+$D9-1107750))+0.05*($D9-MIN($D9,MAX(0,MAX(0,$AY9-MIN(($BD8+$Q9+$R9+$S9),2000)-IF($AS9=0,0,IF($AS9=1,4400,1000*$AS9+3400)))+$D9-1107750))),IF($AN9="MD",(0.065+'Inputs 2'!$C$74)*$D9,IF($AN9="MI",0.0425*$D9,IF($AN9="MN",0.0625*$D9,IF($AN9="MO",0.047*$D9,IF($AN9="MT",0.05*$D9,IF($AN9="ND",0.015*$D9,IF($AN9="NE",0.035*$D9,IF($AN9="NJ",IF('Inputs 2'!$C$77="B",SUMPRODUCT(($D9*'Inputs 2'!$C$8&gt;INDEX('Methodology &amp; Sources'!$B$155:$J$162,0,4))*($D9*'Inputs 2'!$C$8-INDEX('Methodology &amp; Sources'!$B$155:$J$162,0,4))*INDEX('Methodology &amp; Sources'!$B$155:$J$162,0,4+2)),IF('Inputs 2'!$C$77="C",SUMPRODUCT(($D9*'Inputs 2'!$C$8&gt;INDEX('Methodology &amp; Sources'!$B$155:$J$162,0,7))*($D9*'Inputs 2'!$C$8-INDEX('Methodology &amp; Sources'!$B$155:$J$162,0,7))*INDEX('Methodology &amp; Sources'!$B$155:$J$162,0,7+2)),IF('Inputs 2'!$C$77="D",SUMPRODUCT(($D9*'Inputs 2'!$C$8&gt;INDEX('Methodology &amp; Sources'!$B$167:$J$179,0,1))*($D9*'Inputs 2'!$C$8-INDEX('Methodology &amp; Sources'!$B$167:$J$179,0,1))*INDEX('Methodology &amp; Sources'!$B$167:$J$179,0,1+2)),IF('Inputs 2'!$C$77="E",SUMPRODUCT(($D9*'Inputs 2'!$C$8&gt;INDEX('Methodology &amp; Sources'!$B$167:$J$179,0,4))*($D9*'Inputs 2'!$C$8-INDEX('Methodology &amp; Sources'!$B$167:$J$179,0,4))*INDEX('Methodology &amp; Sources'!$B$167:$J$179,0,4+2)),SUMPRODUCT(($D9*'Inputs 2'!$C$8&gt;INDEX('Methodology &amp; Sources'!$B$155:$J$162,0,1))*($D9*'Inputs 2'!$C$8-INDEX('Methodology &amp; Sources'!$B$155:$J$162,0,1))*INDEX('Methodology &amp; Sources'!$B$155:$J$162,0,1+2))))))/'Inputs 2'!$C$8,IF($AN9="NY",0.117*$D9,IF($AN9="OH",0.0275*$D9,IF($AN9="OK",0.045*$D9,IF($AN9="OR",0.08*$D9,IF($AN9="WI",IF($AY9&lt;12760,0.0354,IF($AY9&lt;25520,0.0465,IF($AY9&lt;280950,0.053,0.0765)))*$D9,0))))))))))))))))))))</f>
      </c>
      <c r="BD9" s="7">
        <f>IF($B9="","",$BD8+$Q9+$R9+$S9)</f>
      </c>
      <c r="BE9" s="6">
        <f>IF($B9="",$BE8,$BE8+$BF9)</f>
      </c>
      <c r="BF9" s="6">
        <f>IF($B9="","",IF(AND(IF(YEAR(IF('Inputs 2'!$C$7="Weekly",'Inputs 2'!$C$9+7*(($BE8+1)-1),IF('Inputs 2'!$C$7="Biweekly",'Inputs 2'!$C$9+14*(($BE8+1)-1),IF('Inputs 2'!$C$7="Semimonthly",DATE(YEAR('Inputs 2'!$C$9),MONTH('Inputs 2'!$C$9)+INT((($BE8+1)-1)/2),MIN(DAY('Inputs 2'!$C$9),DAY(EOMONTH(DATE(YEAR('Inputs 2'!$C$9),MONTH('Inputs 2'!$C$9)+INT((($BE8+1)-1)/2),1),0))))+IF(MOD(($BE8+1)-1,2)=1,15,0),EDATE('Inputs 2'!$C$9,($BE8+1)-1)))))&lt;&gt;'Inputs 2'!$C$10,"",IF('Inputs 2'!$C$7="Weekly",'Inputs 2'!$C$9+7*(($BE8+1)-1),IF('Inputs 2'!$C$7="Biweekly",'Inputs 2'!$C$9+14*(($BE8+1)-1),IF('Inputs 2'!$C$7="Semimonthly",DATE(YEAR('Inputs 2'!$C$9),MONTH('Inputs 2'!$C$9)+INT((($BE8+1)-1)/2),MIN(DAY('Inputs 2'!$C$9),DAY(EOMONTH(DATE(YEAR('Inputs 2'!$C$9),MONTH('Inputs 2'!$C$9)+INT((($BE8+1)-1)/2),1),0))))+IF(MOD(($BE8+1)-1,2)=1,15,0),EDATE('Inputs 2'!$C$9,($BE8+1)-1)))))&lt;&gt;"",$B9=IF(YEAR(IF('Inputs 2'!$C$7="Weekly",'Inputs 2'!$C$9+7*(($BE8+1)-1),IF('Inputs 2'!$C$7="Biweekly",'Inputs 2'!$C$9+14*(($BE8+1)-1),IF('Inputs 2'!$C$7="Semimonthly",DATE(YEAR('Inputs 2'!$C$9),MONTH('Inputs 2'!$C$9)+INT((($BE8+1)-1)/2),MIN(DAY('Inputs 2'!$C$9),DAY(EOMONTH(DATE(YEAR('Inputs 2'!$C$9),MONTH('Inputs 2'!$C$9)+INT((($BE8+1)-1)/2),1),0))))+IF(MOD(($BE8+1)-1,2)=1,15,0),EDATE('Inputs 2'!$C$9,($BE8+1)-1)))))&lt;&gt;'Inputs 2'!$C$10,"",IF('Inputs 2'!$C$7="Weekly",'Inputs 2'!$C$9+7*(($BE8+1)-1),IF('Inputs 2'!$C$7="Biweekly",'Inputs 2'!$C$9+14*(($BE8+1)-1),IF('Inputs 2'!$C$7="Semimonthly",DATE(YEAR('Inputs 2'!$C$9),MONTH('Inputs 2'!$C$9)+INT((($BE8+1)-1)/2),MIN(DAY('Inputs 2'!$C$9),DAY(EOMONTH(DATE(YEAR('Inputs 2'!$C$9),MONTH('Inputs 2'!$C$9)+INT((($BE8+1)-1)/2),1),0))))+IF(MOD(($BE8+1)-1,2)=1,15,0),EDATE('Inputs 2'!$C$9,($BE8+1)-1)))))),1,0))</f>
      </c>
      <c r="BG9" s="7">
        <f>IF($B9="","",$BG8+$H9)</f>
      </c>
      <c r="BH9" s="7">
        <f>IF($B9="","",$BH8+$I9)</f>
      </c>
      <c r="BI9" s="7">
        <f>IF($B9="","",$BI8+$G9)</f>
      </c>
      <c r="BJ9" s="7">
        <f>IF($B9="","",IFERROR(LOOKUP(2,1/(((('Events 2'!$C$6:$C$17="Deduction start"))*('Events 2'!$D$6:$D$17="Health FSA"))*('Events 2'!$B$6:$B$17&lt;=$B9)*('Events 2'!$B$6:$B$17&lt;&gt;"")),'Events 2'!$E$6:$E$17),'Inputs 2'!$D$38))</f>
      </c>
      <c r="BK9" s="7">
        <f>IF($B9="","",IFERROR(LOOKUP(2,1/(((('Events 2'!$C$6:$C$17="Deduction start"))*('Events 2'!$D$6:$D$17="Dependent-care FSA"))*('Events 2'!$B$6:$B$17&lt;=$B9)*('Events 2'!$B$6:$B$17&lt;&gt;"")),'Events 2'!$E$6:$E$17),'Inputs 2'!$D$39))</f>
      </c>
      <c r="BL9" s="7">
        <f>IF($B9="","",IFERROR(LOOKUP(2,1/(((('Events 2'!$C$6:$C$17="Deduction start")+('Events 2'!$C$6:$C$17="Deduction stop"))*('Events 2'!$D$6:$D$17="HSA"))*('Events 2'!$B$6:$B$17&lt;=$B9)*('Events 2'!$B$6:$B$17&lt;&gt;"")),'Events 2'!$I$6:$I$17),'Inputs 2'!$D$35))</f>
      </c>
      <c r="BM9" s="7">
        <f>IF($B9="","",IFERROR(LOOKUP(2,1/(((('Events 2'!$C$6:$C$17="Deduction start")+('Events 2'!$C$6:$C$17="Deduction stop"))*('Events 2'!$D$6:$D$17="Premiums"))*('Events 2'!$B$6:$B$17&lt;=$B9)*('Events 2'!$B$6:$B$17&lt;&gt;"")),'Events 2'!$I$6:$I$17),'Inputs 2'!$D$40+'Inputs 2'!$D$41+'Inputs 2'!$D$42))</f>
      </c>
      <c r="BN9" s="7">
        <f>IF($B9="","",IFERROR(LOOKUP(2,1/(((('Events 2'!$C$6:$C$17="Deduction start")+('Events 2'!$C$6:$C$17="Deduction stop"))*('Events 2'!$D$6:$D$17="Commuter"))*('Events 2'!$B$6:$B$17&lt;=$B9)*('Events 2'!$B$6:$B$17&lt;&gt;"")),'Events 2'!$I$6:$I$17),'Inputs 2'!$D$43))</f>
      </c>
      <c r="BO9" s="7">
        <f>IF($B9="","",IFERROR(LOOKUP(2,1/(((('Events 2'!$C$6:$C$17="Deduction start")+('Events 2'!$C$6:$C$17="Deduction stop"))*('Events 2'!$D$6:$D$17="Other pre-tax"))*('Events 2'!$B$6:$B$17&lt;=$B9)*('Events 2'!$B$6:$B$17&lt;&gt;"")),'Events 2'!$I$6:$I$17),'Inputs 2'!$D$44))</f>
      </c>
      <c r="BP9" s="7">
        <f>IF($B9="","",IFERROR(LOOKUP(2,1/(((('Events 2'!$C$6:$C$17="Deduction start")+('Events 2'!$C$6:$C$17="Deduction stop"))*('Events 2'!$D$6:$D$17="Other post-tax"))*('Events 2'!$B$6:$B$17&lt;=$B9)*('Events 2'!$B$6:$B$17&lt;&gt;"")),'Events 2'!$I$6:$I$17),'Inputs 2'!$D$45))</f>
      </c>
      <c r="BQ9" s="6">
        <f>IF($B9="","",IFERROR(LOOKUP(2,1/(((('Events 2'!$C$6:$C$17="Deduction start")+('Events 2'!$C$6:$C$17="Deduction stop"))*('Events 2'!$D$6:$D$17="Health FSA"))*('Events 2'!$B$6:$B$17&lt;=$B9)*('Events 2'!$B$6:$B$17&lt;&gt;"")),'Events 2'!$J$6:$J$17),0))</f>
      </c>
      <c r="BR9" s="6">
        <f>IF($B9="","",IFERROR(LOOKUP(2,1/(((('Events 2'!$C$6:$C$17="Deduction start")+('Events 2'!$C$6:$C$17="Deduction stop"))*('Events 2'!$D$6:$D$17="Dependent-care FSA"))*('Events 2'!$B$6:$B$17&lt;=$B9)*('Events 2'!$B$6:$B$17&lt;&gt;"")),'Events 2'!$J$6:$J$17),0))</f>
      </c>
      <c r="BS9" s="6">
        <f>IF($B9="","",IF(SUMPRODUCT(('Events 2'!$C$6:$C$17="Deduction start")*('Events 2'!$B$6:$B$17&lt;=$B9)*('Events 2'!$B$6:$B$17&lt;&gt;"")*('Events 2'!$D$6:$D$17="Health FSA"))&gt;0,1,0))</f>
      </c>
      <c r="BT9" s="6">
        <f>IF($B9="","",IF(SUMPRODUCT(('Events 2'!$C$6:$C$17="Deduction start")*('Events 2'!$B$6:$B$17&lt;=$B9)*('Events 2'!$B$6:$B$17&lt;&gt;"")*('Events 2'!$D$6:$D$17="Dependent-care FSA"))&gt;0,1,0))</f>
      </c>
      <c r="BU9" s="24">
        <f>IF($B9="","",IF('Inputs 2'!$C$13,SUMPRODUCT(($AH9&gt;=INDEX('Methodology &amp; Sources'!$B$29:$J$36,0,IF('Inputs 2'!$C$12="MFJ",1,IF('Inputs 2'!$C$12="HoH",7,4))))*INDEX('Methodology &amp; Sources'!$B$29:$J$36,0,IF('Inputs 2'!$C$12="MFJ",1,IF('Inputs 2'!$C$12="HoH",7,4))+2)),SUMPRODUCT(($AH9&gt;=INDEX('Methodology &amp; Sources'!$B$19:$J$26,0,IF('Inputs 2'!$C$12="MFJ",1,IF('Inputs 2'!$C$12="HoH",7,4))))*INDEX('Methodology &amp; Sources'!$B$19:$J$26,0,IF('Inputs 2'!$C$12="MFJ",1,IF('Inputs 2'!$C$12="HoH",7,4))+2))))</f>
      </c>
      <c r="BV9" s="24">
        <f>IF($B9="","",IF($BZ9&lt;&gt;"",$BZ9,IF($CA9&lt;&gt;"",$CA9,IF($CB9&lt;&gt;"",$CB9,IF($CC9&lt;&gt;"",$CC9,0)))))</f>
      </c>
      <c r="BW9" s="7">
        <f>IF($B9="","",IF($AN9="MD",IF(OR($AU9="Married",$AU9="Head of household"),SUMPRODUCT(($AZ9&gt;INDEX('Methodology &amp; Sources'!$B$114:$J$120,0,1))*($AZ9-INDEX('Methodology &amp; Sources'!$B$114:$J$120,0,1))*INDEX('Methodology &amp; Sources'!$B$114:$J$120,0,1+2)),SUMPRODUCT(($AZ9&gt;INDEX('Methodology &amp; Sources'!$B$103:$J$109,0,7))*($AZ9-INDEX('Methodology &amp; Sources'!$B$103:$J$109,0,7))*INDEX('Methodology &amp; Sources'!$B$103:$J$109,0,7+2))),IF($AN9="MO",SUMPRODUCT(($AZ9&gt;INDEX('Methodology &amp; Sources'!$B$125:$J$132,0,1))*($AZ9-INDEX('Methodology &amp; Sources'!$B$125:$J$132,0,1))*INDEX('Methodology &amp; Sources'!$B$125:$J$132,0,1+2)),IF($AN9="MT",IF($AU9="Head of household",SUMPRODUCT(($AZ9&gt;INDEX('Methodology &amp; Sources'!$B$137:$J$139,0,1))*($AZ9-INDEX('Methodology &amp; Sources'!$B$137:$J$139,0,1))*INDEX('Methodology &amp; Sources'!$B$137:$J$139,0,1+2)),IF($AU9="Married",SUMPRODUCT(($AZ9&gt;INDEX('Methodology &amp; Sources'!$B$125:$J$132,0,7))*($AZ9-INDEX('Methodology &amp; Sources'!$B$125:$J$132,0,7))*INDEX('Methodology &amp; Sources'!$B$125:$J$132,0,7+2)),SUMPRODUCT(($AZ9&gt;INDEX('Methodology &amp; Sources'!$B$125:$J$132,0,4))*($AZ9-INDEX('Methodology &amp; Sources'!$B$125:$J$132,0,4))*INDEX('Methodology &amp; Sources'!$B$125:$J$132,0,4+2)))),IF($AN9="ND",IF($AU9="Head of household",SUMPRODUCT(($AZ9&gt;INDEX('Methodology &amp; Sources'!$B$144:$J$150,0,1))*($AZ9-INDEX('Methodology &amp; Sources'!$B$144:$J$150,0,1))*INDEX('Methodology &amp; Sources'!$B$144:$J$150,0,1+2)),IF($AU9="Married",SUMPRODUCT(($AZ9&gt;INDEX('Methodology &amp; Sources'!$B$137:$J$139,0,7))*($AZ9-INDEX('Methodology &amp; Sources'!$B$137:$J$139,0,7))*INDEX('Methodology &amp; Sources'!$B$137:$J$139,0,7+2)),SUMPRODUCT(($AZ9&gt;INDEX('Methodology &amp; Sources'!$B$137:$J$139,0,4))*($AZ9-INDEX('Methodology &amp; Sources'!$B$137:$J$139,0,4))*INDEX('Methodology &amp; Sources'!$B$137:$J$139,0,4+2)))),IF($AN9="NJ",IF('Inputs 2'!$C$77="B",SUMPRODUCT(($AZ9&gt;INDEX('Methodology &amp; Sources'!$B$155:$J$162,0,4))*($AZ9-INDEX('Methodology &amp; Sources'!$B$155:$J$162,0,4))*INDEX('Methodology &amp; Sources'!$B$155:$J$162,0,4+2)),IF('Inputs 2'!$C$77="C",SUMPRODUCT(($AZ9&gt;INDEX('Methodology &amp; Sources'!$B$155:$J$162,0,7))*($AZ9-INDEX('Methodology &amp; Sources'!$B$155:$J$162,0,7))*INDEX('Methodology &amp; Sources'!$B$155:$J$162,0,7+2)),IF('Inputs 2'!$C$77="D",SUMPRODUCT(($AZ9&gt;INDEX('Methodology &amp; Sources'!$B$167:$J$179,0,1))*($AZ9-INDEX('Methodology &amp; Sources'!$B$167:$J$179,0,1))*INDEX('Methodology &amp; Sources'!$B$167:$J$179,0,1+2)),IF('Inputs 2'!$C$77="E",SUMPRODUCT(($AZ9&gt;INDEX('Methodology &amp; Sources'!$B$167:$J$179,0,4))*($AZ9-INDEX('Methodology &amp; Sources'!$B$167:$J$179,0,4))*INDEX('Methodology &amp; Sources'!$B$167:$J$179,0,4+2)),SUMPRODUCT(($AZ9&gt;INDEX('Methodology &amp; Sources'!$B$155:$J$162,0,1))*($AZ9-INDEX('Methodology &amp; Sources'!$B$155:$J$162,0,1))*INDEX('Methodology &amp; Sources'!$B$155:$J$162,0,1+2)))))),IF($AN9="NY",IF($AU9="Married",IF($AZ9&gt;=2155350,$AZ9*IF($AZ9&gt;25000000,0.117,IF($AZ9&gt;5000000,0.111,0.1045)),SUMPRODUCT(($AZ9&gt;INDEX('Methodology &amp; Sources'!$B$184:$J$198,0,1))*($AZ9-INDEX('Methodology &amp; Sources'!$B$184:$J$198,0,1))*INDEX('Methodology &amp; Sources'!$B$184:$J$198,0,1+2))),IF($AZ9&gt;=1077550,$AZ9*IF($AZ9&gt;25000000,0.117,IF($AZ9&gt;5000000,0.111,0.1045)),SUMPRODUCT(($AZ9&gt;INDEX('Methodology &amp; Sources'!$B$167:$J$179,0,7))*($AZ9-INDEX('Methodology &amp; Sources'!$B$167:$J$179,0,7))*INDEX('Methodology &amp; Sources'!$B$167:$J$179,0,7+2)))),"")))))))</f>
      </c>
      <c r="BX9" s="7">
        <f>IF($B9="","",IF($AN9="AL",IF(OR($AU9="Married",$AU9="Head of household"),SUMPRODUCT(($AZ9&gt;INDEX('Methodology &amp; Sources'!$B$82:$J$86,0,4))*($AZ9-INDEX('Methodology &amp; Sources'!$B$82:$J$86,0,4))*INDEX('Methodology &amp; Sources'!$B$82:$J$86,0,4+2)),SUMPRODUCT(($AZ9&gt;INDEX('Methodology &amp; Sources'!$B$82:$J$86,0,1))*($AZ9-INDEX('Methodology &amp; Sources'!$B$82:$J$86,0,1))*INDEX('Methodology &amp; Sources'!$B$82:$J$86,0,1+2))),IF($AN9="KS",IF($AU9="Married",SUMPRODUCT(($AZ9&gt;INDEX('Methodology &amp; Sources'!$B$103:$J$109,0,4))*($AZ9-INDEX('Methodology &amp; Sources'!$B$103:$J$109,0,4))*INDEX('Methodology &amp; Sources'!$B$103:$J$109,0,4+2)),SUMPRODUCT(($AZ9&gt;INDEX('Methodology &amp; Sources'!$B$103:$J$109,0,1))*($AZ9-INDEX('Methodology &amp; Sources'!$B$103:$J$109,0,1))*INDEX('Methodology &amp; Sources'!$B$103:$J$109,0,1+2))),IF($AN9="MN",IF($AU9="Married",SUMPRODUCT(($AZ9&gt;INDEX('Methodology &amp; Sources'!$B$114:$J$120,0,7))*($AZ9-INDEX('Methodology &amp; Sources'!$B$114:$J$120,0,7))*INDEX('Methodology &amp; Sources'!$B$114:$J$120,0,7+2)),SUMPRODUCT(($AZ9&gt;INDEX('Methodology &amp; Sources'!$B$114:$J$120,0,4))*($AZ9-INDEX('Methodology &amp; Sources'!$B$114:$J$120,0,4))*INDEX('Methodology &amp; Sources'!$B$114:$J$120,0,4+2))),IF($AN9="NE",MAX(IF($AU9="Married",SUMPRODUCT(($AZ9&gt;INDEX('Methodology &amp; Sources'!$B$144:$J$150,0,7))*($AZ9-INDEX('Methodology &amp; Sources'!$B$144:$J$150,0,7))*INDEX('Methodology &amp; Sources'!$B$144:$J$150,0,7+2)),SUMPRODUCT(($AZ9&gt;INDEX('Methodology &amp; Sources'!$B$144:$J$150,0,4))*($AZ9-INDEX('Methodology &amp; Sources'!$B$144:$J$150,0,4))*INDEX('Methodology &amp; Sources'!$B$144:$J$150,0,4+2))),0.015*$AZ9),IF($AN9="OH",IF($B9&gt;=DATE(2027,8,1),SUMPRODUCT(($AZ9&gt;INDEX('Methodology &amp; Sources'!$B$203:$J$206,0,1))*($AZ9-INDEX('Methodology &amp; Sources'!$B$203:$J$206,0,1))*INDEX('Methodology &amp; Sources'!$B$203:$J$206,0,1+2)),SUMPRODUCT(($AZ9&gt;INDEX('Methodology &amp; Sources'!$B$184:$J$198,0,7))*($AZ9-INDEX('Methodology &amp; Sources'!$B$184:$J$198,0,7))*INDEX('Methodology &amp; Sources'!$B$184:$J$198,0,7+2))),IF($AN9="OK",IF($AU9="Married",SUMPRODUCT(($AZ9&gt;INDEX('Methodology &amp; Sources'!$B$203:$J$206,0,7))*($AZ9-INDEX('Methodology &amp; Sources'!$B$203:$J$206,0,7))*INDEX('Methodology &amp; Sources'!$B$203:$J$206,0,7+2)),SUMPRODUCT(($AZ9&gt;INDEX('Methodology &amp; Sources'!$B$203:$J$206,0,4))*($AZ9-INDEX('Methodology &amp; Sources'!$B$203:$J$206,0,4))*INDEX('Methodology &amp; Sources'!$B$203:$J$206,0,4+2))),IF($AN9="RI",SUMPRODUCT(($AZ9&gt;INDEX('Methodology &amp; Sources'!$B$211:$J$214,0,7))*($AZ9-INDEX('Methodology &amp; Sources'!$B$211:$J$214,0,7))*INDEX('Methodology &amp; Sources'!$B$211:$J$214,0,7+2)),IF($AN9="VT",IF($AU9="Married",SUMPRODUCT(($AZ9&gt;INDEX('Methodology &amp; Sources'!$B$228:$J$232,0,1))*($AZ9-INDEX('Methodology &amp; Sources'!$B$228:$J$232,0,1))*INDEX('Methodology &amp; Sources'!$B$228:$J$232,0,1+2)),SUMPRODUCT(($AZ9&gt;INDEX('Methodology &amp; Sources'!$B$219:$J$223,0,7))*($AZ9-INDEX('Methodology &amp; Sources'!$B$219:$J$223,0,7))*INDEX('Methodology &amp; Sources'!$B$219:$J$223,0,7+2))),IF($AN9="WV",IF($AU9="Married",SUMPRODUCT(($AZ9&gt;INDEX('Methodology &amp; Sources'!$B$237:$J$241,0,7))*($AZ9-INDEX('Methodology &amp; Sources'!$B$237:$J$241,0,7))*INDEX('Methodology &amp; Sources'!$B$237:$J$241,0,7+2)),SUMPRODUCT(($AZ9&gt;INDEX('Methodology &amp; Sources'!$B$228:$J$232,0,7))*($AZ9-INDEX('Methodology &amp; Sources'!$B$228:$J$232,0,7))*INDEX('Methodology &amp; Sources'!$B$228:$J$232,0,7+2))),""))))))))))</f>
      </c>
      <c r="BY9" s="7">
        <f>IF($B9="","",IF($AN9="AR",SUMPRODUCT(($AZ9&gt;INDEX('Methodology &amp; Sources'!$B$82:$J$86,0,7))*($AZ9-INDEX('Methodology &amp; Sources'!$B$82:$J$86,0,7))*INDEX('Methodology &amp; Sources'!$B$82:$J$86,0,7+2)),IF($AN9="DE",SUMPRODUCT(($AZ9&gt;INDEX('Methodology &amp; Sources'!$B$91:$J$98,0,1))*($AZ9-INDEX('Methodology &amp; Sources'!$B$91:$J$98,0,1))*INDEX('Methodology &amp; Sources'!$B$91:$J$98,0,1+2)),IF($AN9="HI",IF($AU9="Married",SUMPRODUCT(($AZ9&gt;INDEX('Methodology &amp; Sources'!$B$91:$J$98,0,7))*($AZ9-INDEX('Methodology &amp; Sources'!$B$91:$J$98,0,7))*INDEX('Methodology &amp; Sources'!$B$91:$J$98,0,7+2)),SUMPRODUCT(($AZ9&gt;INDEX('Methodology &amp; Sources'!$B$91:$J$98,0,4))*($AZ9-INDEX('Methodology &amp; Sources'!$B$91:$J$98,0,4))*INDEX('Methodology &amp; Sources'!$B$91:$J$98,0,4+2))),IF($AN9="SC",SUMPRODUCT(($AZ9&gt;INDEX('Methodology &amp; Sources'!$B$219:$J$223,0,1))*($AZ9-INDEX('Methodology &amp; Sources'!$B$219:$J$223,0,1))*INDEX('Methodology &amp; Sources'!$B$219:$J$223,0,1+2)),IF($AN9="VA",SUMPRODUCT(($AZ9&gt;INDEX('Methodology &amp; Sources'!$B$219:$J$223,0,4))*($AZ9-INDEX('Methodology &amp; Sources'!$B$219:$J$223,0,4))*INDEX('Methodology &amp; Sources'!$B$219:$J$223,0,4+2)),IF($AN9="WI",SUMPRODUCT(($AZ9&gt;INDEX('Methodology &amp; Sources'!$B$228:$J$232,0,4))*($AZ9-INDEX('Methodology &amp; Sources'!$B$228:$J$232,0,4))*INDEX('Methodology &amp; Sources'!$B$228:$J$232,0,4+2)),"")))))))</f>
      </c>
      <c r="BZ9" s="24">
        <f>IF($B9="","",IF($AN9="NJ",IF('Inputs 2'!$C$77="B",SUMPRODUCT(($AZ9&gt;=INDEX('Methodology &amp; Sources'!$B$155:$J$162,0,4))*INDEX('Methodology &amp; Sources'!$B$155:$J$162,0,4+2)),IF('Inputs 2'!$C$77="C",SUMPRODUCT(($AZ9&gt;=INDEX('Methodology &amp; Sources'!$B$155:$J$162,0,7))*INDEX('Methodology &amp; Sources'!$B$155:$J$162,0,7+2)),IF('Inputs 2'!$C$77="D",SUMPRODUCT(($AZ9&gt;=INDEX('Methodology &amp; Sources'!$B$167:$J$179,0,1))*INDEX('Methodology &amp; Sources'!$B$167:$J$179,0,1+2)),IF('Inputs 2'!$C$77="E",SUMPRODUCT(($AZ9&gt;=INDEX('Methodology &amp; Sources'!$B$167:$J$179,0,4))*INDEX('Methodology &amp; Sources'!$B$167:$J$179,0,4+2)),SUMPRODUCT(($AZ9&gt;=INDEX('Methodology &amp; Sources'!$B$155:$J$162,0,1))*INDEX('Methodology &amp; Sources'!$B$155:$J$162,0,1+2)))))),IF($AN9="OR",IF(OR($AU9="Married",AND($AU9="Single",$AS9&gt;=3)),SUMPRODUCT((MAX(0,$AY9-MIN(($P9-'Methodology &amp; Sources'!$C$10*$D9)*'Inputs 2'!$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Sources'!$B$211:$J$214,0,4))*INDEX('Methodology &amp; Sources'!$B$211:$J$214,0,4+2)),SUMPRODUCT((MAX(0,$AY9-MIN(($P9-'Methodology &amp; Sources'!$C$10*$D9)*'Inputs 2'!$C$8,IF(OR($AU9="Married",AND($AU9="Single",$AS9&gt;=3)),IF($AY9&lt;250000,8750,IF($AY9&lt;260000,7000,IF($AY9&lt;270000,5250,IF($AY9&lt;280000,3500,IF($AY9&lt;290000,1750,0))))),IF($AY9&lt;125000,8750,IF($AY9&lt;130000,7000,IF($AY9&lt;135000,5250,IF($AY9&lt;140000,3500,IF($AY9&lt;145000,1750,0)))))))-IF(OR($AU9="Married",AND($AU9="Single",$AS9&gt;=3)),5820,2910))&gt;=INDEX('Methodology &amp; Sources'!$B$211:$J$214,0,1))*INDEX('Methodology &amp; Sources'!$B$211:$J$214,0,1+2)))*IF(($P9-'Methodology &amp; Sources'!$C$10*$D9)*'Inputs 2'!$C$8&gt;=IF(OR($AU9="Married",AND($AU9="Single",$AS9&gt;=3)),IF($AY9&lt;250000,8750,IF($AY9&lt;260000,7000,IF($AY9&lt;270000,5250,IF($AY9&lt;280000,3500,IF($AY9&lt;290000,1750,0))))),IF($AY9&lt;125000,8750,IF($AY9&lt;130000,7000,IF($AY9&lt;135000,5250,IF($AY9&lt;140000,3500,IF($AY9&lt;145000,1750,0)))))),1,1-IF('Inputs 2'!$C$13,SUMPRODUCT(($AH9&gt;=INDEX('Methodology &amp; Sources'!$B$29:$J$36,0,IF('Inputs 2'!$C$12="MFJ",1,IF('Inputs 2'!$C$12="HoH",7,4))))*INDEX('Methodology &amp; Sources'!$B$29:$J$36,0,IF('Inputs 2'!$C$12="MFJ",1,IF('Inputs 2'!$C$12="HoH",7,4))+2)),SUMPRODUCT(($AH9&gt;=INDEX('Methodology &amp; Sources'!$B$19:$J$26,0,IF('Inputs 2'!$C$12="MFJ",1,IF('Inputs 2'!$C$12="HoH",7,4))))*INDEX('Methodology &amp; Sources'!$B$19:$J$26,0,IF('Inputs 2'!$C$12="MFJ",1,IF('Inputs 2'!$C$12="HoH",7,4))+2)))),IF($AN9="MI",IF($AY9&gt;5900*$AS9,0.0425,0),""))))</f>
      </c>
      <c r="CA9" s="24">
        <f>IF($B9="","",IF($AN9="AL",IF(OR($AU9="Married",$AU9="Head of household"),SUMPRODUCT(($AZ9&gt;=INDEX('Methodology &amp; Sources'!$B$82:$J$86,0,4))*INDEX('Methodology &amp; Sources'!$B$82:$J$86,0,4+2)),SUMPRODUCT(($AZ9&gt;=INDEX('Methodology &amp; Sources'!$B$82:$J$86,0,1))*INDEX('Methodology &amp; Sources'!$B$82:$J$86,0,1+2)))*(1-IF('Inputs 2'!$C$13,SUMPRODUCT(($AH9&gt;=INDEX('Methodology &amp; Sources'!$B$29:$J$36,0,IF('Inputs 2'!$C$12="MFJ",1,IF('Inputs 2'!$C$12="HoH",7,4))))*INDEX('Methodology &amp; Sources'!$B$29:$J$36,0,IF('Inputs 2'!$C$12="MFJ",1,IF('Inputs 2'!$C$12="HoH",7,4))+2)),SUMPRODUCT(($AH9&gt;=INDEX('Methodology &amp; Sources'!$B$19:$J$26,0,IF('Inputs 2'!$C$12="MFJ",1,IF('Inputs 2'!$C$12="HoH",7,4))))*INDEX('Methodology &amp; Sources'!$B$19:$J$26,0,IF('Inputs 2'!$C$12="MFJ",1,IF('Inputs 2'!$C$12="HoH",7,4))+2)))),IF($AN9="KS",IF($AU9="Married",SUMPRODUCT(($AZ9&gt;=INDEX('Methodology &amp; Sources'!$B$103:$J$109,0,4))*INDEX('Methodology &amp; Sources'!$B$103:$J$109,0,4+2)),SUMPRODUCT(($AZ9&gt;=INDEX('Methodology &amp; Sources'!$B$103:$J$109,0,1))*INDEX('Methodology &amp; Sources'!$B$103:$J$109,0,1+2))),IF($AN9="MD",IF(OR($AU9="Married",$AU9="Head of household"),SUMPRODUCT(($AZ9&gt;=INDEX('Methodology &amp; Sources'!$B$114:$J$120,0,1))*INDEX('Methodology &amp; Sources'!$B$114:$J$120,0,1+2)),SUMPRODUCT(($AZ9&gt;=INDEX('Methodology &amp; Sources'!$B$103:$J$109,0,7))*INDEX('Methodology &amp; Sources'!$B$103:$J$109,0,7+2)))+'Inputs 2'!$C$74,IF($AN9="MT",IF($AU9="Head of household",SUMPRODUCT(($AZ9&gt;=INDEX('Methodology &amp; Sources'!$B$137:$J$139,0,1))*INDEX('Methodology &amp; Sources'!$B$137:$J$139,0,1+2)),IF($AU9="Married",SUMPRODUCT(($AZ9&gt;=INDEX('Methodology &amp; Sources'!$B$125:$J$132,0,7))*INDEX('Methodology &amp; Sources'!$B$125:$J$132,0,7+2)),SUMPRODUCT(($AZ9&gt;=INDEX('Methodology &amp; Sources'!$B$125:$J$132,0,4))*INDEX('Methodology &amp; Sources'!$B$125:$J$132,0,4+2)))),IF($AN9="ND",IF($AU9="Head of household",SUMPRODUCT(($AZ9&gt;=INDEX('Methodology &amp; Sources'!$B$144:$J$150,0,1))*INDEX('Methodology &amp; Sources'!$B$144:$J$150,0,1+2)),IF($AU9="Married",SUMPRODUCT(($AZ9&gt;=INDEX('Methodology &amp; Sources'!$B$137:$J$139,0,7))*INDEX('Methodology &amp; Sources'!$B$137:$J$139,0,7+2)),SUMPRODUCT(($AZ9&gt;=INDEX('Methodology &amp; Sources'!$B$137:$J$139,0,4))*INDEX('Methodology &amp; Sources'!$B$137:$J$139,0,4+2)))),IF($AN9="NY",IF($AU9="Married",IF($AZ9&gt;=2155350,IF($AZ9&gt;25000000,0.117,IF($AZ9&gt;5000000,0.111,0.1045)),SUMPRODUCT(($AZ9&gt;=INDEX('Methodology &amp; Sources'!$B$184:$J$198,0,1))*INDEX('Methodology &amp; Sources'!$B$184:$J$198,0,1+2))),IF($AZ9&gt;=1077550,IF($AZ9&gt;25000000,0.117,IF($AZ9&gt;5000000,0.111,0.1045)),SUMPRODUCT(($AZ9&gt;=INDEX('Methodology &amp; Sources'!$B$167:$J$179,0,7))*INDEX('Methodology &amp; Sources'!$B$167:$J$179,0,7+2)))),"")))))))</f>
      </c>
      <c r="CB9" s="24">
        <f>IF($B9="","",IF($AN9="CA",SUMPRODUCT(($AJ9&gt;=INDEX('Methodology &amp; Sources'!$B$39:$J$48,0,IF($AU9="Married",4,IF($AU9="Head of household",7,1))))*INDEX('Methodology &amp; Sources'!$B$39:$J$48,0,IF($AU9="Married",4,IF($AU9="Head of household",7,1))+2)),IF($AN9="HI",IF($AU9="Married",SUMPRODUCT(($AZ9&gt;=INDEX('Methodology &amp; Sources'!$B$91:$J$98,0,7))*INDEX('Methodology &amp; Sources'!$B$91:$J$98,0,7+2)),SUMPRODUCT(($AZ9&gt;=INDEX('Methodology &amp; Sources'!$B$91:$J$98,0,4))*INDEX('Methodology &amp; Sources'!$B$91:$J$98,0,4+2))),IF($AN9="MN",IF($AU9="Married",SUMPRODUCT(($AZ9&gt;=INDEX('Methodology &amp; Sources'!$B$114:$J$120,0,7))*INDEX('Methodology &amp; Sources'!$B$114:$J$120,0,7+2)),SUMPRODUCT(($AZ9&gt;=INDEX('Methodology &amp; Sources'!$B$114:$J$120,0,4))*INDEX('Methodology &amp; Sources'!$B$114:$J$120,0,4+2))),IF($AN9="MO",SUMPRODUCT(($AZ9&gt;=INDEX('Methodology &amp; Sources'!$B$125:$J$132,0,1))*INDEX('Methodology &amp; Sources'!$B$125:$J$132,0,1+2)),IF($AN9="NE",MAX(IF($AU9="Married",SUMPRODUCT(($AZ9&gt;=INDEX('Methodology &amp; Sources'!$B$144:$J$150,0,7))*INDEX('Methodology &amp; Sources'!$B$144:$J$150,0,7+2)),SUMPRODUCT(($AZ9&gt;=INDEX('Methodology &amp; Sources'!$B$144:$J$150,0,4))*INDEX('Methodology &amp; Sources'!$B$144:$J$150,0,4+2))),0.015),IF($AN9="OH",IF($B9&gt;=DATE(2027,8,1),SUMPRODUCT(($AZ9&gt;=INDEX('Methodology &amp; Sources'!$B$203:$J$206,0,1))*INDEX('Methodology &amp; Sources'!$B$203:$J$206,0,1+2)),SUMPRODUCT(($AZ9&gt;=INDEX('Methodology &amp; Sources'!$B$184:$J$198,0,7))*INDEX('Methodology &amp; Sources'!$B$184:$J$198,0,7+2))),IF($AN9="OK",IF($AU9="Married",SUMPRODUCT(($AZ9&gt;=INDEX('Methodology &amp; Sources'!$B$203:$J$206,0,7))*INDEX('Methodology &amp; Sources'!$B$203:$J$206,0,7+2)),SUMPRODUCT(($AZ9&gt;=INDEX('Methodology &amp; Sources'!$B$203:$J$206,0,4))*INDEX('Methodology &amp; Sources'!$B$203:$J$206,0,4+2))),IF($AN9="RI",SUMPRODUCT(($AZ9&gt;=INDEX('Methodology &amp; Sources'!$B$211:$J$214,0,7))*INDEX('Methodology &amp; Sources'!$B$211:$J$214,0,7+2)),IF($AN9="SC",SUMPRODUCT(($AZ9&gt;=INDEX('Methodology &amp; Sources'!$B$219:$J$223,0,1))*INDEX('Methodology &amp; Sources'!$B$219:$J$223,0,1+2)),IF($AN9="VT",IF($AU9="Married",SUMPRODUCT(($AZ9&gt;=INDEX('Methodology &amp; Sources'!$B$228:$J$232,0,1))*INDEX('Methodology &amp; Sources'!$B$228:$J$232,0,1+2)),SUMPRODUCT(($AZ9&gt;=INDEX('Methodology &amp; Sources'!$B$219:$J$223,0,7))*INDEX('Methodology &amp; Sources'!$B$219:$J$223,0,7+2))),IF($AN9="WV",IF($AU9="Married",SUMPRODUCT(($AZ9&gt;=INDEX('Methodology &amp; Sources'!$B$237:$J$241,0,7))*INDEX('Methodology &amp; Sources'!$B$237:$J$241,0,7+2)),SUMPRODUCT(($AZ9&gt;=INDEX('Methodology &amp; Sources'!$B$228:$J$232,0,7))*INDEX('Methodology &amp; Sources'!$B$228:$J$232,0,7+2))),IF($AN9="IN",(0.0295+'Inputs 2'!$C$76),"")))))))))))))</f>
      </c>
      <c r="CC9" s="24">
        <f>IF($B9="","",IF($AN9="AR",SUMPRODUCT(($AZ9&gt;=INDEX('Methodology &amp; Sources'!$B$82:$J$86,0,7))*INDEX('Methodology &amp; Sources'!$B$82:$J$86,0,7+2)),IF($AN9="DE",SUMPRODUCT(($AZ9&gt;=INDEX('Methodology &amp; Sources'!$B$91:$J$98,0,1))*INDEX('Methodology &amp; Sources'!$B$91:$J$98,0,1+2)),IF($AN9="VA",SUMPRODUCT(($AZ9&gt;=INDEX('Methodology &amp; Sources'!$B$219:$J$223,0,4))*INDEX('Methodology &amp; Sources'!$B$219:$J$223,0,4+2)),IF($AN9="WI",SUMPRODUCT(($AZ9&gt;=INDEX('Methodology &amp; Sources'!$B$228:$J$232,0,4))*INDEX('Methodology &amp; Sources'!$B$228:$J$232,0,4+2)),IF($AN9="AZ",'Inputs 2'!$C$82,IF($AN9="CO",IF($AY9&gt;IF($AU9="Married",10000,5000),0.044,0),IF($AN9="IA",IF($AY9&gt;IF($AU9="Head of household",19500,IF($AU9="Married",26000,13000)),0.038,0),IF($AN9="ID",IF($AY9&gt;IF($AU9="Married",32000,16094),0.053,0),IF($AN9="IL",IF($AY9&gt;(2925*$AS9+1000*$AT9),0.0495,0),IF($AN9="KY",IF($AI9&gt;3360,0.035,0),IF($AN9="LA",0.0309,IF($AN9="MA",IF(MAX(0,$AY9-MIN(($BD8+$Q9+$R9+$S9),2000)-IF($AS9=0,0,IF($AS9=1,4400,1000*$AS9+3400)))&gt;=1107750,0.09,0.05),IF($AN9="MS",IF($AI9-IF($AU9="Head of household",3400,IF($AU9="Married",4600,2300))-'Inputs 2'!$C$85&gt;10000,0.04,0),IF($AN9="PA",0.0307,"")))))))))))))))</f>
      </c>
      <c r="CD9" s="21">
        <f>IF(YEAR(IF('Inputs 2'!$C$7="Weekly",'Inputs 2'!$C$9+7*(($BE8+1)-1),IF('Inputs 2'!$C$7="Biweekly",'Inputs 2'!$C$9+14*(($BE8+1)-1),IF('Inputs 2'!$C$7="Semimonthly",DATE(YEAR('Inputs 2'!$C$9),MONTH('Inputs 2'!$C$9)+INT((($BE8+1)-1)/2),MIN(DAY('Inputs 2'!$C$9),DAY(EOMONTH(DATE(YEAR('Inputs 2'!$C$9),MONTH('Inputs 2'!$C$9)+INT((($BE8+1)-1)/2),1),0))))+IF(MOD(($BE8+1)-1,2)=1,15,0),EDATE('Inputs 2'!$C$9,($BE8+1)-1)))))&lt;&gt;'Inputs 2'!$C$10,"",IF('Inputs 2'!$C$7="Weekly",'Inputs 2'!$C$9+7*(($BE8+1)-1),IF('Inputs 2'!$C$7="Biweekly",'Inputs 2'!$C$9+14*(($BE8+1)-1),IF('Inputs 2'!$C$7="Semimonthly",DATE(YEAR('Inputs 2'!$C$9),MONTH('Inputs 2'!$C$9)+INT((($BE8+1)-1)/2),MIN(DAY('Inputs 2'!$C$9),DAY(EOMONTH(DATE(YEAR('Inputs 2'!$C$9),MONTH('Inputs 2'!$C$9)+INT((($BE8+1)-1)/2),1),0))))+IF(MOD(($BE8+1)-1,2)=1,15,0),EDATE('Inputs 2'!$C$9,($BE8+1)-1)))))</f>
      </c>
      <c r="CE9" s="21">
        <f>IF(SUMPRODUCT(MIN(IF(('Inputs 2'!$C$58:$C$67&gt;MAX($B$6:$B8))*('Inputs 2'!$C$58:$C$67&gt;=DATE('Inputs 2'!$C$10,1,1))*('Inputs 2'!$C$58:$C$67&lt;=DATE('Inputs 2'!$C$10,12,31)),'Inputs 2'!$C$58:$C$67,999999)))=999999,"",SUMPRODUCT(MIN(IF(('Inputs 2'!$C$58:$C$67&gt;MAX($B$6:$B8))*('Inputs 2'!$C$58:$C$67&gt;=DATE('Inputs 2'!$C$10,1,1))*('Inputs 2'!$C$58:$C$67&lt;=DATE('Inputs 2'!$C$10,12,31)),'Inputs 2'!$C$58:$C$67,999999))))</f>
      </c>
    </row>
    <row r="10">
      <c r="A10" t="n">
        <v>5</v>
      </c>
      <c r="B10" s="21">
        <f>IF(AND($CD10="",$CE10=""),"",IF($CE10="",$CD10,IF($CD10="",$CE10,MIN($CD10,$CE10))))</f>
      </c>
      <c r="C10" s="7">
        <f>IF($B10="","",IF($BF10=0,0,IF('Inputs 2'!$C$4="Annual salary",ROUND($AK10/IF(AND('Inputs 2'!$C$88="Actual paydays",MONTH('Inputs 2'!$C$9)=1),MAX(1,MAX($BE$6:$BE$68)),'Inputs 2'!$C$8),2),$AK10)))</f>
      </c>
      <c r="D10" s="7">
        <f>IF($B10="","",SUMIF('Inputs 2'!$C$58:$C$67,$B10,'Inputs 2'!$D$58:$D$67))</f>
      </c>
      <c r="E10" s="7">
        <f>IF($B10="","",ROUND(MAX(0,MIN(IF($AL10="Percent",$AM10*($C10+$D10),$AM10),MAX(0,'Inputs 2'!$C$34-$AC9))),2))</f>
      </c>
      <c r="F10" s="7">
        <f>IF($B10="","",ROUND(MAX(0,MIN(IF('Inputs 2'!$C$32="Percent",'Inputs 2'!$D$32*($C10+$D10),'Inputs 2'!$D$32),MAX(0,'Inputs 2'!$C$34-$AC9-$E10))),2))</f>
      </c>
      <c r="G10" s="7">
        <f>IF($B10="","",IF($BF10=0,0,ROUND(MAX(0,MIN($BL10,'Inputs 2'!$C$37-'Inputs 2'!$C$54-$BI9)),2)))</f>
      </c>
      <c r="H10" s="7">
        <f>IF($B10="","",IF(OR($BF10=0,$BQ10=1),0,ROUND(MAX(0,MIN(IF($BS10=1,ROUND(MAX(0,MIN($BJ10,'Methodology &amp; Sources'!$C$13)-$BG9)/MAX(1,MAX($BE$6:$BE$68)-($BE9)),2),ROUND(MIN($BJ10,'Methodology &amp; Sources'!$C$13)/'Inputs 2'!$C$8,2)),MIN($BJ10,'Methodology &amp; Sources'!$C$13)-$BG9)),2)))</f>
      </c>
      <c r="I10" s="7">
        <f>IF($B10="","",IF(OR($BF10=0,$BR10=1),0,ROUND(MAX(0,MIN(IF($BT10=1,ROUND(MAX(0,MIN($BK10,IF('Inputs 2'!$C$12="MFJ",'Methodology &amp; Sources'!$C$14,'Methodology &amp; Sources'!$C$15))-$BH9)/MAX(1,MAX($BE$6:$BE$68)-($BE9)),2),ROUND(MIN($BK10,IF('Inputs 2'!$C$12="MFJ",'Methodology &amp; Sources'!$C$14,'Methodology &amp; Sources'!$C$15))/'Inputs 2'!$C$8,2)),MIN($BK10,IF('Inputs 2'!$C$12="MFJ",'Methodology &amp; Sources'!$C$14,'Methodology &amp; Sources'!$C$15))-$BH9)),2)))</f>
      </c>
      <c r="J10" s="7">
        <f>IF($B10="","",IF($BF10=0,0,$BM10))</f>
      </c>
      <c r="K10" s="7">
        <f>IF($B10="","",IF($BF10=0,0,$BN10+$BO10))</f>
      </c>
      <c r="L10" s="7">
        <f>IF($B10="","",IF($BF10=0,0,'Inputs 2'!$D$46))</f>
      </c>
      <c r="M10" s="7">
        <f>IF($B10="","",$C10+$D10+$L10-$E10-$G10-$H10-$I10-$J10-$K10)</f>
      </c>
      <c r="N10" s="7">
        <f>IF($B10="","",$C10+$D10+$L10-$G10-$H10-$I10-$J10-$K10)</f>
      </c>
      <c r="O10" s="7">
        <f>IF($B10="","",$C10+$D10+$L10-$E10-$H10-$I10-$J10-$K10-IF(OR($AN10="CA",$AN10="NJ"),0,$G10))</f>
      </c>
      <c r="P10" s="7">
        <f>IF($B10="","",IF('Inputs 2'!$C$18,0,ROUND(MAX(0,IF('Inputs 2'!$C$13,SUMPRODUCT(($AH10&gt;INDEX('Methodology &amp; Sources'!$B$29:$J$36,0,IF('Inputs 2'!$C$12="MFJ",1,IF('Inputs 2'!$C$12="HoH",7,4))))*($AH10-INDEX('Methodology &amp; Sources'!$B$29:$J$36,0,IF('Inputs 2'!$C$12="MFJ",1,IF('Inputs 2'!$C$12="HoH",7,4))))*INDEX('Methodology &amp; Sources'!$B$29:$J$36,0,IF('Inputs 2'!$C$12="MFJ",1,IF('Inputs 2'!$C$12="HoH",7,4))+2)),SUMPRODUCT(($AH10&gt;INDEX('Methodology &amp; Sources'!$B$19:$J$26,0,IF('Inputs 2'!$C$12="MFJ",1,IF('Inputs 2'!$C$12="HoH",7,4))))*($AH10-INDEX('Methodology &amp; Sources'!$B$19:$J$26,0,IF('Inputs 2'!$C$12="MFJ",1,IF('Inputs 2'!$C$12="HoH",7,4))))*INDEX('Methodology &amp; Sources'!$B$19:$J$26,0,IF('Inputs 2'!$C$12="MFJ",1,IF('Inputs 2'!$C$12="HoH",7,4))+2)))/'Inputs 2'!$C$8-$AO10/'Inputs 2'!$C$8)+$AR10+IF('Inputs 2'!$C$89="Aggregate",MAX(0,IF('Inputs 2'!$C$13,SUMPRODUCT((($AH10+$D10)&gt;INDEX('Methodology &amp; Sources'!$B$29:$J$36,0,IF('Inputs 2'!$C$12="MFJ",1,IF('Inputs 2'!$C$12="HoH",7,4))))*(($AH10+$D10)-INDEX('Methodology &amp; Sources'!$B$29:$J$36,0,IF('Inputs 2'!$C$12="MFJ",1,IF('Inputs 2'!$C$12="HoH",7,4))))*INDEX('Methodology &amp; Sources'!$B$29:$J$36,0,IF('Inputs 2'!$C$12="MFJ",1,IF('Inputs 2'!$C$12="HoH",7,4))+2)),SUMPRODUCT((($AH10+$D10)&gt;INDEX('Methodology &amp; Sources'!$B$19:$J$26,0,IF('Inputs 2'!$C$12="MFJ",1,IF('Inputs 2'!$C$12="HoH",7,4))))*(($AH10+$D10)-INDEX('Methodology &amp; Sources'!$B$19:$J$26,0,IF('Inputs 2'!$C$12="MFJ",1,IF('Inputs 2'!$C$12="HoH",7,4))))*INDEX('Methodology &amp; Sources'!$B$19:$J$26,0,IF('Inputs 2'!$C$12="MFJ",1,IF('Inputs 2'!$C$12="HoH",7,4))+2)))-IF('Inputs 2'!$C$13,SUMPRODUCT(($AH10&gt;INDEX('Methodology &amp; Sources'!$B$29:$J$36,0,IF('Inputs 2'!$C$12="MFJ",1,IF('Inputs 2'!$C$12="HoH",7,4))))*($AH10-INDEX('Methodology &amp; Sources'!$B$29:$J$36,0,IF('Inputs 2'!$C$12="MFJ",1,IF('Inputs 2'!$C$12="HoH",7,4))))*INDEX('Methodology &amp; Sources'!$B$29:$J$36,0,IF('Inputs 2'!$C$12="MFJ",1,IF('Inputs 2'!$C$12="HoH",7,4))+2)),SUMPRODUCT(($AH10&gt;INDEX('Methodology &amp; Sources'!$B$19:$J$26,0,IF('Inputs 2'!$C$12="MFJ",1,IF('Inputs 2'!$C$12="HoH",7,4))))*($AH10-INDEX('Methodology &amp; Sources'!$B$19:$J$26,0,IF('Inputs 2'!$C$12="MFJ",1,IF('Inputs 2'!$C$12="HoH",7,4))))*INDEX('Methodology &amp; Sources'!$B$19:$J$26,0,IF('Inputs 2'!$C$12="MFJ",1,IF('Inputs 2'!$C$12="HoH",7,4))+2)))),'Methodology &amp; Sources'!$C$10*$D10),2)))</f>
      </c>
      <c r="Q10" s="7">
        <f>IF($B10="","",ROUND('Methodology &amp; Sources'!$C$4*MIN($N10,MAX(0,'Methodology &amp; Sources'!$C$3-($AX10+$AB9-$AW10))),2))</f>
      </c>
      <c r="R10" s="7">
        <f>IF($B10="","",ROUND('Methodology &amp; Sources'!$C$5*$N10,2))</f>
      </c>
      <c r="S10" s="7">
        <f>IF($B10="","",ROUND('Methodology &amp; Sources'!$C$6*MAX(0,MIN($N10,$AG9+$N10-'Methodology &amp; Sources'!$C$7)),2))</f>
      </c>
      <c r="T10" s="7">
        <f>IF($B10="","",IF('Inputs 2'!$C$26,0,IF($AN10="CA",ROUND(IF($AI10&lt;=IF(($AS10+$AT10)&gt;=2,VLOOKUP($AN10,StateTables!$A$6:$AB$56,10,FALSE),VLOOKUP($AN10,StateTables!$A$6:$AB$56,9,FALSE)),0,MAX(0,SUMPRODUCT(($AJ10&gt;INDEX('Methodology &amp; Sources'!$B$39:$J$48,0,IF($AU10="Married",4,IF($AU10="Head of household",7,1))))*($AJ10-INDEX('Methodology &amp; Sources'!$B$39:$J$48,0,IF($AU10="Married",4,IF($AU10="Head of household",7,1))))*INDEX('Methodology &amp; Sources'!$B$39:$J$48,0,IF($AU10="Married",4,IF($AU10="Head of household",7,1))+2))-VLOOKUP($AN10,StateTables!$A$6:$AB$56,11,FALSE)*$AS10)/'Inputs 2'!$C$8)+'Inputs 2'!$C$25+VLOOKUP($AN10,StateTables!$A$6:$AB$56,13,FALSE)*$D10,2),IF(VLOOKUP($AN10,StateTables!$A$6:$AB$56,4,FALSE)="None",0,IF(ISNUMBER(SEARCH("MANUAL",VLOOKUP($AN10,StateTables!$A$6:$AB$56,5,FALSE))),'Inputs 2'!$C$28,ROUND(MAX(0,$BA10+$BB10)/'Inputs 2'!$C$8+'Inputs 2'!$C$25+$BC10,2))))))</f>
      </c>
      <c r="U10" s="7">
        <f>IF($B10="","",IF(VLOOKUP($AN10,StateTables!$A$6:$AB$56,24,FALSE)="flatq",IF(OR(MONTH($B10)=1,MONTH($B10)=4,MONTH($B10)=7,MONTH($B10)=10),VLOOKUP($AN10,StateTables!$A$6:$AB$56,25,FALSE),0),IF(VLOOKUP($AN10,StateTables!$A$6:$AB$56,24,FALSE)="dbl",MIN(ROUND(0.005*$N10,2),ROUND(0.6*52/'Inputs 2'!$C$8,2)),IF(OR(VLOOKUP($AN10,StateTables!$A$6:$AB$56,15,FALSE)="",VLOOKUP($AN10,StateTables!$A$6:$AB$56,15,FALSE)=0),0,ROUND(VLOOKUP($AN10,StateTables!$A$6:$AB$56,15,FALSE)*IF(OR(VLOOKUP($AN10,StateTables!$A$6:$AB$56,16,FALSE)="",VLOOKUP($AN10,StateTables!$A$6:$AB$56,16,FALSE)=0),$N10,MIN($N10,MAX(0,VLOOKUP($AN10,StateTables!$A$6:$AB$56,16,FALSE)-($AX10+$AB9-$AW10)))),2))))+IF(VLOOKUP($AN10,StateTables!$A$6:$AB$56,27,FALSE)="flatq",IF(OR(MONTH($B10)=1,MONTH($B10)=4,MONTH($B10)=7,MONTH($B10)=10),VLOOKUP($AN10,StateTables!$A$6:$AB$56,28,FALSE),0),IF(VLOOKUP($AN10,StateTables!$A$6:$AB$56,27,FALSE)="dbl",MIN(ROUND(0.005*$N10,2),ROUND(0.6*52/'Inputs 2'!$C$8,2)),IF(OR(VLOOKUP($AN10,StateTables!$A$6:$AB$56,18,FALSE)="",VLOOKUP($AN10,StateTables!$A$6:$AB$56,18,FALSE)=0),0,ROUND(VLOOKUP($AN10,StateTables!$A$6:$AB$56,18,FALSE)*IF(OR(VLOOKUP($AN10,StateTables!$A$6:$AB$56,19,FALSE)="",VLOOKUP($AN10,StateTables!$A$6:$AB$56,19,FALSE)=0),$N10,MIN($N10,MAX(0,VLOOKUP($AN10,StateTables!$A$6:$AB$56,19,FALSE)-($AX10+$AB9-$AW10)))),2)))))</f>
      </c>
      <c r="V10" s="7">
        <f>IF($B10="","",IF($AN10="NY",IF('Inputs 2'!$C$78,ROUND(SUMPRODUCT((MAX(0,($O10-$D10)*'Inputs 2'!$C$8-(IF($AU10="Married",5500,5000)+1000*$AS10))&gt;INDEX('Methodology &amp; Sources'!$B$184:$J$198,0,4))*(MAX(0,($O10-$D10)*'Inputs 2'!$C$8-(IF($AU10="Married",5500,5000)+1000*$AS10))-INDEX('Methodology &amp; Sources'!$B$184:$J$198,0,4))*INDEX('Methodology &amp; Sources'!$B$184:$J$198,0,4+2))/'Inputs 2'!$C$8+0.0425*$D10,2),0)+IF('Inputs 2'!$C$79="Resident",ROUND(0.1675*$T10,2),IF('Inputs 2'!$C$79="Nonresident",ROUND(0.005*MAX(0,($O10-$D10)-(IF($AU10="Married",7950,7400)+1000*$AS10)/'Inputs 2'!$C$8),2),0)),IF($AN10="PA",IF('Inputs 2'!$C$80="None",'Inputs 2'!$C$27+ROUND('Inputs 2'!$C$81*($C10+$D10),2),ROUND(IF('Inputs 2'!$C$80="Resident",IF($B10&lt;DATE(2027,7,1),0.03735,0.03735),IF($B10&lt;DATE(2027,7,1),0.03425,0.03425))*($C10+$D10),2)),IF($BF10=0,ROUND('Inputs 2'!$C$81*($C10+$D10),2),'Inputs 2'!$C$27+ROUND('Inputs 2'!$C$81*($C10+$D10),2)))))</f>
      </c>
      <c r="W10" s="7">
        <f>IF($B10="","",IF($BF10=0,0,$BP10))</f>
      </c>
      <c r="X10" s="7">
        <f>IF($B10="","",SUM($E10:$K10)+$P10+$Q10+$R10+$S10+$T10+$U10+$V10+$W10)</f>
      </c>
      <c r="Y10" s="22">
        <f>IF($B10="","",$C10+$D10-$X10)</f>
      </c>
      <c r="Z10" s="7">
        <f>IF($B10="","",$Z9+$C10+$D10)</f>
      </c>
      <c r="AA10" s="7">
        <f>IF($B10="","",$AA9+$Y10)</f>
      </c>
      <c r="AB10" s="7">
        <f>IF($B10="","",$AB9+MIN($N10,MAX(0,'Methodology &amp; Sources'!$C$3-($AX10+$AB9-$AW10))))</f>
      </c>
      <c r="AC10" s="7">
        <f>IF($B10="","",$AC9+$E10+$F10)</f>
      </c>
      <c r="AD10" s="3">
        <f>IF($B10="","",IF(AND($AB9&lt;'Methodology &amp; Sources'!$C$3,$AB10&gt;='Methodology &amp; Sources'!$C$3),"★ Social Security maxed on this check — from the next check your net rises by about $"&amp;TEXT(ROUND('Methodology &amp; Sources'!$C$4*$N10,2),"#,##0.00")&amp;". ","")&amp;IF(AND($AC9&lt;'Inputs 2'!$C$34,$AC10&gt;='Inputs 2'!$C$34),"★ 401(k) reaches the $"&amp;TEXT('Inputs 2'!$C$34,"#,##0")&amp;" cap on this check — deferrals stop and net pay rises. ","")&amp;IF(AND($AG9&lt;'Methodology &amp; Sources'!$C$7,$AG10&gt;='Methodology &amp; Sources'!$C$7),"★ Wages pass $200,000 — the 0.9% Additional Medicare Tax starts here. ","")&amp;IF(AND($BJ10&gt;0,$H10&gt;0,$BG9&lt;MIN($BJ10,'Methodology &amp; Sources'!$C$13),$BG9+$H10&gt;=MIN($BJ10,'Methodology &amp; Sources'!$C$13)),"★ Health FSA election is now fully deferred for the year. ",""))</f>
      </c>
      <c r="AE10" s="41" t="n"/>
      <c r="AF10" s="7">
        <f>IF(OR($B10="",$AE10=""),"",$AE10-$Y10)</f>
      </c>
      <c r="AG10" s="7">
        <f>IF($B10="","",$AG9+$N10)</f>
      </c>
      <c r="AH10" s="7">
        <f>IF($B10="","",MAX(0,($M10-$D10)*'Inputs 2'!$C$8+$AP10-$AQ10-IF('Inputs 2'!$C$13,0,IF('Inputs 2'!$C$12="MFJ",'Methodology &amp; Sources'!$C$8,'Methodology &amp; Sources'!$C$9))))</f>
      </c>
      <c r="AI10" s="7">
        <f>IF($B10="","",$O10*'Inputs 2'!$C$8)</f>
      </c>
      <c r="AJ10" s="7">
        <f>IF($B10="","",MAX(0,$AI10-VLOOKUP($AN10,StateTables!$A$6:$AB$56,12,FALSE)*$AT10-IF(($AS10+$AT10)&gt;=2,VLOOKUP($AN10,StateTables!$A$6:$AB$56,8,FALSE),VLOOKUP($AN10,StateTables!$A$6:$AB$56,7,FALSE))))</f>
      </c>
      <c r="AK10" s="7">
        <f>IF($B10="","",IFERROR(LOOKUP(2,1/(('Events 2'!$C$6:$C$17="Salary change")*('Events 2'!$B$6:$B$17&lt;=$B10)*('Events 2'!$B$6:$B$17&lt;&gt;"")),'Events 2'!$D$6:$D$17),IF('Inputs 2'!$C$4="Annual salary",'Inputs 2'!$C$5,'Inputs 2'!$C$6)))</f>
      </c>
      <c r="AL10">
        <f>IF($B10="","",IFERROR(LOOKUP(2,1/(('Events 2'!$C$6:$C$17="401(k) change")*('Events 2'!$B$6:$B$17&lt;=$B10)*('Events 2'!$B$6:$B$17&lt;&gt;"")),'Events 2'!$D$6:$D$17),'Inputs 2'!$C$30))</f>
      </c>
      <c r="AM10" s="7">
        <f>IF($B10="","",IFERROR(LOOKUP(2,1/(('Events 2'!$C$6:$C$17="401(k) change")*('Events 2'!$B$6:$B$17&lt;=$B10)*('Events 2'!$B$6:$B$17&lt;&gt;"")),'Events 2'!$E$6:$E$17),'Inputs 2'!$D$30))</f>
      </c>
      <c r="AN10">
        <f>IF($B10="","",IFERROR(LOOKUP(2,1/(('Events 2'!$C$6:$C$17="State move")*('Events 2'!$B$6:$B$17&lt;=$B10)*('Events 2'!$B$6:$B$17&lt;&gt;"")),'Events 2'!$D$6:$D$17),'Inputs 2'!$C$21))</f>
      </c>
      <c r="AO10" s="7">
        <f>IF($B10="","",IFERROR(LOOKUP(2,1/(('Events 2'!$C$6:$C$17="W-4 change")*('Events 2'!$B$6:$B$17&lt;=$B10)*('Events 2'!$B$6:$B$17&lt;&gt;"")),'Events 2'!$D$6:$D$17),'Inputs 2'!$C$14))</f>
      </c>
      <c r="AP10" s="7">
        <f>IF($B10="","",IFERROR(LOOKUP(2,1/(('Events 2'!$C$6:$C$17="W-4 change")*('Events 2'!$B$6:$B$17&lt;=$B10)*('Events 2'!$B$6:$B$17&lt;&gt;"")),'Events 2'!$E$6:$E$17),'Inputs 2'!$C$15))</f>
      </c>
      <c r="AQ10" s="7">
        <f>IF($B10="","",IFERROR(LOOKUP(2,1/(('Events 2'!$C$6:$C$17="W-4 change")*('Events 2'!$B$6:$B$17&lt;=$B10)*('Events 2'!$B$6:$B$17&lt;&gt;"")),'Events 2'!$F$6:$F$17),'Inputs 2'!$C$16))</f>
      </c>
      <c r="AR10" s="7">
        <f>IF($B10="","",IFERROR(LOOKUP(2,1/(('Events 2'!$C$6:$C$17="W-4 change")*('Events 2'!$B$6:$B$17&lt;=$B10)*('Events 2'!$B$6:$B$17&lt;&gt;"")),'Events 2'!$G$6:$G$17),'Inputs 2'!$C$17))</f>
      </c>
      <c r="AS10" s="6">
        <f>IF($B10="","",IFERROR(LOOKUP(2,1/((('Events 2'!$C$6:$C$17="State move")+('Events 2'!$C$6:$C$17="State cert change"))*('Events 2'!$B$6:$B$17&lt;=$B10)*('Events 2'!$B$6:$B$17&lt;&gt;"")),'Events 2'!$F$6:$F$17),'Inputs 2'!$C$23))</f>
      </c>
      <c r="AT10" s="6">
        <f>IF($B10="","",IFERROR(LOOKUP(2,1/((('Events 2'!$C$6:$C$17="State move")+('Events 2'!$C$6:$C$17="State cert change"))*('Events 2'!$B$6:$B$17&lt;=$B10)*('Events 2'!$B$6:$B$17&lt;&gt;"")),'Events 2'!$G$6:$G$17),'Inputs 2'!$C$24))</f>
      </c>
      <c r="AU10">
        <f>IF($B10="","",IFERROR(LOOKUP(2,1/(('Events 2'!$C$6:$C$17="State move")*('Events 2'!$B$6:$B$17&lt;=$B10)*('Events 2'!$B$6:$B$17&lt;&gt;"")),'Events 2'!$E$6:$E$17),'Inputs 2'!$C$22))</f>
      </c>
      <c r="AV10" s="6">
        <f>IF($B10="","",1+COUNTIFS('Events 2'!$C$6:$C$17,"Employer change",'Events 2'!$B$6:$B$17,"&lt;="&amp;$B10,'Events 2'!$B$6:$B$17,"&lt;&gt;"))</f>
      </c>
      <c r="AW10" s="7">
        <f>IF($B10="","",IF($AV10=1,'Inputs 2'!$C$49,IF(IFERROR(MATCH(IFERROR(LOOKUP(2,1/(('Events 2'!$C$6:$C$17="Employer change")*('Events 2'!$B$6:$B$17&lt;=$B10)*('Events 2'!$B$6:$B$17&lt;&gt;"")),'Events 2'!$B$6:$B$17),""),$B$6:$B$68,1),1)&lt;=1,'Inputs 2'!$C$49,INDEX($AB$6:$AB$68,MATCH(IFERROR(LOOKUP(2,1/(('Events 2'!$C$6:$C$17="Employer change")*('Events 2'!$B$6:$B$17&lt;=$B10)*('Events 2'!$B$6:$B$17&lt;&gt;"")),'Events 2'!$B$6:$B$17),""),$B$6:$B$68,1)-1))))</f>
      </c>
      <c r="AX10" s="7">
        <f>IF($B10="","",IF($AV10=1,'Inputs 2'!$C$49,IFERROR(LOOKUP(2,1/(('Events 2'!$C$6:$C$17="Employer change")*('Events 2'!$B$6:$B$17&lt;=$B10)*('Events 2'!$B$6:$B$17&lt;&gt;"")),'Events 2'!$D$6:$D$17),0)))</f>
      </c>
      <c r="AY10" s="7">
        <f>IF($B10="","",($O10-$D10)*'Inputs 2'!$C$8)</f>
      </c>
      <c r="AZ10" s="7">
        <f>IF($B10="","",IF($AN10="AL",MAX(0,$AY10-IF($AU10="Married",IF($AY10&lt;=25999,8500,MAX(5000,8500-175*CEILING(($AY10-25999)/500,1))),IF($AU10="Head of household",IF($AY10&lt;=25999,5200,MAX(2500,5200-135*CEILING(($AY10-25999)/500,1))),IF($AY10&lt;=25999,3000,MAX(2500,3000-25*CEILING(($AY10-25999)/500,1)))))-($P10-'Methodology &amp; Sources'!$C$10*$D10)*'Inputs 2'!$C$8-IF(OR($AU10="Married",$AU10="Head of household"),3000,1500)-$AT10*IF($AY10&lt;=50000,1000,IF($AY10&lt;=100000,500,300))),IF($AN10="AR",IF(MAX(0,$AY10-2470)&lt;97701,INT(MAX(0,$AY10-2470)/100)*100+50,MAX(0,$AY10-2470)),IF($AN10="DE",MAX(0,$AI10-3250),IF($AN10="HI",MAX(0,$AI10-1144*$AS10-4350),IF($AN10="KS",MAX(0,$AI10-(9160*IF($AU10="Married",2,1)+2320*$AT10+IF($AU10="Head of household",2320,0))),IF($AN10="MD",MAX(0,$AI10-3400-3200*$AS10),IF($AN10="MN",MAX(0,$AY10-5300*$AS10),IF($AN10="MO",MAX(0,$AI10-IF($AU10="Head of household",24150,IF($AU10="Married",IF('Inputs 2'!$C$83,16100,32200),16100))),IF($AN10="MT",$AY10,IF($AN10="ND",($C10+$L10)*'Inputs 2'!$C$8,IF($AN10="NE",MAX(0,$AY10-2440*$AS10),IF($AN10="NJ",MAX(0,$AY10-1000*$AS10),IF($AN10="NY",MAX(0,$AY10-(IF($AU10="Married",7950,7400)+1000*$AS10)),IF($AN10="OH",MAX(0,$AY10-650*$AS10),IF($AN10="OK",MAX(0,$AY10-1000*$AS10),IF($AN10="RI",MAX(0,$AI10-1000*$AS10),IF($AN10="SC",MAX(0,$AI10-5000*$AS10-IF($AS10=0,0,MIN(0.1*$AI10,7500))),IF($AN10="VA",MAX(0,$AI10-IF($AU10="Married",17500,8750)-930*$AS10-800*$AT10),IF($AN10="VT",MAX(0,$AI10-5400*$AS10),IF($AN10="WI",MAX(0,$AI10-MAX(0,IF($AU10="Married",9461-0.2*MAX(0,$AI10-25727),6702-0.12*MAX(0,$AI10-17780)))-400*$AS10),IF($AN10="WV",MAX(0,$AI10-2000*$AS10),$AI10))))))))))))))))))))))</f>
      </c>
      <c r="BA10" s="7">
        <f>IF($B10="","",IF($BW10&lt;&gt;"",$BW10,IF($BX10&lt;&gt;"",$BX10,IF($BY10&lt;&gt;"",$BY10,0))))</f>
      </c>
      <c r="BB10" s="7">
        <f>IF($B10="","",IF($AN10="AR",-29*$AS10,IF($AN10="DE",-110*$AS10,IF($AN10="MD",$AZ10*'Inputs 2'!$C$74,IF($AN10="AZ",'Inputs 2'!$C$82*($M10-$D10)*'Inputs 2'!$C$8,IF($AN10="CO",0.044*MAX(0,$AY10-IF($AU10="Married",10000,5000)),IF($AN10="IA",MAX(0,0.038*MAX(0,$AY10-IF($AU10="Head of household",19500,IF($AU10="Married",26000,13000)))-40*$AS10),IF($AN10="ID",0.053*MAX(0,$AY10-IF($AU10="Married",32000,16094)),IF($AN10="IL",0.0495*MAX(0,$AY10-(2925*$AS10+1000*$AT10)),IF($AN10="IN",(0.0295+'Inputs 2'!$C$76)*MAX(0,$AY10-(1000*$AS10+1500*$AT10+3000*'Inputs 2'!$C$86)),IF($AN10="KY",0.035*MAX(0,$AI10-3360),IF($AN10="LA",IF('Inputs 2'!$C$84="0",0.0309*$AI10,0.0309*MAX(0,$AI10-IF('Inputs 2'!$C$84="2",25750,12875))),IF($AN10="MA",0.05*MIN(MAX(0,$AY10-MIN(($BD9+$Q10+$R10+$S10),2000)-IF($AS10=0,0,IF($AS10=1,4400,1000*$AS10+3400))),1107750)+0.09*MAX(0,MAX(0,$AY10-MIN(($BD9+$Q10+$R10+$S10),2000)-IF($AS10=0,0,IF($AS10=1,4400,1000*$AS10+3400)))-1107750)-IF($AU10="Head of household",120,0)-110*'Inputs 2'!$C$75,IF($AN10="MI",0.0425*MAX(0,$AY10-5900*$AS10),IF($AN10="MS",0.04*MAX(0,$AI10-IF($AU10="Head of household",3400,IF($AU10="Married",4600,2300))-'Inputs 2'!$C$85-10000),IF($AN10="OR",IF(OR($AU10="Married",AND($AU10="Single",$AS10&gt;=3)),SUMPRODUCT((MAX(0,$AY10-MIN(($P10-'Methodology &amp; Sources'!$C$10*$D10)*'Inputs 2'!$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Sources'!$B$211:$J$214,0,4))*(MAX(0,$AY10-MIN(($P10-'Methodology &amp; Sources'!$C$10*$D10)*'Inputs 2'!$C$8,IF(OR($AU10="Married",AND($AU10="Single",$AS10&gt;=3)),IF($AY10&lt;250000,8750,IF($AY10&lt;260000,7000,IF($AY10&lt;270000,5250,IF($AY10&lt;280000,3500,IF($AY10&lt;290000,1750,0))))),IF($AY10&lt;125000,8750,IF($AY10&lt;130000,7000,IF($AY10&lt;135000,5250,IF($AY10&lt;140000,3500,IF($AY10&lt;145000,1750,0)))))))-IF(OR($AU10="Married",AND($AU10="Single",$AS10&gt;=3)),5820,2910))-INDEX('Methodology &amp; Sources'!$B$211:$J$214,0,4))*INDEX('Methodology &amp; Sources'!$B$211:$J$214,0,4+2)),SUMPRODUCT((MAX(0,$AY10-MIN(($P10-'Methodology &amp; Sources'!$C$10*$D10)*'Inputs 2'!$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Sources'!$B$211:$J$214,0,1))*(MAX(0,$AY10-MIN(($P10-'Methodology &amp; Sources'!$C$10*$D10)*'Inputs 2'!$C$8,IF(OR($AU10="Married",AND($AU10="Single",$AS10&gt;=3)),IF($AY10&lt;250000,8750,IF($AY10&lt;260000,7000,IF($AY10&lt;270000,5250,IF($AY10&lt;280000,3500,IF($AY10&lt;290000,1750,0))))),IF($AY10&lt;125000,8750,IF($AY10&lt;130000,7000,IF($AY10&lt;135000,5250,IF($AY10&lt;140000,3500,IF($AY10&lt;145000,1750,0)))))))-IF(OR($AU10="Married",AND($AU10="Single",$AS10&gt;=3)),5820,2910))-INDEX('Methodology &amp; Sources'!$B$211:$J$214,0,1))*INDEX('Methodology &amp; Sources'!$B$211:$J$214,0,1+2)))+263-263*IF(IF($AU10="Married",$AY10&gt;200000,$AY10&gt;100000),0,$AS10),IF($AN10="PA",0.0307*(($O10+$E10+$G10)*'Inputs 2'!$C$8),IF($AN10="NY",IF($AU10="Married",IF($AZ10&gt;=2155350,0,IF($AZ10&gt;=1077550,0.48,IF($AZ10&gt;=373200,1.21,IF($AZ10&gt;=323200,0.21,IF($AZ10&gt;=211550,-0.19,IF($AZ10&gt;=157650,-2.8,IF($AZ10&gt;=107650,-0.8,IF($AZ10&gt;=96800,0.05,IF($AZ10&gt;=80650,-0.1,IF($AZ10&gt;=13900,0.4,IF($AZ10&gt;=11700,-0.3,IF($AZ10&gt;=8500,0.5,0)))))))))))),IF($AZ10&gt;=1077550,0,IF($AZ10&gt;=265400,4.29,IF($AZ10&gt;=215400,2.29,IF($AZ10&gt;=157650,2.29,IF($AZ10&gt;=107650,0.29,IF($AZ10&gt;=96800,0.05,IF($AZ10&gt;=80650,-0.1,IF($AZ10&gt;=13900,0.4,IF($AZ10&gt;=11700,-0.3,IF($AZ10&gt;=8500,0.5,0))))))))))),0))))))))))))))))))</f>
      </c>
      <c r="BC10" s="7">
        <f>IF($B10="","",IF($AN10="AL",0.05*$D10,IF($AN10="AR",0.039*$D10,IF($AN10="ID",0.053*$D10,IF($AN10="IN",(0.0295+'Inputs 2'!$C$76)*$D10,IF($AN10="KS",0.05*$D10,IF($AN10="MA",0.09*MIN($D10,MAX(0,MAX(0,$AY10-MIN(($BD9+$Q10+$R10+$S10),2000)-IF($AS10=0,0,IF($AS10=1,4400,1000*$AS10+3400)))+$D10-1107750))+0.05*($D10-MIN($D10,MAX(0,MAX(0,$AY10-MIN(($BD9+$Q10+$R10+$S10),2000)-IF($AS10=0,0,IF($AS10=1,4400,1000*$AS10+3400)))+$D10-1107750))),IF($AN10="MD",(0.065+'Inputs 2'!$C$74)*$D10,IF($AN10="MI",0.0425*$D10,IF($AN10="MN",0.0625*$D10,IF($AN10="MO",0.047*$D10,IF($AN10="MT",0.05*$D10,IF($AN10="ND",0.015*$D10,IF($AN10="NE",0.035*$D10,IF($AN10="NJ",IF('Inputs 2'!$C$77="B",SUMPRODUCT(($D10*'Inputs 2'!$C$8&gt;INDEX('Methodology &amp; Sources'!$B$155:$J$162,0,4))*($D10*'Inputs 2'!$C$8-INDEX('Methodology &amp; Sources'!$B$155:$J$162,0,4))*INDEX('Methodology &amp; Sources'!$B$155:$J$162,0,4+2)),IF('Inputs 2'!$C$77="C",SUMPRODUCT(($D10*'Inputs 2'!$C$8&gt;INDEX('Methodology &amp; Sources'!$B$155:$J$162,0,7))*($D10*'Inputs 2'!$C$8-INDEX('Methodology &amp; Sources'!$B$155:$J$162,0,7))*INDEX('Methodology &amp; Sources'!$B$155:$J$162,0,7+2)),IF('Inputs 2'!$C$77="D",SUMPRODUCT(($D10*'Inputs 2'!$C$8&gt;INDEX('Methodology &amp; Sources'!$B$167:$J$179,0,1))*($D10*'Inputs 2'!$C$8-INDEX('Methodology &amp; Sources'!$B$167:$J$179,0,1))*INDEX('Methodology &amp; Sources'!$B$167:$J$179,0,1+2)),IF('Inputs 2'!$C$77="E",SUMPRODUCT(($D10*'Inputs 2'!$C$8&gt;INDEX('Methodology &amp; Sources'!$B$167:$J$179,0,4))*($D10*'Inputs 2'!$C$8-INDEX('Methodology &amp; Sources'!$B$167:$J$179,0,4))*INDEX('Methodology &amp; Sources'!$B$167:$J$179,0,4+2)),SUMPRODUCT(($D10*'Inputs 2'!$C$8&gt;INDEX('Methodology &amp; Sources'!$B$155:$J$162,0,1))*($D10*'Inputs 2'!$C$8-INDEX('Methodology &amp; Sources'!$B$155:$J$162,0,1))*INDEX('Methodology &amp; Sources'!$B$155:$J$162,0,1+2))))))/'Inputs 2'!$C$8,IF($AN10="NY",0.117*$D10,IF($AN10="OH",0.0275*$D10,IF($AN10="OK",0.045*$D10,IF($AN10="OR",0.08*$D10,IF($AN10="WI",IF($AY10&lt;12760,0.0354,IF($AY10&lt;25520,0.0465,IF($AY10&lt;280950,0.053,0.0765)))*$D10,0))))))))))))))))))))</f>
      </c>
      <c r="BD10" s="7">
        <f>IF($B10="","",$BD9+$Q10+$R10+$S10)</f>
      </c>
      <c r="BE10" s="6">
        <f>IF($B10="",$BE9,$BE9+$BF10)</f>
      </c>
      <c r="BF10" s="6">
        <f>IF($B10="","",IF(AND(IF(YEAR(IF('Inputs 2'!$C$7="Weekly",'Inputs 2'!$C$9+7*(($BE9+1)-1),IF('Inputs 2'!$C$7="Biweekly",'Inputs 2'!$C$9+14*(($BE9+1)-1),IF('Inputs 2'!$C$7="Semimonthly",DATE(YEAR('Inputs 2'!$C$9),MONTH('Inputs 2'!$C$9)+INT((($BE9+1)-1)/2),MIN(DAY('Inputs 2'!$C$9),DAY(EOMONTH(DATE(YEAR('Inputs 2'!$C$9),MONTH('Inputs 2'!$C$9)+INT((($BE9+1)-1)/2),1),0))))+IF(MOD(($BE9+1)-1,2)=1,15,0),EDATE('Inputs 2'!$C$9,($BE9+1)-1)))))&lt;&gt;'Inputs 2'!$C$10,"",IF('Inputs 2'!$C$7="Weekly",'Inputs 2'!$C$9+7*(($BE9+1)-1),IF('Inputs 2'!$C$7="Biweekly",'Inputs 2'!$C$9+14*(($BE9+1)-1),IF('Inputs 2'!$C$7="Semimonthly",DATE(YEAR('Inputs 2'!$C$9),MONTH('Inputs 2'!$C$9)+INT((($BE9+1)-1)/2),MIN(DAY('Inputs 2'!$C$9),DAY(EOMONTH(DATE(YEAR('Inputs 2'!$C$9),MONTH('Inputs 2'!$C$9)+INT((($BE9+1)-1)/2),1),0))))+IF(MOD(($BE9+1)-1,2)=1,15,0),EDATE('Inputs 2'!$C$9,($BE9+1)-1)))))&lt;&gt;"",$B10=IF(YEAR(IF('Inputs 2'!$C$7="Weekly",'Inputs 2'!$C$9+7*(($BE9+1)-1),IF('Inputs 2'!$C$7="Biweekly",'Inputs 2'!$C$9+14*(($BE9+1)-1),IF('Inputs 2'!$C$7="Semimonthly",DATE(YEAR('Inputs 2'!$C$9),MONTH('Inputs 2'!$C$9)+INT((($BE9+1)-1)/2),MIN(DAY('Inputs 2'!$C$9),DAY(EOMONTH(DATE(YEAR('Inputs 2'!$C$9),MONTH('Inputs 2'!$C$9)+INT((($BE9+1)-1)/2),1),0))))+IF(MOD(($BE9+1)-1,2)=1,15,0),EDATE('Inputs 2'!$C$9,($BE9+1)-1)))))&lt;&gt;'Inputs 2'!$C$10,"",IF('Inputs 2'!$C$7="Weekly",'Inputs 2'!$C$9+7*(($BE9+1)-1),IF('Inputs 2'!$C$7="Biweekly",'Inputs 2'!$C$9+14*(($BE9+1)-1),IF('Inputs 2'!$C$7="Semimonthly",DATE(YEAR('Inputs 2'!$C$9),MONTH('Inputs 2'!$C$9)+INT((($BE9+1)-1)/2),MIN(DAY('Inputs 2'!$C$9),DAY(EOMONTH(DATE(YEAR('Inputs 2'!$C$9),MONTH('Inputs 2'!$C$9)+INT((($BE9+1)-1)/2),1),0))))+IF(MOD(($BE9+1)-1,2)=1,15,0),EDATE('Inputs 2'!$C$9,($BE9+1)-1)))))),1,0))</f>
      </c>
      <c r="BG10" s="7">
        <f>IF($B10="","",$BG9+$H10)</f>
      </c>
      <c r="BH10" s="7">
        <f>IF($B10="","",$BH9+$I10)</f>
      </c>
      <c r="BI10" s="7">
        <f>IF($B10="","",$BI9+$G10)</f>
      </c>
      <c r="BJ10" s="7">
        <f>IF($B10="","",IFERROR(LOOKUP(2,1/(((('Events 2'!$C$6:$C$17="Deduction start"))*('Events 2'!$D$6:$D$17="Health FSA"))*('Events 2'!$B$6:$B$17&lt;=$B10)*('Events 2'!$B$6:$B$17&lt;&gt;"")),'Events 2'!$E$6:$E$17),'Inputs 2'!$D$38))</f>
      </c>
      <c r="BK10" s="7">
        <f>IF($B10="","",IFERROR(LOOKUP(2,1/(((('Events 2'!$C$6:$C$17="Deduction start"))*('Events 2'!$D$6:$D$17="Dependent-care FSA"))*('Events 2'!$B$6:$B$17&lt;=$B10)*('Events 2'!$B$6:$B$17&lt;&gt;"")),'Events 2'!$E$6:$E$17),'Inputs 2'!$D$39))</f>
      </c>
      <c r="BL10" s="7">
        <f>IF($B10="","",IFERROR(LOOKUP(2,1/(((('Events 2'!$C$6:$C$17="Deduction start")+('Events 2'!$C$6:$C$17="Deduction stop"))*('Events 2'!$D$6:$D$17="HSA"))*('Events 2'!$B$6:$B$17&lt;=$B10)*('Events 2'!$B$6:$B$17&lt;&gt;"")),'Events 2'!$I$6:$I$17),'Inputs 2'!$D$35))</f>
      </c>
      <c r="BM10" s="7">
        <f>IF($B10="","",IFERROR(LOOKUP(2,1/(((('Events 2'!$C$6:$C$17="Deduction start")+('Events 2'!$C$6:$C$17="Deduction stop"))*('Events 2'!$D$6:$D$17="Premiums"))*('Events 2'!$B$6:$B$17&lt;=$B10)*('Events 2'!$B$6:$B$17&lt;&gt;"")),'Events 2'!$I$6:$I$17),'Inputs 2'!$D$40+'Inputs 2'!$D$41+'Inputs 2'!$D$42))</f>
      </c>
      <c r="BN10" s="7">
        <f>IF($B10="","",IFERROR(LOOKUP(2,1/(((('Events 2'!$C$6:$C$17="Deduction start")+('Events 2'!$C$6:$C$17="Deduction stop"))*('Events 2'!$D$6:$D$17="Commuter"))*('Events 2'!$B$6:$B$17&lt;=$B10)*('Events 2'!$B$6:$B$17&lt;&gt;"")),'Events 2'!$I$6:$I$17),'Inputs 2'!$D$43))</f>
      </c>
      <c r="BO10" s="7">
        <f>IF($B10="","",IFERROR(LOOKUP(2,1/(((('Events 2'!$C$6:$C$17="Deduction start")+('Events 2'!$C$6:$C$17="Deduction stop"))*('Events 2'!$D$6:$D$17="Other pre-tax"))*('Events 2'!$B$6:$B$17&lt;=$B10)*('Events 2'!$B$6:$B$17&lt;&gt;"")),'Events 2'!$I$6:$I$17),'Inputs 2'!$D$44))</f>
      </c>
      <c r="BP10" s="7">
        <f>IF($B10="","",IFERROR(LOOKUP(2,1/(((('Events 2'!$C$6:$C$17="Deduction start")+('Events 2'!$C$6:$C$17="Deduction stop"))*('Events 2'!$D$6:$D$17="Other post-tax"))*('Events 2'!$B$6:$B$17&lt;=$B10)*('Events 2'!$B$6:$B$17&lt;&gt;"")),'Events 2'!$I$6:$I$17),'Inputs 2'!$D$45))</f>
      </c>
      <c r="BQ10" s="6">
        <f>IF($B10="","",IFERROR(LOOKUP(2,1/(((('Events 2'!$C$6:$C$17="Deduction start")+('Events 2'!$C$6:$C$17="Deduction stop"))*('Events 2'!$D$6:$D$17="Health FSA"))*('Events 2'!$B$6:$B$17&lt;=$B10)*('Events 2'!$B$6:$B$17&lt;&gt;"")),'Events 2'!$J$6:$J$17),0))</f>
      </c>
      <c r="BR10" s="6">
        <f>IF($B10="","",IFERROR(LOOKUP(2,1/(((('Events 2'!$C$6:$C$17="Deduction start")+('Events 2'!$C$6:$C$17="Deduction stop"))*('Events 2'!$D$6:$D$17="Dependent-care FSA"))*('Events 2'!$B$6:$B$17&lt;=$B10)*('Events 2'!$B$6:$B$17&lt;&gt;"")),'Events 2'!$J$6:$J$17),0))</f>
      </c>
      <c r="BS10" s="6">
        <f>IF($B10="","",IF(SUMPRODUCT(('Events 2'!$C$6:$C$17="Deduction start")*('Events 2'!$B$6:$B$17&lt;=$B10)*('Events 2'!$B$6:$B$17&lt;&gt;"")*('Events 2'!$D$6:$D$17="Health FSA"))&gt;0,1,0))</f>
      </c>
      <c r="BT10" s="6">
        <f>IF($B10="","",IF(SUMPRODUCT(('Events 2'!$C$6:$C$17="Deduction start")*('Events 2'!$B$6:$B$17&lt;=$B10)*('Events 2'!$B$6:$B$17&lt;&gt;"")*('Events 2'!$D$6:$D$17="Dependent-care FSA"))&gt;0,1,0))</f>
      </c>
      <c r="BU10" s="24">
        <f>IF($B10="","",IF('Inputs 2'!$C$13,SUMPRODUCT(($AH10&gt;=INDEX('Methodology &amp; Sources'!$B$29:$J$36,0,IF('Inputs 2'!$C$12="MFJ",1,IF('Inputs 2'!$C$12="HoH",7,4))))*INDEX('Methodology &amp; Sources'!$B$29:$J$36,0,IF('Inputs 2'!$C$12="MFJ",1,IF('Inputs 2'!$C$12="HoH",7,4))+2)),SUMPRODUCT(($AH10&gt;=INDEX('Methodology &amp; Sources'!$B$19:$J$26,0,IF('Inputs 2'!$C$12="MFJ",1,IF('Inputs 2'!$C$12="HoH",7,4))))*INDEX('Methodology &amp; Sources'!$B$19:$J$26,0,IF('Inputs 2'!$C$12="MFJ",1,IF('Inputs 2'!$C$12="HoH",7,4))+2))))</f>
      </c>
      <c r="BV10" s="24">
        <f>IF($B10="","",IF($BZ10&lt;&gt;"",$BZ10,IF($CA10&lt;&gt;"",$CA10,IF($CB10&lt;&gt;"",$CB10,IF($CC10&lt;&gt;"",$CC10,0)))))</f>
      </c>
      <c r="BW10" s="7">
        <f>IF($B10="","",IF($AN10="MD",IF(OR($AU10="Married",$AU10="Head of household"),SUMPRODUCT(($AZ10&gt;INDEX('Methodology &amp; Sources'!$B$114:$J$120,0,1))*($AZ10-INDEX('Methodology &amp; Sources'!$B$114:$J$120,0,1))*INDEX('Methodology &amp; Sources'!$B$114:$J$120,0,1+2)),SUMPRODUCT(($AZ10&gt;INDEX('Methodology &amp; Sources'!$B$103:$J$109,0,7))*($AZ10-INDEX('Methodology &amp; Sources'!$B$103:$J$109,0,7))*INDEX('Methodology &amp; Sources'!$B$103:$J$109,0,7+2))),IF($AN10="MO",SUMPRODUCT(($AZ10&gt;INDEX('Methodology &amp; Sources'!$B$125:$J$132,0,1))*($AZ10-INDEX('Methodology &amp; Sources'!$B$125:$J$132,0,1))*INDEX('Methodology &amp; Sources'!$B$125:$J$132,0,1+2)),IF($AN10="MT",IF($AU10="Head of household",SUMPRODUCT(($AZ10&gt;INDEX('Methodology &amp; Sources'!$B$137:$J$139,0,1))*($AZ10-INDEX('Methodology &amp; Sources'!$B$137:$J$139,0,1))*INDEX('Methodology &amp; Sources'!$B$137:$J$139,0,1+2)),IF($AU10="Married",SUMPRODUCT(($AZ10&gt;INDEX('Methodology &amp; Sources'!$B$125:$J$132,0,7))*($AZ10-INDEX('Methodology &amp; Sources'!$B$125:$J$132,0,7))*INDEX('Methodology &amp; Sources'!$B$125:$J$132,0,7+2)),SUMPRODUCT(($AZ10&gt;INDEX('Methodology &amp; Sources'!$B$125:$J$132,0,4))*($AZ10-INDEX('Methodology &amp; Sources'!$B$125:$J$132,0,4))*INDEX('Methodology &amp; Sources'!$B$125:$J$132,0,4+2)))),IF($AN10="ND",IF($AU10="Head of household",SUMPRODUCT(($AZ10&gt;INDEX('Methodology &amp; Sources'!$B$144:$J$150,0,1))*($AZ10-INDEX('Methodology &amp; Sources'!$B$144:$J$150,0,1))*INDEX('Methodology &amp; Sources'!$B$144:$J$150,0,1+2)),IF($AU10="Married",SUMPRODUCT(($AZ10&gt;INDEX('Methodology &amp; Sources'!$B$137:$J$139,0,7))*($AZ10-INDEX('Methodology &amp; Sources'!$B$137:$J$139,0,7))*INDEX('Methodology &amp; Sources'!$B$137:$J$139,0,7+2)),SUMPRODUCT(($AZ10&gt;INDEX('Methodology &amp; Sources'!$B$137:$J$139,0,4))*($AZ10-INDEX('Methodology &amp; Sources'!$B$137:$J$139,0,4))*INDEX('Methodology &amp; Sources'!$B$137:$J$139,0,4+2)))),IF($AN10="NJ",IF('Inputs 2'!$C$77="B",SUMPRODUCT(($AZ10&gt;INDEX('Methodology &amp; Sources'!$B$155:$J$162,0,4))*($AZ10-INDEX('Methodology &amp; Sources'!$B$155:$J$162,0,4))*INDEX('Methodology &amp; Sources'!$B$155:$J$162,0,4+2)),IF('Inputs 2'!$C$77="C",SUMPRODUCT(($AZ10&gt;INDEX('Methodology &amp; Sources'!$B$155:$J$162,0,7))*($AZ10-INDEX('Methodology &amp; Sources'!$B$155:$J$162,0,7))*INDEX('Methodology &amp; Sources'!$B$155:$J$162,0,7+2)),IF('Inputs 2'!$C$77="D",SUMPRODUCT(($AZ10&gt;INDEX('Methodology &amp; Sources'!$B$167:$J$179,0,1))*($AZ10-INDEX('Methodology &amp; Sources'!$B$167:$J$179,0,1))*INDEX('Methodology &amp; Sources'!$B$167:$J$179,0,1+2)),IF('Inputs 2'!$C$77="E",SUMPRODUCT(($AZ10&gt;INDEX('Methodology &amp; Sources'!$B$167:$J$179,0,4))*($AZ10-INDEX('Methodology &amp; Sources'!$B$167:$J$179,0,4))*INDEX('Methodology &amp; Sources'!$B$167:$J$179,0,4+2)),SUMPRODUCT(($AZ10&gt;INDEX('Methodology &amp; Sources'!$B$155:$J$162,0,1))*($AZ10-INDEX('Methodology &amp; Sources'!$B$155:$J$162,0,1))*INDEX('Methodology &amp; Sources'!$B$155:$J$162,0,1+2)))))),IF($AN10="NY",IF($AU10="Married",IF($AZ10&gt;=2155350,$AZ10*IF($AZ10&gt;25000000,0.117,IF($AZ10&gt;5000000,0.111,0.1045)),SUMPRODUCT(($AZ10&gt;INDEX('Methodology &amp; Sources'!$B$184:$J$198,0,1))*($AZ10-INDEX('Methodology &amp; Sources'!$B$184:$J$198,0,1))*INDEX('Methodology &amp; Sources'!$B$184:$J$198,0,1+2))),IF($AZ10&gt;=1077550,$AZ10*IF($AZ10&gt;25000000,0.117,IF($AZ10&gt;5000000,0.111,0.1045)),SUMPRODUCT(($AZ10&gt;INDEX('Methodology &amp; Sources'!$B$167:$J$179,0,7))*($AZ10-INDEX('Methodology &amp; Sources'!$B$167:$J$179,0,7))*INDEX('Methodology &amp; Sources'!$B$167:$J$179,0,7+2)))),"")))))))</f>
      </c>
      <c r="BX10" s="7">
        <f>IF($B10="","",IF($AN10="AL",IF(OR($AU10="Married",$AU10="Head of household"),SUMPRODUCT(($AZ10&gt;INDEX('Methodology &amp; Sources'!$B$82:$J$86,0,4))*($AZ10-INDEX('Methodology &amp; Sources'!$B$82:$J$86,0,4))*INDEX('Methodology &amp; Sources'!$B$82:$J$86,0,4+2)),SUMPRODUCT(($AZ10&gt;INDEX('Methodology &amp; Sources'!$B$82:$J$86,0,1))*($AZ10-INDEX('Methodology &amp; Sources'!$B$82:$J$86,0,1))*INDEX('Methodology &amp; Sources'!$B$82:$J$86,0,1+2))),IF($AN10="KS",IF($AU10="Married",SUMPRODUCT(($AZ10&gt;INDEX('Methodology &amp; Sources'!$B$103:$J$109,0,4))*($AZ10-INDEX('Methodology &amp; Sources'!$B$103:$J$109,0,4))*INDEX('Methodology &amp; Sources'!$B$103:$J$109,0,4+2)),SUMPRODUCT(($AZ10&gt;INDEX('Methodology &amp; Sources'!$B$103:$J$109,0,1))*($AZ10-INDEX('Methodology &amp; Sources'!$B$103:$J$109,0,1))*INDEX('Methodology &amp; Sources'!$B$103:$J$109,0,1+2))),IF($AN10="MN",IF($AU10="Married",SUMPRODUCT(($AZ10&gt;INDEX('Methodology &amp; Sources'!$B$114:$J$120,0,7))*($AZ10-INDEX('Methodology &amp; Sources'!$B$114:$J$120,0,7))*INDEX('Methodology &amp; Sources'!$B$114:$J$120,0,7+2)),SUMPRODUCT(($AZ10&gt;INDEX('Methodology &amp; Sources'!$B$114:$J$120,0,4))*($AZ10-INDEX('Methodology &amp; Sources'!$B$114:$J$120,0,4))*INDEX('Methodology &amp; Sources'!$B$114:$J$120,0,4+2))),IF($AN10="NE",MAX(IF($AU10="Married",SUMPRODUCT(($AZ10&gt;INDEX('Methodology &amp; Sources'!$B$144:$J$150,0,7))*($AZ10-INDEX('Methodology &amp; Sources'!$B$144:$J$150,0,7))*INDEX('Methodology &amp; Sources'!$B$144:$J$150,0,7+2)),SUMPRODUCT(($AZ10&gt;INDEX('Methodology &amp; Sources'!$B$144:$J$150,0,4))*($AZ10-INDEX('Methodology &amp; Sources'!$B$144:$J$150,0,4))*INDEX('Methodology &amp; Sources'!$B$144:$J$150,0,4+2))),0.015*$AZ10),IF($AN10="OH",IF($B10&gt;=DATE(2027,8,1),SUMPRODUCT(($AZ10&gt;INDEX('Methodology &amp; Sources'!$B$203:$J$206,0,1))*($AZ10-INDEX('Methodology &amp; Sources'!$B$203:$J$206,0,1))*INDEX('Methodology &amp; Sources'!$B$203:$J$206,0,1+2)),SUMPRODUCT(($AZ10&gt;INDEX('Methodology &amp; Sources'!$B$184:$J$198,0,7))*($AZ10-INDEX('Methodology &amp; Sources'!$B$184:$J$198,0,7))*INDEX('Methodology &amp; Sources'!$B$184:$J$198,0,7+2))),IF($AN10="OK",IF($AU10="Married",SUMPRODUCT(($AZ10&gt;INDEX('Methodology &amp; Sources'!$B$203:$J$206,0,7))*($AZ10-INDEX('Methodology &amp; Sources'!$B$203:$J$206,0,7))*INDEX('Methodology &amp; Sources'!$B$203:$J$206,0,7+2)),SUMPRODUCT(($AZ10&gt;INDEX('Methodology &amp; Sources'!$B$203:$J$206,0,4))*($AZ10-INDEX('Methodology &amp; Sources'!$B$203:$J$206,0,4))*INDEX('Methodology &amp; Sources'!$B$203:$J$206,0,4+2))),IF($AN10="RI",SUMPRODUCT(($AZ10&gt;INDEX('Methodology &amp; Sources'!$B$211:$J$214,0,7))*($AZ10-INDEX('Methodology &amp; Sources'!$B$211:$J$214,0,7))*INDEX('Methodology &amp; Sources'!$B$211:$J$214,0,7+2)),IF($AN10="VT",IF($AU10="Married",SUMPRODUCT(($AZ10&gt;INDEX('Methodology &amp; Sources'!$B$228:$J$232,0,1))*($AZ10-INDEX('Methodology &amp; Sources'!$B$228:$J$232,0,1))*INDEX('Methodology &amp; Sources'!$B$228:$J$232,0,1+2)),SUMPRODUCT(($AZ10&gt;INDEX('Methodology &amp; Sources'!$B$219:$J$223,0,7))*($AZ10-INDEX('Methodology &amp; Sources'!$B$219:$J$223,0,7))*INDEX('Methodology &amp; Sources'!$B$219:$J$223,0,7+2))),IF($AN10="WV",IF($AU10="Married",SUMPRODUCT(($AZ10&gt;INDEX('Methodology &amp; Sources'!$B$237:$J$241,0,7))*($AZ10-INDEX('Methodology &amp; Sources'!$B$237:$J$241,0,7))*INDEX('Methodology &amp; Sources'!$B$237:$J$241,0,7+2)),SUMPRODUCT(($AZ10&gt;INDEX('Methodology &amp; Sources'!$B$228:$J$232,0,7))*($AZ10-INDEX('Methodology &amp; Sources'!$B$228:$J$232,0,7))*INDEX('Methodology &amp; Sources'!$B$228:$J$232,0,7+2))),""))))))))))</f>
      </c>
      <c r="BY10" s="7">
        <f>IF($B10="","",IF($AN10="AR",SUMPRODUCT(($AZ10&gt;INDEX('Methodology &amp; Sources'!$B$82:$J$86,0,7))*($AZ10-INDEX('Methodology &amp; Sources'!$B$82:$J$86,0,7))*INDEX('Methodology &amp; Sources'!$B$82:$J$86,0,7+2)),IF($AN10="DE",SUMPRODUCT(($AZ10&gt;INDEX('Methodology &amp; Sources'!$B$91:$J$98,0,1))*($AZ10-INDEX('Methodology &amp; Sources'!$B$91:$J$98,0,1))*INDEX('Methodology &amp; Sources'!$B$91:$J$98,0,1+2)),IF($AN10="HI",IF($AU10="Married",SUMPRODUCT(($AZ10&gt;INDEX('Methodology &amp; Sources'!$B$91:$J$98,0,7))*($AZ10-INDEX('Methodology &amp; Sources'!$B$91:$J$98,0,7))*INDEX('Methodology &amp; Sources'!$B$91:$J$98,0,7+2)),SUMPRODUCT(($AZ10&gt;INDEX('Methodology &amp; Sources'!$B$91:$J$98,0,4))*($AZ10-INDEX('Methodology &amp; Sources'!$B$91:$J$98,0,4))*INDEX('Methodology &amp; Sources'!$B$91:$J$98,0,4+2))),IF($AN10="SC",SUMPRODUCT(($AZ10&gt;INDEX('Methodology &amp; Sources'!$B$219:$J$223,0,1))*($AZ10-INDEX('Methodology &amp; Sources'!$B$219:$J$223,0,1))*INDEX('Methodology &amp; Sources'!$B$219:$J$223,0,1+2)),IF($AN10="VA",SUMPRODUCT(($AZ10&gt;INDEX('Methodology &amp; Sources'!$B$219:$J$223,0,4))*($AZ10-INDEX('Methodology &amp; Sources'!$B$219:$J$223,0,4))*INDEX('Methodology &amp; Sources'!$B$219:$J$223,0,4+2)),IF($AN10="WI",SUMPRODUCT(($AZ10&gt;INDEX('Methodology &amp; Sources'!$B$228:$J$232,0,4))*($AZ10-INDEX('Methodology &amp; Sources'!$B$228:$J$232,0,4))*INDEX('Methodology &amp; Sources'!$B$228:$J$232,0,4+2)),"")))))))</f>
      </c>
      <c r="BZ10" s="24">
        <f>IF($B10="","",IF($AN10="NJ",IF('Inputs 2'!$C$77="B",SUMPRODUCT(($AZ10&gt;=INDEX('Methodology &amp; Sources'!$B$155:$J$162,0,4))*INDEX('Methodology &amp; Sources'!$B$155:$J$162,0,4+2)),IF('Inputs 2'!$C$77="C",SUMPRODUCT(($AZ10&gt;=INDEX('Methodology &amp; Sources'!$B$155:$J$162,0,7))*INDEX('Methodology &amp; Sources'!$B$155:$J$162,0,7+2)),IF('Inputs 2'!$C$77="D",SUMPRODUCT(($AZ10&gt;=INDEX('Methodology &amp; Sources'!$B$167:$J$179,0,1))*INDEX('Methodology &amp; Sources'!$B$167:$J$179,0,1+2)),IF('Inputs 2'!$C$77="E",SUMPRODUCT(($AZ10&gt;=INDEX('Methodology &amp; Sources'!$B$167:$J$179,0,4))*INDEX('Methodology &amp; Sources'!$B$167:$J$179,0,4+2)),SUMPRODUCT(($AZ10&gt;=INDEX('Methodology &amp; Sources'!$B$155:$J$162,0,1))*INDEX('Methodology &amp; Sources'!$B$155:$J$162,0,1+2)))))),IF($AN10="OR",IF(OR($AU10="Married",AND($AU10="Single",$AS10&gt;=3)),SUMPRODUCT((MAX(0,$AY10-MIN(($P10-'Methodology &amp; Sources'!$C$10*$D10)*'Inputs 2'!$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Sources'!$B$211:$J$214,0,4))*INDEX('Methodology &amp; Sources'!$B$211:$J$214,0,4+2)),SUMPRODUCT((MAX(0,$AY10-MIN(($P10-'Methodology &amp; Sources'!$C$10*$D10)*'Inputs 2'!$C$8,IF(OR($AU10="Married",AND($AU10="Single",$AS10&gt;=3)),IF($AY10&lt;250000,8750,IF($AY10&lt;260000,7000,IF($AY10&lt;270000,5250,IF($AY10&lt;280000,3500,IF($AY10&lt;290000,1750,0))))),IF($AY10&lt;125000,8750,IF($AY10&lt;130000,7000,IF($AY10&lt;135000,5250,IF($AY10&lt;140000,3500,IF($AY10&lt;145000,1750,0)))))))-IF(OR($AU10="Married",AND($AU10="Single",$AS10&gt;=3)),5820,2910))&gt;=INDEX('Methodology &amp; Sources'!$B$211:$J$214,0,1))*INDEX('Methodology &amp; Sources'!$B$211:$J$214,0,1+2)))*IF(($P10-'Methodology &amp; Sources'!$C$10*$D10)*'Inputs 2'!$C$8&gt;=IF(OR($AU10="Married",AND($AU10="Single",$AS10&gt;=3)),IF($AY10&lt;250000,8750,IF($AY10&lt;260000,7000,IF($AY10&lt;270000,5250,IF($AY10&lt;280000,3500,IF($AY10&lt;290000,1750,0))))),IF($AY10&lt;125000,8750,IF($AY10&lt;130000,7000,IF($AY10&lt;135000,5250,IF($AY10&lt;140000,3500,IF($AY10&lt;145000,1750,0)))))),1,1-IF('Inputs 2'!$C$13,SUMPRODUCT(($AH10&gt;=INDEX('Methodology &amp; Sources'!$B$29:$J$36,0,IF('Inputs 2'!$C$12="MFJ",1,IF('Inputs 2'!$C$12="HoH",7,4))))*INDEX('Methodology &amp; Sources'!$B$29:$J$36,0,IF('Inputs 2'!$C$12="MFJ",1,IF('Inputs 2'!$C$12="HoH",7,4))+2)),SUMPRODUCT(($AH10&gt;=INDEX('Methodology &amp; Sources'!$B$19:$J$26,0,IF('Inputs 2'!$C$12="MFJ",1,IF('Inputs 2'!$C$12="HoH",7,4))))*INDEX('Methodology &amp; Sources'!$B$19:$J$26,0,IF('Inputs 2'!$C$12="MFJ",1,IF('Inputs 2'!$C$12="HoH",7,4))+2)))),IF($AN10="MI",IF($AY10&gt;5900*$AS10,0.0425,0),""))))</f>
      </c>
      <c r="CA10" s="24">
        <f>IF($B10="","",IF($AN10="AL",IF(OR($AU10="Married",$AU10="Head of household"),SUMPRODUCT(($AZ10&gt;=INDEX('Methodology &amp; Sources'!$B$82:$J$86,0,4))*INDEX('Methodology &amp; Sources'!$B$82:$J$86,0,4+2)),SUMPRODUCT(($AZ10&gt;=INDEX('Methodology &amp; Sources'!$B$82:$J$86,0,1))*INDEX('Methodology &amp; Sources'!$B$82:$J$86,0,1+2)))*(1-IF('Inputs 2'!$C$13,SUMPRODUCT(($AH10&gt;=INDEX('Methodology &amp; Sources'!$B$29:$J$36,0,IF('Inputs 2'!$C$12="MFJ",1,IF('Inputs 2'!$C$12="HoH",7,4))))*INDEX('Methodology &amp; Sources'!$B$29:$J$36,0,IF('Inputs 2'!$C$12="MFJ",1,IF('Inputs 2'!$C$12="HoH",7,4))+2)),SUMPRODUCT(($AH10&gt;=INDEX('Methodology &amp; Sources'!$B$19:$J$26,0,IF('Inputs 2'!$C$12="MFJ",1,IF('Inputs 2'!$C$12="HoH",7,4))))*INDEX('Methodology &amp; Sources'!$B$19:$J$26,0,IF('Inputs 2'!$C$12="MFJ",1,IF('Inputs 2'!$C$12="HoH",7,4))+2)))),IF($AN10="KS",IF($AU10="Married",SUMPRODUCT(($AZ10&gt;=INDEX('Methodology &amp; Sources'!$B$103:$J$109,0,4))*INDEX('Methodology &amp; Sources'!$B$103:$J$109,0,4+2)),SUMPRODUCT(($AZ10&gt;=INDEX('Methodology &amp; Sources'!$B$103:$J$109,0,1))*INDEX('Methodology &amp; Sources'!$B$103:$J$109,0,1+2))),IF($AN10="MD",IF(OR($AU10="Married",$AU10="Head of household"),SUMPRODUCT(($AZ10&gt;=INDEX('Methodology &amp; Sources'!$B$114:$J$120,0,1))*INDEX('Methodology &amp; Sources'!$B$114:$J$120,0,1+2)),SUMPRODUCT(($AZ10&gt;=INDEX('Methodology &amp; Sources'!$B$103:$J$109,0,7))*INDEX('Methodology &amp; Sources'!$B$103:$J$109,0,7+2)))+'Inputs 2'!$C$74,IF($AN10="MT",IF($AU10="Head of household",SUMPRODUCT(($AZ10&gt;=INDEX('Methodology &amp; Sources'!$B$137:$J$139,0,1))*INDEX('Methodology &amp; Sources'!$B$137:$J$139,0,1+2)),IF($AU10="Married",SUMPRODUCT(($AZ10&gt;=INDEX('Methodology &amp; Sources'!$B$125:$J$132,0,7))*INDEX('Methodology &amp; Sources'!$B$125:$J$132,0,7+2)),SUMPRODUCT(($AZ10&gt;=INDEX('Methodology &amp; Sources'!$B$125:$J$132,0,4))*INDEX('Methodology &amp; Sources'!$B$125:$J$132,0,4+2)))),IF($AN10="ND",IF($AU10="Head of household",SUMPRODUCT(($AZ10&gt;=INDEX('Methodology &amp; Sources'!$B$144:$J$150,0,1))*INDEX('Methodology &amp; Sources'!$B$144:$J$150,0,1+2)),IF($AU10="Married",SUMPRODUCT(($AZ10&gt;=INDEX('Methodology &amp; Sources'!$B$137:$J$139,0,7))*INDEX('Methodology &amp; Sources'!$B$137:$J$139,0,7+2)),SUMPRODUCT(($AZ10&gt;=INDEX('Methodology &amp; Sources'!$B$137:$J$139,0,4))*INDEX('Methodology &amp; Sources'!$B$137:$J$139,0,4+2)))),IF($AN10="NY",IF($AU10="Married",IF($AZ10&gt;=2155350,IF($AZ10&gt;25000000,0.117,IF($AZ10&gt;5000000,0.111,0.1045)),SUMPRODUCT(($AZ10&gt;=INDEX('Methodology &amp; Sources'!$B$184:$J$198,0,1))*INDEX('Methodology &amp; Sources'!$B$184:$J$198,0,1+2))),IF($AZ10&gt;=1077550,IF($AZ10&gt;25000000,0.117,IF($AZ10&gt;5000000,0.111,0.1045)),SUMPRODUCT(($AZ10&gt;=INDEX('Methodology &amp; Sources'!$B$167:$J$179,0,7))*INDEX('Methodology &amp; Sources'!$B$167:$J$179,0,7+2)))),"")))))))</f>
      </c>
      <c r="CB10" s="24">
        <f>IF($B10="","",IF($AN10="CA",SUMPRODUCT(($AJ10&gt;=INDEX('Methodology &amp; Sources'!$B$39:$J$48,0,IF($AU10="Married",4,IF($AU10="Head of household",7,1))))*INDEX('Methodology &amp; Sources'!$B$39:$J$48,0,IF($AU10="Married",4,IF($AU10="Head of household",7,1))+2)),IF($AN10="HI",IF($AU10="Married",SUMPRODUCT(($AZ10&gt;=INDEX('Methodology &amp; Sources'!$B$91:$J$98,0,7))*INDEX('Methodology &amp; Sources'!$B$91:$J$98,0,7+2)),SUMPRODUCT(($AZ10&gt;=INDEX('Methodology &amp; Sources'!$B$91:$J$98,0,4))*INDEX('Methodology &amp; Sources'!$B$91:$J$98,0,4+2))),IF($AN10="MN",IF($AU10="Married",SUMPRODUCT(($AZ10&gt;=INDEX('Methodology &amp; Sources'!$B$114:$J$120,0,7))*INDEX('Methodology &amp; Sources'!$B$114:$J$120,0,7+2)),SUMPRODUCT(($AZ10&gt;=INDEX('Methodology &amp; Sources'!$B$114:$J$120,0,4))*INDEX('Methodology &amp; Sources'!$B$114:$J$120,0,4+2))),IF($AN10="MO",SUMPRODUCT(($AZ10&gt;=INDEX('Methodology &amp; Sources'!$B$125:$J$132,0,1))*INDEX('Methodology &amp; Sources'!$B$125:$J$132,0,1+2)),IF($AN10="NE",MAX(IF($AU10="Married",SUMPRODUCT(($AZ10&gt;=INDEX('Methodology &amp; Sources'!$B$144:$J$150,0,7))*INDEX('Methodology &amp; Sources'!$B$144:$J$150,0,7+2)),SUMPRODUCT(($AZ10&gt;=INDEX('Methodology &amp; Sources'!$B$144:$J$150,0,4))*INDEX('Methodology &amp; Sources'!$B$144:$J$150,0,4+2))),0.015),IF($AN10="OH",IF($B10&gt;=DATE(2027,8,1),SUMPRODUCT(($AZ10&gt;=INDEX('Methodology &amp; Sources'!$B$203:$J$206,0,1))*INDEX('Methodology &amp; Sources'!$B$203:$J$206,0,1+2)),SUMPRODUCT(($AZ10&gt;=INDEX('Methodology &amp; Sources'!$B$184:$J$198,0,7))*INDEX('Methodology &amp; Sources'!$B$184:$J$198,0,7+2))),IF($AN10="OK",IF($AU10="Married",SUMPRODUCT(($AZ10&gt;=INDEX('Methodology &amp; Sources'!$B$203:$J$206,0,7))*INDEX('Methodology &amp; Sources'!$B$203:$J$206,0,7+2)),SUMPRODUCT(($AZ10&gt;=INDEX('Methodology &amp; Sources'!$B$203:$J$206,0,4))*INDEX('Methodology &amp; Sources'!$B$203:$J$206,0,4+2))),IF($AN10="RI",SUMPRODUCT(($AZ10&gt;=INDEX('Methodology &amp; Sources'!$B$211:$J$214,0,7))*INDEX('Methodology &amp; Sources'!$B$211:$J$214,0,7+2)),IF($AN10="SC",SUMPRODUCT(($AZ10&gt;=INDEX('Methodology &amp; Sources'!$B$219:$J$223,0,1))*INDEX('Methodology &amp; Sources'!$B$219:$J$223,0,1+2)),IF($AN10="VT",IF($AU10="Married",SUMPRODUCT(($AZ10&gt;=INDEX('Methodology &amp; Sources'!$B$228:$J$232,0,1))*INDEX('Methodology &amp; Sources'!$B$228:$J$232,0,1+2)),SUMPRODUCT(($AZ10&gt;=INDEX('Methodology &amp; Sources'!$B$219:$J$223,0,7))*INDEX('Methodology &amp; Sources'!$B$219:$J$223,0,7+2))),IF($AN10="WV",IF($AU10="Married",SUMPRODUCT(($AZ10&gt;=INDEX('Methodology &amp; Sources'!$B$237:$J$241,0,7))*INDEX('Methodology &amp; Sources'!$B$237:$J$241,0,7+2)),SUMPRODUCT(($AZ10&gt;=INDEX('Methodology &amp; Sources'!$B$228:$J$232,0,7))*INDEX('Methodology &amp; Sources'!$B$228:$J$232,0,7+2))),IF($AN10="IN",(0.0295+'Inputs 2'!$C$76),"")))))))))))))</f>
      </c>
      <c r="CC10" s="24">
        <f>IF($B10="","",IF($AN10="AR",SUMPRODUCT(($AZ10&gt;=INDEX('Methodology &amp; Sources'!$B$82:$J$86,0,7))*INDEX('Methodology &amp; Sources'!$B$82:$J$86,0,7+2)),IF($AN10="DE",SUMPRODUCT(($AZ10&gt;=INDEX('Methodology &amp; Sources'!$B$91:$J$98,0,1))*INDEX('Methodology &amp; Sources'!$B$91:$J$98,0,1+2)),IF($AN10="VA",SUMPRODUCT(($AZ10&gt;=INDEX('Methodology &amp; Sources'!$B$219:$J$223,0,4))*INDEX('Methodology &amp; Sources'!$B$219:$J$223,0,4+2)),IF($AN10="WI",SUMPRODUCT(($AZ10&gt;=INDEX('Methodology &amp; Sources'!$B$228:$J$232,0,4))*INDEX('Methodology &amp; Sources'!$B$228:$J$232,0,4+2)),IF($AN10="AZ",'Inputs 2'!$C$82,IF($AN10="CO",IF($AY10&gt;IF($AU10="Married",10000,5000),0.044,0),IF($AN10="IA",IF($AY10&gt;IF($AU10="Head of household",19500,IF($AU10="Married",26000,13000)),0.038,0),IF($AN10="ID",IF($AY10&gt;IF($AU10="Married",32000,16094),0.053,0),IF($AN10="IL",IF($AY10&gt;(2925*$AS10+1000*$AT10),0.0495,0),IF($AN10="KY",IF($AI10&gt;3360,0.035,0),IF($AN10="LA",0.0309,IF($AN10="MA",IF(MAX(0,$AY10-MIN(($BD9+$Q10+$R10+$S10),2000)-IF($AS10=0,0,IF($AS10=1,4400,1000*$AS10+3400)))&gt;=1107750,0.09,0.05),IF($AN10="MS",IF($AI10-IF($AU10="Head of household",3400,IF($AU10="Married",4600,2300))-'Inputs 2'!$C$85&gt;10000,0.04,0),IF($AN10="PA",0.0307,"")))))))))))))))</f>
      </c>
      <c r="CD10" s="21">
        <f>IF(YEAR(IF('Inputs 2'!$C$7="Weekly",'Inputs 2'!$C$9+7*(($BE9+1)-1),IF('Inputs 2'!$C$7="Biweekly",'Inputs 2'!$C$9+14*(($BE9+1)-1),IF('Inputs 2'!$C$7="Semimonthly",DATE(YEAR('Inputs 2'!$C$9),MONTH('Inputs 2'!$C$9)+INT((($BE9+1)-1)/2),MIN(DAY('Inputs 2'!$C$9),DAY(EOMONTH(DATE(YEAR('Inputs 2'!$C$9),MONTH('Inputs 2'!$C$9)+INT((($BE9+1)-1)/2),1),0))))+IF(MOD(($BE9+1)-1,2)=1,15,0),EDATE('Inputs 2'!$C$9,($BE9+1)-1)))))&lt;&gt;'Inputs 2'!$C$10,"",IF('Inputs 2'!$C$7="Weekly",'Inputs 2'!$C$9+7*(($BE9+1)-1),IF('Inputs 2'!$C$7="Biweekly",'Inputs 2'!$C$9+14*(($BE9+1)-1),IF('Inputs 2'!$C$7="Semimonthly",DATE(YEAR('Inputs 2'!$C$9),MONTH('Inputs 2'!$C$9)+INT((($BE9+1)-1)/2),MIN(DAY('Inputs 2'!$C$9),DAY(EOMONTH(DATE(YEAR('Inputs 2'!$C$9),MONTH('Inputs 2'!$C$9)+INT((($BE9+1)-1)/2),1),0))))+IF(MOD(($BE9+1)-1,2)=1,15,0),EDATE('Inputs 2'!$C$9,($BE9+1)-1)))))</f>
      </c>
      <c r="CE10" s="21">
        <f>IF(SUMPRODUCT(MIN(IF(('Inputs 2'!$C$58:$C$67&gt;MAX($B$6:$B9))*('Inputs 2'!$C$58:$C$67&gt;=DATE('Inputs 2'!$C$10,1,1))*('Inputs 2'!$C$58:$C$67&lt;=DATE('Inputs 2'!$C$10,12,31)),'Inputs 2'!$C$58:$C$67,999999)))=999999,"",SUMPRODUCT(MIN(IF(('Inputs 2'!$C$58:$C$67&gt;MAX($B$6:$B9))*('Inputs 2'!$C$58:$C$67&gt;=DATE('Inputs 2'!$C$10,1,1))*('Inputs 2'!$C$58:$C$67&lt;=DATE('Inputs 2'!$C$10,12,31)),'Inputs 2'!$C$58:$C$67,999999))))</f>
      </c>
    </row>
    <row r="11">
      <c r="A11" t="n">
        <v>6</v>
      </c>
      <c r="B11" s="21">
        <f>IF(AND($CD11="",$CE11=""),"",IF($CE11="",$CD11,IF($CD11="",$CE11,MIN($CD11,$CE11))))</f>
      </c>
      <c r="C11" s="7">
        <f>IF($B11="","",IF($BF11=0,0,IF('Inputs 2'!$C$4="Annual salary",ROUND($AK11/IF(AND('Inputs 2'!$C$88="Actual paydays",MONTH('Inputs 2'!$C$9)=1),MAX(1,MAX($BE$6:$BE$68)),'Inputs 2'!$C$8),2),$AK11)))</f>
      </c>
      <c r="D11" s="7">
        <f>IF($B11="","",SUMIF('Inputs 2'!$C$58:$C$67,$B11,'Inputs 2'!$D$58:$D$67))</f>
      </c>
      <c r="E11" s="7">
        <f>IF($B11="","",ROUND(MAX(0,MIN(IF($AL11="Percent",$AM11*($C11+$D11),$AM11),MAX(0,'Inputs 2'!$C$34-$AC10))),2))</f>
      </c>
      <c r="F11" s="7">
        <f>IF($B11="","",ROUND(MAX(0,MIN(IF('Inputs 2'!$C$32="Percent",'Inputs 2'!$D$32*($C11+$D11),'Inputs 2'!$D$32),MAX(0,'Inputs 2'!$C$34-$AC10-$E11))),2))</f>
      </c>
      <c r="G11" s="7">
        <f>IF($B11="","",IF($BF11=0,0,ROUND(MAX(0,MIN($BL11,'Inputs 2'!$C$37-'Inputs 2'!$C$54-$BI10)),2)))</f>
      </c>
      <c r="H11" s="7">
        <f>IF($B11="","",IF(OR($BF11=0,$BQ11=1),0,ROUND(MAX(0,MIN(IF($BS11=1,ROUND(MAX(0,MIN($BJ11,'Methodology &amp; Sources'!$C$13)-$BG10)/MAX(1,MAX($BE$6:$BE$68)-($BE10)),2),ROUND(MIN($BJ11,'Methodology &amp; Sources'!$C$13)/'Inputs 2'!$C$8,2)),MIN($BJ11,'Methodology &amp; Sources'!$C$13)-$BG10)),2)))</f>
      </c>
      <c r="I11" s="7">
        <f>IF($B11="","",IF(OR($BF11=0,$BR11=1),0,ROUND(MAX(0,MIN(IF($BT11=1,ROUND(MAX(0,MIN($BK11,IF('Inputs 2'!$C$12="MFJ",'Methodology &amp; Sources'!$C$14,'Methodology &amp; Sources'!$C$15))-$BH10)/MAX(1,MAX($BE$6:$BE$68)-($BE10)),2),ROUND(MIN($BK11,IF('Inputs 2'!$C$12="MFJ",'Methodology &amp; Sources'!$C$14,'Methodology &amp; Sources'!$C$15))/'Inputs 2'!$C$8,2)),MIN($BK11,IF('Inputs 2'!$C$12="MFJ",'Methodology &amp; Sources'!$C$14,'Methodology &amp; Sources'!$C$15))-$BH10)),2)))</f>
      </c>
      <c r="J11" s="7">
        <f>IF($B11="","",IF($BF11=0,0,$BM11))</f>
      </c>
      <c r="K11" s="7">
        <f>IF($B11="","",IF($BF11=0,0,$BN11+$BO11))</f>
      </c>
      <c r="L11" s="7">
        <f>IF($B11="","",IF($BF11=0,0,'Inputs 2'!$D$46))</f>
      </c>
      <c r="M11" s="7">
        <f>IF($B11="","",$C11+$D11+$L11-$E11-$G11-$H11-$I11-$J11-$K11)</f>
      </c>
      <c r="N11" s="7">
        <f>IF($B11="","",$C11+$D11+$L11-$G11-$H11-$I11-$J11-$K11)</f>
      </c>
      <c r="O11" s="7">
        <f>IF($B11="","",$C11+$D11+$L11-$E11-$H11-$I11-$J11-$K11-IF(OR($AN11="CA",$AN11="NJ"),0,$G11))</f>
      </c>
      <c r="P11" s="7">
        <f>IF($B11="","",IF('Inputs 2'!$C$18,0,ROUND(MAX(0,IF('Inputs 2'!$C$13,SUMPRODUCT(($AH11&gt;INDEX('Methodology &amp; Sources'!$B$29:$J$36,0,IF('Inputs 2'!$C$12="MFJ",1,IF('Inputs 2'!$C$12="HoH",7,4))))*($AH11-INDEX('Methodology &amp; Sources'!$B$29:$J$36,0,IF('Inputs 2'!$C$12="MFJ",1,IF('Inputs 2'!$C$12="HoH",7,4))))*INDEX('Methodology &amp; Sources'!$B$29:$J$36,0,IF('Inputs 2'!$C$12="MFJ",1,IF('Inputs 2'!$C$12="HoH",7,4))+2)),SUMPRODUCT(($AH11&gt;INDEX('Methodology &amp; Sources'!$B$19:$J$26,0,IF('Inputs 2'!$C$12="MFJ",1,IF('Inputs 2'!$C$12="HoH",7,4))))*($AH11-INDEX('Methodology &amp; Sources'!$B$19:$J$26,0,IF('Inputs 2'!$C$12="MFJ",1,IF('Inputs 2'!$C$12="HoH",7,4))))*INDEX('Methodology &amp; Sources'!$B$19:$J$26,0,IF('Inputs 2'!$C$12="MFJ",1,IF('Inputs 2'!$C$12="HoH",7,4))+2)))/'Inputs 2'!$C$8-$AO11/'Inputs 2'!$C$8)+$AR11+IF('Inputs 2'!$C$89="Aggregate",MAX(0,IF('Inputs 2'!$C$13,SUMPRODUCT((($AH11+$D11)&gt;INDEX('Methodology &amp; Sources'!$B$29:$J$36,0,IF('Inputs 2'!$C$12="MFJ",1,IF('Inputs 2'!$C$12="HoH",7,4))))*(($AH11+$D11)-INDEX('Methodology &amp; Sources'!$B$29:$J$36,0,IF('Inputs 2'!$C$12="MFJ",1,IF('Inputs 2'!$C$12="HoH",7,4))))*INDEX('Methodology &amp; Sources'!$B$29:$J$36,0,IF('Inputs 2'!$C$12="MFJ",1,IF('Inputs 2'!$C$12="HoH",7,4))+2)),SUMPRODUCT((($AH11+$D11)&gt;INDEX('Methodology &amp; Sources'!$B$19:$J$26,0,IF('Inputs 2'!$C$12="MFJ",1,IF('Inputs 2'!$C$12="HoH",7,4))))*(($AH11+$D11)-INDEX('Methodology &amp; Sources'!$B$19:$J$26,0,IF('Inputs 2'!$C$12="MFJ",1,IF('Inputs 2'!$C$12="HoH",7,4))))*INDEX('Methodology &amp; Sources'!$B$19:$J$26,0,IF('Inputs 2'!$C$12="MFJ",1,IF('Inputs 2'!$C$12="HoH",7,4))+2)))-IF('Inputs 2'!$C$13,SUMPRODUCT(($AH11&gt;INDEX('Methodology &amp; Sources'!$B$29:$J$36,0,IF('Inputs 2'!$C$12="MFJ",1,IF('Inputs 2'!$C$12="HoH",7,4))))*($AH11-INDEX('Methodology &amp; Sources'!$B$29:$J$36,0,IF('Inputs 2'!$C$12="MFJ",1,IF('Inputs 2'!$C$12="HoH",7,4))))*INDEX('Methodology &amp; Sources'!$B$29:$J$36,0,IF('Inputs 2'!$C$12="MFJ",1,IF('Inputs 2'!$C$12="HoH",7,4))+2)),SUMPRODUCT(($AH11&gt;INDEX('Methodology &amp; Sources'!$B$19:$J$26,0,IF('Inputs 2'!$C$12="MFJ",1,IF('Inputs 2'!$C$12="HoH",7,4))))*($AH11-INDEX('Methodology &amp; Sources'!$B$19:$J$26,0,IF('Inputs 2'!$C$12="MFJ",1,IF('Inputs 2'!$C$12="HoH",7,4))))*INDEX('Methodology &amp; Sources'!$B$19:$J$26,0,IF('Inputs 2'!$C$12="MFJ",1,IF('Inputs 2'!$C$12="HoH",7,4))+2)))),'Methodology &amp; Sources'!$C$10*$D11),2)))</f>
      </c>
      <c r="Q11" s="7">
        <f>IF($B11="","",ROUND('Methodology &amp; Sources'!$C$4*MIN($N11,MAX(0,'Methodology &amp; Sources'!$C$3-($AX11+$AB10-$AW11))),2))</f>
      </c>
      <c r="R11" s="7">
        <f>IF($B11="","",ROUND('Methodology &amp; Sources'!$C$5*$N11,2))</f>
      </c>
      <c r="S11" s="7">
        <f>IF($B11="","",ROUND('Methodology &amp; Sources'!$C$6*MAX(0,MIN($N11,$AG10+$N11-'Methodology &amp; Sources'!$C$7)),2))</f>
      </c>
      <c r="T11" s="7">
        <f>IF($B11="","",IF('Inputs 2'!$C$26,0,IF($AN11="CA",ROUND(IF($AI11&lt;=IF(($AS11+$AT11)&gt;=2,VLOOKUP($AN11,StateTables!$A$6:$AB$56,10,FALSE),VLOOKUP($AN11,StateTables!$A$6:$AB$56,9,FALSE)),0,MAX(0,SUMPRODUCT(($AJ11&gt;INDEX('Methodology &amp; Sources'!$B$39:$J$48,0,IF($AU11="Married",4,IF($AU11="Head of household",7,1))))*($AJ11-INDEX('Methodology &amp; Sources'!$B$39:$J$48,0,IF($AU11="Married",4,IF($AU11="Head of household",7,1))))*INDEX('Methodology &amp; Sources'!$B$39:$J$48,0,IF($AU11="Married",4,IF($AU11="Head of household",7,1))+2))-VLOOKUP($AN11,StateTables!$A$6:$AB$56,11,FALSE)*$AS11)/'Inputs 2'!$C$8)+'Inputs 2'!$C$25+VLOOKUP($AN11,StateTables!$A$6:$AB$56,13,FALSE)*$D11,2),IF(VLOOKUP($AN11,StateTables!$A$6:$AB$56,4,FALSE)="None",0,IF(ISNUMBER(SEARCH("MANUAL",VLOOKUP($AN11,StateTables!$A$6:$AB$56,5,FALSE))),'Inputs 2'!$C$28,ROUND(MAX(0,$BA11+$BB11)/'Inputs 2'!$C$8+'Inputs 2'!$C$25+$BC11,2))))))</f>
      </c>
      <c r="U11" s="7">
        <f>IF($B11="","",IF(VLOOKUP($AN11,StateTables!$A$6:$AB$56,24,FALSE)="flatq",IF(OR(MONTH($B11)=1,MONTH($B11)=4,MONTH($B11)=7,MONTH($B11)=10),VLOOKUP($AN11,StateTables!$A$6:$AB$56,25,FALSE),0),IF(VLOOKUP($AN11,StateTables!$A$6:$AB$56,24,FALSE)="dbl",MIN(ROUND(0.005*$N11,2),ROUND(0.6*52/'Inputs 2'!$C$8,2)),IF(OR(VLOOKUP($AN11,StateTables!$A$6:$AB$56,15,FALSE)="",VLOOKUP($AN11,StateTables!$A$6:$AB$56,15,FALSE)=0),0,ROUND(VLOOKUP($AN11,StateTables!$A$6:$AB$56,15,FALSE)*IF(OR(VLOOKUP($AN11,StateTables!$A$6:$AB$56,16,FALSE)="",VLOOKUP($AN11,StateTables!$A$6:$AB$56,16,FALSE)=0),$N11,MIN($N11,MAX(0,VLOOKUP($AN11,StateTables!$A$6:$AB$56,16,FALSE)-($AX11+$AB10-$AW11)))),2))))+IF(VLOOKUP($AN11,StateTables!$A$6:$AB$56,27,FALSE)="flatq",IF(OR(MONTH($B11)=1,MONTH($B11)=4,MONTH($B11)=7,MONTH($B11)=10),VLOOKUP($AN11,StateTables!$A$6:$AB$56,28,FALSE),0),IF(VLOOKUP($AN11,StateTables!$A$6:$AB$56,27,FALSE)="dbl",MIN(ROUND(0.005*$N11,2),ROUND(0.6*52/'Inputs 2'!$C$8,2)),IF(OR(VLOOKUP($AN11,StateTables!$A$6:$AB$56,18,FALSE)="",VLOOKUP($AN11,StateTables!$A$6:$AB$56,18,FALSE)=0),0,ROUND(VLOOKUP($AN11,StateTables!$A$6:$AB$56,18,FALSE)*IF(OR(VLOOKUP($AN11,StateTables!$A$6:$AB$56,19,FALSE)="",VLOOKUP($AN11,StateTables!$A$6:$AB$56,19,FALSE)=0),$N11,MIN($N11,MAX(0,VLOOKUP($AN11,StateTables!$A$6:$AB$56,19,FALSE)-($AX11+$AB10-$AW11)))),2)))))</f>
      </c>
      <c r="V11" s="7">
        <f>IF($B11="","",IF($AN11="NY",IF('Inputs 2'!$C$78,ROUND(SUMPRODUCT((MAX(0,($O11-$D11)*'Inputs 2'!$C$8-(IF($AU11="Married",5500,5000)+1000*$AS11))&gt;INDEX('Methodology &amp; Sources'!$B$184:$J$198,0,4))*(MAX(0,($O11-$D11)*'Inputs 2'!$C$8-(IF($AU11="Married",5500,5000)+1000*$AS11))-INDEX('Methodology &amp; Sources'!$B$184:$J$198,0,4))*INDEX('Methodology &amp; Sources'!$B$184:$J$198,0,4+2))/'Inputs 2'!$C$8+0.0425*$D11,2),0)+IF('Inputs 2'!$C$79="Resident",ROUND(0.1675*$T11,2),IF('Inputs 2'!$C$79="Nonresident",ROUND(0.005*MAX(0,($O11-$D11)-(IF($AU11="Married",7950,7400)+1000*$AS11)/'Inputs 2'!$C$8),2),0)),IF($AN11="PA",IF('Inputs 2'!$C$80="None",'Inputs 2'!$C$27+ROUND('Inputs 2'!$C$81*($C11+$D11),2),ROUND(IF('Inputs 2'!$C$80="Resident",IF($B11&lt;DATE(2027,7,1),0.03735,0.03735),IF($B11&lt;DATE(2027,7,1),0.03425,0.03425))*($C11+$D11),2)),IF($BF11=0,ROUND('Inputs 2'!$C$81*($C11+$D11),2),'Inputs 2'!$C$27+ROUND('Inputs 2'!$C$81*($C11+$D11),2)))))</f>
      </c>
      <c r="W11" s="7">
        <f>IF($B11="","",IF($BF11=0,0,$BP11))</f>
      </c>
      <c r="X11" s="7">
        <f>IF($B11="","",SUM($E11:$K11)+$P11+$Q11+$R11+$S11+$T11+$U11+$V11+$W11)</f>
      </c>
      <c r="Y11" s="22">
        <f>IF($B11="","",$C11+$D11-$X11)</f>
      </c>
      <c r="Z11" s="7">
        <f>IF($B11="","",$Z10+$C11+$D11)</f>
      </c>
      <c r="AA11" s="7">
        <f>IF($B11="","",$AA10+$Y11)</f>
      </c>
      <c r="AB11" s="7">
        <f>IF($B11="","",$AB10+MIN($N11,MAX(0,'Methodology &amp; Sources'!$C$3-($AX11+$AB10-$AW11))))</f>
      </c>
      <c r="AC11" s="7">
        <f>IF($B11="","",$AC10+$E11+$F11)</f>
      </c>
      <c r="AD11" s="3">
        <f>IF($B11="","",IF(AND($AB10&lt;'Methodology &amp; Sources'!$C$3,$AB11&gt;='Methodology &amp; Sources'!$C$3),"★ Social Security maxed on this check — from the next check your net rises by about $"&amp;TEXT(ROUND('Methodology &amp; Sources'!$C$4*$N11,2),"#,##0.00")&amp;". ","")&amp;IF(AND($AC10&lt;'Inputs 2'!$C$34,$AC11&gt;='Inputs 2'!$C$34),"★ 401(k) reaches the $"&amp;TEXT('Inputs 2'!$C$34,"#,##0")&amp;" cap on this check — deferrals stop and net pay rises. ","")&amp;IF(AND($AG10&lt;'Methodology &amp; Sources'!$C$7,$AG11&gt;='Methodology &amp; Sources'!$C$7),"★ Wages pass $200,000 — the 0.9% Additional Medicare Tax starts here. ","")&amp;IF(AND($BJ11&gt;0,$H11&gt;0,$BG10&lt;MIN($BJ11,'Methodology &amp; Sources'!$C$13),$BG10+$H11&gt;=MIN($BJ11,'Methodology &amp; Sources'!$C$13)),"★ Health FSA election is now fully deferred for the year. ",""))</f>
      </c>
      <c r="AE11" s="41" t="n"/>
      <c r="AF11" s="7">
        <f>IF(OR($B11="",$AE11=""),"",$AE11-$Y11)</f>
      </c>
      <c r="AG11" s="7">
        <f>IF($B11="","",$AG10+$N11)</f>
      </c>
      <c r="AH11" s="7">
        <f>IF($B11="","",MAX(0,($M11-$D11)*'Inputs 2'!$C$8+$AP11-$AQ11-IF('Inputs 2'!$C$13,0,IF('Inputs 2'!$C$12="MFJ",'Methodology &amp; Sources'!$C$8,'Methodology &amp; Sources'!$C$9))))</f>
      </c>
      <c r="AI11" s="7">
        <f>IF($B11="","",$O11*'Inputs 2'!$C$8)</f>
      </c>
      <c r="AJ11" s="7">
        <f>IF($B11="","",MAX(0,$AI11-VLOOKUP($AN11,StateTables!$A$6:$AB$56,12,FALSE)*$AT11-IF(($AS11+$AT11)&gt;=2,VLOOKUP($AN11,StateTables!$A$6:$AB$56,8,FALSE),VLOOKUP($AN11,StateTables!$A$6:$AB$56,7,FALSE))))</f>
      </c>
      <c r="AK11" s="7">
        <f>IF($B11="","",IFERROR(LOOKUP(2,1/(('Events 2'!$C$6:$C$17="Salary change")*('Events 2'!$B$6:$B$17&lt;=$B11)*('Events 2'!$B$6:$B$17&lt;&gt;"")),'Events 2'!$D$6:$D$17),IF('Inputs 2'!$C$4="Annual salary",'Inputs 2'!$C$5,'Inputs 2'!$C$6)))</f>
      </c>
      <c r="AL11">
        <f>IF($B11="","",IFERROR(LOOKUP(2,1/(('Events 2'!$C$6:$C$17="401(k) change")*('Events 2'!$B$6:$B$17&lt;=$B11)*('Events 2'!$B$6:$B$17&lt;&gt;"")),'Events 2'!$D$6:$D$17),'Inputs 2'!$C$30))</f>
      </c>
      <c r="AM11" s="7">
        <f>IF($B11="","",IFERROR(LOOKUP(2,1/(('Events 2'!$C$6:$C$17="401(k) change")*('Events 2'!$B$6:$B$17&lt;=$B11)*('Events 2'!$B$6:$B$17&lt;&gt;"")),'Events 2'!$E$6:$E$17),'Inputs 2'!$D$30))</f>
      </c>
      <c r="AN11">
        <f>IF($B11="","",IFERROR(LOOKUP(2,1/(('Events 2'!$C$6:$C$17="State move")*('Events 2'!$B$6:$B$17&lt;=$B11)*('Events 2'!$B$6:$B$17&lt;&gt;"")),'Events 2'!$D$6:$D$17),'Inputs 2'!$C$21))</f>
      </c>
      <c r="AO11" s="7">
        <f>IF($B11="","",IFERROR(LOOKUP(2,1/(('Events 2'!$C$6:$C$17="W-4 change")*('Events 2'!$B$6:$B$17&lt;=$B11)*('Events 2'!$B$6:$B$17&lt;&gt;"")),'Events 2'!$D$6:$D$17),'Inputs 2'!$C$14))</f>
      </c>
      <c r="AP11" s="7">
        <f>IF($B11="","",IFERROR(LOOKUP(2,1/(('Events 2'!$C$6:$C$17="W-4 change")*('Events 2'!$B$6:$B$17&lt;=$B11)*('Events 2'!$B$6:$B$17&lt;&gt;"")),'Events 2'!$E$6:$E$17),'Inputs 2'!$C$15))</f>
      </c>
      <c r="AQ11" s="7">
        <f>IF($B11="","",IFERROR(LOOKUP(2,1/(('Events 2'!$C$6:$C$17="W-4 change")*('Events 2'!$B$6:$B$17&lt;=$B11)*('Events 2'!$B$6:$B$17&lt;&gt;"")),'Events 2'!$F$6:$F$17),'Inputs 2'!$C$16))</f>
      </c>
      <c r="AR11" s="7">
        <f>IF($B11="","",IFERROR(LOOKUP(2,1/(('Events 2'!$C$6:$C$17="W-4 change")*('Events 2'!$B$6:$B$17&lt;=$B11)*('Events 2'!$B$6:$B$17&lt;&gt;"")),'Events 2'!$G$6:$G$17),'Inputs 2'!$C$17))</f>
      </c>
      <c r="AS11" s="6">
        <f>IF($B11="","",IFERROR(LOOKUP(2,1/((('Events 2'!$C$6:$C$17="State move")+('Events 2'!$C$6:$C$17="State cert change"))*('Events 2'!$B$6:$B$17&lt;=$B11)*('Events 2'!$B$6:$B$17&lt;&gt;"")),'Events 2'!$F$6:$F$17),'Inputs 2'!$C$23))</f>
      </c>
      <c r="AT11" s="6">
        <f>IF($B11="","",IFERROR(LOOKUP(2,1/((('Events 2'!$C$6:$C$17="State move")+('Events 2'!$C$6:$C$17="State cert change"))*('Events 2'!$B$6:$B$17&lt;=$B11)*('Events 2'!$B$6:$B$17&lt;&gt;"")),'Events 2'!$G$6:$G$17),'Inputs 2'!$C$24))</f>
      </c>
      <c r="AU11">
        <f>IF($B11="","",IFERROR(LOOKUP(2,1/(('Events 2'!$C$6:$C$17="State move")*('Events 2'!$B$6:$B$17&lt;=$B11)*('Events 2'!$B$6:$B$17&lt;&gt;"")),'Events 2'!$E$6:$E$17),'Inputs 2'!$C$22))</f>
      </c>
      <c r="AV11" s="6">
        <f>IF($B11="","",1+COUNTIFS('Events 2'!$C$6:$C$17,"Employer change",'Events 2'!$B$6:$B$17,"&lt;="&amp;$B11,'Events 2'!$B$6:$B$17,"&lt;&gt;"))</f>
      </c>
      <c r="AW11" s="7">
        <f>IF($B11="","",IF($AV11=1,'Inputs 2'!$C$49,IF(IFERROR(MATCH(IFERROR(LOOKUP(2,1/(('Events 2'!$C$6:$C$17="Employer change")*('Events 2'!$B$6:$B$17&lt;=$B11)*('Events 2'!$B$6:$B$17&lt;&gt;"")),'Events 2'!$B$6:$B$17),""),$B$6:$B$68,1),1)&lt;=1,'Inputs 2'!$C$49,INDEX($AB$6:$AB$68,MATCH(IFERROR(LOOKUP(2,1/(('Events 2'!$C$6:$C$17="Employer change")*('Events 2'!$B$6:$B$17&lt;=$B11)*('Events 2'!$B$6:$B$17&lt;&gt;"")),'Events 2'!$B$6:$B$17),""),$B$6:$B$68,1)-1))))</f>
      </c>
      <c r="AX11" s="7">
        <f>IF($B11="","",IF($AV11=1,'Inputs 2'!$C$49,IFERROR(LOOKUP(2,1/(('Events 2'!$C$6:$C$17="Employer change")*('Events 2'!$B$6:$B$17&lt;=$B11)*('Events 2'!$B$6:$B$17&lt;&gt;"")),'Events 2'!$D$6:$D$17),0)))</f>
      </c>
      <c r="AY11" s="7">
        <f>IF($B11="","",($O11-$D11)*'Inputs 2'!$C$8)</f>
      </c>
      <c r="AZ11" s="7">
        <f>IF($B11="","",IF($AN11="AL",MAX(0,$AY11-IF($AU11="Married",IF($AY11&lt;=25999,8500,MAX(5000,8500-175*CEILING(($AY11-25999)/500,1))),IF($AU11="Head of household",IF($AY11&lt;=25999,5200,MAX(2500,5200-135*CEILING(($AY11-25999)/500,1))),IF($AY11&lt;=25999,3000,MAX(2500,3000-25*CEILING(($AY11-25999)/500,1)))))-($P11-'Methodology &amp; Sources'!$C$10*$D11)*'Inputs 2'!$C$8-IF(OR($AU11="Married",$AU11="Head of household"),3000,1500)-$AT11*IF($AY11&lt;=50000,1000,IF($AY11&lt;=100000,500,300))),IF($AN11="AR",IF(MAX(0,$AY11-2470)&lt;97701,INT(MAX(0,$AY11-2470)/100)*100+50,MAX(0,$AY11-2470)),IF($AN11="DE",MAX(0,$AI11-3250),IF($AN11="HI",MAX(0,$AI11-1144*$AS11-4350),IF($AN11="KS",MAX(0,$AI11-(9160*IF($AU11="Married",2,1)+2320*$AT11+IF($AU11="Head of household",2320,0))),IF($AN11="MD",MAX(0,$AI11-3400-3200*$AS11),IF($AN11="MN",MAX(0,$AY11-5300*$AS11),IF($AN11="MO",MAX(0,$AI11-IF($AU11="Head of household",24150,IF($AU11="Married",IF('Inputs 2'!$C$83,16100,32200),16100))),IF($AN11="MT",$AY11,IF($AN11="ND",($C11+$L11)*'Inputs 2'!$C$8,IF($AN11="NE",MAX(0,$AY11-2440*$AS11),IF($AN11="NJ",MAX(0,$AY11-1000*$AS11),IF($AN11="NY",MAX(0,$AY11-(IF($AU11="Married",7950,7400)+1000*$AS11)),IF($AN11="OH",MAX(0,$AY11-650*$AS11),IF($AN11="OK",MAX(0,$AY11-1000*$AS11),IF($AN11="RI",MAX(0,$AI11-1000*$AS11),IF($AN11="SC",MAX(0,$AI11-5000*$AS11-IF($AS11=0,0,MIN(0.1*$AI11,7500))),IF($AN11="VA",MAX(0,$AI11-IF($AU11="Married",17500,8750)-930*$AS11-800*$AT11),IF($AN11="VT",MAX(0,$AI11-5400*$AS11),IF($AN11="WI",MAX(0,$AI11-MAX(0,IF($AU11="Married",9461-0.2*MAX(0,$AI11-25727),6702-0.12*MAX(0,$AI11-17780)))-400*$AS11),IF($AN11="WV",MAX(0,$AI11-2000*$AS11),$AI11))))))))))))))))))))))</f>
      </c>
      <c r="BA11" s="7">
        <f>IF($B11="","",IF($BW11&lt;&gt;"",$BW11,IF($BX11&lt;&gt;"",$BX11,IF($BY11&lt;&gt;"",$BY11,0))))</f>
      </c>
      <c r="BB11" s="7">
        <f>IF($B11="","",IF($AN11="AR",-29*$AS11,IF($AN11="DE",-110*$AS11,IF($AN11="MD",$AZ11*'Inputs 2'!$C$74,IF($AN11="AZ",'Inputs 2'!$C$82*($M11-$D11)*'Inputs 2'!$C$8,IF($AN11="CO",0.044*MAX(0,$AY11-IF($AU11="Married",10000,5000)),IF($AN11="IA",MAX(0,0.038*MAX(0,$AY11-IF($AU11="Head of household",19500,IF($AU11="Married",26000,13000)))-40*$AS11),IF($AN11="ID",0.053*MAX(0,$AY11-IF($AU11="Married",32000,16094)),IF($AN11="IL",0.0495*MAX(0,$AY11-(2925*$AS11+1000*$AT11)),IF($AN11="IN",(0.0295+'Inputs 2'!$C$76)*MAX(0,$AY11-(1000*$AS11+1500*$AT11+3000*'Inputs 2'!$C$86)),IF($AN11="KY",0.035*MAX(0,$AI11-3360),IF($AN11="LA",IF('Inputs 2'!$C$84="0",0.0309*$AI11,0.0309*MAX(0,$AI11-IF('Inputs 2'!$C$84="2",25750,12875))),IF($AN11="MA",0.05*MIN(MAX(0,$AY11-MIN(($BD10+$Q11+$R11+$S11),2000)-IF($AS11=0,0,IF($AS11=1,4400,1000*$AS11+3400))),1107750)+0.09*MAX(0,MAX(0,$AY11-MIN(($BD10+$Q11+$R11+$S11),2000)-IF($AS11=0,0,IF($AS11=1,4400,1000*$AS11+3400)))-1107750)-IF($AU11="Head of household",120,0)-110*'Inputs 2'!$C$75,IF($AN11="MI",0.0425*MAX(0,$AY11-5900*$AS11),IF($AN11="MS",0.04*MAX(0,$AI11-IF($AU11="Head of household",3400,IF($AU11="Married",4600,2300))-'Inputs 2'!$C$85-10000),IF($AN11="OR",IF(OR($AU11="Married",AND($AU11="Single",$AS11&gt;=3)),SUMPRODUCT((MAX(0,$AY11-MIN(($P11-'Methodology &amp; Sources'!$C$10*$D11)*'Inputs 2'!$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Sources'!$B$211:$J$214,0,4))*(MAX(0,$AY11-MIN(($P11-'Methodology &amp; Sources'!$C$10*$D11)*'Inputs 2'!$C$8,IF(OR($AU11="Married",AND($AU11="Single",$AS11&gt;=3)),IF($AY11&lt;250000,8750,IF($AY11&lt;260000,7000,IF($AY11&lt;270000,5250,IF($AY11&lt;280000,3500,IF($AY11&lt;290000,1750,0))))),IF($AY11&lt;125000,8750,IF($AY11&lt;130000,7000,IF($AY11&lt;135000,5250,IF($AY11&lt;140000,3500,IF($AY11&lt;145000,1750,0)))))))-IF(OR($AU11="Married",AND($AU11="Single",$AS11&gt;=3)),5820,2910))-INDEX('Methodology &amp; Sources'!$B$211:$J$214,0,4))*INDEX('Methodology &amp; Sources'!$B$211:$J$214,0,4+2)),SUMPRODUCT((MAX(0,$AY11-MIN(($P11-'Methodology &amp; Sources'!$C$10*$D11)*'Inputs 2'!$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Sources'!$B$211:$J$214,0,1))*(MAX(0,$AY11-MIN(($P11-'Methodology &amp; Sources'!$C$10*$D11)*'Inputs 2'!$C$8,IF(OR($AU11="Married",AND($AU11="Single",$AS11&gt;=3)),IF($AY11&lt;250000,8750,IF($AY11&lt;260000,7000,IF($AY11&lt;270000,5250,IF($AY11&lt;280000,3500,IF($AY11&lt;290000,1750,0))))),IF($AY11&lt;125000,8750,IF($AY11&lt;130000,7000,IF($AY11&lt;135000,5250,IF($AY11&lt;140000,3500,IF($AY11&lt;145000,1750,0)))))))-IF(OR($AU11="Married",AND($AU11="Single",$AS11&gt;=3)),5820,2910))-INDEX('Methodology &amp; Sources'!$B$211:$J$214,0,1))*INDEX('Methodology &amp; Sources'!$B$211:$J$214,0,1+2)))+263-263*IF(IF($AU11="Married",$AY11&gt;200000,$AY11&gt;100000),0,$AS11),IF($AN11="PA",0.0307*(($O11+$E11+$G11)*'Inputs 2'!$C$8),IF($AN11="NY",IF($AU11="Married",IF($AZ11&gt;=2155350,0,IF($AZ11&gt;=1077550,0.48,IF($AZ11&gt;=373200,1.21,IF($AZ11&gt;=323200,0.21,IF($AZ11&gt;=211550,-0.19,IF($AZ11&gt;=157650,-2.8,IF($AZ11&gt;=107650,-0.8,IF($AZ11&gt;=96800,0.05,IF($AZ11&gt;=80650,-0.1,IF($AZ11&gt;=13900,0.4,IF($AZ11&gt;=11700,-0.3,IF($AZ11&gt;=8500,0.5,0)))))))))))),IF($AZ11&gt;=1077550,0,IF($AZ11&gt;=265400,4.29,IF($AZ11&gt;=215400,2.29,IF($AZ11&gt;=157650,2.29,IF($AZ11&gt;=107650,0.29,IF($AZ11&gt;=96800,0.05,IF($AZ11&gt;=80650,-0.1,IF($AZ11&gt;=13900,0.4,IF($AZ11&gt;=11700,-0.3,IF($AZ11&gt;=8500,0.5,0))))))))))),0))))))))))))))))))</f>
      </c>
      <c r="BC11" s="7">
        <f>IF($B11="","",IF($AN11="AL",0.05*$D11,IF($AN11="AR",0.039*$D11,IF($AN11="ID",0.053*$D11,IF($AN11="IN",(0.0295+'Inputs 2'!$C$76)*$D11,IF($AN11="KS",0.05*$D11,IF($AN11="MA",0.09*MIN($D11,MAX(0,MAX(0,$AY11-MIN(($BD10+$Q11+$R11+$S11),2000)-IF($AS11=0,0,IF($AS11=1,4400,1000*$AS11+3400)))+$D11-1107750))+0.05*($D11-MIN($D11,MAX(0,MAX(0,$AY11-MIN(($BD10+$Q11+$R11+$S11),2000)-IF($AS11=0,0,IF($AS11=1,4400,1000*$AS11+3400)))+$D11-1107750))),IF($AN11="MD",(0.065+'Inputs 2'!$C$74)*$D11,IF($AN11="MI",0.0425*$D11,IF($AN11="MN",0.0625*$D11,IF($AN11="MO",0.047*$D11,IF($AN11="MT",0.05*$D11,IF($AN11="ND",0.015*$D11,IF($AN11="NE",0.035*$D11,IF($AN11="NJ",IF('Inputs 2'!$C$77="B",SUMPRODUCT(($D11*'Inputs 2'!$C$8&gt;INDEX('Methodology &amp; Sources'!$B$155:$J$162,0,4))*($D11*'Inputs 2'!$C$8-INDEX('Methodology &amp; Sources'!$B$155:$J$162,0,4))*INDEX('Methodology &amp; Sources'!$B$155:$J$162,0,4+2)),IF('Inputs 2'!$C$77="C",SUMPRODUCT(($D11*'Inputs 2'!$C$8&gt;INDEX('Methodology &amp; Sources'!$B$155:$J$162,0,7))*($D11*'Inputs 2'!$C$8-INDEX('Methodology &amp; Sources'!$B$155:$J$162,0,7))*INDEX('Methodology &amp; Sources'!$B$155:$J$162,0,7+2)),IF('Inputs 2'!$C$77="D",SUMPRODUCT(($D11*'Inputs 2'!$C$8&gt;INDEX('Methodology &amp; Sources'!$B$167:$J$179,0,1))*($D11*'Inputs 2'!$C$8-INDEX('Methodology &amp; Sources'!$B$167:$J$179,0,1))*INDEX('Methodology &amp; Sources'!$B$167:$J$179,0,1+2)),IF('Inputs 2'!$C$77="E",SUMPRODUCT(($D11*'Inputs 2'!$C$8&gt;INDEX('Methodology &amp; Sources'!$B$167:$J$179,0,4))*($D11*'Inputs 2'!$C$8-INDEX('Methodology &amp; Sources'!$B$167:$J$179,0,4))*INDEX('Methodology &amp; Sources'!$B$167:$J$179,0,4+2)),SUMPRODUCT(($D11*'Inputs 2'!$C$8&gt;INDEX('Methodology &amp; Sources'!$B$155:$J$162,0,1))*($D11*'Inputs 2'!$C$8-INDEX('Methodology &amp; Sources'!$B$155:$J$162,0,1))*INDEX('Methodology &amp; Sources'!$B$155:$J$162,0,1+2))))))/'Inputs 2'!$C$8,IF($AN11="NY",0.117*$D11,IF($AN11="OH",0.0275*$D11,IF($AN11="OK",0.045*$D11,IF($AN11="OR",0.08*$D11,IF($AN11="WI",IF($AY11&lt;12760,0.0354,IF($AY11&lt;25520,0.0465,IF($AY11&lt;280950,0.053,0.0765)))*$D11,0))))))))))))))))))))</f>
      </c>
      <c r="BD11" s="7">
        <f>IF($B11="","",$BD10+$Q11+$R11+$S11)</f>
      </c>
      <c r="BE11" s="6">
        <f>IF($B11="",$BE10,$BE10+$BF11)</f>
      </c>
      <c r="BF11" s="6">
        <f>IF($B11="","",IF(AND(IF(YEAR(IF('Inputs 2'!$C$7="Weekly",'Inputs 2'!$C$9+7*(($BE10+1)-1),IF('Inputs 2'!$C$7="Biweekly",'Inputs 2'!$C$9+14*(($BE10+1)-1),IF('Inputs 2'!$C$7="Semimonthly",DATE(YEAR('Inputs 2'!$C$9),MONTH('Inputs 2'!$C$9)+INT((($BE10+1)-1)/2),MIN(DAY('Inputs 2'!$C$9),DAY(EOMONTH(DATE(YEAR('Inputs 2'!$C$9),MONTH('Inputs 2'!$C$9)+INT((($BE10+1)-1)/2),1),0))))+IF(MOD(($BE10+1)-1,2)=1,15,0),EDATE('Inputs 2'!$C$9,($BE10+1)-1)))))&lt;&gt;'Inputs 2'!$C$10,"",IF('Inputs 2'!$C$7="Weekly",'Inputs 2'!$C$9+7*(($BE10+1)-1),IF('Inputs 2'!$C$7="Biweekly",'Inputs 2'!$C$9+14*(($BE10+1)-1),IF('Inputs 2'!$C$7="Semimonthly",DATE(YEAR('Inputs 2'!$C$9),MONTH('Inputs 2'!$C$9)+INT((($BE10+1)-1)/2),MIN(DAY('Inputs 2'!$C$9),DAY(EOMONTH(DATE(YEAR('Inputs 2'!$C$9),MONTH('Inputs 2'!$C$9)+INT((($BE10+1)-1)/2),1),0))))+IF(MOD(($BE10+1)-1,2)=1,15,0),EDATE('Inputs 2'!$C$9,($BE10+1)-1)))))&lt;&gt;"",$B11=IF(YEAR(IF('Inputs 2'!$C$7="Weekly",'Inputs 2'!$C$9+7*(($BE10+1)-1),IF('Inputs 2'!$C$7="Biweekly",'Inputs 2'!$C$9+14*(($BE10+1)-1),IF('Inputs 2'!$C$7="Semimonthly",DATE(YEAR('Inputs 2'!$C$9),MONTH('Inputs 2'!$C$9)+INT((($BE10+1)-1)/2),MIN(DAY('Inputs 2'!$C$9),DAY(EOMONTH(DATE(YEAR('Inputs 2'!$C$9),MONTH('Inputs 2'!$C$9)+INT((($BE10+1)-1)/2),1),0))))+IF(MOD(($BE10+1)-1,2)=1,15,0),EDATE('Inputs 2'!$C$9,($BE10+1)-1)))))&lt;&gt;'Inputs 2'!$C$10,"",IF('Inputs 2'!$C$7="Weekly",'Inputs 2'!$C$9+7*(($BE10+1)-1),IF('Inputs 2'!$C$7="Biweekly",'Inputs 2'!$C$9+14*(($BE10+1)-1),IF('Inputs 2'!$C$7="Semimonthly",DATE(YEAR('Inputs 2'!$C$9),MONTH('Inputs 2'!$C$9)+INT((($BE10+1)-1)/2),MIN(DAY('Inputs 2'!$C$9),DAY(EOMONTH(DATE(YEAR('Inputs 2'!$C$9),MONTH('Inputs 2'!$C$9)+INT((($BE10+1)-1)/2),1),0))))+IF(MOD(($BE10+1)-1,2)=1,15,0),EDATE('Inputs 2'!$C$9,($BE10+1)-1)))))),1,0))</f>
      </c>
      <c r="BG11" s="7">
        <f>IF($B11="","",$BG10+$H11)</f>
      </c>
      <c r="BH11" s="7">
        <f>IF($B11="","",$BH10+$I11)</f>
      </c>
      <c r="BI11" s="7">
        <f>IF($B11="","",$BI10+$G11)</f>
      </c>
      <c r="BJ11" s="7">
        <f>IF($B11="","",IFERROR(LOOKUP(2,1/(((('Events 2'!$C$6:$C$17="Deduction start"))*('Events 2'!$D$6:$D$17="Health FSA"))*('Events 2'!$B$6:$B$17&lt;=$B11)*('Events 2'!$B$6:$B$17&lt;&gt;"")),'Events 2'!$E$6:$E$17),'Inputs 2'!$D$38))</f>
      </c>
      <c r="BK11" s="7">
        <f>IF($B11="","",IFERROR(LOOKUP(2,1/(((('Events 2'!$C$6:$C$17="Deduction start"))*('Events 2'!$D$6:$D$17="Dependent-care FSA"))*('Events 2'!$B$6:$B$17&lt;=$B11)*('Events 2'!$B$6:$B$17&lt;&gt;"")),'Events 2'!$E$6:$E$17),'Inputs 2'!$D$39))</f>
      </c>
      <c r="BL11" s="7">
        <f>IF($B11="","",IFERROR(LOOKUP(2,1/(((('Events 2'!$C$6:$C$17="Deduction start")+('Events 2'!$C$6:$C$17="Deduction stop"))*('Events 2'!$D$6:$D$17="HSA"))*('Events 2'!$B$6:$B$17&lt;=$B11)*('Events 2'!$B$6:$B$17&lt;&gt;"")),'Events 2'!$I$6:$I$17),'Inputs 2'!$D$35))</f>
      </c>
      <c r="BM11" s="7">
        <f>IF($B11="","",IFERROR(LOOKUP(2,1/(((('Events 2'!$C$6:$C$17="Deduction start")+('Events 2'!$C$6:$C$17="Deduction stop"))*('Events 2'!$D$6:$D$17="Premiums"))*('Events 2'!$B$6:$B$17&lt;=$B11)*('Events 2'!$B$6:$B$17&lt;&gt;"")),'Events 2'!$I$6:$I$17),'Inputs 2'!$D$40+'Inputs 2'!$D$41+'Inputs 2'!$D$42))</f>
      </c>
      <c r="BN11" s="7">
        <f>IF($B11="","",IFERROR(LOOKUP(2,1/(((('Events 2'!$C$6:$C$17="Deduction start")+('Events 2'!$C$6:$C$17="Deduction stop"))*('Events 2'!$D$6:$D$17="Commuter"))*('Events 2'!$B$6:$B$17&lt;=$B11)*('Events 2'!$B$6:$B$17&lt;&gt;"")),'Events 2'!$I$6:$I$17),'Inputs 2'!$D$43))</f>
      </c>
      <c r="BO11" s="7">
        <f>IF($B11="","",IFERROR(LOOKUP(2,1/(((('Events 2'!$C$6:$C$17="Deduction start")+('Events 2'!$C$6:$C$17="Deduction stop"))*('Events 2'!$D$6:$D$17="Other pre-tax"))*('Events 2'!$B$6:$B$17&lt;=$B11)*('Events 2'!$B$6:$B$17&lt;&gt;"")),'Events 2'!$I$6:$I$17),'Inputs 2'!$D$44))</f>
      </c>
      <c r="BP11" s="7">
        <f>IF($B11="","",IFERROR(LOOKUP(2,1/(((('Events 2'!$C$6:$C$17="Deduction start")+('Events 2'!$C$6:$C$17="Deduction stop"))*('Events 2'!$D$6:$D$17="Other post-tax"))*('Events 2'!$B$6:$B$17&lt;=$B11)*('Events 2'!$B$6:$B$17&lt;&gt;"")),'Events 2'!$I$6:$I$17),'Inputs 2'!$D$45))</f>
      </c>
      <c r="BQ11" s="6">
        <f>IF($B11="","",IFERROR(LOOKUP(2,1/(((('Events 2'!$C$6:$C$17="Deduction start")+('Events 2'!$C$6:$C$17="Deduction stop"))*('Events 2'!$D$6:$D$17="Health FSA"))*('Events 2'!$B$6:$B$17&lt;=$B11)*('Events 2'!$B$6:$B$17&lt;&gt;"")),'Events 2'!$J$6:$J$17),0))</f>
      </c>
      <c r="BR11" s="6">
        <f>IF($B11="","",IFERROR(LOOKUP(2,1/(((('Events 2'!$C$6:$C$17="Deduction start")+('Events 2'!$C$6:$C$17="Deduction stop"))*('Events 2'!$D$6:$D$17="Dependent-care FSA"))*('Events 2'!$B$6:$B$17&lt;=$B11)*('Events 2'!$B$6:$B$17&lt;&gt;"")),'Events 2'!$J$6:$J$17),0))</f>
      </c>
      <c r="BS11" s="6">
        <f>IF($B11="","",IF(SUMPRODUCT(('Events 2'!$C$6:$C$17="Deduction start")*('Events 2'!$B$6:$B$17&lt;=$B11)*('Events 2'!$B$6:$B$17&lt;&gt;"")*('Events 2'!$D$6:$D$17="Health FSA"))&gt;0,1,0))</f>
      </c>
      <c r="BT11" s="6">
        <f>IF($B11="","",IF(SUMPRODUCT(('Events 2'!$C$6:$C$17="Deduction start")*('Events 2'!$B$6:$B$17&lt;=$B11)*('Events 2'!$B$6:$B$17&lt;&gt;"")*('Events 2'!$D$6:$D$17="Dependent-care FSA"))&gt;0,1,0))</f>
      </c>
      <c r="BU11" s="24">
        <f>IF($B11="","",IF('Inputs 2'!$C$13,SUMPRODUCT(($AH11&gt;=INDEX('Methodology &amp; Sources'!$B$29:$J$36,0,IF('Inputs 2'!$C$12="MFJ",1,IF('Inputs 2'!$C$12="HoH",7,4))))*INDEX('Methodology &amp; Sources'!$B$29:$J$36,0,IF('Inputs 2'!$C$12="MFJ",1,IF('Inputs 2'!$C$12="HoH",7,4))+2)),SUMPRODUCT(($AH11&gt;=INDEX('Methodology &amp; Sources'!$B$19:$J$26,0,IF('Inputs 2'!$C$12="MFJ",1,IF('Inputs 2'!$C$12="HoH",7,4))))*INDEX('Methodology &amp; Sources'!$B$19:$J$26,0,IF('Inputs 2'!$C$12="MFJ",1,IF('Inputs 2'!$C$12="HoH",7,4))+2))))</f>
      </c>
      <c r="BV11" s="24">
        <f>IF($B11="","",IF($BZ11&lt;&gt;"",$BZ11,IF($CA11&lt;&gt;"",$CA11,IF($CB11&lt;&gt;"",$CB11,IF($CC11&lt;&gt;"",$CC11,0)))))</f>
      </c>
      <c r="BW11" s="7">
        <f>IF($B11="","",IF($AN11="MD",IF(OR($AU11="Married",$AU11="Head of household"),SUMPRODUCT(($AZ11&gt;INDEX('Methodology &amp; Sources'!$B$114:$J$120,0,1))*($AZ11-INDEX('Methodology &amp; Sources'!$B$114:$J$120,0,1))*INDEX('Methodology &amp; Sources'!$B$114:$J$120,0,1+2)),SUMPRODUCT(($AZ11&gt;INDEX('Methodology &amp; Sources'!$B$103:$J$109,0,7))*($AZ11-INDEX('Methodology &amp; Sources'!$B$103:$J$109,0,7))*INDEX('Methodology &amp; Sources'!$B$103:$J$109,0,7+2))),IF($AN11="MO",SUMPRODUCT(($AZ11&gt;INDEX('Methodology &amp; Sources'!$B$125:$J$132,0,1))*($AZ11-INDEX('Methodology &amp; Sources'!$B$125:$J$132,0,1))*INDEX('Methodology &amp; Sources'!$B$125:$J$132,0,1+2)),IF($AN11="MT",IF($AU11="Head of household",SUMPRODUCT(($AZ11&gt;INDEX('Methodology &amp; Sources'!$B$137:$J$139,0,1))*($AZ11-INDEX('Methodology &amp; Sources'!$B$137:$J$139,0,1))*INDEX('Methodology &amp; Sources'!$B$137:$J$139,0,1+2)),IF($AU11="Married",SUMPRODUCT(($AZ11&gt;INDEX('Methodology &amp; Sources'!$B$125:$J$132,0,7))*($AZ11-INDEX('Methodology &amp; Sources'!$B$125:$J$132,0,7))*INDEX('Methodology &amp; Sources'!$B$125:$J$132,0,7+2)),SUMPRODUCT(($AZ11&gt;INDEX('Methodology &amp; Sources'!$B$125:$J$132,0,4))*($AZ11-INDEX('Methodology &amp; Sources'!$B$125:$J$132,0,4))*INDEX('Methodology &amp; Sources'!$B$125:$J$132,0,4+2)))),IF($AN11="ND",IF($AU11="Head of household",SUMPRODUCT(($AZ11&gt;INDEX('Methodology &amp; Sources'!$B$144:$J$150,0,1))*($AZ11-INDEX('Methodology &amp; Sources'!$B$144:$J$150,0,1))*INDEX('Methodology &amp; Sources'!$B$144:$J$150,0,1+2)),IF($AU11="Married",SUMPRODUCT(($AZ11&gt;INDEX('Methodology &amp; Sources'!$B$137:$J$139,0,7))*($AZ11-INDEX('Methodology &amp; Sources'!$B$137:$J$139,0,7))*INDEX('Methodology &amp; Sources'!$B$137:$J$139,0,7+2)),SUMPRODUCT(($AZ11&gt;INDEX('Methodology &amp; Sources'!$B$137:$J$139,0,4))*($AZ11-INDEX('Methodology &amp; Sources'!$B$137:$J$139,0,4))*INDEX('Methodology &amp; Sources'!$B$137:$J$139,0,4+2)))),IF($AN11="NJ",IF('Inputs 2'!$C$77="B",SUMPRODUCT(($AZ11&gt;INDEX('Methodology &amp; Sources'!$B$155:$J$162,0,4))*($AZ11-INDEX('Methodology &amp; Sources'!$B$155:$J$162,0,4))*INDEX('Methodology &amp; Sources'!$B$155:$J$162,0,4+2)),IF('Inputs 2'!$C$77="C",SUMPRODUCT(($AZ11&gt;INDEX('Methodology &amp; Sources'!$B$155:$J$162,0,7))*($AZ11-INDEX('Methodology &amp; Sources'!$B$155:$J$162,0,7))*INDEX('Methodology &amp; Sources'!$B$155:$J$162,0,7+2)),IF('Inputs 2'!$C$77="D",SUMPRODUCT(($AZ11&gt;INDEX('Methodology &amp; Sources'!$B$167:$J$179,0,1))*($AZ11-INDEX('Methodology &amp; Sources'!$B$167:$J$179,0,1))*INDEX('Methodology &amp; Sources'!$B$167:$J$179,0,1+2)),IF('Inputs 2'!$C$77="E",SUMPRODUCT(($AZ11&gt;INDEX('Methodology &amp; Sources'!$B$167:$J$179,0,4))*($AZ11-INDEX('Methodology &amp; Sources'!$B$167:$J$179,0,4))*INDEX('Methodology &amp; Sources'!$B$167:$J$179,0,4+2)),SUMPRODUCT(($AZ11&gt;INDEX('Methodology &amp; Sources'!$B$155:$J$162,0,1))*($AZ11-INDEX('Methodology &amp; Sources'!$B$155:$J$162,0,1))*INDEX('Methodology &amp; Sources'!$B$155:$J$162,0,1+2)))))),IF($AN11="NY",IF($AU11="Married",IF($AZ11&gt;=2155350,$AZ11*IF($AZ11&gt;25000000,0.117,IF($AZ11&gt;5000000,0.111,0.1045)),SUMPRODUCT(($AZ11&gt;INDEX('Methodology &amp; Sources'!$B$184:$J$198,0,1))*($AZ11-INDEX('Methodology &amp; Sources'!$B$184:$J$198,0,1))*INDEX('Methodology &amp; Sources'!$B$184:$J$198,0,1+2))),IF($AZ11&gt;=1077550,$AZ11*IF($AZ11&gt;25000000,0.117,IF($AZ11&gt;5000000,0.111,0.1045)),SUMPRODUCT(($AZ11&gt;INDEX('Methodology &amp; Sources'!$B$167:$J$179,0,7))*($AZ11-INDEX('Methodology &amp; Sources'!$B$167:$J$179,0,7))*INDEX('Methodology &amp; Sources'!$B$167:$J$179,0,7+2)))),"")))))))</f>
      </c>
      <c r="BX11" s="7">
        <f>IF($B11="","",IF($AN11="AL",IF(OR($AU11="Married",$AU11="Head of household"),SUMPRODUCT(($AZ11&gt;INDEX('Methodology &amp; Sources'!$B$82:$J$86,0,4))*($AZ11-INDEX('Methodology &amp; Sources'!$B$82:$J$86,0,4))*INDEX('Methodology &amp; Sources'!$B$82:$J$86,0,4+2)),SUMPRODUCT(($AZ11&gt;INDEX('Methodology &amp; Sources'!$B$82:$J$86,0,1))*($AZ11-INDEX('Methodology &amp; Sources'!$B$82:$J$86,0,1))*INDEX('Methodology &amp; Sources'!$B$82:$J$86,0,1+2))),IF($AN11="KS",IF($AU11="Married",SUMPRODUCT(($AZ11&gt;INDEX('Methodology &amp; Sources'!$B$103:$J$109,0,4))*($AZ11-INDEX('Methodology &amp; Sources'!$B$103:$J$109,0,4))*INDEX('Methodology &amp; Sources'!$B$103:$J$109,0,4+2)),SUMPRODUCT(($AZ11&gt;INDEX('Methodology &amp; Sources'!$B$103:$J$109,0,1))*($AZ11-INDEX('Methodology &amp; Sources'!$B$103:$J$109,0,1))*INDEX('Methodology &amp; Sources'!$B$103:$J$109,0,1+2))),IF($AN11="MN",IF($AU11="Married",SUMPRODUCT(($AZ11&gt;INDEX('Methodology &amp; Sources'!$B$114:$J$120,0,7))*($AZ11-INDEX('Methodology &amp; Sources'!$B$114:$J$120,0,7))*INDEX('Methodology &amp; Sources'!$B$114:$J$120,0,7+2)),SUMPRODUCT(($AZ11&gt;INDEX('Methodology &amp; Sources'!$B$114:$J$120,0,4))*($AZ11-INDEX('Methodology &amp; Sources'!$B$114:$J$120,0,4))*INDEX('Methodology &amp; Sources'!$B$114:$J$120,0,4+2))),IF($AN11="NE",MAX(IF($AU11="Married",SUMPRODUCT(($AZ11&gt;INDEX('Methodology &amp; Sources'!$B$144:$J$150,0,7))*($AZ11-INDEX('Methodology &amp; Sources'!$B$144:$J$150,0,7))*INDEX('Methodology &amp; Sources'!$B$144:$J$150,0,7+2)),SUMPRODUCT(($AZ11&gt;INDEX('Methodology &amp; Sources'!$B$144:$J$150,0,4))*($AZ11-INDEX('Methodology &amp; Sources'!$B$144:$J$150,0,4))*INDEX('Methodology &amp; Sources'!$B$144:$J$150,0,4+2))),0.015*$AZ11),IF($AN11="OH",IF($B11&gt;=DATE(2027,8,1),SUMPRODUCT(($AZ11&gt;INDEX('Methodology &amp; Sources'!$B$203:$J$206,0,1))*($AZ11-INDEX('Methodology &amp; Sources'!$B$203:$J$206,0,1))*INDEX('Methodology &amp; Sources'!$B$203:$J$206,0,1+2)),SUMPRODUCT(($AZ11&gt;INDEX('Methodology &amp; Sources'!$B$184:$J$198,0,7))*($AZ11-INDEX('Methodology &amp; Sources'!$B$184:$J$198,0,7))*INDEX('Methodology &amp; Sources'!$B$184:$J$198,0,7+2))),IF($AN11="OK",IF($AU11="Married",SUMPRODUCT(($AZ11&gt;INDEX('Methodology &amp; Sources'!$B$203:$J$206,0,7))*($AZ11-INDEX('Methodology &amp; Sources'!$B$203:$J$206,0,7))*INDEX('Methodology &amp; Sources'!$B$203:$J$206,0,7+2)),SUMPRODUCT(($AZ11&gt;INDEX('Methodology &amp; Sources'!$B$203:$J$206,0,4))*($AZ11-INDEX('Methodology &amp; Sources'!$B$203:$J$206,0,4))*INDEX('Methodology &amp; Sources'!$B$203:$J$206,0,4+2))),IF($AN11="RI",SUMPRODUCT(($AZ11&gt;INDEX('Methodology &amp; Sources'!$B$211:$J$214,0,7))*($AZ11-INDEX('Methodology &amp; Sources'!$B$211:$J$214,0,7))*INDEX('Methodology &amp; Sources'!$B$211:$J$214,0,7+2)),IF($AN11="VT",IF($AU11="Married",SUMPRODUCT(($AZ11&gt;INDEX('Methodology &amp; Sources'!$B$228:$J$232,0,1))*($AZ11-INDEX('Methodology &amp; Sources'!$B$228:$J$232,0,1))*INDEX('Methodology &amp; Sources'!$B$228:$J$232,0,1+2)),SUMPRODUCT(($AZ11&gt;INDEX('Methodology &amp; Sources'!$B$219:$J$223,0,7))*($AZ11-INDEX('Methodology &amp; Sources'!$B$219:$J$223,0,7))*INDEX('Methodology &amp; Sources'!$B$219:$J$223,0,7+2))),IF($AN11="WV",IF($AU11="Married",SUMPRODUCT(($AZ11&gt;INDEX('Methodology &amp; Sources'!$B$237:$J$241,0,7))*($AZ11-INDEX('Methodology &amp; Sources'!$B$237:$J$241,0,7))*INDEX('Methodology &amp; Sources'!$B$237:$J$241,0,7+2)),SUMPRODUCT(($AZ11&gt;INDEX('Methodology &amp; Sources'!$B$228:$J$232,0,7))*($AZ11-INDEX('Methodology &amp; Sources'!$B$228:$J$232,0,7))*INDEX('Methodology &amp; Sources'!$B$228:$J$232,0,7+2))),""))))))))))</f>
      </c>
      <c r="BY11" s="7">
        <f>IF($B11="","",IF($AN11="AR",SUMPRODUCT(($AZ11&gt;INDEX('Methodology &amp; Sources'!$B$82:$J$86,0,7))*($AZ11-INDEX('Methodology &amp; Sources'!$B$82:$J$86,0,7))*INDEX('Methodology &amp; Sources'!$B$82:$J$86,0,7+2)),IF($AN11="DE",SUMPRODUCT(($AZ11&gt;INDEX('Methodology &amp; Sources'!$B$91:$J$98,0,1))*($AZ11-INDEX('Methodology &amp; Sources'!$B$91:$J$98,0,1))*INDEX('Methodology &amp; Sources'!$B$91:$J$98,0,1+2)),IF($AN11="HI",IF($AU11="Married",SUMPRODUCT(($AZ11&gt;INDEX('Methodology &amp; Sources'!$B$91:$J$98,0,7))*($AZ11-INDEX('Methodology &amp; Sources'!$B$91:$J$98,0,7))*INDEX('Methodology &amp; Sources'!$B$91:$J$98,0,7+2)),SUMPRODUCT(($AZ11&gt;INDEX('Methodology &amp; Sources'!$B$91:$J$98,0,4))*($AZ11-INDEX('Methodology &amp; Sources'!$B$91:$J$98,0,4))*INDEX('Methodology &amp; Sources'!$B$91:$J$98,0,4+2))),IF($AN11="SC",SUMPRODUCT(($AZ11&gt;INDEX('Methodology &amp; Sources'!$B$219:$J$223,0,1))*($AZ11-INDEX('Methodology &amp; Sources'!$B$219:$J$223,0,1))*INDEX('Methodology &amp; Sources'!$B$219:$J$223,0,1+2)),IF($AN11="VA",SUMPRODUCT(($AZ11&gt;INDEX('Methodology &amp; Sources'!$B$219:$J$223,0,4))*($AZ11-INDEX('Methodology &amp; Sources'!$B$219:$J$223,0,4))*INDEX('Methodology &amp; Sources'!$B$219:$J$223,0,4+2)),IF($AN11="WI",SUMPRODUCT(($AZ11&gt;INDEX('Methodology &amp; Sources'!$B$228:$J$232,0,4))*($AZ11-INDEX('Methodology &amp; Sources'!$B$228:$J$232,0,4))*INDEX('Methodology &amp; Sources'!$B$228:$J$232,0,4+2)),"")))))))</f>
      </c>
      <c r="BZ11" s="24">
        <f>IF($B11="","",IF($AN11="NJ",IF('Inputs 2'!$C$77="B",SUMPRODUCT(($AZ11&gt;=INDEX('Methodology &amp; Sources'!$B$155:$J$162,0,4))*INDEX('Methodology &amp; Sources'!$B$155:$J$162,0,4+2)),IF('Inputs 2'!$C$77="C",SUMPRODUCT(($AZ11&gt;=INDEX('Methodology &amp; Sources'!$B$155:$J$162,0,7))*INDEX('Methodology &amp; Sources'!$B$155:$J$162,0,7+2)),IF('Inputs 2'!$C$77="D",SUMPRODUCT(($AZ11&gt;=INDEX('Methodology &amp; Sources'!$B$167:$J$179,0,1))*INDEX('Methodology &amp; Sources'!$B$167:$J$179,0,1+2)),IF('Inputs 2'!$C$77="E",SUMPRODUCT(($AZ11&gt;=INDEX('Methodology &amp; Sources'!$B$167:$J$179,0,4))*INDEX('Methodology &amp; Sources'!$B$167:$J$179,0,4+2)),SUMPRODUCT(($AZ11&gt;=INDEX('Methodology &amp; Sources'!$B$155:$J$162,0,1))*INDEX('Methodology &amp; Sources'!$B$155:$J$162,0,1+2)))))),IF($AN11="OR",IF(OR($AU11="Married",AND($AU11="Single",$AS11&gt;=3)),SUMPRODUCT((MAX(0,$AY11-MIN(($P11-'Methodology &amp; Sources'!$C$10*$D11)*'Inputs 2'!$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Sources'!$B$211:$J$214,0,4))*INDEX('Methodology &amp; Sources'!$B$211:$J$214,0,4+2)),SUMPRODUCT((MAX(0,$AY11-MIN(($P11-'Methodology &amp; Sources'!$C$10*$D11)*'Inputs 2'!$C$8,IF(OR($AU11="Married",AND($AU11="Single",$AS11&gt;=3)),IF($AY11&lt;250000,8750,IF($AY11&lt;260000,7000,IF($AY11&lt;270000,5250,IF($AY11&lt;280000,3500,IF($AY11&lt;290000,1750,0))))),IF($AY11&lt;125000,8750,IF($AY11&lt;130000,7000,IF($AY11&lt;135000,5250,IF($AY11&lt;140000,3500,IF($AY11&lt;145000,1750,0)))))))-IF(OR($AU11="Married",AND($AU11="Single",$AS11&gt;=3)),5820,2910))&gt;=INDEX('Methodology &amp; Sources'!$B$211:$J$214,0,1))*INDEX('Methodology &amp; Sources'!$B$211:$J$214,0,1+2)))*IF(($P11-'Methodology &amp; Sources'!$C$10*$D11)*'Inputs 2'!$C$8&gt;=IF(OR($AU11="Married",AND($AU11="Single",$AS11&gt;=3)),IF($AY11&lt;250000,8750,IF($AY11&lt;260000,7000,IF($AY11&lt;270000,5250,IF($AY11&lt;280000,3500,IF($AY11&lt;290000,1750,0))))),IF($AY11&lt;125000,8750,IF($AY11&lt;130000,7000,IF($AY11&lt;135000,5250,IF($AY11&lt;140000,3500,IF($AY11&lt;145000,1750,0)))))),1,1-IF('Inputs 2'!$C$13,SUMPRODUCT(($AH11&gt;=INDEX('Methodology &amp; Sources'!$B$29:$J$36,0,IF('Inputs 2'!$C$12="MFJ",1,IF('Inputs 2'!$C$12="HoH",7,4))))*INDEX('Methodology &amp; Sources'!$B$29:$J$36,0,IF('Inputs 2'!$C$12="MFJ",1,IF('Inputs 2'!$C$12="HoH",7,4))+2)),SUMPRODUCT(($AH11&gt;=INDEX('Methodology &amp; Sources'!$B$19:$J$26,0,IF('Inputs 2'!$C$12="MFJ",1,IF('Inputs 2'!$C$12="HoH",7,4))))*INDEX('Methodology &amp; Sources'!$B$19:$J$26,0,IF('Inputs 2'!$C$12="MFJ",1,IF('Inputs 2'!$C$12="HoH",7,4))+2)))),IF($AN11="MI",IF($AY11&gt;5900*$AS11,0.0425,0),""))))</f>
      </c>
      <c r="CA11" s="24">
        <f>IF($B11="","",IF($AN11="AL",IF(OR($AU11="Married",$AU11="Head of household"),SUMPRODUCT(($AZ11&gt;=INDEX('Methodology &amp; Sources'!$B$82:$J$86,0,4))*INDEX('Methodology &amp; Sources'!$B$82:$J$86,0,4+2)),SUMPRODUCT(($AZ11&gt;=INDEX('Methodology &amp; Sources'!$B$82:$J$86,0,1))*INDEX('Methodology &amp; Sources'!$B$82:$J$86,0,1+2)))*(1-IF('Inputs 2'!$C$13,SUMPRODUCT(($AH11&gt;=INDEX('Methodology &amp; Sources'!$B$29:$J$36,0,IF('Inputs 2'!$C$12="MFJ",1,IF('Inputs 2'!$C$12="HoH",7,4))))*INDEX('Methodology &amp; Sources'!$B$29:$J$36,0,IF('Inputs 2'!$C$12="MFJ",1,IF('Inputs 2'!$C$12="HoH",7,4))+2)),SUMPRODUCT(($AH11&gt;=INDEX('Methodology &amp; Sources'!$B$19:$J$26,0,IF('Inputs 2'!$C$12="MFJ",1,IF('Inputs 2'!$C$12="HoH",7,4))))*INDEX('Methodology &amp; Sources'!$B$19:$J$26,0,IF('Inputs 2'!$C$12="MFJ",1,IF('Inputs 2'!$C$12="HoH",7,4))+2)))),IF($AN11="KS",IF($AU11="Married",SUMPRODUCT(($AZ11&gt;=INDEX('Methodology &amp; Sources'!$B$103:$J$109,0,4))*INDEX('Methodology &amp; Sources'!$B$103:$J$109,0,4+2)),SUMPRODUCT(($AZ11&gt;=INDEX('Methodology &amp; Sources'!$B$103:$J$109,0,1))*INDEX('Methodology &amp; Sources'!$B$103:$J$109,0,1+2))),IF($AN11="MD",IF(OR($AU11="Married",$AU11="Head of household"),SUMPRODUCT(($AZ11&gt;=INDEX('Methodology &amp; Sources'!$B$114:$J$120,0,1))*INDEX('Methodology &amp; Sources'!$B$114:$J$120,0,1+2)),SUMPRODUCT(($AZ11&gt;=INDEX('Methodology &amp; Sources'!$B$103:$J$109,0,7))*INDEX('Methodology &amp; Sources'!$B$103:$J$109,0,7+2)))+'Inputs 2'!$C$74,IF($AN11="MT",IF($AU11="Head of household",SUMPRODUCT(($AZ11&gt;=INDEX('Methodology &amp; Sources'!$B$137:$J$139,0,1))*INDEX('Methodology &amp; Sources'!$B$137:$J$139,0,1+2)),IF($AU11="Married",SUMPRODUCT(($AZ11&gt;=INDEX('Methodology &amp; Sources'!$B$125:$J$132,0,7))*INDEX('Methodology &amp; Sources'!$B$125:$J$132,0,7+2)),SUMPRODUCT(($AZ11&gt;=INDEX('Methodology &amp; Sources'!$B$125:$J$132,0,4))*INDEX('Methodology &amp; Sources'!$B$125:$J$132,0,4+2)))),IF($AN11="ND",IF($AU11="Head of household",SUMPRODUCT(($AZ11&gt;=INDEX('Methodology &amp; Sources'!$B$144:$J$150,0,1))*INDEX('Methodology &amp; Sources'!$B$144:$J$150,0,1+2)),IF($AU11="Married",SUMPRODUCT(($AZ11&gt;=INDEX('Methodology &amp; Sources'!$B$137:$J$139,0,7))*INDEX('Methodology &amp; Sources'!$B$137:$J$139,0,7+2)),SUMPRODUCT(($AZ11&gt;=INDEX('Methodology &amp; Sources'!$B$137:$J$139,0,4))*INDEX('Methodology &amp; Sources'!$B$137:$J$139,0,4+2)))),IF($AN11="NY",IF($AU11="Married",IF($AZ11&gt;=2155350,IF($AZ11&gt;25000000,0.117,IF($AZ11&gt;5000000,0.111,0.1045)),SUMPRODUCT(($AZ11&gt;=INDEX('Methodology &amp; Sources'!$B$184:$J$198,0,1))*INDEX('Methodology &amp; Sources'!$B$184:$J$198,0,1+2))),IF($AZ11&gt;=1077550,IF($AZ11&gt;25000000,0.117,IF($AZ11&gt;5000000,0.111,0.1045)),SUMPRODUCT(($AZ11&gt;=INDEX('Methodology &amp; Sources'!$B$167:$J$179,0,7))*INDEX('Methodology &amp; Sources'!$B$167:$J$179,0,7+2)))),"")))))))</f>
      </c>
      <c r="CB11" s="24">
        <f>IF($B11="","",IF($AN11="CA",SUMPRODUCT(($AJ11&gt;=INDEX('Methodology &amp; Sources'!$B$39:$J$48,0,IF($AU11="Married",4,IF($AU11="Head of household",7,1))))*INDEX('Methodology &amp; Sources'!$B$39:$J$48,0,IF($AU11="Married",4,IF($AU11="Head of household",7,1))+2)),IF($AN11="HI",IF($AU11="Married",SUMPRODUCT(($AZ11&gt;=INDEX('Methodology &amp; Sources'!$B$91:$J$98,0,7))*INDEX('Methodology &amp; Sources'!$B$91:$J$98,0,7+2)),SUMPRODUCT(($AZ11&gt;=INDEX('Methodology &amp; Sources'!$B$91:$J$98,0,4))*INDEX('Methodology &amp; Sources'!$B$91:$J$98,0,4+2))),IF($AN11="MN",IF($AU11="Married",SUMPRODUCT(($AZ11&gt;=INDEX('Methodology &amp; Sources'!$B$114:$J$120,0,7))*INDEX('Methodology &amp; Sources'!$B$114:$J$120,0,7+2)),SUMPRODUCT(($AZ11&gt;=INDEX('Methodology &amp; Sources'!$B$114:$J$120,0,4))*INDEX('Methodology &amp; Sources'!$B$114:$J$120,0,4+2))),IF($AN11="MO",SUMPRODUCT(($AZ11&gt;=INDEX('Methodology &amp; Sources'!$B$125:$J$132,0,1))*INDEX('Methodology &amp; Sources'!$B$125:$J$132,0,1+2)),IF($AN11="NE",MAX(IF($AU11="Married",SUMPRODUCT(($AZ11&gt;=INDEX('Methodology &amp; Sources'!$B$144:$J$150,0,7))*INDEX('Methodology &amp; Sources'!$B$144:$J$150,0,7+2)),SUMPRODUCT(($AZ11&gt;=INDEX('Methodology &amp; Sources'!$B$144:$J$150,0,4))*INDEX('Methodology &amp; Sources'!$B$144:$J$150,0,4+2))),0.015),IF($AN11="OH",IF($B11&gt;=DATE(2027,8,1),SUMPRODUCT(($AZ11&gt;=INDEX('Methodology &amp; Sources'!$B$203:$J$206,0,1))*INDEX('Methodology &amp; Sources'!$B$203:$J$206,0,1+2)),SUMPRODUCT(($AZ11&gt;=INDEX('Methodology &amp; Sources'!$B$184:$J$198,0,7))*INDEX('Methodology &amp; Sources'!$B$184:$J$198,0,7+2))),IF($AN11="OK",IF($AU11="Married",SUMPRODUCT(($AZ11&gt;=INDEX('Methodology &amp; Sources'!$B$203:$J$206,0,7))*INDEX('Methodology &amp; Sources'!$B$203:$J$206,0,7+2)),SUMPRODUCT(($AZ11&gt;=INDEX('Methodology &amp; Sources'!$B$203:$J$206,0,4))*INDEX('Methodology &amp; Sources'!$B$203:$J$206,0,4+2))),IF($AN11="RI",SUMPRODUCT(($AZ11&gt;=INDEX('Methodology &amp; Sources'!$B$211:$J$214,0,7))*INDEX('Methodology &amp; Sources'!$B$211:$J$214,0,7+2)),IF($AN11="SC",SUMPRODUCT(($AZ11&gt;=INDEX('Methodology &amp; Sources'!$B$219:$J$223,0,1))*INDEX('Methodology &amp; Sources'!$B$219:$J$223,0,1+2)),IF($AN11="VT",IF($AU11="Married",SUMPRODUCT(($AZ11&gt;=INDEX('Methodology &amp; Sources'!$B$228:$J$232,0,1))*INDEX('Methodology &amp; Sources'!$B$228:$J$232,0,1+2)),SUMPRODUCT(($AZ11&gt;=INDEX('Methodology &amp; Sources'!$B$219:$J$223,0,7))*INDEX('Methodology &amp; Sources'!$B$219:$J$223,0,7+2))),IF($AN11="WV",IF($AU11="Married",SUMPRODUCT(($AZ11&gt;=INDEX('Methodology &amp; Sources'!$B$237:$J$241,0,7))*INDEX('Methodology &amp; Sources'!$B$237:$J$241,0,7+2)),SUMPRODUCT(($AZ11&gt;=INDEX('Methodology &amp; Sources'!$B$228:$J$232,0,7))*INDEX('Methodology &amp; Sources'!$B$228:$J$232,0,7+2))),IF($AN11="IN",(0.0295+'Inputs 2'!$C$76),"")))))))))))))</f>
      </c>
      <c r="CC11" s="24">
        <f>IF($B11="","",IF($AN11="AR",SUMPRODUCT(($AZ11&gt;=INDEX('Methodology &amp; Sources'!$B$82:$J$86,0,7))*INDEX('Methodology &amp; Sources'!$B$82:$J$86,0,7+2)),IF($AN11="DE",SUMPRODUCT(($AZ11&gt;=INDEX('Methodology &amp; Sources'!$B$91:$J$98,0,1))*INDEX('Methodology &amp; Sources'!$B$91:$J$98,0,1+2)),IF($AN11="VA",SUMPRODUCT(($AZ11&gt;=INDEX('Methodology &amp; Sources'!$B$219:$J$223,0,4))*INDEX('Methodology &amp; Sources'!$B$219:$J$223,0,4+2)),IF($AN11="WI",SUMPRODUCT(($AZ11&gt;=INDEX('Methodology &amp; Sources'!$B$228:$J$232,0,4))*INDEX('Methodology &amp; Sources'!$B$228:$J$232,0,4+2)),IF($AN11="AZ",'Inputs 2'!$C$82,IF($AN11="CO",IF($AY11&gt;IF($AU11="Married",10000,5000),0.044,0),IF($AN11="IA",IF($AY11&gt;IF($AU11="Head of household",19500,IF($AU11="Married",26000,13000)),0.038,0),IF($AN11="ID",IF($AY11&gt;IF($AU11="Married",32000,16094),0.053,0),IF($AN11="IL",IF($AY11&gt;(2925*$AS11+1000*$AT11),0.0495,0),IF($AN11="KY",IF($AI11&gt;3360,0.035,0),IF($AN11="LA",0.0309,IF($AN11="MA",IF(MAX(0,$AY11-MIN(($BD10+$Q11+$R11+$S11),2000)-IF($AS11=0,0,IF($AS11=1,4400,1000*$AS11+3400)))&gt;=1107750,0.09,0.05),IF($AN11="MS",IF($AI11-IF($AU11="Head of household",3400,IF($AU11="Married",4600,2300))-'Inputs 2'!$C$85&gt;10000,0.04,0),IF($AN11="PA",0.0307,"")))))))))))))))</f>
      </c>
      <c r="CD11" s="21">
        <f>IF(YEAR(IF('Inputs 2'!$C$7="Weekly",'Inputs 2'!$C$9+7*(($BE10+1)-1),IF('Inputs 2'!$C$7="Biweekly",'Inputs 2'!$C$9+14*(($BE10+1)-1),IF('Inputs 2'!$C$7="Semimonthly",DATE(YEAR('Inputs 2'!$C$9),MONTH('Inputs 2'!$C$9)+INT((($BE10+1)-1)/2),MIN(DAY('Inputs 2'!$C$9),DAY(EOMONTH(DATE(YEAR('Inputs 2'!$C$9),MONTH('Inputs 2'!$C$9)+INT((($BE10+1)-1)/2),1),0))))+IF(MOD(($BE10+1)-1,2)=1,15,0),EDATE('Inputs 2'!$C$9,($BE10+1)-1)))))&lt;&gt;'Inputs 2'!$C$10,"",IF('Inputs 2'!$C$7="Weekly",'Inputs 2'!$C$9+7*(($BE10+1)-1),IF('Inputs 2'!$C$7="Biweekly",'Inputs 2'!$C$9+14*(($BE10+1)-1),IF('Inputs 2'!$C$7="Semimonthly",DATE(YEAR('Inputs 2'!$C$9),MONTH('Inputs 2'!$C$9)+INT((($BE10+1)-1)/2),MIN(DAY('Inputs 2'!$C$9),DAY(EOMONTH(DATE(YEAR('Inputs 2'!$C$9),MONTH('Inputs 2'!$C$9)+INT((($BE10+1)-1)/2),1),0))))+IF(MOD(($BE10+1)-1,2)=1,15,0),EDATE('Inputs 2'!$C$9,($BE10+1)-1)))))</f>
      </c>
      <c r="CE11" s="21">
        <f>IF(SUMPRODUCT(MIN(IF(('Inputs 2'!$C$58:$C$67&gt;MAX($B$6:$B10))*('Inputs 2'!$C$58:$C$67&gt;=DATE('Inputs 2'!$C$10,1,1))*('Inputs 2'!$C$58:$C$67&lt;=DATE('Inputs 2'!$C$10,12,31)),'Inputs 2'!$C$58:$C$67,999999)))=999999,"",SUMPRODUCT(MIN(IF(('Inputs 2'!$C$58:$C$67&gt;MAX($B$6:$B10))*('Inputs 2'!$C$58:$C$67&gt;=DATE('Inputs 2'!$C$10,1,1))*('Inputs 2'!$C$58:$C$67&lt;=DATE('Inputs 2'!$C$10,12,31)),'Inputs 2'!$C$58:$C$67,999999))))</f>
      </c>
    </row>
    <row r="12">
      <c r="A12" t="n">
        <v>7</v>
      </c>
      <c r="B12" s="21">
        <f>IF(AND($CD12="",$CE12=""),"",IF($CE12="",$CD12,IF($CD12="",$CE12,MIN($CD12,$CE12))))</f>
      </c>
      <c r="C12" s="7">
        <f>IF($B12="","",IF($BF12=0,0,IF('Inputs 2'!$C$4="Annual salary",ROUND($AK12/IF(AND('Inputs 2'!$C$88="Actual paydays",MONTH('Inputs 2'!$C$9)=1),MAX(1,MAX($BE$6:$BE$68)),'Inputs 2'!$C$8),2),$AK12)))</f>
      </c>
      <c r="D12" s="7">
        <f>IF($B12="","",SUMIF('Inputs 2'!$C$58:$C$67,$B12,'Inputs 2'!$D$58:$D$67))</f>
      </c>
      <c r="E12" s="7">
        <f>IF($B12="","",ROUND(MAX(0,MIN(IF($AL12="Percent",$AM12*($C12+$D12),$AM12),MAX(0,'Inputs 2'!$C$34-$AC11))),2))</f>
      </c>
      <c r="F12" s="7">
        <f>IF($B12="","",ROUND(MAX(0,MIN(IF('Inputs 2'!$C$32="Percent",'Inputs 2'!$D$32*($C12+$D12),'Inputs 2'!$D$32),MAX(0,'Inputs 2'!$C$34-$AC11-$E12))),2))</f>
      </c>
      <c r="G12" s="7">
        <f>IF($B12="","",IF($BF12=0,0,ROUND(MAX(0,MIN($BL12,'Inputs 2'!$C$37-'Inputs 2'!$C$54-$BI11)),2)))</f>
      </c>
      <c r="H12" s="7">
        <f>IF($B12="","",IF(OR($BF12=0,$BQ12=1),0,ROUND(MAX(0,MIN(IF($BS12=1,ROUND(MAX(0,MIN($BJ12,'Methodology &amp; Sources'!$C$13)-$BG11)/MAX(1,MAX($BE$6:$BE$68)-($BE11)),2),ROUND(MIN($BJ12,'Methodology &amp; Sources'!$C$13)/'Inputs 2'!$C$8,2)),MIN($BJ12,'Methodology &amp; Sources'!$C$13)-$BG11)),2)))</f>
      </c>
      <c r="I12" s="7">
        <f>IF($B12="","",IF(OR($BF12=0,$BR12=1),0,ROUND(MAX(0,MIN(IF($BT12=1,ROUND(MAX(0,MIN($BK12,IF('Inputs 2'!$C$12="MFJ",'Methodology &amp; Sources'!$C$14,'Methodology &amp; Sources'!$C$15))-$BH11)/MAX(1,MAX($BE$6:$BE$68)-($BE11)),2),ROUND(MIN($BK12,IF('Inputs 2'!$C$12="MFJ",'Methodology &amp; Sources'!$C$14,'Methodology &amp; Sources'!$C$15))/'Inputs 2'!$C$8,2)),MIN($BK12,IF('Inputs 2'!$C$12="MFJ",'Methodology &amp; Sources'!$C$14,'Methodology &amp; Sources'!$C$15))-$BH11)),2)))</f>
      </c>
      <c r="J12" s="7">
        <f>IF($B12="","",IF($BF12=0,0,$BM12))</f>
      </c>
      <c r="K12" s="7">
        <f>IF($B12="","",IF($BF12=0,0,$BN12+$BO12))</f>
      </c>
      <c r="L12" s="7">
        <f>IF($B12="","",IF($BF12=0,0,'Inputs 2'!$D$46))</f>
      </c>
      <c r="M12" s="7">
        <f>IF($B12="","",$C12+$D12+$L12-$E12-$G12-$H12-$I12-$J12-$K12)</f>
      </c>
      <c r="N12" s="7">
        <f>IF($B12="","",$C12+$D12+$L12-$G12-$H12-$I12-$J12-$K12)</f>
      </c>
      <c r="O12" s="7">
        <f>IF($B12="","",$C12+$D12+$L12-$E12-$H12-$I12-$J12-$K12-IF(OR($AN12="CA",$AN12="NJ"),0,$G12))</f>
      </c>
      <c r="P12" s="7">
        <f>IF($B12="","",IF('Inputs 2'!$C$18,0,ROUND(MAX(0,IF('Inputs 2'!$C$13,SUMPRODUCT(($AH12&gt;INDEX('Methodology &amp; Sources'!$B$29:$J$36,0,IF('Inputs 2'!$C$12="MFJ",1,IF('Inputs 2'!$C$12="HoH",7,4))))*($AH12-INDEX('Methodology &amp; Sources'!$B$29:$J$36,0,IF('Inputs 2'!$C$12="MFJ",1,IF('Inputs 2'!$C$12="HoH",7,4))))*INDEX('Methodology &amp; Sources'!$B$29:$J$36,0,IF('Inputs 2'!$C$12="MFJ",1,IF('Inputs 2'!$C$12="HoH",7,4))+2)),SUMPRODUCT(($AH12&gt;INDEX('Methodology &amp; Sources'!$B$19:$J$26,0,IF('Inputs 2'!$C$12="MFJ",1,IF('Inputs 2'!$C$12="HoH",7,4))))*($AH12-INDEX('Methodology &amp; Sources'!$B$19:$J$26,0,IF('Inputs 2'!$C$12="MFJ",1,IF('Inputs 2'!$C$12="HoH",7,4))))*INDEX('Methodology &amp; Sources'!$B$19:$J$26,0,IF('Inputs 2'!$C$12="MFJ",1,IF('Inputs 2'!$C$12="HoH",7,4))+2)))/'Inputs 2'!$C$8-$AO12/'Inputs 2'!$C$8)+$AR12+IF('Inputs 2'!$C$89="Aggregate",MAX(0,IF('Inputs 2'!$C$13,SUMPRODUCT((($AH12+$D12)&gt;INDEX('Methodology &amp; Sources'!$B$29:$J$36,0,IF('Inputs 2'!$C$12="MFJ",1,IF('Inputs 2'!$C$12="HoH",7,4))))*(($AH12+$D12)-INDEX('Methodology &amp; Sources'!$B$29:$J$36,0,IF('Inputs 2'!$C$12="MFJ",1,IF('Inputs 2'!$C$12="HoH",7,4))))*INDEX('Methodology &amp; Sources'!$B$29:$J$36,0,IF('Inputs 2'!$C$12="MFJ",1,IF('Inputs 2'!$C$12="HoH",7,4))+2)),SUMPRODUCT((($AH12+$D12)&gt;INDEX('Methodology &amp; Sources'!$B$19:$J$26,0,IF('Inputs 2'!$C$12="MFJ",1,IF('Inputs 2'!$C$12="HoH",7,4))))*(($AH12+$D12)-INDEX('Methodology &amp; Sources'!$B$19:$J$26,0,IF('Inputs 2'!$C$12="MFJ",1,IF('Inputs 2'!$C$12="HoH",7,4))))*INDEX('Methodology &amp; Sources'!$B$19:$J$26,0,IF('Inputs 2'!$C$12="MFJ",1,IF('Inputs 2'!$C$12="HoH",7,4))+2)))-IF('Inputs 2'!$C$13,SUMPRODUCT(($AH12&gt;INDEX('Methodology &amp; Sources'!$B$29:$J$36,0,IF('Inputs 2'!$C$12="MFJ",1,IF('Inputs 2'!$C$12="HoH",7,4))))*($AH12-INDEX('Methodology &amp; Sources'!$B$29:$J$36,0,IF('Inputs 2'!$C$12="MFJ",1,IF('Inputs 2'!$C$12="HoH",7,4))))*INDEX('Methodology &amp; Sources'!$B$29:$J$36,0,IF('Inputs 2'!$C$12="MFJ",1,IF('Inputs 2'!$C$12="HoH",7,4))+2)),SUMPRODUCT(($AH12&gt;INDEX('Methodology &amp; Sources'!$B$19:$J$26,0,IF('Inputs 2'!$C$12="MFJ",1,IF('Inputs 2'!$C$12="HoH",7,4))))*($AH12-INDEX('Methodology &amp; Sources'!$B$19:$J$26,0,IF('Inputs 2'!$C$12="MFJ",1,IF('Inputs 2'!$C$12="HoH",7,4))))*INDEX('Methodology &amp; Sources'!$B$19:$J$26,0,IF('Inputs 2'!$C$12="MFJ",1,IF('Inputs 2'!$C$12="HoH",7,4))+2)))),'Methodology &amp; Sources'!$C$10*$D12),2)))</f>
      </c>
      <c r="Q12" s="7">
        <f>IF($B12="","",ROUND('Methodology &amp; Sources'!$C$4*MIN($N12,MAX(0,'Methodology &amp; Sources'!$C$3-($AX12+$AB11-$AW12))),2))</f>
      </c>
      <c r="R12" s="7">
        <f>IF($B12="","",ROUND('Methodology &amp; Sources'!$C$5*$N12,2))</f>
      </c>
      <c r="S12" s="7">
        <f>IF($B12="","",ROUND('Methodology &amp; Sources'!$C$6*MAX(0,MIN($N12,$AG11+$N12-'Methodology &amp; Sources'!$C$7)),2))</f>
      </c>
      <c r="T12" s="7">
        <f>IF($B12="","",IF('Inputs 2'!$C$26,0,IF($AN12="CA",ROUND(IF($AI12&lt;=IF(($AS12+$AT12)&gt;=2,VLOOKUP($AN12,StateTables!$A$6:$AB$56,10,FALSE),VLOOKUP($AN12,StateTables!$A$6:$AB$56,9,FALSE)),0,MAX(0,SUMPRODUCT(($AJ12&gt;INDEX('Methodology &amp; Sources'!$B$39:$J$48,0,IF($AU12="Married",4,IF($AU12="Head of household",7,1))))*($AJ12-INDEX('Methodology &amp; Sources'!$B$39:$J$48,0,IF($AU12="Married",4,IF($AU12="Head of household",7,1))))*INDEX('Methodology &amp; Sources'!$B$39:$J$48,0,IF($AU12="Married",4,IF($AU12="Head of household",7,1))+2))-VLOOKUP($AN12,StateTables!$A$6:$AB$56,11,FALSE)*$AS12)/'Inputs 2'!$C$8)+'Inputs 2'!$C$25+VLOOKUP($AN12,StateTables!$A$6:$AB$56,13,FALSE)*$D12,2),IF(VLOOKUP($AN12,StateTables!$A$6:$AB$56,4,FALSE)="None",0,IF(ISNUMBER(SEARCH("MANUAL",VLOOKUP($AN12,StateTables!$A$6:$AB$56,5,FALSE))),'Inputs 2'!$C$28,ROUND(MAX(0,$BA12+$BB12)/'Inputs 2'!$C$8+'Inputs 2'!$C$25+$BC12,2))))))</f>
      </c>
      <c r="U12" s="7">
        <f>IF($B12="","",IF(VLOOKUP($AN12,StateTables!$A$6:$AB$56,24,FALSE)="flatq",IF(OR(MONTH($B12)=1,MONTH($B12)=4,MONTH($B12)=7,MONTH($B12)=10),VLOOKUP($AN12,StateTables!$A$6:$AB$56,25,FALSE),0),IF(VLOOKUP($AN12,StateTables!$A$6:$AB$56,24,FALSE)="dbl",MIN(ROUND(0.005*$N12,2),ROUND(0.6*52/'Inputs 2'!$C$8,2)),IF(OR(VLOOKUP($AN12,StateTables!$A$6:$AB$56,15,FALSE)="",VLOOKUP($AN12,StateTables!$A$6:$AB$56,15,FALSE)=0),0,ROUND(VLOOKUP($AN12,StateTables!$A$6:$AB$56,15,FALSE)*IF(OR(VLOOKUP($AN12,StateTables!$A$6:$AB$56,16,FALSE)="",VLOOKUP($AN12,StateTables!$A$6:$AB$56,16,FALSE)=0),$N12,MIN($N12,MAX(0,VLOOKUP($AN12,StateTables!$A$6:$AB$56,16,FALSE)-($AX12+$AB11-$AW12)))),2))))+IF(VLOOKUP($AN12,StateTables!$A$6:$AB$56,27,FALSE)="flatq",IF(OR(MONTH($B12)=1,MONTH($B12)=4,MONTH($B12)=7,MONTH($B12)=10),VLOOKUP($AN12,StateTables!$A$6:$AB$56,28,FALSE),0),IF(VLOOKUP($AN12,StateTables!$A$6:$AB$56,27,FALSE)="dbl",MIN(ROUND(0.005*$N12,2),ROUND(0.6*52/'Inputs 2'!$C$8,2)),IF(OR(VLOOKUP($AN12,StateTables!$A$6:$AB$56,18,FALSE)="",VLOOKUP($AN12,StateTables!$A$6:$AB$56,18,FALSE)=0),0,ROUND(VLOOKUP($AN12,StateTables!$A$6:$AB$56,18,FALSE)*IF(OR(VLOOKUP($AN12,StateTables!$A$6:$AB$56,19,FALSE)="",VLOOKUP($AN12,StateTables!$A$6:$AB$56,19,FALSE)=0),$N12,MIN($N12,MAX(0,VLOOKUP($AN12,StateTables!$A$6:$AB$56,19,FALSE)-($AX12+$AB11-$AW12)))),2)))))</f>
      </c>
      <c r="V12" s="7">
        <f>IF($B12="","",IF($AN12="NY",IF('Inputs 2'!$C$78,ROUND(SUMPRODUCT((MAX(0,($O12-$D12)*'Inputs 2'!$C$8-(IF($AU12="Married",5500,5000)+1000*$AS12))&gt;INDEX('Methodology &amp; Sources'!$B$184:$J$198,0,4))*(MAX(0,($O12-$D12)*'Inputs 2'!$C$8-(IF($AU12="Married",5500,5000)+1000*$AS12))-INDEX('Methodology &amp; Sources'!$B$184:$J$198,0,4))*INDEX('Methodology &amp; Sources'!$B$184:$J$198,0,4+2))/'Inputs 2'!$C$8+0.0425*$D12,2),0)+IF('Inputs 2'!$C$79="Resident",ROUND(0.1675*$T12,2),IF('Inputs 2'!$C$79="Nonresident",ROUND(0.005*MAX(0,($O12-$D12)-(IF($AU12="Married",7950,7400)+1000*$AS12)/'Inputs 2'!$C$8),2),0)),IF($AN12="PA",IF('Inputs 2'!$C$80="None",'Inputs 2'!$C$27+ROUND('Inputs 2'!$C$81*($C12+$D12),2),ROUND(IF('Inputs 2'!$C$80="Resident",IF($B12&lt;DATE(2027,7,1),0.03735,0.03735),IF($B12&lt;DATE(2027,7,1),0.03425,0.03425))*($C12+$D12),2)),IF($BF12=0,ROUND('Inputs 2'!$C$81*($C12+$D12),2),'Inputs 2'!$C$27+ROUND('Inputs 2'!$C$81*($C12+$D12),2)))))</f>
      </c>
      <c r="W12" s="7">
        <f>IF($B12="","",IF($BF12=0,0,$BP12))</f>
      </c>
      <c r="X12" s="7">
        <f>IF($B12="","",SUM($E12:$K12)+$P12+$Q12+$R12+$S12+$T12+$U12+$V12+$W12)</f>
      </c>
      <c r="Y12" s="22">
        <f>IF($B12="","",$C12+$D12-$X12)</f>
      </c>
      <c r="Z12" s="7">
        <f>IF($B12="","",$Z11+$C12+$D12)</f>
      </c>
      <c r="AA12" s="7">
        <f>IF($B12="","",$AA11+$Y12)</f>
      </c>
      <c r="AB12" s="7">
        <f>IF($B12="","",$AB11+MIN($N12,MAX(0,'Methodology &amp; Sources'!$C$3-($AX12+$AB11-$AW12))))</f>
      </c>
      <c r="AC12" s="7">
        <f>IF($B12="","",$AC11+$E12+$F12)</f>
      </c>
      <c r="AD12" s="3">
        <f>IF($B12="","",IF(AND($AB11&lt;'Methodology &amp; Sources'!$C$3,$AB12&gt;='Methodology &amp; Sources'!$C$3),"★ Social Security maxed on this check — from the next check your net rises by about $"&amp;TEXT(ROUND('Methodology &amp; Sources'!$C$4*$N12,2),"#,##0.00")&amp;". ","")&amp;IF(AND($AC11&lt;'Inputs 2'!$C$34,$AC12&gt;='Inputs 2'!$C$34),"★ 401(k) reaches the $"&amp;TEXT('Inputs 2'!$C$34,"#,##0")&amp;" cap on this check — deferrals stop and net pay rises. ","")&amp;IF(AND($AG11&lt;'Methodology &amp; Sources'!$C$7,$AG12&gt;='Methodology &amp; Sources'!$C$7),"★ Wages pass $200,000 — the 0.9% Additional Medicare Tax starts here. ","")&amp;IF(AND($BJ12&gt;0,$H12&gt;0,$BG11&lt;MIN($BJ12,'Methodology &amp; Sources'!$C$13),$BG11+$H12&gt;=MIN($BJ12,'Methodology &amp; Sources'!$C$13)),"★ Health FSA election is now fully deferred for the year. ",""))</f>
      </c>
      <c r="AE12" s="41" t="n"/>
      <c r="AF12" s="7">
        <f>IF(OR($B12="",$AE12=""),"",$AE12-$Y12)</f>
      </c>
      <c r="AG12" s="7">
        <f>IF($B12="","",$AG11+$N12)</f>
      </c>
      <c r="AH12" s="7">
        <f>IF($B12="","",MAX(0,($M12-$D12)*'Inputs 2'!$C$8+$AP12-$AQ12-IF('Inputs 2'!$C$13,0,IF('Inputs 2'!$C$12="MFJ",'Methodology &amp; Sources'!$C$8,'Methodology &amp; Sources'!$C$9))))</f>
      </c>
      <c r="AI12" s="7">
        <f>IF($B12="","",$O12*'Inputs 2'!$C$8)</f>
      </c>
      <c r="AJ12" s="7">
        <f>IF($B12="","",MAX(0,$AI12-VLOOKUP($AN12,StateTables!$A$6:$AB$56,12,FALSE)*$AT12-IF(($AS12+$AT12)&gt;=2,VLOOKUP($AN12,StateTables!$A$6:$AB$56,8,FALSE),VLOOKUP($AN12,StateTables!$A$6:$AB$56,7,FALSE))))</f>
      </c>
      <c r="AK12" s="7">
        <f>IF($B12="","",IFERROR(LOOKUP(2,1/(('Events 2'!$C$6:$C$17="Salary change")*('Events 2'!$B$6:$B$17&lt;=$B12)*('Events 2'!$B$6:$B$17&lt;&gt;"")),'Events 2'!$D$6:$D$17),IF('Inputs 2'!$C$4="Annual salary",'Inputs 2'!$C$5,'Inputs 2'!$C$6)))</f>
      </c>
      <c r="AL12">
        <f>IF($B12="","",IFERROR(LOOKUP(2,1/(('Events 2'!$C$6:$C$17="401(k) change")*('Events 2'!$B$6:$B$17&lt;=$B12)*('Events 2'!$B$6:$B$17&lt;&gt;"")),'Events 2'!$D$6:$D$17),'Inputs 2'!$C$30))</f>
      </c>
      <c r="AM12" s="7">
        <f>IF($B12="","",IFERROR(LOOKUP(2,1/(('Events 2'!$C$6:$C$17="401(k) change")*('Events 2'!$B$6:$B$17&lt;=$B12)*('Events 2'!$B$6:$B$17&lt;&gt;"")),'Events 2'!$E$6:$E$17),'Inputs 2'!$D$30))</f>
      </c>
      <c r="AN12">
        <f>IF($B12="","",IFERROR(LOOKUP(2,1/(('Events 2'!$C$6:$C$17="State move")*('Events 2'!$B$6:$B$17&lt;=$B12)*('Events 2'!$B$6:$B$17&lt;&gt;"")),'Events 2'!$D$6:$D$17),'Inputs 2'!$C$21))</f>
      </c>
      <c r="AO12" s="7">
        <f>IF($B12="","",IFERROR(LOOKUP(2,1/(('Events 2'!$C$6:$C$17="W-4 change")*('Events 2'!$B$6:$B$17&lt;=$B12)*('Events 2'!$B$6:$B$17&lt;&gt;"")),'Events 2'!$D$6:$D$17),'Inputs 2'!$C$14))</f>
      </c>
      <c r="AP12" s="7">
        <f>IF($B12="","",IFERROR(LOOKUP(2,1/(('Events 2'!$C$6:$C$17="W-4 change")*('Events 2'!$B$6:$B$17&lt;=$B12)*('Events 2'!$B$6:$B$17&lt;&gt;"")),'Events 2'!$E$6:$E$17),'Inputs 2'!$C$15))</f>
      </c>
      <c r="AQ12" s="7">
        <f>IF($B12="","",IFERROR(LOOKUP(2,1/(('Events 2'!$C$6:$C$17="W-4 change")*('Events 2'!$B$6:$B$17&lt;=$B12)*('Events 2'!$B$6:$B$17&lt;&gt;"")),'Events 2'!$F$6:$F$17),'Inputs 2'!$C$16))</f>
      </c>
      <c r="AR12" s="7">
        <f>IF($B12="","",IFERROR(LOOKUP(2,1/(('Events 2'!$C$6:$C$17="W-4 change")*('Events 2'!$B$6:$B$17&lt;=$B12)*('Events 2'!$B$6:$B$17&lt;&gt;"")),'Events 2'!$G$6:$G$17),'Inputs 2'!$C$17))</f>
      </c>
      <c r="AS12" s="6">
        <f>IF($B12="","",IFERROR(LOOKUP(2,1/((('Events 2'!$C$6:$C$17="State move")+('Events 2'!$C$6:$C$17="State cert change"))*('Events 2'!$B$6:$B$17&lt;=$B12)*('Events 2'!$B$6:$B$17&lt;&gt;"")),'Events 2'!$F$6:$F$17),'Inputs 2'!$C$23))</f>
      </c>
      <c r="AT12" s="6">
        <f>IF($B12="","",IFERROR(LOOKUP(2,1/((('Events 2'!$C$6:$C$17="State move")+('Events 2'!$C$6:$C$17="State cert change"))*('Events 2'!$B$6:$B$17&lt;=$B12)*('Events 2'!$B$6:$B$17&lt;&gt;"")),'Events 2'!$G$6:$G$17),'Inputs 2'!$C$24))</f>
      </c>
      <c r="AU12">
        <f>IF($B12="","",IFERROR(LOOKUP(2,1/(('Events 2'!$C$6:$C$17="State move")*('Events 2'!$B$6:$B$17&lt;=$B12)*('Events 2'!$B$6:$B$17&lt;&gt;"")),'Events 2'!$E$6:$E$17),'Inputs 2'!$C$22))</f>
      </c>
      <c r="AV12" s="6">
        <f>IF($B12="","",1+COUNTIFS('Events 2'!$C$6:$C$17,"Employer change",'Events 2'!$B$6:$B$17,"&lt;="&amp;$B12,'Events 2'!$B$6:$B$17,"&lt;&gt;"))</f>
      </c>
      <c r="AW12" s="7">
        <f>IF($B12="","",IF($AV12=1,'Inputs 2'!$C$49,IF(IFERROR(MATCH(IFERROR(LOOKUP(2,1/(('Events 2'!$C$6:$C$17="Employer change")*('Events 2'!$B$6:$B$17&lt;=$B12)*('Events 2'!$B$6:$B$17&lt;&gt;"")),'Events 2'!$B$6:$B$17),""),$B$6:$B$68,1),1)&lt;=1,'Inputs 2'!$C$49,INDEX($AB$6:$AB$68,MATCH(IFERROR(LOOKUP(2,1/(('Events 2'!$C$6:$C$17="Employer change")*('Events 2'!$B$6:$B$17&lt;=$B12)*('Events 2'!$B$6:$B$17&lt;&gt;"")),'Events 2'!$B$6:$B$17),""),$B$6:$B$68,1)-1))))</f>
      </c>
      <c r="AX12" s="7">
        <f>IF($B12="","",IF($AV12=1,'Inputs 2'!$C$49,IFERROR(LOOKUP(2,1/(('Events 2'!$C$6:$C$17="Employer change")*('Events 2'!$B$6:$B$17&lt;=$B12)*('Events 2'!$B$6:$B$17&lt;&gt;"")),'Events 2'!$D$6:$D$17),0)))</f>
      </c>
      <c r="AY12" s="7">
        <f>IF($B12="","",($O12-$D12)*'Inputs 2'!$C$8)</f>
      </c>
      <c r="AZ12" s="7">
        <f>IF($B12="","",IF($AN12="AL",MAX(0,$AY12-IF($AU12="Married",IF($AY12&lt;=25999,8500,MAX(5000,8500-175*CEILING(($AY12-25999)/500,1))),IF($AU12="Head of household",IF($AY12&lt;=25999,5200,MAX(2500,5200-135*CEILING(($AY12-25999)/500,1))),IF($AY12&lt;=25999,3000,MAX(2500,3000-25*CEILING(($AY12-25999)/500,1)))))-($P12-'Methodology &amp; Sources'!$C$10*$D12)*'Inputs 2'!$C$8-IF(OR($AU12="Married",$AU12="Head of household"),3000,1500)-$AT12*IF($AY12&lt;=50000,1000,IF($AY12&lt;=100000,500,300))),IF($AN12="AR",IF(MAX(0,$AY12-2470)&lt;97701,INT(MAX(0,$AY12-2470)/100)*100+50,MAX(0,$AY12-2470)),IF($AN12="DE",MAX(0,$AI12-3250),IF($AN12="HI",MAX(0,$AI12-1144*$AS12-4350),IF($AN12="KS",MAX(0,$AI12-(9160*IF($AU12="Married",2,1)+2320*$AT12+IF($AU12="Head of household",2320,0))),IF($AN12="MD",MAX(0,$AI12-3400-3200*$AS12),IF($AN12="MN",MAX(0,$AY12-5300*$AS12),IF($AN12="MO",MAX(0,$AI12-IF($AU12="Head of household",24150,IF($AU12="Married",IF('Inputs 2'!$C$83,16100,32200),16100))),IF($AN12="MT",$AY12,IF($AN12="ND",($C12+$L12)*'Inputs 2'!$C$8,IF($AN12="NE",MAX(0,$AY12-2440*$AS12),IF($AN12="NJ",MAX(0,$AY12-1000*$AS12),IF($AN12="NY",MAX(0,$AY12-(IF($AU12="Married",7950,7400)+1000*$AS12)),IF($AN12="OH",MAX(0,$AY12-650*$AS12),IF($AN12="OK",MAX(0,$AY12-1000*$AS12),IF($AN12="RI",MAX(0,$AI12-1000*$AS12),IF($AN12="SC",MAX(0,$AI12-5000*$AS12-IF($AS12=0,0,MIN(0.1*$AI12,7500))),IF($AN12="VA",MAX(0,$AI12-IF($AU12="Married",17500,8750)-930*$AS12-800*$AT12),IF($AN12="VT",MAX(0,$AI12-5400*$AS12),IF($AN12="WI",MAX(0,$AI12-MAX(0,IF($AU12="Married",9461-0.2*MAX(0,$AI12-25727),6702-0.12*MAX(0,$AI12-17780)))-400*$AS12),IF($AN12="WV",MAX(0,$AI12-2000*$AS12),$AI12))))))))))))))))))))))</f>
      </c>
      <c r="BA12" s="7">
        <f>IF($B12="","",IF($BW12&lt;&gt;"",$BW12,IF($BX12&lt;&gt;"",$BX12,IF($BY12&lt;&gt;"",$BY12,0))))</f>
      </c>
      <c r="BB12" s="7">
        <f>IF($B12="","",IF($AN12="AR",-29*$AS12,IF($AN12="DE",-110*$AS12,IF($AN12="MD",$AZ12*'Inputs 2'!$C$74,IF($AN12="AZ",'Inputs 2'!$C$82*($M12-$D12)*'Inputs 2'!$C$8,IF($AN12="CO",0.044*MAX(0,$AY12-IF($AU12="Married",10000,5000)),IF($AN12="IA",MAX(0,0.038*MAX(0,$AY12-IF($AU12="Head of household",19500,IF($AU12="Married",26000,13000)))-40*$AS12),IF($AN12="ID",0.053*MAX(0,$AY12-IF($AU12="Married",32000,16094)),IF($AN12="IL",0.0495*MAX(0,$AY12-(2925*$AS12+1000*$AT12)),IF($AN12="IN",(0.0295+'Inputs 2'!$C$76)*MAX(0,$AY12-(1000*$AS12+1500*$AT12+3000*'Inputs 2'!$C$86)),IF($AN12="KY",0.035*MAX(0,$AI12-3360),IF($AN12="LA",IF('Inputs 2'!$C$84="0",0.0309*$AI12,0.0309*MAX(0,$AI12-IF('Inputs 2'!$C$84="2",25750,12875))),IF($AN12="MA",0.05*MIN(MAX(0,$AY12-MIN(($BD11+$Q12+$R12+$S12),2000)-IF($AS12=0,0,IF($AS12=1,4400,1000*$AS12+3400))),1107750)+0.09*MAX(0,MAX(0,$AY12-MIN(($BD11+$Q12+$R12+$S12),2000)-IF($AS12=0,0,IF($AS12=1,4400,1000*$AS12+3400)))-1107750)-IF($AU12="Head of household",120,0)-110*'Inputs 2'!$C$75,IF($AN12="MI",0.0425*MAX(0,$AY12-5900*$AS12),IF($AN12="MS",0.04*MAX(0,$AI12-IF($AU12="Head of household",3400,IF($AU12="Married",4600,2300))-'Inputs 2'!$C$85-10000),IF($AN12="OR",IF(OR($AU12="Married",AND($AU12="Single",$AS12&gt;=3)),SUMPRODUCT((MAX(0,$AY12-MIN(($P12-'Methodology &amp; Sources'!$C$10*$D12)*'Inputs 2'!$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Sources'!$B$211:$J$214,0,4))*(MAX(0,$AY12-MIN(($P12-'Methodology &amp; Sources'!$C$10*$D12)*'Inputs 2'!$C$8,IF(OR($AU12="Married",AND($AU12="Single",$AS12&gt;=3)),IF($AY12&lt;250000,8750,IF($AY12&lt;260000,7000,IF($AY12&lt;270000,5250,IF($AY12&lt;280000,3500,IF($AY12&lt;290000,1750,0))))),IF($AY12&lt;125000,8750,IF($AY12&lt;130000,7000,IF($AY12&lt;135000,5250,IF($AY12&lt;140000,3500,IF($AY12&lt;145000,1750,0)))))))-IF(OR($AU12="Married",AND($AU12="Single",$AS12&gt;=3)),5820,2910))-INDEX('Methodology &amp; Sources'!$B$211:$J$214,0,4))*INDEX('Methodology &amp; Sources'!$B$211:$J$214,0,4+2)),SUMPRODUCT((MAX(0,$AY12-MIN(($P12-'Methodology &amp; Sources'!$C$10*$D12)*'Inputs 2'!$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Sources'!$B$211:$J$214,0,1))*(MAX(0,$AY12-MIN(($P12-'Methodology &amp; Sources'!$C$10*$D12)*'Inputs 2'!$C$8,IF(OR($AU12="Married",AND($AU12="Single",$AS12&gt;=3)),IF($AY12&lt;250000,8750,IF($AY12&lt;260000,7000,IF($AY12&lt;270000,5250,IF($AY12&lt;280000,3500,IF($AY12&lt;290000,1750,0))))),IF($AY12&lt;125000,8750,IF($AY12&lt;130000,7000,IF($AY12&lt;135000,5250,IF($AY12&lt;140000,3500,IF($AY12&lt;145000,1750,0)))))))-IF(OR($AU12="Married",AND($AU12="Single",$AS12&gt;=3)),5820,2910))-INDEX('Methodology &amp; Sources'!$B$211:$J$214,0,1))*INDEX('Methodology &amp; Sources'!$B$211:$J$214,0,1+2)))+263-263*IF(IF($AU12="Married",$AY12&gt;200000,$AY12&gt;100000),0,$AS12),IF($AN12="PA",0.0307*(($O12+$E12+$G12)*'Inputs 2'!$C$8),IF($AN12="NY",IF($AU12="Married",IF($AZ12&gt;=2155350,0,IF($AZ12&gt;=1077550,0.48,IF($AZ12&gt;=373200,1.21,IF($AZ12&gt;=323200,0.21,IF($AZ12&gt;=211550,-0.19,IF($AZ12&gt;=157650,-2.8,IF($AZ12&gt;=107650,-0.8,IF($AZ12&gt;=96800,0.05,IF($AZ12&gt;=80650,-0.1,IF($AZ12&gt;=13900,0.4,IF($AZ12&gt;=11700,-0.3,IF($AZ12&gt;=8500,0.5,0)))))))))))),IF($AZ12&gt;=1077550,0,IF($AZ12&gt;=265400,4.29,IF($AZ12&gt;=215400,2.29,IF($AZ12&gt;=157650,2.29,IF($AZ12&gt;=107650,0.29,IF($AZ12&gt;=96800,0.05,IF($AZ12&gt;=80650,-0.1,IF($AZ12&gt;=13900,0.4,IF($AZ12&gt;=11700,-0.3,IF($AZ12&gt;=8500,0.5,0))))))))))),0))))))))))))))))))</f>
      </c>
      <c r="BC12" s="7">
        <f>IF($B12="","",IF($AN12="AL",0.05*$D12,IF($AN12="AR",0.039*$D12,IF($AN12="ID",0.053*$D12,IF($AN12="IN",(0.0295+'Inputs 2'!$C$76)*$D12,IF($AN12="KS",0.05*$D12,IF($AN12="MA",0.09*MIN($D12,MAX(0,MAX(0,$AY12-MIN(($BD11+$Q12+$R12+$S12),2000)-IF($AS12=0,0,IF($AS12=1,4400,1000*$AS12+3400)))+$D12-1107750))+0.05*($D12-MIN($D12,MAX(0,MAX(0,$AY12-MIN(($BD11+$Q12+$R12+$S12),2000)-IF($AS12=0,0,IF($AS12=1,4400,1000*$AS12+3400)))+$D12-1107750))),IF($AN12="MD",(0.065+'Inputs 2'!$C$74)*$D12,IF($AN12="MI",0.0425*$D12,IF($AN12="MN",0.0625*$D12,IF($AN12="MO",0.047*$D12,IF($AN12="MT",0.05*$D12,IF($AN12="ND",0.015*$D12,IF($AN12="NE",0.035*$D12,IF($AN12="NJ",IF('Inputs 2'!$C$77="B",SUMPRODUCT(($D12*'Inputs 2'!$C$8&gt;INDEX('Methodology &amp; Sources'!$B$155:$J$162,0,4))*($D12*'Inputs 2'!$C$8-INDEX('Methodology &amp; Sources'!$B$155:$J$162,0,4))*INDEX('Methodology &amp; Sources'!$B$155:$J$162,0,4+2)),IF('Inputs 2'!$C$77="C",SUMPRODUCT(($D12*'Inputs 2'!$C$8&gt;INDEX('Methodology &amp; Sources'!$B$155:$J$162,0,7))*($D12*'Inputs 2'!$C$8-INDEX('Methodology &amp; Sources'!$B$155:$J$162,0,7))*INDEX('Methodology &amp; Sources'!$B$155:$J$162,0,7+2)),IF('Inputs 2'!$C$77="D",SUMPRODUCT(($D12*'Inputs 2'!$C$8&gt;INDEX('Methodology &amp; Sources'!$B$167:$J$179,0,1))*($D12*'Inputs 2'!$C$8-INDEX('Methodology &amp; Sources'!$B$167:$J$179,0,1))*INDEX('Methodology &amp; Sources'!$B$167:$J$179,0,1+2)),IF('Inputs 2'!$C$77="E",SUMPRODUCT(($D12*'Inputs 2'!$C$8&gt;INDEX('Methodology &amp; Sources'!$B$167:$J$179,0,4))*($D12*'Inputs 2'!$C$8-INDEX('Methodology &amp; Sources'!$B$167:$J$179,0,4))*INDEX('Methodology &amp; Sources'!$B$167:$J$179,0,4+2)),SUMPRODUCT(($D12*'Inputs 2'!$C$8&gt;INDEX('Methodology &amp; Sources'!$B$155:$J$162,0,1))*($D12*'Inputs 2'!$C$8-INDEX('Methodology &amp; Sources'!$B$155:$J$162,0,1))*INDEX('Methodology &amp; Sources'!$B$155:$J$162,0,1+2))))))/'Inputs 2'!$C$8,IF($AN12="NY",0.117*$D12,IF($AN12="OH",0.0275*$D12,IF($AN12="OK",0.045*$D12,IF($AN12="OR",0.08*$D12,IF($AN12="WI",IF($AY12&lt;12760,0.0354,IF($AY12&lt;25520,0.0465,IF($AY12&lt;280950,0.053,0.0765)))*$D12,0))))))))))))))))))))</f>
      </c>
      <c r="BD12" s="7">
        <f>IF($B12="","",$BD11+$Q12+$R12+$S12)</f>
      </c>
      <c r="BE12" s="6">
        <f>IF($B12="",$BE11,$BE11+$BF12)</f>
      </c>
      <c r="BF12" s="6">
        <f>IF($B12="","",IF(AND(IF(YEAR(IF('Inputs 2'!$C$7="Weekly",'Inputs 2'!$C$9+7*(($BE11+1)-1),IF('Inputs 2'!$C$7="Biweekly",'Inputs 2'!$C$9+14*(($BE11+1)-1),IF('Inputs 2'!$C$7="Semimonthly",DATE(YEAR('Inputs 2'!$C$9),MONTH('Inputs 2'!$C$9)+INT((($BE11+1)-1)/2),MIN(DAY('Inputs 2'!$C$9),DAY(EOMONTH(DATE(YEAR('Inputs 2'!$C$9),MONTH('Inputs 2'!$C$9)+INT((($BE11+1)-1)/2),1),0))))+IF(MOD(($BE11+1)-1,2)=1,15,0),EDATE('Inputs 2'!$C$9,($BE11+1)-1)))))&lt;&gt;'Inputs 2'!$C$10,"",IF('Inputs 2'!$C$7="Weekly",'Inputs 2'!$C$9+7*(($BE11+1)-1),IF('Inputs 2'!$C$7="Biweekly",'Inputs 2'!$C$9+14*(($BE11+1)-1),IF('Inputs 2'!$C$7="Semimonthly",DATE(YEAR('Inputs 2'!$C$9),MONTH('Inputs 2'!$C$9)+INT((($BE11+1)-1)/2),MIN(DAY('Inputs 2'!$C$9),DAY(EOMONTH(DATE(YEAR('Inputs 2'!$C$9),MONTH('Inputs 2'!$C$9)+INT((($BE11+1)-1)/2),1),0))))+IF(MOD(($BE11+1)-1,2)=1,15,0),EDATE('Inputs 2'!$C$9,($BE11+1)-1)))))&lt;&gt;"",$B12=IF(YEAR(IF('Inputs 2'!$C$7="Weekly",'Inputs 2'!$C$9+7*(($BE11+1)-1),IF('Inputs 2'!$C$7="Biweekly",'Inputs 2'!$C$9+14*(($BE11+1)-1),IF('Inputs 2'!$C$7="Semimonthly",DATE(YEAR('Inputs 2'!$C$9),MONTH('Inputs 2'!$C$9)+INT((($BE11+1)-1)/2),MIN(DAY('Inputs 2'!$C$9),DAY(EOMONTH(DATE(YEAR('Inputs 2'!$C$9),MONTH('Inputs 2'!$C$9)+INT((($BE11+1)-1)/2),1),0))))+IF(MOD(($BE11+1)-1,2)=1,15,0),EDATE('Inputs 2'!$C$9,($BE11+1)-1)))))&lt;&gt;'Inputs 2'!$C$10,"",IF('Inputs 2'!$C$7="Weekly",'Inputs 2'!$C$9+7*(($BE11+1)-1),IF('Inputs 2'!$C$7="Biweekly",'Inputs 2'!$C$9+14*(($BE11+1)-1),IF('Inputs 2'!$C$7="Semimonthly",DATE(YEAR('Inputs 2'!$C$9),MONTH('Inputs 2'!$C$9)+INT((($BE11+1)-1)/2),MIN(DAY('Inputs 2'!$C$9),DAY(EOMONTH(DATE(YEAR('Inputs 2'!$C$9),MONTH('Inputs 2'!$C$9)+INT((($BE11+1)-1)/2),1),0))))+IF(MOD(($BE11+1)-1,2)=1,15,0),EDATE('Inputs 2'!$C$9,($BE11+1)-1)))))),1,0))</f>
      </c>
      <c r="BG12" s="7">
        <f>IF($B12="","",$BG11+$H12)</f>
      </c>
      <c r="BH12" s="7">
        <f>IF($B12="","",$BH11+$I12)</f>
      </c>
      <c r="BI12" s="7">
        <f>IF($B12="","",$BI11+$G12)</f>
      </c>
      <c r="BJ12" s="7">
        <f>IF($B12="","",IFERROR(LOOKUP(2,1/(((('Events 2'!$C$6:$C$17="Deduction start"))*('Events 2'!$D$6:$D$17="Health FSA"))*('Events 2'!$B$6:$B$17&lt;=$B12)*('Events 2'!$B$6:$B$17&lt;&gt;"")),'Events 2'!$E$6:$E$17),'Inputs 2'!$D$38))</f>
      </c>
      <c r="BK12" s="7">
        <f>IF($B12="","",IFERROR(LOOKUP(2,1/(((('Events 2'!$C$6:$C$17="Deduction start"))*('Events 2'!$D$6:$D$17="Dependent-care FSA"))*('Events 2'!$B$6:$B$17&lt;=$B12)*('Events 2'!$B$6:$B$17&lt;&gt;"")),'Events 2'!$E$6:$E$17),'Inputs 2'!$D$39))</f>
      </c>
      <c r="BL12" s="7">
        <f>IF($B12="","",IFERROR(LOOKUP(2,1/(((('Events 2'!$C$6:$C$17="Deduction start")+('Events 2'!$C$6:$C$17="Deduction stop"))*('Events 2'!$D$6:$D$17="HSA"))*('Events 2'!$B$6:$B$17&lt;=$B12)*('Events 2'!$B$6:$B$17&lt;&gt;"")),'Events 2'!$I$6:$I$17),'Inputs 2'!$D$35))</f>
      </c>
      <c r="BM12" s="7">
        <f>IF($B12="","",IFERROR(LOOKUP(2,1/(((('Events 2'!$C$6:$C$17="Deduction start")+('Events 2'!$C$6:$C$17="Deduction stop"))*('Events 2'!$D$6:$D$17="Premiums"))*('Events 2'!$B$6:$B$17&lt;=$B12)*('Events 2'!$B$6:$B$17&lt;&gt;"")),'Events 2'!$I$6:$I$17),'Inputs 2'!$D$40+'Inputs 2'!$D$41+'Inputs 2'!$D$42))</f>
      </c>
      <c r="BN12" s="7">
        <f>IF($B12="","",IFERROR(LOOKUP(2,1/(((('Events 2'!$C$6:$C$17="Deduction start")+('Events 2'!$C$6:$C$17="Deduction stop"))*('Events 2'!$D$6:$D$17="Commuter"))*('Events 2'!$B$6:$B$17&lt;=$B12)*('Events 2'!$B$6:$B$17&lt;&gt;"")),'Events 2'!$I$6:$I$17),'Inputs 2'!$D$43))</f>
      </c>
      <c r="BO12" s="7">
        <f>IF($B12="","",IFERROR(LOOKUP(2,1/(((('Events 2'!$C$6:$C$17="Deduction start")+('Events 2'!$C$6:$C$17="Deduction stop"))*('Events 2'!$D$6:$D$17="Other pre-tax"))*('Events 2'!$B$6:$B$17&lt;=$B12)*('Events 2'!$B$6:$B$17&lt;&gt;"")),'Events 2'!$I$6:$I$17),'Inputs 2'!$D$44))</f>
      </c>
      <c r="BP12" s="7">
        <f>IF($B12="","",IFERROR(LOOKUP(2,1/(((('Events 2'!$C$6:$C$17="Deduction start")+('Events 2'!$C$6:$C$17="Deduction stop"))*('Events 2'!$D$6:$D$17="Other post-tax"))*('Events 2'!$B$6:$B$17&lt;=$B12)*('Events 2'!$B$6:$B$17&lt;&gt;"")),'Events 2'!$I$6:$I$17),'Inputs 2'!$D$45))</f>
      </c>
      <c r="BQ12" s="6">
        <f>IF($B12="","",IFERROR(LOOKUP(2,1/(((('Events 2'!$C$6:$C$17="Deduction start")+('Events 2'!$C$6:$C$17="Deduction stop"))*('Events 2'!$D$6:$D$17="Health FSA"))*('Events 2'!$B$6:$B$17&lt;=$B12)*('Events 2'!$B$6:$B$17&lt;&gt;"")),'Events 2'!$J$6:$J$17),0))</f>
      </c>
      <c r="BR12" s="6">
        <f>IF($B12="","",IFERROR(LOOKUP(2,1/(((('Events 2'!$C$6:$C$17="Deduction start")+('Events 2'!$C$6:$C$17="Deduction stop"))*('Events 2'!$D$6:$D$17="Dependent-care FSA"))*('Events 2'!$B$6:$B$17&lt;=$B12)*('Events 2'!$B$6:$B$17&lt;&gt;"")),'Events 2'!$J$6:$J$17),0))</f>
      </c>
      <c r="BS12" s="6">
        <f>IF($B12="","",IF(SUMPRODUCT(('Events 2'!$C$6:$C$17="Deduction start")*('Events 2'!$B$6:$B$17&lt;=$B12)*('Events 2'!$B$6:$B$17&lt;&gt;"")*('Events 2'!$D$6:$D$17="Health FSA"))&gt;0,1,0))</f>
      </c>
      <c r="BT12" s="6">
        <f>IF($B12="","",IF(SUMPRODUCT(('Events 2'!$C$6:$C$17="Deduction start")*('Events 2'!$B$6:$B$17&lt;=$B12)*('Events 2'!$B$6:$B$17&lt;&gt;"")*('Events 2'!$D$6:$D$17="Dependent-care FSA"))&gt;0,1,0))</f>
      </c>
      <c r="BU12" s="24">
        <f>IF($B12="","",IF('Inputs 2'!$C$13,SUMPRODUCT(($AH12&gt;=INDEX('Methodology &amp; Sources'!$B$29:$J$36,0,IF('Inputs 2'!$C$12="MFJ",1,IF('Inputs 2'!$C$12="HoH",7,4))))*INDEX('Methodology &amp; Sources'!$B$29:$J$36,0,IF('Inputs 2'!$C$12="MFJ",1,IF('Inputs 2'!$C$12="HoH",7,4))+2)),SUMPRODUCT(($AH12&gt;=INDEX('Methodology &amp; Sources'!$B$19:$J$26,0,IF('Inputs 2'!$C$12="MFJ",1,IF('Inputs 2'!$C$12="HoH",7,4))))*INDEX('Methodology &amp; Sources'!$B$19:$J$26,0,IF('Inputs 2'!$C$12="MFJ",1,IF('Inputs 2'!$C$12="HoH",7,4))+2))))</f>
      </c>
      <c r="BV12" s="24">
        <f>IF($B12="","",IF($BZ12&lt;&gt;"",$BZ12,IF($CA12&lt;&gt;"",$CA12,IF($CB12&lt;&gt;"",$CB12,IF($CC12&lt;&gt;"",$CC12,0)))))</f>
      </c>
      <c r="BW12" s="7">
        <f>IF($B12="","",IF($AN12="MD",IF(OR($AU12="Married",$AU12="Head of household"),SUMPRODUCT(($AZ12&gt;INDEX('Methodology &amp; Sources'!$B$114:$J$120,0,1))*($AZ12-INDEX('Methodology &amp; Sources'!$B$114:$J$120,0,1))*INDEX('Methodology &amp; Sources'!$B$114:$J$120,0,1+2)),SUMPRODUCT(($AZ12&gt;INDEX('Methodology &amp; Sources'!$B$103:$J$109,0,7))*($AZ12-INDEX('Methodology &amp; Sources'!$B$103:$J$109,0,7))*INDEX('Methodology &amp; Sources'!$B$103:$J$109,0,7+2))),IF($AN12="MO",SUMPRODUCT(($AZ12&gt;INDEX('Methodology &amp; Sources'!$B$125:$J$132,0,1))*($AZ12-INDEX('Methodology &amp; Sources'!$B$125:$J$132,0,1))*INDEX('Methodology &amp; Sources'!$B$125:$J$132,0,1+2)),IF($AN12="MT",IF($AU12="Head of household",SUMPRODUCT(($AZ12&gt;INDEX('Methodology &amp; Sources'!$B$137:$J$139,0,1))*($AZ12-INDEX('Methodology &amp; Sources'!$B$137:$J$139,0,1))*INDEX('Methodology &amp; Sources'!$B$137:$J$139,0,1+2)),IF($AU12="Married",SUMPRODUCT(($AZ12&gt;INDEX('Methodology &amp; Sources'!$B$125:$J$132,0,7))*($AZ12-INDEX('Methodology &amp; Sources'!$B$125:$J$132,0,7))*INDEX('Methodology &amp; Sources'!$B$125:$J$132,0,7+2)),SUMPRODUCT(($AZ12&gt;INDEX('Methodology &amp; Sources'!$B$125:$J$132,0,4))*($AZ12-INDEX('Methodology &amp; Sources'!$B$125:$J$132,0,4))*INDEX('Methodology &amp; Sources'!$B$125:$J$132,0,4+2)))),IF($AN12="ND",IF($AU12="Head of household",SUMPRODUCT(($AZ12&gt;INDEX('Methodology &amp; Sources'!$B$144:$J$150,0,1))*($AZ12-INDEX('Methodology &amp; Sources'!$B$144:$J$150,0,1))*INDEX('Methodology &amp; Sources'!$B$144:$J$150,0,1+2)),IF($AU12="Married",SUMPRODUCT(($AZ12&gt;INDEX('Methodology &amp; Sources'!$B$137:$J$139,0,7))*($AZ12-INDEX('Methodology &amp; Sources'!$B$137:$J$139,0,7))*INDEX('Methodology &amp; Sources'!$B$137:$J$139,0,7+2)),SUMPRODUCT(($AZ12&gt;INDEX('Methodology &amp; Sources'!$B$137:$J$139,0,4))*($AZ12-INDEX('Methodology &amp; Sources'!$B$137:$J$139,0,4))*INDEX('Methodology &amp; Sources'!$B$137:$J$139,0,4+2)))),IF($AN12="NJ",IF('Inputs 2'!$C$77="B",SUMPRODUCT(($AZ12&gt;INDEX('Methodology &amp; Sources'!$B$155:$J$162,0,4))*($AZ12-INDEX('Methodology &amp; Sources'!$B$155:$J$162,0,4))*INDEX('Methodology &amp; Sources'!$B$155:$J$162,0,4+2)),IF('Inputs 2'!$C$77="C",SUMPRODUCT(($AZ12&gt;INDEX('Methodology &amp; Sources'!$B$155:$J$162,0,7))*($AZ12-INDEX('Methodology &amp; Sources'!$B$155:$J$162,0,7))*INDEX('Methodology &amp; Sources'!$B$155:$J$162,0,7+2)),IF('Inputs 2'!$C$77="D",SUMPRODUCT(($AZ12&gt;INDEX('Methodology &amp; Sources'!$B$167:$J$179,0,1))*($AZ12-INDEX('Methodology &amp; Sources'!$B$167:$J$179,0,1))*INDEX('Methodology &amp; Sources'!$B$167:$J$179,0,1+2)),IF('Inputs 2'!$C$77="E",SUMPRODUCT(($AZ12&gt;INDEX('Methodology &amp; Sources'!$B$167:$J$179,0,4))*($AZ12-INDEX('Methodology &amp; Sources'!$B$167:$J$179,0,4))*INDEX('Methodology &amp; Sources'!$B$167:$J$179,0,4+2)),SUMPRODUCT(($AZ12&gt;INDEX('Methodology &amp; Sources'!$B$155:$J$162,0,1))*($AZ12-INDEX('Methodology &amp; Sources'!$B$155:$J$162,0,1))*INDEX('Methodology &amp; Sources'!$B$155:$J$162,0,1+2)))))),IF($AN12="NY",IF($AU12="Married",IF($AZ12&gt;=2155350,$AZ12*IF($AZ12&gt;25000000,0.117,IF($AZ12&gt;5000000,0.111,0.1045)),SUMPRODUCT(($AZ12&gt;INDEX('Methodology &amp; Sources'!$B$184:$J$198,0,1))*($AZ12-INDEX('Methodology &amp; Sources'!$B$184:$J$198,0,1))*INDEX('Methodology &amp; Sources'!$B$184:$J$198,0,1+2))),IF($AZ12&gt;=1077550,$AZ12*IF($AZ12&gt;25000000,0.117,IF($AZ12&gt;5000000,0.111,0.1045)),SUMPRODUCT(($AZ12&gt;INDEX('Methodology &amp; Sources'!$B$167:$J$179,0,7))*($AZ12-INDEX('Methodology &amp; Sources'!$B$167:$J$179,0,7))*INDEX('Methodology &amp; Sources'!$B$167:$J$179,0,7+2)))),"")))))))</f>
      </c>
      <c r="BX12" s="7">
        <f>IF($B12="","",IF($AN12="AL",IF(OR($AU12="Married",$AU12="Head of household"),SUMPRODUCT(($AZ12&gt;INDEX('Methodology &amp; Sources'!$B$82:$J$86,0,4))*($AZ12-INDEX('Methodology &amp; Sources'!$B$82:$J$86,0,4))*INDEX('Methodology &amp; Sources'!$B$82:$J$86,0,4+2)),SUMPRODUCT(($AZ12&gt;INDEX('Methodology &amp; Sources'!$B$82:$J$86,0,1))*($AZ12-INDEX('Methodology &amp; Sources'!$B$82:$J$86,0,1))*INDEX('Methodology &amp; Sources'!$B$82:$J$86,0,1+2))),IF($AN12="KS",IF($AU12="Married",SUMPRODUCT(($AZ12&gt;INDEX('Methodology &amp; Sources'!$B$103:$J$109,0,4))*($AZ12-INDEX('Methodology &amp; Sources'!$B$103:$J$109,0,4))*INDEX('Methodology &amp; Sources'!$B$103:$J$109,0,4+2)),SUMPRODUCT(($AZ12&gt;INDEX('Methodology &amp; Sources'!$B$103:$J$109,0,1))*($AZ12-INDEX('Methodology &amp; Sources'!$B$103:$J$109,0,1))*INDEX('Methodology &amp; Sources'!$B$103:$J$109,0,1+2))),IF($AN12="MN",IF($AU12="Married",SUMPRODUCT(($AZ12&gt;INDEX('Methodology &amp; Sources'!$B$114:$J$120,0,7))*($AZ12-INDEX('Methodology &amp; Sources'!$B$114:$J$120,0,7))*INDEX('Methodology &amp; Sources'!$B$114:$J$120,0,7+2)),SUMPRODUCT(($AZ12&gt;INDEX('Methodology &amp; Sources'!$B$114:$J$120,0,4))*($AZ12-INDEX('Methodology &amp; Sources'!$B$114:$J$120,0,4))*INDEX('Methodology &amp; Sources'!$B$114:$J$120,0,4+2))),IF($AN12="NE",MAX(IF($AU12="Married",SUMPRODUCT(($AZ12&gt;INDEX('Methodology &amp; Sources'!$B$144:$J$150,0,7))*($AZ12-INDEX('Methodology &amp; Sources'!$B$144:$J$150,0,7))*INDEX('Methodology &amp; Sources'!$B$144:$J$150,0,7+2)),SUMPRODUCT(($AZ12&gt;INDEX('Methodology &amp; Sources'!$B$144:$J$150,0,4))*($AZ12-INDEX('Methodology &amp; Sources'!$B$144:$J$150,0,4))*INDEX('Methodology &amp; Sources'!$B$144:$J$150,0,4+2))),0.015*$AZ12),IF($AN12="OH",IF($B12&gt;=DATE(2027,8,1),SUMPRODUCT(($AZ12&gt;INDEX('Methodology &amp; Sources'!$B$203:$J$206,0,1))*($AZ12-INDEX('Methodology &amp; Sources'!$B$203:$J$206,0,1))*INDEX('Methodology &amp; Sources'!$B$203:$J$206,0,1+2)),SUMPRODUCT(($AZ12&gt;INDEX('Methodology &amp; Sources'!$B$184:$J$198,0,7))*($AZ12-INDEX('Methodology &amp; Sources'!$B$184:$J$198,0,7))*INDEX('Methodology &amp; Sources'!$B$184:$J$198,0,7+2))),IF($AN12="OK",IF($AU12="Married",SUMPRODUCT(($AZ12&gt;INDEX('Methodology &amp; Sources'!$B$203:$J$206,0,7))*($AZ12-INDEX('Methodology &amp; Sources'!$B$203:$J$206,0,7))*INDEX('Methodology &amp; Sources'!$B$203:$J$206,0,7+2)),SUMPRODUCT(($AZ12&gt;INDEX('Methodology &amp; Sources'!$B$203:$J$206,0,4))*($AZ12-INDEX('Methodology &amp; Sources'!$B$203:$J$206,0,4))*INDEX('Methodology &amp; Sources'!$B$203:$J$206,0,4+2))),IF($AN12="RI",SUMPRODUCT(($AZ12&gt;INDEX('Methodology &amp; Sources'!$B$211:$J$214,0,7))*($AZ12-INDEX('Methodology &amp; Sources'!$B$211:$J$214,0,7))*INDEX('Methodology &amp; Sources'!$B$211:$J$214,0,7+2)),IF($AN12="VT",IF($AU12="Married",SUMPRODUCT(($AZ12&gt;INDEX('Methodology &amp; Sources'!$B$228:$J$232,0,1))*($AZ12-INDEX('Methodology &amp; Sources'!$B$228:$J$232,0,1))*INDEX('Methodology &amp; Sources'!$B$228:$J$232,0,1+2)),SUMPRODUCT(($AZ12&gt;INDEX('Methodology &amp; Sources'!$B$219:$J$223,0,7))*($AZ12-INDEX('Methodology &amp; Sources'!$B$219:$J$223,0,7))*INDEX('Methodology &amp; Sources'!$B$219:$J$223,0,7+2))),IF($AN12="WV",IF($AU12="Married",SUMPRODUCT(($AZ12&gt;INDEX('Methodology &amp; Sources'!$B$237:$J$241,0,7))*($AZ12-INDEX('Methodology &amp; Sources'!$B$237:$J$241,0,7))*INDEX('Methodology &amp; Sources'!$B$237:$J$241,0,7+2)),SUMPRODUCT(($AZ12&gt;INDEX('Methodology &amp; Sources'!$B$228:$J$232,0,7))*($AZ12-INDEX('Methodology &amp; Sources'!$B$228:$J$232,0,7))*INDEX('Methodology &amp; Sources'!$B$228:$J$232,0,7+2))),""))))))))))</f>
      </c>
      <c r="BY12" s="7">
        <f>IF($B12="","",IF($AN12="AR",SUMPRODUCT(($AZ12&gt;INDEX('Methodology &amp; Sources'!$B$82:$J$86,0,7))*($AZ12-INDEX('Methodology &amp; Sources'!$B$82:$J$86,0,7))*INDEX('Methodology &amp; Sources'!$B$82:$J$86,0,7+2)),IF($AN12="DE",SUMPRODUCT(($AZ12&gt;INDEX('Methodology &amp; Sources'!$B$91:$J$98,0,1))*($AZ12-INDEX('Methodology &amp; Sources'!$B$91:$J$98,0,1))*INDEX('Methodology &amp; Sources'!$B$91:$J$98,0,1+2)),IF($AN12="HI",IF($AU12="Married",SUMPRODUCT(($AZ12&gt;INDEX('Methodology &amp; Sources'!$B$91:$J$98,0,7))*($AZ12-INDEX('Methodology &amp; Sources'!$B$91:$J$98,0,7))*INDEX('Methodology &amp; Sources'!$B$91:$J$98,0,7+2)),SUMPRODUCT(($AZ12&gt;INDEX('Methodology &amp; Sources'!$B$91:$J$98,0,4))*($AZ12-INDEX('Methodology &amp; Sources'!$B$91:$J$98,0,4))*INDEX('Methodology &amp; Sources'!$B$91:$J$98,0,4+2))),IF($AN12="SC",SUMPRODUCT(($AZ12&gt;INDEX('Methodology &amp; Sources'!$B$219:$J$223,0,1))*($AZ12-INDEX('Methodology &amp; Sources'!$B$219:$J$223,0,1))*INDEX('Methodology &amp; Sources'!$B$219:$J$223,0,1+2)),IF($AN12="VA",SUMPRODUCT(($AZ12&gt;INDEX('Methodology &amp; Sources'!$B$219:$J$223,0,4))*($AZ12-INDEX('Methodology &amp; Sources'!$B$219:$J$223,0,4))*INDEX('Methodology &amp; Sources'!$B$219:$J$223,0,4+2)),IF($AN12="WI",SUMPRODUCT(($AZ12&gt;INDEX('Methodology &amp; Sources'!$B$228:$J$232,0,4))*($AZ12-INDEX('Methodology &amp; Sources'!$B$228:$J$232,0,4))*INDEX('Methodology &amp; Sources'!$B$228:$J$232,0,4+2)),"")))))))</f>
      </c>
      <c r="BZ12" s="24">
        <f>IF($B12="","",IF($AN12="NJ",IF('Inputs 2'!$C$77="B",SUMPRODUCT(($AZ12&gt;=INDEX('Methodology &amp; Sources'!$B$155:$J$162,0,4))*INDEX('Methodology &amp; Sources'!$B$155:$J$162,0,4+2)),IF('Inputs 2'!$C$77="C",SUMPRODUCT(($AZ12&gt;=INDEX('Methodology &amp; Sources'!$B$155:$J$162,0,7))*INDEX('Methodology &amp; Sources'!$B$155:$J$162,0,7+2)),IF('Inputs 2'!$C$77="D",SUMPRODUCT(($AZ12&gt;=INDEX('Methodology &amp; Sources'!$B$167:$J$179,0,1))*INDEX('Methodology &amp; Sources'!$B$167:$J$179,0,1+2)),IF('Inputs 2'!$C$77="E",SUMPRODUCT(($AZ12&gt;=INDEX('Methodology &amp; Sources'!$B$167:$J$179,0,4))*INDEX('Methodology &amp; Sources'!$B$167:$J$179,0,4+2)),SUMPRODUCT(($AZ12&gt;=INDEX('Methodology &amp; Sources'!$B$155:$J$162,0,1))*INDEX('Methodology &amp; Sources'!$B$155:$J$162,0,1+2)))))),IF($AN12="OR",IF(OR($AU12="Married",AND($AU12="Single",$AS12&gt;=3)),SUMPRODUCT((MAX(0,$AY12-MIN(($P12-'Methodology &amp; Sources'!$C$10*$D12)*'Inputs 2'!$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Sources'!$B$211:$J$214,0,4))*INDEX('Methodology &amp; Sources'!$B$211:$J$214,0,4+2)),SUMPRODUCT((MAX(0,$AY12-MIN(($P12-'Methodology &amp; Sources'!$C$10*$D12)*'Inputs 2'!$C$8,IF(OR($AU12="Married",AND($AU12="Single",$AS12&gt;=3)),IF($AY12&lt;250000,8750,IF($AY12&lt;260000,7000,IF($AY12&lt;270000,5250,IF($AY12&lt;280000,3500,IF($AY12&lt;290000,1750,0))))),IF($AY12&lt;125000,8750,IF($AY12&lt;130000,7000,IF($AY12&lt;135000,5250,IF($AY12&lt;140000,3500,IF($AY12&lt;145000,1750,0)))))))-IF(OR($AU12="Married",AND($AU12="Single",$AS12&gt;=3)),5820,2910))&gt;=INDEX('Methodology &amp; Sources'!$B$211:$J$214,0,1))*INDEX('Methodology &amp; Sources'!$B$211:$J$214,0,1+2)))*IF(($P12-'Methodology &amp; Sources'!$C$10*$D12)*'Inputs 2'!$C$8&gt;=IF(OR($AU12="Married",AND($AU12="Single",$AS12&gt;=3)),IF($AY12&lt;250000,8750,IF($AY12&lt;260000,7000,IF($AY12&lt;270000,5250,IF($AY12&lt;280000,3500,IF($AY12&lt;290000,1750,0))))),IF($AY12&lt;125000,8750,IF($AY12&lt;130000,7000,IF($AY12&lt;135000,5250,IF($AY12&lt;140000,3500,IF($AY12&lt;145000,1750,0)))))),1,1-IF('Inputs 2'!$C$13,SUMPRODUCT(($AH12&gt;=INDEX('Methodology &amp; Sources'!$B$29:$J$36,0,IF('Inputs 2'!$C$12="MFJ",1,IF('Inputs 2'!$C$12="HoH",7,4))))*INDEX('Methodology &amp; Sources'!$B$29:$J$36,0,IF('Inputs 2'!$C$12="MFJ",1,IF('Inputs 2'!$C$12="HoH",7,4))+2)),SUMPRODUCT(($AH12&gt;=INDEX('Methodology &amp; Sources'!$B$19:$J$26,0,IF('Inputs 2'!$C$12="MFJ",1,IF('Inputs 2'!$C$12="HoH",7,4))))*INDEX('Methodology &amp; Sources'!$B$19:$J$26,0,IF('Inputs 2'!$C$12="MFJ",1,IF('Inputs 2'!$C$12="HoH",7,4))+2)))),IF($AN12="MI",IF($AY12&gt;5900*$AS12,0.0425,0),""))))</f>
      </c>
      <c r="CA12" s="24">
        <f>IF($B12="","",IF($AN12="AL",IF(OR($AU12="Married",$AU12="Head of household"),SUMPRODUCT(($AZ12&gt;=INDEX('Methodology &amp; Sources'!$B$82:$J$86,0,4))*INDEX('Methodology &amp; Sources'!$B$82:$J$86,0,4+2)),SUMPRODUCT(($AZ12&gt;=INDEX('Methodology &amp; Sources'!$B$82:$J$86,0,1))*INDEX('Methodology &amp; Sources'!$B$82:$J$86,0,1+2)))*(1-IF('Inputs 2'!$C$13,SUMPRODUCT(($AH12&gt;=INDEX('Methodology &amp; Sources'!$B$29:$J$36,0,IF('Inputs 2'!$C$12="MFJ",1,IF('Inputs 2'!$C$12="HoH",7,4))))*INDEX('Methodology &amp; Sources'!$B$29:$J$36,0,IF('Inputs 2'!$C$12="MFJ",1,IF('Inputs 2'!$C$12="HoH",7,4))+2)),SUMPRODUCT(($AH12&gt;=INDEX('Methodology &amp; Sources'!$B$19:$J$26,0,IF('Inputs 2'!$C$12="MFJ",1,IF('Inputs 2'!$C$12="HoH",7,4))))*INDEX('Methodology &amp; Sources'!$B$19:$J$26,0,IF('Inputs 2'!$C$12="MFJ",1,IF('Inputs 2'!$C$12="HoH",7,4))+2)))),IF($AN12="KS",IF($AU12="Married",SUMPRODUCT(($AZ12&gt;=INDEX('Methodology &amp; Sources'!$B$103:$J$109,0,4))*INDEX('Methodology &amp; Sources'!$B$103:$J$109,0,4+2)),SUMPRODUCT(($AZ12&gt;=INDEX('Methodology &amp; Sources'!$B$103:$J$109,0,1))*INDEX('Methodology &amp; Sources'!$B$103:$J$109,0,1+2))),IF($AN12="MD",IF(OR($AU12="Married",$AU12="Head of household"),SUMPRODUCT(($AZ12&gt;=INDEX('Methodology &amp; Sources'!$B$114:$J$120,0,1))*INDEX('Methodology &amp; Sources'!$B$114:$J$120,0,1+2)),SUMPRODUCT(($AZ12&gt;=INDEX('Methodology &amp; Sources'!$B$103:$J$109,0,7))*INDEX('Methodology &amp; Sources'!$B$103:$J$109,0,7+2)))+'Inputs 2'!$C$74,IF($AN12="MT",IF($AU12="Head of household",SUMPRODUCT(($AZ12&gt;=INDEX('Methodology &amp; Sources'!$B$137:$J$139,0,1))*INDEX('Methodology &amp; Sources'!$B$137:$J$139,0,1+2)),IF($AU12="Married",SUMPRODUCT(($AZ12&gt;=INDEX('Methodology &amp; Sources'!$B$125:$J$132,0,7))*INDEX('Methodology &amp; Sources'!$B$125:$J$132,0,7+2)),SUMPRODUCT(($AZ12&gt;=INDEX('Methodology &amp; Sources'!$B$125:$J$132,0,4))*INDEX('Methodology &amp; Sources'!$B$125:$J$132,0,4+2)))),IF($AN12="ND",IF($AU12="Head of household",SUMPRODUCT(($AZ12&gt;=INDEX('Methodology &amp; Sources'!$B$144:$J$150,0,1))*INDEX('Methodology &amp; Sources'!$B$144:$J$150,0,1+2)),IF($AU12="Married",SUMPRODUCT(($AZ12&gt;=INDEX('Methodology &amp; Sources'!$B$137:$J$139,0,7))*INDEX('Methodology &amp; Sources'!$B$137:$J$139,0,7+2)),SUMPRODUCT(($AZ12&gt;=INDEX('Methodology &amp; Sources'!$B$137:$J$139,0,4))*INDEX('Methodology &amp; Sources'!$B$137:$J$139,0,4+2)))),IF($AN12="NY",IF($AU12="Married",IF($AZ12&gt;=2155350,IF($AZ12&gt;25000000,0.117,IF($AZ12&gt;5000000,0.111,0.1045)),SUMPRODUCT(($AZ12&gt;=INDEX('Methodology &amp; Sources'!$B$184:$J$198,0,1))*INDEX('Methodology &amp; Sources'!$B$184:$J$198,0,1+2))),IF($AZ12&gt;=1077550,IF($AZ12&gt;25000000,0.117,IF($AZ12&gt;5000000,0.111,0.1045)),SUMPRODUCT(($AZ12&gt;=INDEX('Methodology &amp; Sources'!$B$167:$J$179,0,7))*INDEX('Methodology &amp; Sources'!$B$167:$J$179,0,7+2)))),"")))))))</f>
      </c>
      <c r="CB12" s="24">
        <f>IF($B12="","",IF($AN12="CA",SUMPRODUCT(($AJ12&gt;=INDEX('Methodology &amp; Sources'!$B$39:$J$48,0,IF($AU12="Married",4,IF($AU12="Head of household",7,1))))*INDEX('Methodology &amp; Sources'!$B$39:$J$48,0,IF($AU12="Married",4,IF($AU12="Head of household",7,1))+2)),IF($AN12="HI",IF($AU12="Married",SUMPRODUCT(($AZ12&gt;=INDEX('Methodology &amp; Sources'!$B$91:$J$98,0,7))*INDEX('Methodology &amp; Sources'!$B$91:$J$98,0,7+2)),SUMPRODUCT(($AZ12&gt;=INDEX('Methodology &amp; Sources'!$B$91:$J$98,0,4))*INDEX('Methodology &amp; Sources'!$B$91:$J$98,0,4+2))),IF($AN12="MN",IF($AU12="Married",SUMPRODUCT(($AZ12&gt;=INDEX('Methodology &amp; Sources'!$B$114:$J$120,0,7))*INDEX('Methodology &amp; Sources'!$B$114:$J$120,0,7+2)),SUMPRODUCT(($AZ12&gt;=INDEX('Methodology &amp; Sources'!$B$114:$J$120,0,4))*INDEX('Methodology &amp; Sources'!$B$114:$J$120,0,4+2))),IF($AN12="MO",SUMPRODUCT(($AZ12&gt;=INDEX('Methodology &amp; Sources'!$B$125:$J$132,0,1))*INDEX('Methodology &amp; Sources'!$B$125:$J$132,0,1+2)),IF($AN12="NE",MAX(IF($AU12="Married",SUMPRODUCT(($AZ12&gt;=INDEX('Methodology &amp; Sources'!$B$144:$J$150,0,7))*INDEX('Methodology &amp; Sources'!$B$144:$J$150,0,7+2)),SUMPRODUCT(($AZ12&gt;=INDEX('Methodology &amp; Sources'!$B$144:$J$150,0,4))*INDEX('Methodology &amp; Sources'!$B$144:$J$150,0,4+2))),0.015),IF($AN12="OH",IF($B12&gt;=DATE(2027,8,1),SUMPRODUCT(($AZ12&gt;=INDEX('Methodology &amp; Sources'!$B$203:$J$206,0,1))*INDEX('Methodology &amp; Sources'!$B$203:$J$206,0,1+2)),SUMPRODUCT(($AZ12&gt;=INDEX('Methodology &amp; Sources'!$B$184:$J$198,0,7))*INDEX('Methodology &amp; Sources'!$B$184:$J$198,0,7+2))),IF($AN12="OK",IF($AU12="Married",SUMPRODUCT(($AZ12&gt;=INDEX('Methodology &amp; Sources'!$B$203:$J$206,0,7))*INDEX('Methodology &amp; Sources'!$B$203:$J$206,0,7+2)),SUMPRODUCT(($AZ12&gt;=INDEX('Methodology &amp; Sources'!$B$203:$J$206,0,4))*INDEX('Methodology &amp; Sources'!$B$203:$J$206,0,4+2))),IF($AN12="RI",SUMPRODUCT(($AZ12&gt;=INDEX('Methodology &amp; Sources'!$B$211:$J$214,0,7))*INDEX('Methodology &amp; Sources'!$B$211:$J$214,0,7+2)),IF($AN12="SC",SUMPRODUCT(($AZ12&gt;=INDEX('Methodology &amp; Sources'!$B$219:$J$223,0,1))*INDEX('Methodology &amp; Sources'!$B$219:$J$223,0,1+2)),IF($AN12="VT",IF($AU12="Married",SUMPRODUCT(($AZ12&gt;=INDEX('Methodology &amp; Sources'!$B$228:$J$232,0,1))*INDEX('Methodology &amp; Sources'!$B$228:$J$232,0,1+2)),SUMPRODUCT(($AZ12&gt;=INDEX('Methodology &amp; Sources'!$B$219:$J$223,0,7))*INDEX('Methodology &amp; Sources'!$B$219:$J$223,0,7+2))),IF($AN12="WV",IF($AU12="Married",SUMPRODUCT(($AZ12&gt;=INDEX('Methodology &amp; Sources'!$B$237:$J$241,0,7))*INDEX('Methodology &amp; Sources'!$B$237:$J$241,0,7+2)),SUMPRODUCT(($AZ12&gt;=INDEX('Methodology &amp; Sources'!$B$228:$J$232,0,7))*INDEX('Methodology &amp; Sources'!$B$228:$J$232,0,7+2))),IF($AN12="IN",(0.0295+'Inputs 2'!$C$76),"")))))))))))))</f>
      </c>
      <c r="CC12" s="24">
        <f>IF($B12="","",IF($AN12="AR",SUMPRODUCT(($AZ12&gt;=INDEX('Methodology &amp; Sources'!$B$82:$J$86,0,7))*INDEX('Methodology &amp; Sources'!$B$82:$J$86,0,7+2)),IF($AN12="DE",SUMPRODUCT(($AZ12&gt;=INDEX('Methodology &amp; Sources'!$B$91:$J$98,0,1))*INDEX('Methodology &amp; Sources'!$B$91:$J$98,0,1+2)),IF($AN12="VA",SUMPRODUCT(($AZ12&gt;=INDEX('Methodology &amp; Sources'!$B$219:$J$223,0,4))*INDEX('Methodology &amp; Sources'!$B$219:$J$223,0,4+2)),IF($AN12="WI",SUMPRODUCT(($AZ12&gt;=INDEX('Methodology &amp; Sources'!$B$228:$J$232,0,4))*INDEX('Methodology &amp; Sources'!$B$228:$J$232,0,4+2)),IF($AN12="AZ",'Inputs 2'!$C$82,IF($AN12="CO",IF($AY12&gt;IF($AU12="Married",10000,5000),0.044,0),IF($AN12="IA",IF($AY12&gt;IF($AU12="Head of household",19500,IF($AU12="Married",26000,13000)),0.038,0),IF($AN12="ID",IF($AY12&gt;IF($AU12="Married",32000,16094),0.053,0),IF($AN12="IL",IF($AY12&gt;(2925*$AS12+1000*$AT12),0.0495,0),IF($AN12="KY",IF($AI12&gt;3360,0.035,0),IF($AN12="LA",0.0309,IF($AN12="MA",IF(MAX(0,$AY12-MIN(($BD11+$Q12+$R12+$S12),2000)-IF($AS12=0,0,IF($AS12=1,4400,1000*$AS12+3400)))&gt;=1107750,0.09,0.05),IF($AN12="MS",IF($AI12-IF($AU12="Head of household",3400,IF($AU12="Married",4600,2300))-'Inputs 2'!$C$85&gt;10000,0.04,0),IF($AN12="PA",0.0307,"")))))))))))))))</f>
      </c>
      <c r="CD12" s="21">
        <f>IF(YEAR(IF('Inputs 2'!$C$7="Weekly",'Inputs 2'!$C$9+7*(($BE11+1)-1),IF('Inputs 2'!$C$7="Biweekly",'Inputs 2'!$C$9+14*(($BE11+1)-1),IF('Inputs 2'!$C$7="Semimonthly",DATE(YEAR('Inputs 2'!$C$9),MONTH('Inputs 2'!$C$9)+INT((($BE11+1)-1)/2),MIN(DAY('Inputs 2'!$C$9),DAY(EOMONTH(DATE(YEAR('Inputs 2'!$C$9),MONTH('Inputs 2'!$C$9)+INT((($BE11+1)-1)/2),1),0))))+IF(MOD(($BE11+1)-1,2)=1,15,0),EDATE('Inputs 2'!$C$9,($BE11+1)-1)))))&lt;&gt;'Inputs 2'!$C$10,"",IF('Inputs 2'!$C$7="Weekly",'Inputs 2'!$C$9+7*(($BE11+1)-1),IF('Inputs 2'!$C$7="Biweekly",'Inputs 2'!$C$9+14*(($BE11+1)-1),IF('Inputs 2'!$C$7="Semimonthly",DATE(YEAR('Inputs 2'!$C$9),MONTH('Inputs 2'!$C$9)+INT((($BE11+1)-1)/2),MIN(DAY('Inputs 2'!$C$9),DAY(EOMONTH(DATE(YEAR('Inputs 2'!$C$9),MONTH('Inputs 2'!$C$9)+INT((($BE11+1)-1)/2),1),0))))+IF(MOD(($BE11+1)-1,2)=1,15,0),EDATE('Inputs 2'!$C$9,($BE11+1)-1)))))</f>
      </c>
      <c r="CE12" s="21">
        <f>IF(SUMPRODUCT(MIN(IF(('Inputs 2'!$C$58:$C$67&gt;MAX($B$6:$B11))*('Inputs 2'!$C$58:$C$67&gt;=DATE('Inputs 2'!$C$10,1,1))*('Inputs 2'!$C$58:$C$67&lt;=DATE('Inputs 2'!$C$10,12,31)),'Inputs 2'!$C$58:$C$67,999999)))=999999,"",SUMPRODUCT(MIN(IF(('Inputs 2'!$C$58:$C$67&gt;MAX($B$6:$B11))*('Inputs 2'!$C$58:$C$67&gt;=DATE('Inputs 2'!$C$10,1,1))*('Inputs 2'!$C$58:$C$67&lt;=DATE('Inputs 2'!$C$10,12,31)),'Inputs 2'!$C$58:$C$67,999999))))</f>
      </c>
    </row>
    <row r="13">
      <c r="A13" t="n">
        <v>8</v>
      </c>
      <c r="B13" s="21">
        <f>IF(AND($CD13="",$CE13=""),"",IF($CE13="",$CD13,IF($CD13="",$CE13,MIN($CD13,$CE13))))</f>
      </c>
      <c r="C13" s="7">
        <f>IF($B13="","",IF($BF13=0,0,IF('Inputs 2'!$C$4="Annual salary",ROUND($AK13/IF(AND('Inputs 2'!$C$88="Actual paydays",MONTH('Inputs 2'!$C$9)=1),MAX(1,MAX($BE$6:$BE$68)),'Inputs 2'!$C$8),2),$AK13)))</f>
      </c>
      <c r="D13" s="7">
        <f>IF($B13="","",SUMIF('Inputs 2'!$C$58:$C$67,$B13,'Inputs 2'!$D$58:$D$67))</f>
      </c>
      <c r="E13" s="7">
        <f>IF($B13="","",ROUND(MAX(0,MIN(IF($AL13="Percent",$AM13*($C13+$D13),$AM13),MAX(0,'Inputs 2'!$C$34-$AC12))),2))</f>
      </c>
      <c r="F13" s="7">
        <f>IF($B13="","",ROUND(MAX(0,MIN(IF('Inputs 2'!$C$32="Percent",'Inputs 2'!$D$32*($C13+$D13),'Inputs 2'!$D$32),MAX(0,'Inputs 2'!$C$34-$AC12-$E13))),2))</f>
      </c>
      <c r="G13" s="7">
        <f>IF($B13="","",IF($BF13=0,0,ROUND(MAX(0,MIN($BL13,'Inputs 2'!$C$37-'Inputs 2'!$C$54-$BI12)),2)))</f>
      </c>
      <c r="H13" s="7">
        <f>IF($B13="","",IF(OR($BF13=0,$BQ13=1),0,ROUND(MAX(0,MIN(IF($BS13=1,ROUND(MAX(0,MIN($BJ13,'Methodology &amp; Sources'!$C$13)-$BG12)/MAX(1,MAX($BE$6:$BE$68)-($BE12)),2),ROUND(MIN($BJ13,'Methodology &amp; Sources'!$C$13)/'Inputs 2'!$C$8,2)),MIN($BJ13,'Methodology &amp; Sources'!$C$13)-$BG12)),2)))</f>
      </c>
      <c r="I13" s="7">
        <f>IF($B13="","",IF(OR($BF13=0,$BR13=1),0,ROUND(MAX(0,MIN(IF($BT13=1,ROUND(MAX(0,MIN($BK13,IF('Inputs 2'!$C$12="MFJ",'Methodology &amp; Sources'!$C$14,'Methodology &amp; Sources'!$C$15))-$BH12)/MAX(1,MAX($BE$6:$BE$68)-($BE12)),2),ROUND(MIN($BK13,IF('Inputs 2'!$C$12="MFJ",'Methodology &amp; Sources'!$C$14,'Methodology &amp; Sources'!$C$15))/'Inputs 2'!$C$8,2)),MIN($BK13,IF('Inputs 2'!$C$12="MFJ",'Methodology &amp; Sources'!$C$14,'Methodology &amp; Sources'!$C$15))-$BH12)),2)))</f>
      </c>
      <c r="J13" s="7">
        <f>IF($B13="","",IF($BF13=0,0,$BM13))</f>
      </c>
      <c r="K13" s="7">
        <f>IF($B13="","",IF($BF13=0,0,$BN13+$BO13))</f>
      </c>
      <c r="L13" s="7">
        <f>IF($B13="","",IF($BF13=0,0,'Inputs 2'!$D$46))</f>
      </c>
      <c r="M13" s="7">
        <f>IF($B13="","",$C13+$D13+$L13-$E13-$G13-$H13-$I13-$J13-$K13)</f>
      </c>
      <c r="N13" s="7">
        <f>IF($B13="","",$C13+$D13+$L13-$G13-$H13-$I13-$J13-$K13)</f>
      </c>
      <c r="O13" s="7">
        <f>IF($B13="","",$C13+$D13+$L13-$E13-$H13-$I13-$J13-$K13-IF(OR($AN13="CA",$AN13="NJ"),0,$G13))</f>
      </c>
      <c r="P13" s="7">
        <f>IF($B13="","",IF('Inputs 2'!$C$18,0,ROUND(MAX(0,IF('Inputs 2'!$C$13,SUMPRODUCT(($AH13&gt;INDEX('Methodology &amp; Sources'!$B$29:$J$36,0,IF('Inputs 2'!$C$12="MFJ",1,IF('Inputs 2'!$C$12="HoH",7,4))))*($AH13-INDEX('Methodology &amp; Sources'!$B$29:$J$36,0,IF('Inputs 2'!$C$12="MFJ",1,IF('Inputs 2'!$C$12="HoH",7,4))))*INDEX('Methodology &amp; Sources'!$B$29:$J$36,0,IF('Inputs 2'!$C$12="MFJ",1,IF('Inputs 2'!$C$12="HoH",7,4))+2)),SUMPRODUCT(($AH13&gt;INDEX('Methodology &amp; Sources'!$B$19:$J$26,0,IF('Inputs 2'!$C$12="MFJ",1,IF('Inputs 2'!$C$12="HoH",7,4))))*($AH13-INDEX('Methodology &amp; Sources'!$B$19:$J$26,0,IF('Inputs 2'!$C$12="MFJ",1,IF('Inputs 2'!$C$12="HoH",7,4))))*INDEX('Methodology &amp; Sources'!$B$19:$J$26,0,IF('Inputs 2'!$C$12="MFJ",1,IF('Inputs 2'!$C$12="HoH",7,4))+2)))/'Inputs 2'!$C$8-$AO13/'Inputs 2'!$C$8)+$AR13+IF('Inputs 2'!$C$89="Aggregate",MAX(0,IF('Inputs 2'!$C$13,SUMPRODUCT((($AH13+$D13)&gt;INDEX('Methodology &amp; Sources'!$B$29:$J$36,0,IF('Inputs 2'!$C$12="MFJ",1,IF('Inputs 2'!$C$12="HoH",7,4))))*(($AH13+$D13)-INDEX('Methodology &amp; Sources'!$B$29:$J$36,0,IF('Inputs 2'!$C$12="MFJ",1,IF('Inputs 2'!$C$12="HoH",7,4))))*INDEX('Methodology &amp; Sources'!$B$29:$J$36,0,IF('Inputs 2'!$C$12="MFJ",1,IF('Inputs 2'!$C$12="HoH",7,4))+2)),SUMPRODUCT((($AH13+$D13)&gt;INDEX('Methodology &amp; Sources'!$B$19:$J$26,0,IF('Inputs 2'!$C$12="MFJ",1,IF('Inputs 2'!$C$12="HoH",7,4))))*(($AH13+$D13)-INDEX('Methodology &amp; Sources'!$B$19:$J$26,0,IF('Inputs 2'!$C$12="MFJ",1,IF('Inputs 2'!$C$12="HoH",7,4))))*INDEX('Methodology &amp; Sources'!$B$19:$J$26,0,IF('Inputs 2'!$C$12="MFJ",1,IF('Inputs 2'!$C$12="HoH",7,4))+2)))-IF('Inputs 2'!$C$13,SUMPRODUCT(($AH13&gt;INDEX('Methodology &amp; Sources'!$B$29:$J$36,0,IF('Inputs 2'!$C$12="MFJ",1,IF('Inputs 2'!$C$12="HoH",7,4))))*($AH13-INDEX('Methodology &amp; Sources'!$B$29:$J$36,0,IF('Inputs 2'!$C$12="MFJ",1,IF('Inputs 2'!$C$12="HoH",7,4))))*INDEX('Methodology &amp; Sources'!$B$29:$J$36,0,IF('Inputs 2'!$C$12="MFJ",1,IF('Inputs 2'!$C$12="HoH",7,4))+2)),SUMPRODUCT(($AH13&gt;INDEX('Methodology &amp; Sources'!$B$19:$J$26,0,IF('Inputs 2'!$C$12="MFJ",1,IF('Inputs 2'!$C$12="HoH",7,4))))*($AH13-INDEX('Methodology &amp; Sources'!$B$19:$J$26,0,IF('Inputs 2'!$C$12="MFJ",1,IF('Inputs 2'!$C$12="HoH",7,4))))*INDEX('Methodology &amp; Sources'!$B$19:$J$26,0,IF('Inputs 2'!$C$12="MFJ",1,IF('Inputs 2'!$C$12="HoH",7,4))+2)))),'Methodology &amp; Sources'!$C$10*$D13),2)))</f>
      </c>
      <c r="Q13" s="7">
        <f>IF($B13="","",ROUND('Methodology &amp; Sources'!$C$4*MIN($N13,MAX(0,'Methodology &amp; Sources'!$C$3-($AX13+$AB12-$AW13))),2))</f>
      </c>
      <c r="R13" s="7">
        <f>IF($B13="","",ROUND('Methodology &amp; Sources'!$C$5*$N13,2))</f>
      </c>
      <c r="S13" s="7">
        <f>IF($B13="","",ROUND('Methodology &amp; Sources'!$C$6*MAX(0,MIN($N13,$AG12+$N13-'Methodology &amp; Sources'!$C$7)),2))</f>
      </c>
      <c r="T13" s="7">
        <f>IF($B13="","",IF('Inputs 2'!$C$26,0,IF($AN13="CA",ROUND(IF($AI13&lt;=IF(($AS13+$AT13)&gt;=2,VLOOKUP($AN13,StateTables!$A$6:$AB$56,10,FALSE),VLOOKUP($AN13,StateTables!$A$6:$AB$56,9,FALSE)),0,MAX(0,SUMPRODUCT(($AJ13&gt;INDEX('Methodology &amp; Sources'!$B$39:$J$48,0,IF($AU13="Married",4,IF($AU13="Head of household",7,1))))*($AJ13-INDEX('Methodology &amp; Sources'!$B$39:$J$48,0,IF($AU13="Married",4,IF($AU13="Head of household",7,1))))*INDEX('Methodology &amp; Sources'!$B$39:$J$48,0,IF($AU13="Married",4,IF($AU13="Head of household",7,1))+2))-VLOOKUP($AN13,StateTables!$A$6:$AB$56,11,FALSE)*$AS13)/'Inputs 2'!$C$8)+'Inputs 2'!$C$25+VLOOKUP($AN13,StateTables!$A$6:$AB$56,13,FALSE)*$D13,2),IF(VLOOKUP($AN13,StateTables!$A$6:$AB$56,4,FALSE)="None",0,IF(ISNUMBER(SEARCH("MANUAL",VLOOKUP($AN13,StateTables!$A$6:$AB$56,5,FALSE))),'Inputs 2'!$C$28,ROUND(MAX(0,$BA13+$BB13)/'Inputs 2'!$C$8+'Inputs 2'!$C$25+$BC13,2))))))</f>
      </c>
      <c r="U13" s="7">
        <f>IF($B13="","",IF(VLOOKUP($AN13,StateTables!$A$6:$AB$56,24,FALSE)="flatq",IF(OR(MONTH($B13)=1,MONTH($B13)=4,MONTH($B13)=7,MONTH($B13)=10),VLOOKUP($AN13,StateTables!$A$6:$AB$56,25,FALSE),0),IF(VLOOKUP($AN13,StateTables!$A$6:$AB$56,24,FALSE)="dbl",MIN(ROUND(0.005*$N13,2),ROUND(0.6*52/'Inputs 2'!$C$8,2)),IF(OR(VLOOKUP($AN13,StateTables!$A$6:$AB$56,15,FALSE)="",VLOOKUP($AN13,StateTables!$A$6:$AB$56,15,FALSE)=0),0,ROUND(VLOOKUP($AN13,StateTables!$A$6:$AB$56,15,FALSE)*IF(OR(VLOOKUP($AN13,StateTables!$A$6:$AB$56,16,FALSE)="",VLOOKUP($AN13,StateTables!$A$6:$AB$56,16,FALSE)=0),$N13,MIN($N13,MAX(0,VLOOKUP($AN13,StateTables!$A$6:$AB$56,16,FALSE)-($AX13+$AB12-$AW13)))),2))))+IF(VLOOKUP($AN13,StateTables!$A$6:$AB$56,27,FALSE)="flatq",IF(OR(MONTH($B13)=1,MONTH($B13)=4,MONTH($B13)=7,MONTH($B13)=10),VLOOKUP($AN13,StateTables!$A$6:$AB$56,28,FALSE),0),IF(VLOOKUP($AN13,StateTables!$A$6:$AB$56,27,FALSE)="dbl",MIN(ROUND(0.005*$N13,2),ROUND(0.6*52/'Inputs 2'!$C$8,2)),IF(OR(VLOOKUP($AN13,StateTables!$A$6:$AB$56,18,FALSE)="",VLOOKUP($AN13,StateTables!$A$6:$AB$56,18,FALSE)=0),0,ROUND(VLOOKUP($AN13,StateTables!$A$6:$AB$56,18,FALSE)*IF(OR(VLOOKUP($AN13,StateTables!$A$6:$AB$56,19,FALSE)="",VLOOKUP($AN13,StateTables!$A$6:$AB$56,19,FALSE)=0),$N13,MIN($N13,MAX(0,VLOOKUP($AN13,StateTables!$A$6:$AB$56,19,FALSE)-($AX13+$AB12-$AW13)))),2)))))</f>
      </c>
      <c r="V13" s="7">
        <f>IF($B13="","",IF($AN13="NY",IF('Inputs 2'!$C$78,ROUND(SUMPRODUCT((MAX(0,($O13-$D13)*'Inputs 2'!$C$8-(IF($AU13="Married",5500,5000)+1000*$AS13))&gt;INDEX('Methodology &amp; Sources'!$B$184:$J$198,0,4))*(MAX(0,($O13-$D13)*'Inputs 2'!$C$8-(IF($AU13="Married",5500,5000)+1000*$AS13))-INDEX('Methodology &amp; Sources'!$B$184:$J$198,0,4))*INDEX('Methodology &amp; Sources'!$B$184:$J$198,0,4+2))/'Inputs 2'!$C$8+0.0425*$D13,2),0)+IF('Inputs 2'!$C$79="Resident",ROUND(0.1675*$T13,2),IF('Inputs 2'!$C$79="Nonresident",ROUND(0.005*MAX(0,($O13-$D13)-(IF($AU13="Married",7950,7400)+1000*$AS13)/'Inputs 2'!$C$8),2),0)),IF($AN13="PA",IF('Inputs 2'!$C$80="None",'Inputs 2'!$C$27+ROUND('Inputs 2'!$C$81*($C13+$D13),2),ROUND(IF('Inputs 2'!$C$80="Resident",IF($B13&lt;DATE(2027,7,1),0.03735,0.03735),IF($B13&lt;DATE(2027,7,1),0.03425,0.03425))*($C13+$D13),2)),IF($BF13=0,ROUND('Inputs 2'!$C$81*($C13+$D13),2),'Inputs 2'!$C$27+ROUND('Inputs 2'!$C$81*($C13+$D13),2)))))</f>
      </c>
      <c r="W13" s="7">
        <f>IF($B13="","",IF($BF13=0,0,$BP13))</f>
      </c>
      <c r="X13" s="7">
        <f>IF($B13="","",SUM($E13:$K13)+$P13+$Q13+$R13+$S13+$T13+$U13+$V13+$W13)</f>
      </c>
      <c r="Y13" s="22">
        <f>IF($B13="","",$C13+$D13-$X13)</f>
      </c>
      <c r="Z13" s="7">
        <f>IF($B13="","",$Z12+$C13+$D13)</f>
      </c>
      <c r="AA13" s="7">
        <f>IF($B13="","",$AA12+$Y13)</f>
      </c>
      <c r="AB13" s="7">
        <f>IF($B13="","",$AB12+MIN($N13,MAX(0,'Methodology &amp; Sources'!$C$3-($AX13+$AB12-$AW13))))</f>
      </c>
      <c r="AC13" s="7">
        <f>IF($B13="","",$AC12+$E13+$F13)</f>
      </c>
      <c r="AD13" s="3">
        <f>IF($B13="","",IF(AND($AB12&lt;'Methodology &amp; Sources'!$C$3,$AB13&gt;='Methodology &amp; Sources'!$C$3),"★ Social Security maxed on this check — from the next check your net rises by about $"&amp;TEXT(ROUND('Methodology &amp; Sources'!$C$4*$N13,2),"#,##0.00")&amp;". ","")&amp;IF(AND($AC12&lt;'Inputs 2'!$C$34,$AC13&gt;='Inputs 2'!$C$34),"★ 401(k) reaches the $"&amp;TEXT('Inputs 2'!$C$34,"#,##0")&amp;" cap on this check — deferrals stop and net pay rises. ","")&amp;IF(AND($AG12&lt;'Methodology &amp; Sources'!$C$7,$AG13&gt;='Methodology &amp; Sources'!$C$7),"★ Wages pass $200,000 — the 0.9% Additional Medicare Tax starts here. ","")&amp;IF(AND($BJ13&gt;0,$H13&gt;0,$BG12&lt;MIN($BJ13,'Methodology &amp; Sources'!$C$13),$BG12+$H13&gt;=MIN($BJ13,'Methodology &amp; Sources'!$C$13)),"★ Health FSA election is now fully deferred for the year. ",""))</f>
      </c>
      <c r="AE13" s="41" t="n"/>
      <c r="AF13" s="7">
        <f>IF(OR($B13="",$AE13=""),"",$AE13-$Y13)</f>
      </c>
      <c r="AG13" s="7">
        <f>IF($B13="","",$AG12+$N13)</f>
      </c>
      <c r="AH13" s="7">
        <f>IF($B13="","",MAX(0,($M13-$D13)*'Inputs 2'!$C$8+$AP13-$AQ13-IF('Inputs 2'!$C$13,0,IF('Inputs 2'!$C$12="MFJ",'Methodology &amp; Sources'!$C$8,'Methodology &amp; Sources'!$C$9))))</f>
      </c>
      <c r="AI13" s="7">
        <f>IF($B13="","",$O13*'Inputs 2'!$C$8)</f>
      </c>
      <c r="AJ13" s="7">
        <f>IF($B13="","",MAX(0,$AI13-VLOOKUP($AN13,StateTables!$A$6:$AB$56,12,FALSE)*$AT13-IF(($AS13+$AT13)&gt;=2,VLOOKUP($AN13,StateTables!$A$6:$AB$56,8,FALSE),VLOOKUP($AN13,StateTables!$A$6:$AB$56,7,FALSE))))</f>
      </c>
      <c r="AK13" s="7">
        <f>IF($B13="","",IFERROR(LOOKUP(2,1/(('Events 2'!$C$6:$C$17="Salary change")*('Events 2'!$B$6:$B$17&lt;=$B13)*('Events 2'!$B$6:$B$17&lt;&gt;"")),'Events 2'!$D$6:$D$17),IF('Inputs 2'!$C$4="Annual salary",'Inputs 2'!$C$5,'Inputs 2'!$C$6)))</f>
      </c>
      <c r="AL13">
        <f>IF($B13="","",IFERROR(LOOKUP(2,1/(('Events 2'!$C$6:$C$17="401(k) change")*('Events 2'!$B$6:$B$17&lt;=$B13)*('Events 2'!$B$6:$B$17&lt;&gt;"")),'Events 2'!$D$6:$D$17),'Inputs 2'!$C$30))</f>
      </c>
      <c r="AM13" s="7">
        <f>IF($B13="","",IFERROR(LOOKUP(2,1/(('Events 2'!$C$6:$C$17="401(k) change")*('Events 2'!$B$6:$B$17&lt;=$B13)*('Events 2'!$B$6:$B$17&lt;&gt;"")),'Events 2'!$E$6:$E$17),'Inputs 2'!$D$30))</f>
      </c>
      <c r="AN13">
        <f>IF($B13="","",IFERROR(LOOKUP(2,1/(('Events 2'!$C$6:$C$17="State move")*('Events 2'!$B$6:$B$17&lt;=$B13)*('Events 2'!$B$6:$B$17&lt;&gt;"")),'Events 2'!$D$6:$D$17),'Inputs 2'!$C$21))</f>
      </c>
      <c r="AO13" s="7">
        <f>IF($B13="","",IFERROR(LOOKUP(2,1/(('Events 2'!$C$6:$C$17="W-4 change")*('Events 2'!$B$6:$B$17&lt;=$B13)*('Events 2'!$B$6:$B$17&lt;&gt;"")),'Events 2'!$D$6:$D$17),'Inputs 2'!$C$14))</f>
      </c>
      <c r="AP13" s="7">
        <f>IF($B13="","",IFERROR(LOOKUP(2,1/(('Events 2'!$C$6:$C$17="W-4 change")*('Events 2'!$B$6:$B$17&lt;=$B13)*('Events 2'!$B$6:$B$17&lt;&gt;"")),'Events 2'!$E$6:$E$17),'Inputs 2'!$C$15))</f>
      </c>
      <c r="AQ13" s="7">
        <f>IF($B13="","",IFERROR(LOOKUP(2,1/(('Events 2'!$C$6:$C$17="W-4 change")*('Events 2'!$B$6:$B$17&lt;=$B13)*('Events 2'!$B$6:$B$17&lt;&gt;"")),'Events 2'!$F$6:$F$17),'Inputs 2'!$C$16))</f>
      </c>
      <c r="AR13" s="7">
        <f>IF($B13="","",IFERROR(LOOKUP(2,1/(('Events 2'!$C$6:$C$17="W-4 change")*('Events 2'!$B$6:$B$17&lt;=$B13)*('Events 2'!$B$6:$B$17&lt;&gt;"")),'Events 2'!$G$6:$G$17),'Inputs 2'!$C$17))</f>
      </c>
      <c r="AS13" s="6">
        <f>IF($B13="","",IFERROR(LOOKUP(2,1/((('Events 2'!$C$6:$C$17="State move")+('Events 2'!$C$6:$C$17="State cert change"))*('Events 2'!$B$6:$B$17&lt;=$B13)*('Events 2'!$B$6:$B$17&lt;&gt;"")),'Events 2'!$F$6:$F$17),'Inputs 2'!$C$23))</f>
      </c>
      <c r="AT13" s="6">
        <f>IF($B13="","",IFERROR(LOOKUP(2,1/((('Events 2'!$C$6:$C$17="State move")+('Events 2'!$C$6:$C$17="State cert change"))*('Events 2'!$B$6:$B$17&lt;=$B13)*('Events 2'!$B$6:$B$17&lt;&gt;"")),'Events 2'!$G$6:$G$17),'Inputs 2'!$C$24))</f>
      </c>
      <c r="AU13">
        <f>IF($B13="","",IFERROR(LOOKUP(2,1/(('Events 2'!$C$6:$C$17="State move")*('Events 2'!$B$6:$B$17&lt;=$B13)*('Events 2'!$B$6:$B$17&lt;&gt;"")),'Events 2'!$E$6:$E$17),'Inputs 2'!$C$22))</f>
      </c>
      <c r="AV13" s="6">
        <f>IF($B13="","",1+COUNTIFS('Events 2'!$C$6:$C$17,"Employer change",'Events 2'!$B$6:$B$17,"&lt;="&amp;$B13,'Events 2'!$B$6:$B$17,"&lt;&gt;"))</f>
      </c>
      <c r="AW13" s="7">
        <f>IF($B13="","",IF($AV13=1,'Inputs 2'!$C$49,IF(IFERROR(MATCH(IFERROR(LOOKUP(2,1/(('Events 2'!$C$6:$C$17="Employer change")*('Events 2'!$B$6:$B$17&lt;=$B13)*('Events 2'!$B$6:$B$17&lt;&gt;"")),'Events 2'!$B$6:$B$17),""),$B$6:$B$68,1),1)&lt;=1,'Inputs 2'!$C$49,INDEX($AB$6:$AB$68,MATCH(IFERROR(LOOKUP(2,1/(('Events 2'!$C$6:$C$17="Employer change")*('Events 2'!$B$6:$B$17&lt;=$B13)*('Events 2'!$B$6:$B$17&lt;&gt;"")),'Events 2'!$B$6:$B$17),""),$B$6:$B$68,1)-1))))</f>
      </c>
      <c r="AX13" s="7">
        <f>IF($B13="","",IF($AV13=1,'Inputs 2'!$C$49,IFERROR(LOOKUP(2,1/(('Events 2'!$C$6:$C$17="Employer change")*('Events 2'!$B$6:$B$17&lt;=$B13)*('Events 2'!$B$6:$B$17&lt;&gt;"")),'Events 2'!$D$6:$D$17),0)))</f>
      </c>
      <c r="AY13" s="7">
        <f>IF($B13="","",($O13-$D13)*'Inputs 2'!$C$8)</f>
      </c>
      <c r="AZ13" s="7">
        <f>IF($B13="","",IF($AN13="AL",MAX(0,$AY13-IF($AU13="Married",IF($AY13&lt;=25999,8500,MAX(5000,8500-175*CEILING(($AY13-25999)/500,1))),IF($AU13="Head of household",IF($AY13&lt;=25999,5200,MAX(2500,5200-135*CEILING(($AY13-25999)/500,1))),IF($AY13&lt;=25999,3000,MAX(2500,3000-25*CEILING(($AY13-25999)/500,1)))))-($P13-'Methodology &amp; Sources'!$C$10*$D13)*'Inputs 2'!$C$8-IF(OR($AU13="Married",$AU13="Head of household"),3000,1500)-$AT13*IF($AY13&lt;=50000,1000,IF($AY13&lt;=100000,500,300))),IF($AN13="AR",IF(MAX(0,$AY13-2470)&lt;97701,INT(MAX(0,$AY13-2470)/100)*100+50,MAX(0,$AY13-2470)),IF($AN13="DE",MAX(0,$AI13-3250),IF($AN13="HI",MAX(0,$AI13-1144*$AS13-4350),IF($AN13="KS",MAX(0,$AI13-(9160*IF($AU13="Married",2,1)+2320*$AT13+IF($AU13="Head of household",2320,0))),IF($AN13="MD",MAX(0,$AI13-3400-3200*$AS13),IF($AN13="MN",MAX(0,$AY13-5300*$AS13),IF($AN13="MO",MAX(0,$AI13-IF($AU13="Head of household",24150,IF($AU13="Married",IF('Inputs 2'!$C$83,16100,32200),16100))),IF($AN13="MT",$AY13,IF($AN13="ND",($C13+$L13)*'Inputs 2'!$C$8,IF($AN13="NE",MAX(0,$AY13-2440*$AS13),IF($AN13="NJ",MAX(0,$AY13-1000*$AS13),IF($AN13="NY",MAX(0,$AY13-(IF($AU13="Married",7950,7400)+1000*$AS13)),IF($AN13="OH",MAX(0,$AY13-650*$AS13),IF($AN13="OK",MAX(0,$AY13-1000*$AS13),IF($AN13="RI",MAX(0,$AI13-1000*$AS13),IF($AN13="SC",MAX(0,$AI13-5000*$AS13-IF($AS13=0,0,MIN(0.1*$AI13,7500))),IF($AN13="VA",MAX(0,$AI13-IF($AU13="Married",17500,8750)-930*$AS13-800*$AT13),IF($AN13="VT",MAX(0,$AI13-5400*$AS13),IF($AN13="WI",MAX(0,$AI13-MAX(0,IF($AU13="Married",9461-0.2*MAX(0,$AI13-25727),6702-0.12*MAX(0,$AI13-17780)))-400*$AS13),IF($AN13="WV",MAX(0,$AI13-2000*$AS13),$AI13))))))))))))))))))))))</f>
      </c>
      <c r="BA13" s="7">
        <f>IF($B13="","",IF($BW13&lt;&gt;"",$BW13,IF($BX13&lt;&gt;"",$BX13,IF($BY13&lt;&gt;"",$BY13,0))))</f>
      </c>
      <c r="BB13" s="7">
        <f>IF($B13="","",IF($AN13="AR",-29*$AS13,IF($AN13="DE",-110*$AS13,IF($AN13="MD",$AZ13*'Inputs 2'!$C$74,IF($AN13="AZ",'Inputs 2'!$C$82*($M13-$D13)*'Inputs 2'!$C$8,IF($AN13="CO",0.044*MAX(0,$AY13-IF($AU13="Married",10000,5000)),IF($AN13="IA",MAX(0,0.038*MAX(0,$AY13-IF($AU13="Head of household",19500,IF($AU13="Married",26000,13000)))-40*$AS13),IF($AN13="ID",0.053*MAX(0,$AY13-IF($AU13="Married",32000,16094)),IF($AN13="IL",0.0495*MAX(0,$AY13-(2925*$AS13+1000*$AT13)),IF($AN13="IN",(0.0295+'Inputs 2'!$C$76)*MAX(0,$AY13-(1000*$AS13+1500*$AT13+3000*'Inputs 2'!$C$86)),IF($AN13="KY",0.035*MAX(0,$AI13-3360),IF($AN13="LA",IF('Inputs 2'!$C$84="0",0.0309*$AI13,0.0309*MAX(0,$AI13-IF('Inputs 2'!$C$84="2",25750,12875))),IF($AN13="MA",0.05*MIN(MAX(0,$AY13-MIN(($BD12+$Q13+$R13+$S13),2000)-IF($AS13=0,0,IF($AS13=1,4400,1000*$AS13+3400))),1107750)+0.09*MAX(0,MAX(0,$AY13-MIN(($BD12+$Q13+$R13+$S13),2000)-IF($AS13=0,0,IF($AS13=1,4400,1000*$AS13+3400)))-1107750)-IF($AU13="Head of household",120,0)-110*'Inputs 2'!$C$75,IF($AN13="MI",0.0425*MAX(0,$AY13-5900*$AS13),IF($AN13="MS",0.04*MAX(0,$AI13-IF($AU13="Head of household",3400,IF($AU13="Married",4600,2300))-'Inputs 2'!$C$85-10000),IF($AN13="OR",IF(OR($AU13="Married",AND($AU13="Single",$AS13&gt;=3)),SUMPRODUCT((MAX(0,$AY13-MIN(($P13-'Methodology &amp; Sources'!$C$10*$D13)*'Inputs 2'!$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Sources'!$B$211:$J$214,0,4))*(MAX(0,$AY13-MIN(($P13-'Methodology &amp; Sources'!$C$10*$D13)*'Inputs 2'!$C$8,IF(OR($AU13="Married",AND($AU13="Single",$AS13&gt;=3)),IF($AY13&lt;250000,8750,IF($AY13&lt;260000,7000,IF($AY13&lt;270000,5250,IF($AY13&lt;280000,3500,IF($AY13&lt;290000,1750,0))))),IF($AY13&lt;125000,8750,IF($AY13&lt;130000,7000,IF($AY13&lt;135000,5250,IF($AY13&lt;140000,3500,IF($AY13&lt;145000,1750,0)))))))-IF(OR($AU13="Married",AND($AU13="Single",$AS13&gt;=3)),5820,2910))-INDEX('Methodology &amp; Sources'!$B$211:$J$214,0,4))*INDEX('Methodology &amp; Sources'!$B$211:$J$214,0,4+2)),SUMPRODUCT((MAX(0,$AY13-MIN(($P13-'Methodology &amp; Sources'!$C$10*$D13)*'Inputs 2'!$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Sources'!$B$211:$J$214,0,1))*(MAX(0,$AY13-MIN(($P13-'Methodology &amp; Sources'!$C$10*$D13)*'Inputs 2'!$C$8,IF(OR($AU13="Married",AND($AU13="Single",$AS13&gt;=3)),IF($AY13&lt;250000,8750,IF($AY13&lt;260000,7000,IF($AY13&lt;270000,5250,IF($AY13&lt;280000,3500,IF($AY13&lt;290000,1750,0))))),IF($AY13&lt;125000,8750,IF($AY13&lt;130000,7000,IF($AY13&lt;135000,5250,IF($AY13&lt;140000,3500,IF($AY13&lt;145000,1750,0)))))))-IF(OR($AU13="Married",AND($AU13="Single",$AS13&gt;=3)),5820,2910))-INDEX('Methodology &amp; Sources'!$B$211:$J$214,0,1))*INDEX('Methodology &amp; Sources'!$B$211:$J$214,0,1+2)))+263-263*IF(IF($AU13="Married",$AY13&gt;200000,$AY13&gt;100000),0,$AS13),IF($AN13="PA",0.0307*(($O13+$E13+$G13)*'Inputs 2'!$C$8),IF($AN13="NY",IF($AU13="Married",IF($AZ13&gt;=2155350,0,IF($AZ13&gt;=1077550,0.48,IF($AZ13&gt;=373200,1.21,IF($AZ13&gt;=323200,0.21,IF($AZ13&gt;=211550,-0.19,IF($AZ13&gt;=157650,-2.8,IF($AZ13&gt;=107650,-0.8,IF($AZ13&gt;=96800,0.05,IF($AZ13&gt;=80650,-0.1,IF($AZ13&gt;=13900,0.4,IF($AZ13&gt;=11700,-0.3,IF($AZ13&gt;=8500,0.5,0)))))))))))),IF($AZ13&gt;=1077550,0,IF($AZ13&gt;=265400,4.29,IF($AZ13&gt;=215400,2.29,IF($AZ13&gt;=157650,2.29,IF($AZ13&gt;=107650,0.29,IF($AZ13&gt;=96800,0.05,IF($AZ13&gt;=80650,-0.1,IF($AZ13&gt;=13900,0.4,IF($AZ13&gt;=11700,-0.3,IF($AZ13&gt;=8500,0.5,0))))))))))),0))))))))))))))))))</f>
      </c>
      <c r="BC13" s="7">
        <f>IF($B13="","",IF($AN13="AL",0.05*$D13,IF($AN13="AR",0.039*$D13,IF($AN13="ID",0.053*$D13,IF($AN13="IN",(0.0295+'Inputs 2'!$C$76)*$D13,IF($AN13="KS",0.05*$D13,IF($AN13="MA",0.09*MIN($D13,MAX(0,MAX(0,$AY13-MIN(($BD12+$Q13+$R13+$S13),2000)-IF($AS13=0,0,IF($AS13=1,4400,1000*$AS13+3400)))+$D13-1107750))+0.05*($D13-MIN($D13,MAX(0,MAX(0,$AY13-MIN(($BD12+$Q13+$R13+$S13),2000)-IF($AS13=0,0,IF($AS13=1,4400,1000*$AS13+3400)))+$D13-1107750))),IF($AN13="MD",(0.065+'Inputs 2'!$C$74)*$D13,IF($AN13="MI",0.0425*$D13,IF($AN13="MN",0.0625*$D13,IF($AN13="MO",0.047*$D13,IF($AN13="MT",0.05*$D13,IF($AN13="ND",0.015*$D13,IF($AN13="NE",0.035*$D13,IF($AN13="NJ",IF('Inputs 2'!$C$77="B",SUMPRODUCT(($D13*'Inputs 2'!$C$8&gt;INDEX('Methodology &amp; Sources'!$B$155:$J$162,0,4))*($D13*'Inputs 2'!$C$8-INDEX('Methodology &amp; Sources'!$B$155:$J$162,0,4))*INDEX('Methodology &amp; Sources'!$B$155:$J$162,0,4+2)),IF('Inputs 2'!$C$77="C",SUMPRODUCT(($D13*'Inputs 2'!$C$8&gt;INDEX('Methodology &amp; Sources'!$B$155:$J$162,0,7))*($D13*'Inputs 2'!$C$8-INDEX('Methodology &amp; Sources'!$B$155:$J$162,0,7))*INDEX('Methodology &amp; Sources'!$B$155:$J$162,0,7+2)),IF('Inputs 2'!$C$77="D",SUMPRODUCT(($D13*'Inputs 2'!$C$8&gt;INDEX('Methodology &amp; Sources'!$B$167:$J$179,0,1))*($D13*'Inputs 2'!$C$8-INDEX('Methodology &amp; Sources'!$B$167:$J$179,0,1))*INDEX('Methodology &amp; Sources'!$B$167:$J$179,0,1+2)),IF('Inputs 2'!$C$77="E",SUMPRODUCT(($D13*'Inputs 2'!$C$8&gt;INDEX('Methodology &amp; Sources'!$B$167:$J$179,0,4))*($D13*'Inputs 2'!$C$8-INDEX('Methodology &amp; Sources'!$B$167:$J$179,0,4))*INDEX('Methodology &amp; Sources'!$B$167:$J$179,0,4+2)),SUMPRODUCT(($D13*'Inputs 2'!$C$8&gt;INDEX('Methodology &amp; Sources'!$B$155:$J$162,0,1))*($D13*'Inputs 2'!$C$8-INDEX('Methodology &amp; Sources'!$B$155:$J$162,0,1))*INDEX('Methodology &amp; Sources'!$B$155:$J$162,0,1+2))))))/'Inputs 2'!$C$8,IF($AN13="NY",0.117*$D13,IF($AN13="OH",0.0275*$D13,IF($AN13="OK",0.045*$D13,IF($AN13="OR",0.08*$D13,IF($AN13="WI",IF($AY13&lt;12760,0.0354,IF($AY13&lt;25520,0.0465,IF($AY13&lt;280950,0.053,0.0765)))*$D13,0))))))))))))))))))))</f>
      </c>
      <c r="BD13" s="7">
        <f>IF($B13="","",$BD12+$Q13+$R13+$S13)</f>
      </c>
      <c r="BE13" s="6">
        <f>IF($B13="",$BE12,$BE12+$BF13)</f>
      </c>
      <c r="BF13" s="6">
        <f>IF($B13="","",IF(AND(IF(YEAR(IF('Inputs 2'!$C$7="Weekly",'Inputs 2'!$C$9+7*(($BE12+1)-1),IF('Inputs 2'!$C$7="Biweekly",'Inputs 2'!$C$9+14*(($BE12+1)-1),IF('Inputs 2'!$C$7="Semimonthly",DATE(YEAR('Inputs 2'!$C$9),MONTH('Inputs 2'!$C$9)+INT((($BE12+1)-1)/2),MIN(DAY('Inputs 2'!$C$9),DAY(EOMONTH(DATE(YEAR('Inputs 2'!$C$9),MONTH('Inputs 2'!$C$9)+INT((($BE12+1)-1)/2),1),0))))+IF(MOD(($BE12+1)-1,2)=1,15,0),EDATE('Inputs 2'!$C$9,($BE12+1)-1)))))&lt;&gt;'Inputs 2'!$C$10,"",IF('Inputs 2'!$C$7="Weekly",'Inputs 2'!$C$9+7*(($BE12+1)-1),IF('Inputs 2'!$C$7="Biweekly",'Inputs 2'!$C$9+14*(($BE12+1)-1),IF('Inputs 2'!$C$7="Semimonthly",DATE(YEAR('Inputs 2'!$C$9),MONTH('Inputs 2'!$C$9)+INT((($BE12+1)-1)/2),MIN(DAY('Inputs 2'!$C$9),DAY(EOMONTH(DATE(YEAR('Inputs 2'!$C$9),MONTH('Inputs 2'!$C$9)+INT((($BE12+1)-1)/2),1),0))))+IF(MOD(($BE12+1)-1,2)=1,15,0),EDATE('Inputs 2'!$C$9,($BE12+1)-1)))))&lt;&gt;"",$B13=IF(YEAR(IF('Inputs 2'!$C$7="Weekly",'Inputs 2'!$C$9+7*(($BE12+1)-1),IF('Inputs 2'!$C$7="Biweekly",'Inputs 2'!$C$9+14*(($BE12+1)-1),IF('Inputs 2'!$C$7="Semimonthly",DATE(YEAR('Inputs 2'!$C$9),MONTH('Inputs 2'!$C$9)+INT((($BE12+1)-1)/2),MIN(DAY('Inputs 2'!$C$9),DAY(EOMONTH(DATE(YEAR('Inputs 2'!$C$9),MONTH('Inputs 2'!$C$9)+INT((($BE12+1)-1)/2),1),0))))+IF(MOD(($BE12+1)-1,2)=1,15,0),EDATE('Inputs 2'!$C$9,($BE12+1)-1)))))&lt;&gt;'Inputs 2'!$C$10,"",IF('Inputs 2'!$C$7="Weekly",'Inputs 2'!$C$9+7*(($BE12+1)-1),IF('Inputs 2'!$C$7="Biweekly",'Inputs 2'!$C$9+14*(($BE12+1)-1),IF('Inputs 2'!$C$7="Semimonthly",DATE(YEAR('Inputs 2'!$C$9),MONTH('Inputs 2'!$C$9)+INT((($BE12+1)-1)/2),MIN(DAY('Inputs 2'!$C$9),DAY(EOMONTH(DATE(YEAR('Inputs 2'!$C$9),MONTH('Inputs 2'!$C$9)+INT((($BE12+1)-1)/2),1),0))))+IF(MOD(($BE12+1)-1,2)=1,15,0),EDATE('Inputs 2'!$C$9,($BE12+1)-1)))))),1,0))</f>
      </c>
      <c r="BG13" s="7">
        <f>IF($B13="","",$BG12+$H13)</f>
      </c>
      <c r="BH13" s="7">
        <f>IF($B13="","",$BH12+$I13)</f>
      </c>
      <c r="BI13" s="7">
        <f>IF($B13="","",$BI12+$G13)</f>
      </c>
      <c r="BJ13" s="7">
        <f>IF($B13="","",IFERROR(LOOKUP(2,1/(((('Events 2'!$C$6:$C$17="Deduction start"))*('Events 2'!$D$6:$D$17="Health FSA"))*('Events 2'!$B$6:$B$17&lt;=$B13)*('Events 2'!$B$6:$B$17&lt;&gt;"")),'Events 2'!$E$6:$E$17),'Inputs 2'!$D$38))</f>
      </c>
      <c r="BK13" s="7">
        <f>IF($B13="","",IFERROR(LOOKUP(2,1/(((('Events 2'!$C$6:$C$17="Deduction start"))*('Events 2'!$D$6:$D$17="Dependent-care FSA"))*('Events 2'!$B$6:$B$17&lt;=$B13)*('Events 2'!$B$6:$B$17&lt;&gt;"")),'Events 2'!$E$6:$E$17),'Inputs 2'!$D$39))</f>
      </c>
      <c r="BL13" s="7">
        <f>IF($B13="","",IFERROR(LOOKUP(2,1/(((('Events 2'!$C$6:$C$17="Deduction start")+('Events 2'!$C$6:$C$17="Deduction stop"))*('Events 2'!$D$6:$D$17="HSA"))*('Events 2'!$B$6:$B$17&lt;=$B13)*('Events 2'!$B$6:$B$17&lt;&gt;"")),'Events 2'!$I$6:$I$17),'Inputs 2'!$D$35))</f>
      </c>
      <c r="BM13" s="7">
        <f>IF($B13="","",IFERROR(LOOKUP(2,1/(((('Events 2'!$C$6:$C$17="Deduction start")+('Events 2'!$C$6:$C$17="Deduction stop"))*('Events 2'!$D$6:$D$17="Premiums"))*('Events 2'!$B$6:$B$17&lt;=$B13)*('Events 2'!$B$6:$B$17&lt;&gt;"")),'Events 2'!$I$6:$I$17),'Inputs 2'!$D$40+'Inputs 2'!$D$41+'Inputs 2'!$D$42))</f>
      </c>
      <c r="BN13" s="7">
        <f>IF($B13="","",IFERROR(LOOKUP(2,1/(((('Events 2'!$C$6:$C$17="Deduction start")+('Events 2'!$C$6:$C$17="Deduction stop"))*('Events 2'!$D$6:$D$17="Commuter"))*('Events 2'!$B$6:$B$17&lt;=$B13)*('Events 2'!$B$6:$B$17&lt;&gt;"")),'Events 2'!$I$6:$I$17),'Inputs 2'!$D$43))</f>
      </c>
      <c r="BO13" s="7">
        <f>IF($B13="","",IFERROR(LOOKUP(2,1/(((('Events 2'!$C$6:$C$17="Deduction start")+('Events 2'!$C$6:$C$17="Deduction stop"))*('Events 2'!$D$6:$D$17="Other pre-tax"))*('Events 2'!$B$6:$B$17&lt;=$B13)*('Events 2'!$B$6:$B$17&lt;&gt;"")),'Events 2'!$I$6:$I$17),'Inputs 2'!$D$44))</f>
      </c>
      <c r="BP13" s="7">
        <f>IF($B13="","",IFERROR(LOOKUP(2,1/(((('Events 2'!$C$6:$C$17="Deduction start")+('Events 2'!$C$6:$C$17="Deduction stop"))*('Events 2'!$D$6:$D$17="Other post-tax"))*('Events 2'!$B$6:$B$17&lt;=$B13)*('Events 2'!$B$6:$B$17&lt;&gt;"")),'Events 2'!$I$6:$I$17),'Inputs 2'!$D$45))</f>
      </c>
      <c r="BQ13" s="6">
        <f>IF($B13="","",IFERROR(LOOKUP(2,1/(((('Events 2'!$C$6:$C$17="Deduction start")+('Events 2'!$C$6:$C$17="Deduction stop"))*('Events 2'!$D$6:$D$17="Health FSA"))*('Events 2'!$B$6:$B$17&lt;=$B13)*('Events 2'!$B$6:$B$17&lt;&gt;"")),'Events 2'!$J$6:$J$17),0))</f>
      </c>
      <c r="BR13" s="6">
        <f>IF($B13="","",IFERROR(LOOKUP(2,1/(((('Events 2'!$C$6:$C$17="Deduction start")+('Events 2'!$C$6:$C$17="Deduction stop"))*('Events 2'!$D$6:$D$17="Dependent-care FSA"))*('Events 2'!$B$6:$B$17&lt;=$B13)*('Events 2'!$B$6:$B$17&lt;&gt;"")),'Events 2'!$J$6:$J$17),0))</f>
      </c>
      <c r="BS13" s="6">
        <f>IF($B13="","",IF(SUMPRODUCT(('Events 2'!$C$6:$C$17="Deduction start")*('Events 2'!$B$6:$B$17&lt;=$B13)*('Events 2'!$B$6:$B$17&lt;&gt;"")*('Events 2'!$D$6:$D$17="Health FSA"))&gt;0,1,0))</f>
      </c>
      <c r="BT13" s="6">
        <f>IF($B13="","",IF(SUMPRODUCT(('Events 2'!$C$6:$C$17="Deduction start")*('Events 2'!$B$6:$B$17&lt;=$B13)*('Events 2'!$B$6:$B$17&lt;&gt;"")*('Events 2'!$D$6:$D$17="Dependent-care FSA"))&gt;0,1,0))</f>
      </c>
      <c r="BU13" s="24">
        <f>IF($B13="","",IF('Inputs 2'!$C$13,SUMPRODUCT(($AH13&gt;=INDEX('Methodology &amp; Sources'!$B$29:$J$36,0,IF('Inputs 2'!$C$12="MFJ",1,IF('Inputs 2'!$C$12="HoH",7,4))))*INDEX('Methodology &amp; Sources'!$B$29:$J$36,0,IF('Inputs 2'!$C$12="MFJ",1,IF('Inputs 2'!$C$12="HoH",7,4))+2)),SUMPRODUCT(($AH13&gt;=INDEX('Methodology &amp; Sources'!$B$19:$J$26,0,IF('Inputs 2'!$C$12="MFJ",1,IF('Inputs 2'!$C$12="HoH",7,4))))*INDEX('Methodology &amp; Sources'!$B$19:$J$26,0,IF('Inputs 2'!$C$12="MFJ",1,IF('Inputs 2'!$C$12="HoH",7,4))+2))))</f>
      </c>
      <c r="BV13" s="24">
        <f>IF($B13="","",IF($BZ13&lt;&gt;"",$BZ13,IF($CA13&lt;&gt;"",$CA13,IF($CB13&lt;&gt;"",$CB13,IF($CC13&lt;&gt;"",$CC13,0)))))</f>
      </c>
      <c r="BW13" s="7">
        <f>IF($B13="","",IF($AN13="MD",IF(OR($AU13="Married",$AU13="Head of household"),SUMPRODUCT(($AZ13&gt;INDEX('Methodology &amp; Sources'!$B$114:$J$120,0,1))*($AZ13-INDEX('Methodology &amp; Sources'!$B$114:$J$120,0,1))*INDEX('Methodology &amp; Sources'!$B$114:$J$120,0,1+2)),SUMPRODUCT(($AZ13&gt;INDEX('Methodology &amp; Sources'!$B$103:$J$109,0,7))*($AZ13-INDEX('Methodology &amp; Sources'!$B$103:$J$109,0,7))*INDEX('Methodology &amp; Sources'!$B$103:$J$109,0,7+2))),IF($AN13="MO",SUMPRODUCT(($AZ13&gt;INDEX('Methodology &amp; Sources'!$B$125:$J$132,0,1))*($AZ13-INDEX('Methodology &amp; Sources'!$B$125:$J$132,0,1))*INDEX('Methodology &amp; Sources'!$B$125:$J$132,0,1+2)),IF($AN13="MT",IF($AU13="Head of household",SUMPRODUCT(($AZ13&gt;INDEX('Methodology &amp; Sources'!$B$137:$J$139,0,1))*($AZ13-INDEX('Methodology &amp; Sources'!$B$137:$J$139,0,1))*INDEX('Methodology &amp; Sources'!$B$137:$J$139,0,1+2)),IF($AU13="Married",SUMPRODUCT(($AZ13&gt;INDEX('Methodology &amp; Sources'!$B$125:$J$132,0,7))*($AZ13-INDEX('Methodology &amp; Sources'!$B$125:$J$132,0,7))*INDEX('Methodology &amp; Sources'!$B$125:$J$132,0,7+2)),SUMPRODUCT(($AZ13&gt;INDEX('Methodology &amp; Sources'!$B$125:$J$132,0,4))*($AZ13-INDEX('Methodology &amp; Sources'!$B$125:$J$132,0,4))*INDEX('Methodology &amp; Sources'!$B$125:$J$132,0,4+2)))),IF($AN13="ND",IF($AU13="Head of household",SUMPRODUCT(($AZ13&gt;INDEX('Methodology &amp; Sources'!$B$144:$J$150,0,1))*($AZ13-INDEX('Methodology &amp; Sources'!$B$144:$J$150,0,1))*INDEX('Methodology &amp; Sources'!$B$144:$J$150,0,1+2)),IF($AU13="Married",SUMPRODUCT(($AZ13&gt;INDEX('Methodology &amp; Sources'!$B$137:$J$139,0,7))*($AZ13-INDEX('Methodology &amp; Sources'!$B$137:$J$139,0,7))*INDEX('Methodology &amp; Sources'!$B$137:$J$139,0,7+2)),SUMPRODUCT(($AZ13&gt;INDEX('Methodology &amp; Sources'!$B$137:$J$139,0,4))*($AZ13-INDEX('Methodology &amp; Sources'!$B$137:$J$139,0,4))*INDEX('Methodology &amp; Sources'!$B$137:$J$139,0,4+2)))),IF($AN13="NJ",IF('Inputs 2'!$C$77="B",SUMPRODUCT(($AZ13&gt;INDEX('Methodology &amp; Sources'!$B$155:$J$162,0,4))*($AZ13-INDEX('Methodology &amp; Sources'!$B$155:$J$162,0,4))*INDEX('Methodology &amp; Sources'!$B$155:$J$162,0,4+2)),IF('Inputs 2'!$C$77="C",SUMPRODUCT(($AZ13&gt;INDEX('Methodology &amp; Sources'!$B$155:$J$162,0,7))*($AZ13-INDEX('Methodology &amp; Sources'!$B$155:$J$162,0,7))*INDEX('Methodology &amp; Sources'!$B$155:$J$162,0,7+2)),IF('Inputs 2'!$C$77="D",SUMPRODUCT(($AZ13&gt;INDEX('Methodology &amp; Sources'!$B$167:$J$179,0,1))*($AZ13-INDEX('Methodology &amp; Sources'!$B$167:$J$179,0,1))*INDEX('Methodology &amp; Sources'!$B$167:$J$179,0,1+2)),IF('Inputs 2'!$C$77="E",SUMPRODUCT(($AZ13&gt;INDEX('Methodology &amp; Sources'!$B$167:$J$179,0,4))*($AZ13-INDEX('Methodology &amp; Sources'!$B$167:$J$179,0,4))*INDEX('Methodology &amp; Sources'!$B$167:$J$179,0,4+2)),SUMPRODUCT(($AZ13&gt;INDEX('Methodology &amp; Sources'!$B$155:$J$162,0,1))*($AZ13-INDEX('Methodology &amp; Sources'!$B$155:$J$162,0,1))*INDEX('Methodology &amp; Sources'!$B$155:$J$162,0,1+2)))))),IF($AN13="NY",IF($AU13="Married",IF($AZ13&gt;=2155350,$AZ13*IF($AZ13&gt;25000000,0.117,IF($AZ13&gt;5000000,0.111,0.1045)),SUMPRODUCT(($AZ13&gt;INDEX('Methodology &amp; Sources'!$B$184:$J$198,0,1))*($AZ13-INDEX('Methodology &amp; Sources'!$B$184:$J$198,0,1))*INDEX('Methodology &amp; Sources'!$B$184:$J$198,0,1+2))),IF($AZ13&gt;=1077550,$AZ13*IF($AZ13&gt;25000000,0.117,IF($AZ13&gt;5000000,0.111,0.1045)),SUMPRODUCT(($AZ13&gt;INDEX('Methodology &amp; Sources'!$B$167:$J$179,0,7))*($AZ13-INDEX('Methodology &amp; Sources'!$B$167:$J$179,0,7))*INDEX('Methodology &amp; Sources'!$B$167:$J$179,0,7+2)))),"")))))))</f>
      </c>
      <c r="BX13" s="7">
        <f>IF($B13="","",IF($AN13="AL",IF(OR($AU13="Married",$AU13="Head of household"),SUMPRODUCT(($AZ13&gt;INDEX('Methodology &amp; Sources'!$B$82:$J$86,0,4))*($AZ13-INDEX('Methodology &amp; Sources'!$B$82:$J$86,0,4))*INDEX('Methodology &amp; Sources'!$B$82:$J$86,0,4+2)),SUMPRODUCT(($AZ13&gt;INDEX('Methodology &amp; Sources'!$B$82:$J$86,0,1))*($AZ13-INDEX('Methodology &amp; Sources'!$B$82:$J$86,0,1))*INDEX('Methodology &amp; Sources'!$B$82:$J$86,0,1+2))),IF($AN13="KS",IF($AU13="Married",SUMPRODUCT(($AZ13&gt;INDEX('Methodology &amp; Sources'!$B$103:$J$109,0,4))*($AZ13-INDEX('Methodology &amp; Sources'!$B$103:$J$109,0,4))*INDEX('Methodology &amp; Sources'!$B$103:$J$109,0,4+2)),SUMPRODUCT(($AZ13&gt;INDEX('Methodology &amp; Sources'!$B$103:$J$109,0,1))*($AZ13-INDEX('Methodology &amp; Sources'!$B$103:$J$109,0,1))*INDEX('Methodology &amp; Sources'!$B$103:$J$109,0,1+2))),IF($AN13="MN",IF($AU13="Married",SUMPRODUCT(($AZ13&gt;INDEX('Methodology &amp; Sources'!$B$114:$J$120,0,7))*($AZ13-INDEX('Methodology &amp; Sources'!$B$114:$J$120,0,7))*INDEX('Methodology &amp; Sources'!$B$114:$J$120,0,7+2)),SUMPRODUCT(($AZ13&gt;INDEX('Methodology &amp; Sources'!$B$114:$J$120,0,4))*($AZ13-INDEX('Methodology &amp; Sources'!$B$114:$J$120,0,4))*INDEX('Methodology &amp; Sources'!$B$114:$J$120,0,4+2))),IF($AN13="NE",MAX(IF($AU13="Married",SUMPRODUCT(($AZ13&gt;INDEX('Methodology &amp; Sources'!$B$144:$J$150,0,7))*($AZ13-INDEX('Methodology &amp; Sources'!$B$144:$J$150,0,7))*INDEX('Methodology &amp; Sources'!$B$144:$J$150,0,7+2)),SUMPRODUCT(($AZ13&gt;INDEX('Methodology &amp; Sources'!$B$144:$J$150,0,4))*($AZ13-INDEX('Methodology &amp; Sources'!$B$144:$J$150,0,4))*INDEX('Methodology &amp; Sources'!$B$144:$J$150,0,4+2))),0.015*$AZ13),IF($AN13="OH",IF($B13&gt;=DATE(2027,8,1),SUMPRODUCT(($AZ13&gt;INDEX('Methodology &amp; Sources'!$B$203:$J$206,0,1))*($AZ13-INDEX('Methodology &amp; Sources'!$B$203:$J$206,0,1))*INDEX('Methodology &amp; Sources'!$B$203:$J$206,0,1+2)),SUMPRODUCT(($AZ13&gt;INDEX('Methodology &amp; Sources'!$B$184:$J$198,0,7))*($AZ13-INDEX('Methodology &amp; Sources'!$B$184:$J$198,0,7))*INDEX('Methodology &amp; Sources'!$B$184:$J$198,0,7+2))),IF($AN13="OK",IF($AU13="Married",SUMPRODUCT(($AZ13&gt;INDEX('Methodology &amp; Sources'!$B$203:$J$206,0,7))*($AZ13-INDEX('Methodology &amp; Sources'!$B$203:$J$206,0,7))*INDEX('Methodology &amp; Sources'!$B$203:$J$206,0,7+2)),SUMPRODUCT(($AZ13&gt;INDEX('Methodology &amp; Sources'!$B$203:$J$206,0,4))*($AZ13-INDEX('Methodology &amp; Sources'!$B$203:$J$206,0,4))*INDEX('Methodology &amp; Sources'!$B$203:$J$206,0,4+2))),IF($AN13="RI",SUMPRODUCT(($AZ13&gt;INDEX('Methodology &amp; Sources'!$B$211:$J$214,0,7))*($AZ13-INDEX('Methodology &amp; Sources'!$B$211:$J$214,0,7))*INDEX('Methodology &amp; Sources'!$B$211:$J$214,0,7+2)),IF($AN13="VT",IF($AU13="Married",SUMPRODUCT(($AZ13&gt;INDEX('Methodology &amp; Sources'!$B$228:$J$232,0,1))*($AZ13-INDEX('Methodology &amp; Sources'!$B$228:$J$232,0,1))*INDEX('Methodology &amp; Sources'!$B$228:$J$232,0,1+2)),SUMPRODUCT(($AZ13&gt;INDEX('Methodology &amp; Sources'!$B$219:$J$223,0,7))*($AZ13-INDEX('Methodology &amp; Sources'!$B$219:$J$223,0,7))*INDEX('Methodology &amp; Sources'!$B$219:$J$223,0,7+2))),IF($AN13="WV",IF($AU13="Married",SUMPRODUCT(($AZ13&gt;INDEX('Methodology &amp; Sources'!$B$237:$J$241,0,7))*($AZ13-INDEX('Methodology &amp; Sources'!$B$237:$J$241,0,7))*INDEX('Methodology &amp; Sources'!$B$237:$J$241,0,7+2)),SUMPRODUCT(($AZ13&gt;INDEX('Methodology &amp; Sources'!$B$228:$J$232,0,7))*($AZ13-INDEX('Methodology &amp; Sources'!$B$228:$J$232,0,7))*INDEX('Methodology &amp; Sources'!$B$228:$J$232,0,7+2))),""))))))))))</f>
      </c>
      <c r="BY13" s="7">
        <f>IF($B13="","",IF($AN13="AR",SUMPRODUCT(($AZ13&gt;INDEX('Methodology &amp; Sources'!$B$82:$J$86,0,7))*($AZ13-INDEX('Methodology &amp; Sources'!$B$82:$J$86,0,7))*INDEX('Methodology &amp; Sources'!$B$82:$J$86,0,7+2)),IF($AN13="DE",SUMPRODUCT(($AZ13&gt;INDEX('Methodology &amp; Sources'!$B$91:$J$98,0,1))*($AZ13-INDEX('Methodology &amp; Sources'!$B$91:$J$98,0,1))*INDEX('Methodology &amp; Sources'!$B$91:$J$98,0,1+2)),IF($AN13="HI",IF($AU13="Married",SUMPRODUCT(($AZ13&gt;INDEX('Methodology &amp; Sources'!$B$91:$J$98,0,7))*($AZ13-INDEX('Methodology &amp; Sources'!$B$91:$J$98,0,7))*INDEX('Methodology &amp; Sources'!$B$91:$J$98,0,7+2)),SUMPRODUCT(($AZ13&gt;INDEX('Methodology &amp; Sources'!$B$91:$J$98,0,4))*($AZ13-INDEX('Methodology &amp; Sources'!$B$91:$J$98,0,4))*INDEX('Methodology &amp; Sources'!$B$91:$J$98,0,4+2))),IF($AN13="SC",SUMPRODUCT(($AZ13&gt;INDEX('Methodology &amp; Sources'!$B$219:$J$223,0,1))*($AZ13-INDEX('Methodology &amp; Sources'!$B$219:$J$223,0,1))*INDEX('Methodology &amp; Sources'!$B$219:$J$223,0,1+2)),IF($AN13="VA",SUMPRODUCT(($AZ13&gt;INDEX('Methodology &amp; Sources'!$B$219:$J$223,0,4))*($AZ13-INDEX('Methodology &amp; Sources'!$B$219:$J$223,0,4))*INDEX('Methodology &amp; Sources'!$B$219:$J$223,0,4+2)),IF($AN13="WI",SUMPRODUCT(($AZ13&gt;INDEX('Methodology &amp; Sources'!$B$228:$J$232,0,4))*($AZ13-INDEX('Methodology &amp; Sources'!$B$228:$J$232,0,4))*INDEX('Methodology &amp; Sources'!$B$228:$J$232,0,4+2)),"")))))))</f>
      </c>
      <c r="BZ13" s="24">
        <f>IF($B13="","",IF($AN13="NJ",IF('Inputs 2'!$C$77="B",SUMPRODUCT(($AZ13&gt;=INDEX('Methodology &amp; Sources'!$B$155:$J$162,0,4))*INDEX('Methodology &amp; Sources'!$B$155:$J$162,0,4+2)),IF('Inputs 2'!$C$77="C",SUMPRODUCT(($AZ13&gt;=INDEX('Methodology &amp; Sources'!$B$155:$J$162,0,7))*INDEX('Methodology &amp; Sources'!$B$155:$J$162,0,7+2)),IF('Inputs 2'!$C$77="D",SUMPRODUCT(($AZ13&gt;=INDEX('Methodology &amp; Sources'!$B$167:$J$179,0,1))*INDEX('Methodology &amp; Sources'!$B$167:$J$179,0,1+2)),IF('Inputs 2'!$C$77="E",SUMPRODUCT(($AZ13&gt;=INDEX('Methodology &amp; Sources'!$B$167:$J$179,0,4))*INDEX('Methodology &amp; Sources'!$B$167:$J$179,0,4+2)),SUMPRODUCT(($AZ13&gt;=INDEX('Methodology &amp; Sources'!$B$155:$J$162,0,1))*INDEX('Methodology &amp; Sources'!$B$155:$J$162,0,1+2)))))),IF($AN13="OR",IF(OR($AU13="Married",AND($AU13="Single",$AS13&gt;=3)),SUMPRODUCT((MAX(0,$AY13-MIN(($P13-'Methodology &amp; Sources'!$C$10*$D13)*'Inputs 2'!$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Sources'!$B$211:$J$214,0,4))*INDEX('Methodology &amp; Sources'!$B$211:$J$214,0,4+2)),SUMPRODUCT((MAX(0,$AY13-MIN(($P13-'Methodology &amp; Sources'!$C$10*$D13)*'Inputs 2'!$C$8,IF(OR($AU13="Married",AND($AU13="Single",$AS13&gt;=3)),IF($AY13&lt;250000,8750,IF($AY13&lt;260000,7000,IF($AY13&lt;270000,5250,IF($AY13&lt;280000,3500,IF($AY13&lt;290000,1750,0))))),IF($AY13&lt;125000,8750,IF($AY13&lt;130000,7000,IF($AY13&lt;135000,5250,IF($AY13&lt;140000,3500,IF($AY13&lt;145000,1750,0)))))))-IF(OR($AU13="Married",AND($AU13="Single",$AS13&gt;=3)),5820,2910))&gt;=INDEX('Methodology &amp; Sources'!$B$211:$J$214,0,1))*INDEX('Methodology &amp; Sources'!$B$211:$J$214,0,1+2)))*IF(($P13-'Methodology &amp; Sources'!$C$10*$D13)*'Inputs 2'!$C$8&gt;=IF(OR($AU13="Married",AND($AU13="Single",$AS13&gt;=3)),IF($AY13&lt;250000,8750,IF($AY13&lt;260000,7000,IF($AY13&lt;270000,5250,IF($AY13&lt;280000,3500,IF($AY13&lt;290000,1750,0))))),IF($AY13&lt;125000,8750,IF($AY13&lt;130000,7000,IF($AY13&lt;135000,5250,IF($AY13&lt;140000,3500,IF($AY13&lt;145000,1750,0)))))),1,1-IF('Inputs 2'!$C$13,SUMPRODUCT(($AH13&gt;=INDEX('Methodology &amp; Sources'!$B$29:$J$36,0,IF('Inputs 2'!$C$12="MFJ",1,IF('Inputs 2'!$C$12="HoH",7,4))))*INDEX('Methodology &amp; Sources'!$B$29:$J$36,0,IF('Inputs 2'!$C$12="MFJ",1,IF('Inputs 2'!$C$12="HoH",7,4))+2)),SUMPRODUCT(($AH13&gt;=INDEX('Methodology &amp; Sources'!$B$19:$J$26,0,IF('Inputs 2'!$C$12="MFJ",1,IF('Inputs 2'!$C$12="HoH",7,4))))*INDEX('Methodology &amp; Sources'!$B$19:$J$26,0,IF('Inputs 2'!$C$12="MFJ",1,IF('Inputs 2'!$C$12="HoH",7,4))+2)))),IF($AN13="MI",IF($AY13&gt;5900*$AS13,0.0425,0),""))))</f>
      </c>
      <c r="CA13" s="24">
        <f>IF($B13="","",IF($AN13="AL",IF(OR($AU13="Married",$AU13="Head of household"),SUMPRODUCT(($AZ13&gt;=INDEX('Methodology &amp; Sources'!$B$82:$J$86,0,4))*INDEX('Methodology &amp; Sources'!$B$82:$J$86,0,4+2)),SUMPRODUCT(($AZ13&gt;=INDEX('Methodology &amp; Sources'!$B$82:$J$86,0,1))*INDEX('Methodology &amp; Sources'!$B$82:$J$86,0,1+2)))*(1-IF('Inputs 2'!$C$13,SUMPRODUCT(($AH13&gt;=INDEX('Methodology &amp; Sources'!$B$29:$J$36,0,IF('Inputs 2'!$C$12="MFJ",1,IF('Inputs 2'!$C$12="HoH",7,4))))*INDEX('Methodology &amp; Sources'!$B$29:$J$36,0,IF('Inputs 2'!$C$12="MFJ",1,IF('Inputs 2'!$C$12="HoH",7,4))+2)),SUMPRODUCT(($AH13&gt;=INDEX('Methodology &amp; Sources'!$B$19:$J$26,0,IF('Inputs 2'!$C$12="MFJ",1,IF('Inputs 2'!$C$12="HoH",7,4))))*INDEX('Methodology &amp; Sources'!$B$19:$J$26,0,IF('Inputs 2'!$C$12="MFJ",1,IF('Inputs 2'!$C$12="HoH",7,4))+2)))),IF($AN13="KS",IF($AU13="Married",SUMPRODUCT(($AZ13&gt;=INDEX('Methodology &amp; Sources'!$B$103:$J$109,0,4))*INDEX('Methodology &amp; Sources'!$B$103:$J$109,0,4+2)),SUMPRODUCT(($AZ13&gt;=INDEX('Methodology &amp; Sources'!$B$103:$J$109,0,1))*INDEX('Methodology &amp; Sources'!$B$103:$J$109,0,1+2))),IF($AN13="MD",IF(OR($AU13="Married",$AU13="Head of household"),SUMPRODUCT(($AZ13&gt;=INDEX('Methodology &amp; Sources'!$B$114:$J$120,0,1))*INDEX('Methodology &amp; Sources'!$B$114:$J$120,0,1+2)),SUMPRODUCT(($AZ13&gt;=INDEX('Methodology &amp; Sources'!$B$103:$J$109,0,7))*INDEX('Methodology &amp; Sources'!$B$103:$J$109,0,7+2)))+'Inputs 2'!$C$74,IF($AN13="MT",IF($AU13="Head of household",SUMPRODUCT(($AZ13&gt;=INDEX('Methodology &amp; Sources'!$B$137:$J$139,0,1))*INDEX('Methodology &amp; Sources'!$B$137:$J$139,0,1+2)),IF($AU13="Married",SUMPRODUCT(($AZ13&gt;=INDEX('Methodology &amp; Sources'!$B$125:$J$132,0,7))*INDEX('Methodology &amp; Sources'!$B$125:$J$132,0,7+2)),SUMPRODUCT(($AZ13&gt;=INDEX('Methodology &amp; Sources'!$B$125:$J$132,0,4))*INDEX('Methodology &amp; Sources'!$B$125:$J$132,0,4+2)))),IF($AN13="ND",IF($AU13="Head of household",SUMPRODUCT(($AZ13&gt;=INDEX('Methodology &amp; Sources'!$B$144:$J$150,0,1))*INDEX('Methodology &amp; Sources'!$B$144:$J$150,0,1+2)),IF($AU13="Married",SUMPRODUCT(($AZ13&gt;=INDEX('Methodology &amp; Sources'!$B$137:$J$139,0,7))*INDEX('Methodology &amp; Sources'!$B$137:$J$139,0,7+2)),SUMPRODUCT(($AZ13&gt;=INDEX('Methodology &amp; Sources'!$B$137:$J$139,0,4))*INDEX('Methodology &amp; Sources'!$B$137:$J$139,0,4+2)))),IF($AN13="NY",IF($AU13="Married",IF($AZ13&gt;=2155350,IF($AZ13&gt;25000000,0.117,IF($AZ13&gt;5000000,0.111,0.1045)),SUMPRODUCT(($AZ13&gt;=INDEX('Methodology &amp; Sources'!$B$184:$J$198,0,1))*INDEX('Methodology &amp; Sources'!$B$184:$J$198,0,1+2))),IF($AZ13&gt;=1077550,IF($AZ13&gt;25000000,0.117,IF($AZ13&gt;5000000,0.111,0.1045)),SUMPRODUCT(($AZ13&gt;=INDEX('Methodology &amp; Sources'!$B$167:$J$179,0,7))*INDEX('Methodology &amp; Sources'!$B$167:$J$179,0,7+2)))),"")))))))</f>
      </c>
      <c r="CB13" s="24">
        <f>IF($B13="","",IF($AN13="CA",SUMPRODUCT(($AJ13&gt;=INDEX('Methodology &amp; Sources'!$B$39:$J$48,0,IF($AU13="Married",4,IF($AU13="Head of household",7,1))))*INDEX('Methodology &amp; Sources'!$B$39:$J$48,0,IF($AU13="Married",4,IF($AU13="Head of household",7,1))+2)),IF($AN13="HI",IF($AU13="Married",SUMPRODUCT(($AZ13&gt;=INDEX('Methodology &amp; Sources'!$B$91:$J$98,0,7))*INDEX('Methodology &amp; Sources'!$B$91:$J$98,0,7+2)),SUMPRODUCT(($AZ13&gt;=INDEX('Methodology &amp; Sources'!$B$91:$J$98,0,4))*INDEX('Methodology &amp; Sources'!$B$91:$J$98,0,4+2))),IF($AN13="MN",IF($AU13="Married",SUMPRODUCT(($AZ13&gt;=INDEX('Methodology &amp; Sources'!$B$114:$J$120,0,7))*INDEX('Methodology &amp; Sources'!$B$114:$J$120,0,7+2)),SUMPRODUCT(($AZ13&gt;=INDEX('Methodology &amp; Sources'!$B$114:$J$120,0,4))*INDEX('Methodology &amp; Sources'!$B$114:$J$120,0,4+2))),IF($AN13="MO",SUMPRODUCT(($AZ13&gt;=INDEX('Methodology &amp; Sources'!$B$125:$J$132,0,1))*INDEX('Methodology &amp; Sources'!$B$125:$J$132,0,1+2)),IF($AN13="NE",MAX(IF($AU13="Married",SUMPRODUCT(($AZ13&gt;=INDEX('Methodology &amp; Sources'!$B$144:$J$150,0,7))*INDEX('Methodology &amp; Sources'!$B$144:$J$150,0,7+2)),SUMPRODUCT(($AZ13&gt;=INDEX('Methodology &amp; Sources'!$B$144:$J$150,0,4))*INDEX('Methodology &amp; Sources'!$B$144:$J$150,0,4+2))),0.015),IF($AN13="OH",IF($B13&gt;=DATE(2027,8,1),SUMPRODUCT(($AZ13&gt;=INDEX('Methodology &amp; Sources'!$B$203:$J$206,0,1))*INDEX('Methodology &amp; Sources'!$B$203:$J$206,0,1+2)),SUMPRODUCT(($AZ13&gt;=INDEX('Methodology &amp; Sources'!$B$184:$J$198,0,7))*INDEX('Methodology &amp; Sources'!$B$184:$J$198,0,7+2))),IF($AN13="OK",IF($AU13="Married",SUMPRODUCT(($AZ13&gt;=INDEX('Methodology &amp; Sources'!$B$203:$J$206,0,7))*INDEX('Methodology &amp; Sources'!$B$203:$J$206,0,7+2)),SUMPRODUCT(($AZ13&gt;=INDEX('Methodology &amp; Sources'!$B$203:$J$206,0,4))*INDEX('Methodology &amp; Sources'!$B$203:$J$206,0,4+2))),IF($AN13="RI",SUMPRODUCT(($AZ13&gt;=INDEX('Methodology &amp; Sources'!$B$211:$J$214,0,7))*INDEX('Methodology &amp; Sources'!$B$211:$J$214,0,7+2)),IF($AN13="SC",SUMPRODUCT(($AZ13&gt;=INDEX('Methodology &amp; Sources'!$B$219:$J$223,0,1))*INDEX('Methodology &amp; Sources'!$B$219:$J$223,0,1+2)),IF($AN13="VT",IF($AU13="Married",SUMPRODUCT(($AZ13&gt;=INDEX('Methodology &amp; Sources'!$B$228:$J$232,0,1))*INDEX('Methodology &amp; Sources'!$B$228:$J$232,0,1+2)),SUMPRODUCT(($AZ13&gt;=INDEX('Methodology &amp; Sources'!$B$219:$J$223,0,7))*INDEX('Methodology &amp; Sources'!$B$219:$J$223,0,7+2))),IF($AN13="WV",IF($AU13="Married",SUMPRODUCT(($AZ13&gt;=INDEX('Methodology &amp; Sources'!$B$237:$J$241,0,7))*INDEX('Methodology &amp; Sources'!$B$237:$J$241,0,7+2)),SUMPRODUCT(($AZ13&gt;=INDEX('Methodology &amp; Sources'!$B$228:$J$232,0,7))*INDEX('Methodology &amp; Sources'!$B$228:$J$232,0,7+2))),IF($AN13="IN",(0.0295+'Inputs 2'!$C$76),"")))))))))))))</f>
      </c>
      <c r="CC13" s="24">
        <f>IF($B13="","",IF($AN13="AR",SUMPRODUCT(($AZ13&gt;=INDEX('Methodology &amp; Sources'!$B$82:$J$86,0,7))*INDEX('Methodology &amp; Sources'!$B$82:$J$86,0,7+2)),IF($AN13="DE",SUMPRODUCT(($AZ13&gt;=INDEX('Methodology &amp; Sources'!$B$91:$J$98,0,1))*INDEX('Methodology &amp; Sources'!$B$91:$J$98,0,1+2)),IF($AN13="VA",SUMPRODUCT(($AZ13&gt;=INDEX('Methodology &amp; Sources'!$B$219:$J$223,0,4))*INDEX('Methodology &amp; Sources'!$B$219:$J$223,0,4+2)),IF($AN13="WI",SUMPRODUCT(($AZ13&gt;=INDEX('Methodology &amp; Sources'!$B$228:$J$232,0,4))*INDEX('Methodology &amp; Sources'!$B$228:$J$232,0,4+2)),IF($AN13="AZ",'Inputs 2'!$C$82,IF($AN13="CO",IF($AY13&gt;IF($AU13="Married",10000,5000),0.044,0),IF($AN13="IA",IF($AY13&gt;IF($AU13="Head of household",19500,IF($AU13="Married",26000,13000)),0.038,0),IF($AN13="ID",IF($AY13&gt;IF($AU13="Married",32000,16094),0.053,0),IF($AN13="IL",IF($AY13&gt;(2925*$AS13+1000*$AT13),0.0495,0),IF($AN13="KY",IF($AI13&gt;3360,0.035,0),IF($AN13="LA",0.0309,IF($AN13="MA",IF(MAX(0,$AY13-MIN(($BD12+$Q13+$R13+$S13),2000)-IF($AS13=0,0,IF($AS13=1,4400,1000*$AS13+3400)))&gt;=1107750,0.09,0.05),IF($AN13="MS",IF($AI13-IF($AU13="Head of household",3400,IF($AU13="Married",4600,2300))-'Inputs 2'!$C$85&gt;10000,0.04,0),IF($AN13="PA",0.0307,"")))))))))))))))</f>
      </c>
      <c r="CD13" s="21">
        <f>IF(YEAR(IF('Inputs 2'!$C$7="Weekly",'Inputs 2'!$C$9+7*(($BE12+1)-1),IF('Inputs 2'!$C$7="Biweekly",'Inputs 2'!$C$9+14*(($BE12+1)-1),IF('Inputs 2'!$C$7="Semimonthly",DATE(YEAR('Inputs 2'!$C$9),MONTH('Inputs 2'!$C$9)+INT((($BE12+1)-1)/2),MIN(DAY('Inputs 2'!$C$9),DAY(EOMONTH(DATE(YEAR('Inputs 2'!$C$9),MONTH('Inputs 2'!$C$9)+INT((($BE12+1)-1)/2),1),0))))+IF(MOD(($BE12+1)-1,2)=1,15,0),EDATE('Inputs 2'!$C$9,($BE12+1)-1)))))&lt;&gt;'Inputs 2'!$C$10,"",IF('Inputs 2'!$C$7="Weekly",'Inputs 2'!$C$9+7*(($BE12+1)-1),IF('Inputs 2'!$C$7="Biweekly",'Inputs 2'!$C$9+14*(($BE12+1)-1),IF('Inputs 2'!$C$7="Semimonthly",DATE(YEAR('Inputs 2'!$C$9),MONTH('Inputs 2'!$C$9)+INT((($BE12+1)-1)/2),MIN(DAY('Inputs 2'!$C$9),DAY(EOMONTH(DATE(YEAR('Inputs 2'!$C$9),MONTH('Inputs 2'!$C$9)+INT((($BE12+1)-1)/2),1),0))))+IF(MOD(($BE12+1)-1,2)=1,15,0),EDATE('Inputs 2'!$C$9,($BE12+1)-1)))))</f>
      </c>
      <c r="CE13" s="21">
        <f>IF(SUMPRODUCT(MIN(IF(('Inputs 2'!$C$58:$C$67&gt;MAX($B$6:$B12))*('Inputs 2'!$C$58:$C$67&gt;=DATE('Inputs 2'!$C$10,1,1))*('Inputs 2'!$C$58:$C$67&lt;=DATE('Inputs 2'!$C$10,12,31)),'Inputs 2'!$C$58:$C$67,999999)))=999999,"",SUMPRODUCT(MIN(IF(('Inputs 2'!$C$58:$C$67&gt;MAX($B$6:$B12))*('Inputs 2'!$C$58:$C$67&gt;=DATE('Inputs 2'!$C$10,1,1))*('Inputs 2'!$C$58:$C$67&lt;=DATE('Inputs 2'!$C$10,12,31)),'Inputs 2'!$C$58:$C$67,999999))))</f>
      </c>
    </row>
    <row r="14">
      <c r="A14" t="n">
        <v>9</v>
      </c>
      <c r="B14" s="21">
        <f>IF(AND($CD14="",$CE14=""),"",IF($CE14="",$CD14,IF($CD14="",$CE14,MIN($CD14,$CE14))))</f>
      </c>
      <c r="C14" s="7">
        <f>IF($B14="","",IF($BF14=0,0,IF('Inputs 2'!$C$4="Annual salary",ROUND($AK14/IF(AND('Inputs 2'!$C$88="Actual paydays",MONTH('Inputs 2'!$C$9)=1),MAX(1,MAX($BE$6:$BE$68)),'Inputs 2'!$C$8),2),$AK14)))</f>
      </c>
      <c r="D14" s="7">
        <f>IF($B14="","",SUMIF('Inputs 2'!$C$58:$C$67,$B14,'Inputs 2'!$D$58:$D$67))</f>
      </c>
      <c r="E14" s="7">
        <f>IF($B14="","",ROUND(MAX(0,MIN(IF($AL14="Percent",$AM14*($C14+$D14),$AM14),MAX(0,'Inputs 2'!$C$34-$AC13))),2))</f>
      </c>
      <c r="F14" s="7">
        <f>IF($B14="","",ROUND(MAX(0,MIN(IF('Inputs 2'!$C$32="Percent",'Inputs 2'!$D$32*($C14+$D14),'Inputs 2'!$D$32),MAX(0,'Inputs 2'!$C$34-$AC13-$E14))),2))</f>
      </c>
      <c r="G14" s="7">
        <f>IF($B14="","",IF($BF14=0,0,ROUND(MAX(0,MIN($BL14,'Inputs 2'!$C$37-'Inputs 2'!$C$54-$BI13)),2)))</f>
      </c>
      <c r="H14" s="7">
        <f>IF($B14="","",IF(OR($BF14=0,$BQ14=1),0,ROUND(MAX(0,MIN(IF($BS14=1,ROUND(MAX(0,MIN($BJ14,'Methodology &amp; Sources'!$C$13)-$BG13)/MAX(1,MAX($BE$6:$BE$68)-($BE13)),2),ROUND(MIN($BJ14,'Methodology &amp; Sources'!$C$13)/'Inputs 2'!$C$8,2)),MIN($BJ14,'Methodology &amp; Sources'!$C$13)-$BG13)),2)))</f>
      </c>
      <c r="I14" s="7">
        <f>IF($B14="","",IF(OR($BF14=0,$BR14=1),0,ROUND(MAX(0,MIN(IF($BT14=1,ROUND(MAX(0,MIN($BK14,IF('Inputs 2'!$C$12="MFJ",'Methodology &amp; Sources'!$C$14,'Methodology &amp; Sources'!$C$15))-$BH13)/MAX(1,MAX($BE$6:$BE$68)-($BE13)),2),ROUND(MIN($BK14,IF('Inputs 2'!$C$12="MFJ",'Methodology &amp; Sources'!$C$14,'Methodology &amp; Sources'!$C$15))/'Inputs 2'!$C$8,2)),MIN($BK14,IF('Inputs 2'!$C$12="MFJ",'Methodology &amp; Sources'!$C$14,'Methodology &amp; Sources'!$C$15))-$BH13)),2)))</f>
      </c>
      <c r="J14" s="7">
        <f>IF($B14="","",IF($BF14=0,0,$BM14))</f>
      </c>
      <c r="K14" s="7">
        <f>IF($B14="","",IF($BF14=0,0,$BN14+$BO14))</f>
      </c>
      <c r="L14" s="7">
        <f>IF($B14="","",IF($BF14=0,0,'Inputs 2'!$D$46))</f>
      </c>
      <c r="M14" s="7">
        <f>IF($B14="","",$C14+$D14+$L14-$E14-$G14-$H14-$I14-$J14-$K14)</f>
      </c>
      <c r="N14" s="7">
        <f>IF($B14="","",$C14+$D14+$L14-$G14-$H14-$I14-$J14-$K14)</f>
      </c>
      <c r="O14" s="7">
        <f>IF($B14="","",$C14+$D14+$L14-$E14-$H14-$I14-$J14-$K14-IF(OR($AN14="CA",$AN14="NJ"),0,$G14))</f>
      </c>
      <c r="P14" s="7">
        <f>IF($B14="","",IF('Inputs 2'!$C$18,0,ROUND(MAX(0,IF('Inputs 2'!$C$13,SUMPRODUCT(($AH14&gt;INDEX('Methodology &amp; Sources'!$B$29:$J$36,0,IF('Inputs 2'!$C$12="MFJ",1,IF('Inputs 2'!$C$12="HoH",7,4))))*($AH14-INDEX('Methodology &amp; Sources'!$B$29:$J$36,0,IF('Inputs 2'!$C$12="MFJ",1,IF('Inputs 2'!$C$12="HoH",7,4))))*INDEX('Methodology &amp; Sources'!$B$29:$J$36,0,IF('Inputs 2'!$C$12="MFJ",1,IF('Inputs 2'!$C$12="HoH",7,4))+2)),SUMPRODUCT(($AH14&gt;INDEX('Methodology &amp; Sources'!$B$19:$J$26,0,IF('Inputs 2'!$C$12="MFJ",1,IF('Inputs 2'!$C$12="HoH",7,4))))*($AH14-INDEX('Methodology &amp; Sources'!$B$19:$J$26,0,IF('Inputs 2'!$C$12="MFJ",1,IF('Inputs 2'!$C$12="HoH",7,4))))*INDEX('Methodology &amp; Sources'!$B$19:$J$26,0,IF('Inputs 2'!$C$12="MFJ",1,IF('Inputs 2'!$C$12="HoH",7,4))+2)))/'Inputs 2'!$C$8-$AO14/'Inputs 2'!$C$8)+$AR14+IF('Inputs 2'!$C$89="Aggregate",MAX(0,IF('Inputs 2'!$C$13,SUMPRODUCT((($AH14+$D14)&gt;INDEX('Methodology &amp; Sources'!$B$29:$J$36,0,IF('Inputs 2'!$C$12="MFJ",1,IF('Inputs 2'!$C$12="HoH",7,4))))*(($AH14+$D14)-INDEX('Methodology &amp; Sources'!$B$29:$J$36,0,IF('Inputs 2'!$C$12="MFJ",1,IF('Inputs 2'!$C$12="HoH",7,4))))*INDEX('Methodology &amp; Sources'!$B$29:$J$36,0,IF('Inputs 2'!$C$12="MFJ",1,IF('Inputs 2'!$C$12="HoH",7,4))+2)),SUMPRODUCT((($AH14+$D14)&gt;INDEX('Methodology &amp; Sources'!$B$19:$J$26,0,IF('Inputs 2'!$C$12="MFJ",1,IF('Inputs 2'!$C$12="HoH",7,4))))*(($AH14+$D14)-INDEX('Methodology &amp; Sources'!$B$19:$J$26,0,IF('Inputs 2'!$C$12="MFJ",1,IF('Inputs 2'!$C$12="HoH",7,4))))*INDEX('Methodology &amp; Sources'!$B$19:$J$26,0,IF('Inputs 2'!$C$12="MFJ",1,IF('Inputs 2'!$C$12="HoH",7,4))+2)))-IF('Inputs 2'!$C$13,SUMPRODUCT(($AH14&gt;INDEX('Methodology &amp; Sources'!$B$29:$J$36,0,IF('Inputs 2'!$C$12="MFJ",1,IF('Inputs 2'!$C$12="HoH",7,4))))*($AH14-INDEX('Methodology &amp; Sources'!$B$29:$J$36,0,IF('Inputs 2'!$C$12="MFJ",1,IF('Inputs 2'!$C$12="HoH",7,4))))*INDEX('Methodology &amp; Sources'!$B$29:$J$36,0,IF('Inputs 2'!$C$12="MFJ",1,IF('Inputs 2'!$C$12="HoH",7,4))+2)),SUMPRODUCT(($AH14&gt;INDEX('Methodology &amp; Sources'!$B$19:$J$26,0,IF('Inputs 2'!$C$12="MFJ",1,IF('Inputs 2'!$C$12="HoH",7,4))))*($AH14-INDEX('Methodology &amp; Sources'!$B$19:$J$26,0,IF('Inputs 2'!$C$12="MFJ",1,IF('Inputs 2'!$C$12="HoH",7,4))))*INDEX('Methodology &amp; Sources'!$B$19:$J$26,0,IF('Inputs 2'!$C$12="MFJ",1,IF('Inputs 2'!$C$12="HoH",7,4))+2)))),'Methodology &amp; Sources'!$C$10*$D14),2)))</f>
      </c>
      <c r="Q14" s="7">
        <f>IF($B14="","",ROUND('Methodology &amp; Sources'!$C$4*MIN($N14,MAX(0,'Methodology &amp; Sources'!$C$3-($AX14+$AB13-$AW14))),2))</f>
      </c>
      <c r="R14" s="7">
        <f>IF($B14="","",ROUND('Methodology &amp; Sources'!$C$5*$N14,2))</f>
      </c>
      <c r="S14" s="7">
        <f>IF($B14="","",ROUND('Methodology &amp; Sources'!$C$6*MAX(0,MIN($N14,$AG13+$N14-'Methodology &amp; Sources'!$C$7)),2))</f>
      </c>
      <c r="T14" s="7">
        <f>IF($B14="","",IF('Inputs 2'!$C$26,0,IF($AN14="CA",ROUND(IF($AI14&lt;=IF(($AS14+$AT14)&gt;=2,VLOOKUP($AN14,StateTables!$A$6:$AB$56,10,FALSE),VLOOKUP($AN14,StateTables!$A$6:$AB$56,9,FALSE)),0,MAX(0,SUMPRODUCT(($AJ14&gt;INDEX('Methodology &amp; Sources'!$B$39:$J$48,0,IF($AU14="Married",4,IF($AU14="Head of household",7,1))))*($AJ14-INDEX('Methodology &amp; Sources'!$B$39:$J$48,0,IF($AU14="Married",4,IF($AU14="Head of household",7,1))))*INDEX('Methodology &amp; Sources'!$B$39:$J$48,0,IF($AU14="Married",4,IF($AU14="Head of household",7,1))+2))-VLOOKUP($AN14,StateTables!$A$6:$AB$56,11,FALSE)*$AS14)/'Inputs 2'!$C$8)+'Inputs 2'!$C$25+VLOOKUP($AN14,StateTables!$A$6:$AB$56,13,FALSE)*$D14,2),IF(VLOOKUP($AN14,StateTables!$A$6:$AB$56,4,FALSE)="None",0,IF(ISNUMBER(SEARCH("MANUAL",VLOOKUP($AN14,StateTables!$A$6:$AB$56,5,FALSE))),'Inputs 2'!$C$28,ROUND(MAX(0,$BA14+$BB14)/'Inputs 2'!$C$8+'Inputs 2'!$C$25+$BC14,2))))))</f>
      </c>
      <c r="U14" s="7">
        <f>IF($B14="","",IF(VLOOKUP($AN14,StateTables!$A$6:$AB$56,24,FALSE)="flatq",IF(OR(MONTH($B14)=1,MONTH($B14)=4,MONTH($B14)=7,MONTH($B14)=10),VLOOKUP($AN14,StateTables!$A$6:$AB$56,25,FALSE),0),IF(VLOOKUP($AN14,StateTables!$A$6:$AB$56,24,FALSE)="dbl",MIN(ROUND(0.005*$N14,2),ROUND(0.6*52/'Inputs 2'!$C$8,2)),IF(OR(VLOOKUP($AN14,StateTables!$A$6:$AB$56,15,FALSE)="",VLOOKUP($AN14,StateTables!$A$6:$AB$56,15,FALSE)=0),0,ROUND(VLOOKUP($AN14,StateTables!$A$6:$AB$56,15,FALSE)*IF(OR(VLOOKUP($AN14,StateTables!$A$6:$AB$56,16,FALSE)="",VLOOKUP($AN14,StateTables!$A$6:$AB$56,16,FALSE)=0),$N14,MIN($N14,MAX(0,VLOOKUP($AN14,StateTables!$A$6:$AB$56,16,FALSE)-($AX14+$AB13-$AW14)))),2))))+IF(VLOOKUP($AN14,StateTables!$A$6:$AB$56,27,FALSE)="flatq",IF(OR(MONTH($B14)=1,MONTH($B14)=4,MONTH($B14)=7,MONTH($B14)=10),VLOOKUP($AN14,StateTables!$A$6:$AB$56,28,FALSE),0),IF(VLOOKUP($AN14,StateTables!$A$6:$AB$56,27,FALSE)="dbl",MIN(ROUND(0.005*$N14,2),ROUND(0.6*52/'Inputs 2'!$C$8,2)),IF(OR(VLOOKUP($AN14,StateTables!$A$6:$AB$56,18,FALSE)="",VLOOKUP($AN14,StateTables!$A$6:$AB$56,18,FALSE)=0),0,ROUND(VLOOKUP($AN14,StateTables!$A$6:$AB$56,18,FALSE)*IF(OR(VLOOKUP($AN14,StateTables!$A$6:$AB$56,19,FALSE)="",VLOOKUP($AN14,StateTables!$A$6:$AB$56,19,FALSE)=0),$N14,MIN($N14,MAX(0,VLOOKUP($AN14,StateTables!$A$6:$AB$56,19,FALSE)-($AX14+$AB13-$AW14)))),2)))))</f>
      </c>
      <c r="V14" s="7">
        <f>IF($B14="","",IF($AN14="NY",IF('Inputs 2'!$C$78,ROUND(SUMPRODUCT((MAX(0,($O14-$D14)*'Inputs 2'!$C$8-(IF($AU14="Married",5500,5000)+1000*$AS14))&gt;INDEX('Methodology &amp; Sources'!$B$184:$J$198,0,4))*(MAX(0,($O14-$D14)*'Inputs 2'!$C$8-(IF($AU14="Married",5500,5000)+1000*$AS14))-INDEX('Methodology &amp; Sources'!$B$184:$J$198,0,4))*INDEX('Methodology &amp; Sources'!$B$184:$J$198,0,4+2))/'Inputs 2'!$C$8+0.0425*$D14,2),0)+IF('Inputs 2'!$C$79="Resident",ROUND(0.1675*$T14,2),IF('Inputs 2'!$C$79="Nonresident",ROUND(0.005*MAX(0,($O14-$D14)-(IF($AU14="Married",7950,7400)+1000*$AS14)/'Inputs 2'!$C$8),2),0)),IF($AN14="PA",IF('Inputs 2'!$C$80="None",'Inputs 2'!$C$27+ROUND('Inputs 2'!$C$81*($C14+$D14),2),ROUND(IF('Inputs 2'!$C$80="Resident",IF($B14&lt;DATE(2027,7,1),0.03735,0.03735),IF($B14&lt;DATE(2027,7,1),0.03425,0.03425))*($C14+$D14),2)),IF($BF14=0,ROUND('Inputs 2'!$C$81*($C14+$D14),2),'Inputs 2'!$C$27+ROUND('Inputs 2'!$C$81*($C14+$D14),2)))))</f>
      </c>
      <c r="W14" s="7">
        <f>IF($B14="","",IF($BF14=0,0,$BP14))</f>
      </c>
      <c r="X14" s="7">
        <f>IF($B14="","",SUM($E14:$K14)+$P14+$Q14+$R14+$S14+$T14+$U14+$V14+$W14)</f>
      </c>
      <c r="Y14" s="22">
        <f>IF($B14="","",$C14+$D14-$X14)</f>
      </c>
      <c r="Z14" s="7">
        <f>IF($B14="","",$Z13+$C14+$D14)</f>
      </c>
      <c r="AA14" s="7">
        <f>IF($B14="","",$AA13+$Y14)</f>
      </c>
      <c r="AB14" s="7">
        <f>IF($B14="","",$AB13+MIN($N14,MAX(0,'Methodology &amp; Sources'!$C$3-($AX14+$AB13-$AW14))))</f>
      </c>
      <c r="AC14" s="7">
        <f>IF($B14="","",$AC13+$E14+$F14)</f>
      </c>
      <c r="AD14" s="3">
        <f>IF($B14="","",IF(AND($AB13&lt;'Methodology &amp; Sources'!$C$3,$AB14&gt;='Methodology &amp; Sources'!$C$3),"★ Social Security maxed on this check — from the next check your net rises by about $"&amp;TEXT(ROUND('Methodology &amp; Sources'!$C$4*$N14,2),"#,##0.00")&amp;". ","")&amp;IF(AND($AC13&lt;'Inputs 2'!$C$34,$AC14&gt;='Inputs 2'!$C$34),"★ 401(k) reaches the $"&amp;TEXT('Inputs 2'!$C$34,"#,##0")&amp;" cap on this check — deferrals stop and net pay rises. ","")&amp;IF(AND($AG13&lt;'Methodology &amp; Sources'!$C$7,$AG14&gt;='Methodology &amp; Sources'!$C$7),"★ Wages pass $200,000 — the 0.9% Additional Medicare Tax starts here. ","")&amp;IF(AND($BJ14&gt;0,$H14&gt;0,$BG13&lt;MIN($BJ14,'Methodology &amp; Sources'!$C$13),$BG13+$H14&gt;=MIN($BJ14,'Methodology &amp; Sources'!$C$13)),"★ Health FSA election is now fully deferred for the year. ",""))</f>
      </c>
      <c r="AE14" s="41" t="n"/>
      <c r="AF14" s="7">
        <f>IF(OR($B14="",$AE14=""),"",$AE14-$Y14)</f>
      </c>
      <c r="AG14" s="7">
        <f>IF($B14="","",$AG13+$N14)</f>
      </c>
      <c r="AH14" s="7">
        <f>IF($B14="","",MAX(0,($M14-$D14)*'Inputs 2'!$C$8+$AP14-$AQ14-IF('Inputs 2'!$C$13,0,IF('Inputs 2'!$C$12="MFJ",'Methodology &amp; Sources'!$C$8,'Methodology &amp; Sources'!$C$9))))</f>
      </c>
      <c r="AI14" s="7">
        <f>IF($B14="","",$O14*'Inputs 2'!$C$8)</f>
      </c>
      <c r="AJ14" s="7">
        <f>IF($B14="","",MAX(0,$AI14-VLOOKUP($AN14,StateTables!$A$6:$AB$56,12,FALSE)*$AT14-IF(($AS14+$AT14)&gt;=2,VLOOKUP($AN14,StateTables!$A$6:$AB$56,8,FALSE),VLOOKUP($AN14,StateTables!$A$6:$AB$56,7,FALSE))))</f>
      </c>
      <c r="AK14" s="7">
        <f>IF($B14="","",IFERROR(LOOKUP(2,1/(('Events 2'!$C$6:$C$17="Salary change")*('Events 2'!$B$6:$B$17&lt;=$B14)*('Events 2'!$B$6:$B$17&lt;&gt;"")),'Events 2'!$D$6:$D$17),IF('Inputs 2'!$C$4="Annual salary",'Inputs 2'!$C$5,'Inputs 2'!$C$6)))</f>
      </c>
      <c r="AL14">
        <f>IF($B14="","",IFERROR(LOOKUP(2,1/(('Events 2'!$C$6:$C$17="401(k) change")*('Events 2'!$B$6:$B$17&lt;=$B14)*('Events 2'!$B$6:$B$17&lt;&gt;"")),'Events 2'!$D$6:$D$17),'Inputs 2'!$C$30))</f>
      </c>
      <c r="AM14" s="7">
        <f>IF($B14="","",IFERROR(LOOKUP(2,1/(('Events 2'!$C$6:$C$17="401(k) change")*('Events 2'!$B$6:$B$17&lt;=$B14)*('Events 2'!$B$6:$B$17&lt;&gt;"")),'Events 2'!$E$6:$E$17),'Inputs 2'!$D$30))</f>
      </c>
      <c r="AN14">
        <f>IF($B14="","",IFERROR(LOOKUP(2,1/(('Events 2'!$C$6:$C$17="State move")*('Events 2'!$B$6:$B$17&lt;=$B14)*('Events 2'!$B$6:$B$17&lt;&gt;"")),'Events 2'!$D$6:$D$17),'Inputs 2'!$C$21))</f>
      </c>
      <c r="AO14" s="7">
        <f>IF($B14="","",IFERROR(LOOKUP(2,1/(('Events 2'!$C$6:$C$17="W-4 change")*('Events 2'!$B$6:$B$17&lt;=$B14)*('Events 2'!$B$6:$B$17&lt;&gt;"")),'Events 2'!$D$6:$D$17),'Inputs 2'!$C$14))</f>
      </c>
      <c r="AP14" s="7">
        <f>IF($B14="","",IFERROR(LOOKUP(2,1/(('Events 2'!$C$6:$C$17="W-4 change")*('Events 2'!$B$6:$B$17&lt;=$B14)*('Events 2'!$B$6:$B$17&lt;&gt;"")),'Events 2'!$E$6:$E$17),'Inputs 2'!$C$15))</f>
      </c>
      <c r="AQ14" s="7">
        <f>IF($B14="","",IFERROR(LOOKUP(2,1/(('Events 2'!$C$6:$C$17="W-4 change")*('Events 2'!$B$6:$B$17&lt;=$B14)*('Events 2'!$B$6:$B$17&lt;&gt;"")),'Events 2'!$F$6:$F$17),'Inputs 2'!$C$16))</f>
      </c>
      <c r="AR14" s="7">
        <f>IF($B14="","",IFERROR(LOOKUP(2,1/(('Events 2'!$C$6:$C$17="W-4 change")*('Events 2'!$B$6:$B$17&lt;=$B14)*('Events 2'!$B$6:$B$17&lt;&gt;"")),'Events 2'!$G$6:$G$17),'Inputs 2'!$C$17))</f>
      </c>
      <c r="AS14" s="6">
        <f>IF($B14="","",IFERROR(LOOKUP(2,1/((('Events 2'!$C$6:$C$17="State move")+('Events 2'!$C$6:$C$17="State cert change"))*('Events 2'!$B$6:$B$17&lt;=$B14)*('Events 2'!$B$6:$B$17&lt;&gt;"")),'Events 2'!$F$6:$F$17),'Inputs 2'!$C$23))</f>
      </c>
      <c r="AT14" s="6">
        <f>IF($B14="","",IFERROR(LOOKUP(2,1/((('Events 2'!$C$6:$C$17="State move")+('Events 2'!$C$6:$C$17="State cert change"))*('Events 2'!$B$6:$B$17&lt;=$B14)*('Events 2'!$B$6:$B$17&lt;&gt;"")),'Events 2'!$G$6:$G$17),'Inputs 2'!$C$24))</f>
      </c>
      <c r="AU14">
        <f>IF($B14="","",IFERROR(LOOKUP(2,1/(('Events 2'!$C$6:$C$17="State move")*('Events 2'!$B$6:$B$17&lt;=$B14)*('Events 2'!$B$6:$B$17&lt;&gt;"")),'Events 2'!$E$6:$E$17),'Inputs 2'!$C$22))</f>
      </c>
      <c r="AV14" s="6">
        <f>IF($B14="","",1+COUNTIFS('Events 2'!$C$6:$C$17,"Employer change",'Events 2'!$B$6:$B$17,"&lt;="&amp;$B14,'Events 2'!$B$6:$B$17,"&lt;&gt;"))</f>
      </c>
      <c r="AW14" s="7">
        <f>IF($B14="","",IF($AV14=1,'Inputs 2'!$C$49,IF(IFERROR(MATCH(IFERROR(LOOKUP(2,1/(('Events 2'!$C$6:$C$17="Employer change")*('Events 2'!$B$6:$B$17&lt;=$B14)*('Events 2'!$B$6:$B$17&lt;&gt;"")),'Events 2'!$B$6:$B$17),""),$B$6:$B$68,1),1)&lt;=1,'Inputs 2'!$C$49,INDEX($AB$6:$AB$68,MATCH(IFERROR(LOOKUP(2,1/(('Events 2'!$C$6:$C$17="Employer change")*('Events 2'!$B$6:$B$17&lt;=$B14)*('Events 2'!$B$6:$B$17&lt;&gt;"")),'Events 2'!$B$6:$B$17),""),$B$6:$B$68,1)-1))))</f>
      </c>
      <c r="AX14" s="7">
        <f>IF($B14="","",IF($AV14=1,'Inputs 2'!$C$49,IFERROR(LOOKUP(2,1/(('Events 2'!$C$6:$C$17="Employer change")*('Events 2'!$B$6:$B$17&lt;=$B14)*('Events 2'!$B$6:$B$17&lt;&gt;"")),'Events 2'!$D$6:$D$17),0)))</f>
      </c>
      <c r="AY14" s="7">
        <f>IF($B14="","",($O14-$D14)*'Inputs 2'!$C$8)</f>
      </c>
      <c r="AZ14" s="7">
        <f>IF($B14="","",IF($AN14="AL",MAX(0,$AY14-IF($AU14="Married",IF($AY14&lt;=25999,8500,MAX(5000,8500-175*CEILING(($AY14-25999)/500,1))),IF($AU14="Head of household",IF($AY14&lt;=25999,5200,MAX(2500,5200-135*CEILING(($AY14-25999)/500,1))),IF($AY14&lt;=25999,3000,MAX(2500,3000-25*CEILING(($AY14-25999)/500,1)))))-($P14-'Methodology &amp; Sources'!$C$10*$D14)*'Inputs 2'!$C$8-IF(OR($AU14="Married",$AU14="Head of household"),3000,1500)-$AT14*IF($AY14&lt;=50000,1000,IF($AY14&lt;=100000,500,300))),IF($AN14="AR",IF(MAX(0,$AY14-2470)&lt;97701,INT(MAX(0,$AY14-2470)/100)*100+50,MAX(0,$AY14-2470)),IF($AN14="DE",MAX(0,$AI14-3250),IF($AN14="HI",MAX(0,$AI14-1144*$AS14-4350),IF($AN14="KS",MAX(0,$AI14-(9160*IF($AU14="Married",2,1)+2320*$AT14+IF($AU14="Head of household",2320,0))),IF($AN14="MD",MAX(0,$AI14-3400-3200*$AS14),IF($AN14="MN",MAX(0,$AY14-5300*$AS14),IF($AN14="MO",MAX(0,$AI14-IF($AU14="Head of household",24150,IF($AU14="Married",IF('Inputs 2'!$C$83,16100,32200),16100))),IF($AN14="MT",$AY14,IF($AN14="ND",($C14+$L14)*'Inputs 2'!$C$8,IF($AN14="NE",MAX(0,$AY14-2440*$AS14),IF($AN14="NJ",MAX(0,$AY14-1000*$AS14),IF($AN14="NY",MAX(0,$AY14-(IF($AU14="Married",7950,7400)+1000*$AS14)),IF($AN14="OH",MAX(0,$AY14-650*$AS14),IF($AN14="OK",MAX(0,$AY14-1000*$AS14),IF($AN14="RI",MAX(0,$AI14-1000*$AS14),IF($AN14="SC",MAX(0,$AI14-5000*$AS14-IF($AS14=0,0,MIN(0.1*$AI14,7500))),IF($AN14="VA",MAX(0,$AI14-IF($AU14="Married",17500,8750)-930*$AS14-800*$AT14),IF($AN14="VT",MAX(0,$AI14-5400*$AS14),IF($AN14="WI",MAX(0,$AI14-MAX(0,IF($AU14="Married",9461-0.2*MAX(0,$AI14-25727),6702-0.12*MAX(0,$AI14-17780)))-400*$AS14),IF($AN14="WV",MAX(0,$AI14-2000*$AS14),$AI14))))))))))))))))))))))</f>
      </c>
      <c r="BA14" s="7">
        <f>IF($B14="","",IF($BW14&lt;&gt;"",$BW14,IF($BX14&lt;&gt;"",$BX14,IF($BY14&lt;&gt;"",$BY14,0))))</f>
      </c>
      <c r="BB14" s="7">
        <f>IF($B14="","",IF($AN14="AR",-29*$AS14,IF($AN14="DE",-110*$AS14,IF($AN14="MD",$AZ14*'Inputs 2'!$C$74,IF($AN14="AZ",'Inputs 2'!$C$82*($M14-$D14)*'Inputs 2'!$C$8,IF($AN14="CO",0.044*MAX(0,$AY14-IF($AU14="Married",10000,5000)),IF($AN14="IA",MAX(0,0.038*MAX(0,$AY14-IF($AU14="Head of household",19500,IF($AU14="Married",26000,13000)))-40*$AS14),IF($AN14="ID",0.053*MAX(0,$AY14-IF($AU14="Married",32000,16094)),IF($AN14="IL",0.0495*MAX(0,$AY14-(2925*$AS14+1000*$AT14)),IF($AN14="IN",(0.0295+'Inputs 2'!$C$76)*MAX(0,$AY14-(1000*$AS14+1500*$AT14+3000*'Inputs 2'!$C$86)),IF($AN14="KY",0.035*MAX(0,$AI14-3360),IF($AN14="LA",IF('Inputs 2'!$C$84="0",0.0309*$AI14,0.0309*MAX(0,$AI14-IF('Inputs 2'!$C$84="2",25750,12875))),IF($AN14="MA",0.05*MIN(MAX(0,$AY14-MIN(($BD13+$Q14+$R14+$S14),2000)-IF($AS14=0,0,IF($AS14=1,4400,1000*$AS14+3400))),1107750)+0.09*MAX(0,MAX(0,$AY14-MIN(($BD13+$Q14+$R14+$S14),2000)-IF($AS14=0,0,IF($AS14=1,4400,1000*$AS14+3400)))-1107750)-IF($AU14="Head of household",120,0)-110*'Inputs 2'!$C$75,IF($AN14="MI",0.0425*MAX(0,$AY14-5900*$AS14),IF($AN14="MS",0.04*MAX(0,$AI14-IF($AU14="Head of household",3400,IF($AU14="Married",4600,2300))-'Inputs 2'!$C$85-10000),IF($AN14="OR",IF(OR($AU14="Married",AND($AU14="Single",$AS14&gt;=3)),SUMPRODUCT((MAX(0,$AY14-MIN(($P14-'Methodology &amp; Sources'!$C$10*$D14)*'Inputs 2'!$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Sources'!$B$211:$J$214,0,4))*(MAX(0,$AY14-MIN(($P14-'Methodology &amp; Sources'!$C$10*$D14)*'Inputs 2'!$C$8,IF(OR($AU14="Married",AND($AU14="Single",$AS14&gt;=3)),IF($AY14&lt;250000,8750,IF($AY14&lt;260000,7000,IF($AY14&lt;270000,5250,IF($AY14&lt;280000,3500,IF($AY14&lt;290000,1750,0))))),IF($AY14&lt;125000,8750,IF($AY14&lt;130000,7000,IF($AY14&lt;135000,5250,IF($AY14&lt;140000,3500,IF($AY14&lt;145000,1750,0)))))))-IF(OR($AU14="Married",AND($AU14="Single",$AS14&gt;=3)),5820,2910))-INDEX('Methodology &amp; Sources'!$B$211:$J$214,0,4))*INDEX('Methodology &amp; Sources'!$B$211:$J$214,0,4+2)),SUMPRODUCT((MAX(0,$AY14-MIN(($P14-'Methodology &amp; Sources'!$C$10*$D14)*'Inputs 2'!$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Sources'!$B$211:$J$214,0,1))*(MAX(0,$AY14-MIN(($P14-'Methodology &amp; Sources'!$C$10*$D14)*'Inputs 2'!$C$8,IF(OR($AU14="Married",AND($AU14="Single",$AS14&gt;=3)),IF($AY14&lt;250000,8750,IF($AY14&lt;260000,7000,IF($AY14&lt;270000,5250,IF($AY14&lt;280000,3500,IF($AY14&lt;290000,1750,0))))),IF($AY14&lt;125000,8750,IF($AY14&lt;130000,7000,IF($AY14&lt;135000,5250,IF($AY14&lt;140000,3500,IF($AY14&lt;145000,1750,0)))))))-IF(OR($AU14="Married",AND($AU14="Single",$AS14&gt;=3)),5820,2910))-INDEX('Methodology &amp; Sources'!$B$211:$J$214,0,1))*INDEX('Methodology &amp; Sources'!$B$211:$J$214,0,1+2)))+263-263*IF(IF($AU14="Married",$AY14&gt;200000,$AY14&gt;100000),0,$AS14),IF($AN14="PA",0.0307*(($O14+$E14+$G14)*'Inputs 2'!$C$8),IF($AN14="NY",IF($AU14="Married",IF($AZ14&gt;=2155350,0,IF($AZ14&gt;=1077550,0.48,IF($AZ14&gt;=373200,1.21,IF($AZ14&gt;=323200,0.21,IF($AZ14&gt;=211550,-0.19,IF($AZ14&gt;=157650,-2.8,IF($AZ14&gt;=107650,-0.8,IF($AZ14&gt;=96800,0.05,IF($AZ14&gt;=80650,-0.1,IF($AZ14&gt;=13900,0.4,IF($AZ14&gt;=11700,-0.3,IF($AZ14&gt;=8500,0.5,0)))))))))))),IF($AZ14&gt;=1077550,0,IF($AZ14&gt;=265400,4.29,IF($AZ14&gt;=215400,2.29,IF($AZ14&gt;=157650,2.29,IF($AZ14&gt;=107650,0.29,IF($AZ14&gt;=96800,0.05,IF($AZ14&gt;=80650,-0.1,IF($AZ14&gt;=13900,0.4,IF($AZ14&gt;=11700,-0.3,IF($AZ14&gt;=8500,0.5,0))))))))))),0))))))))))))))))))</f>
      </c>
      <c r="BC14" s="7">
        <f>IF($B14="","",IF($AN14="AL",0.05*$D14,IF($AN14="AR",0.039*$D14,IF($AN14="ID",0.053*$D14,IF($AN14="IN",(0.0295+'Inputs 2'!$C$76)*$D14,IF($AN14="KS",0.05*$D14,IF($AN14="MA",0.09*MIN($D14,MAX(0,MAX(0,$AY14-MIN(($BD13+$Q14+$R14+$S14),2000)-IF($AS14=0,0,IF($AS14=1,4400,1000*$AS14+3400)))+$D14-1107750))+0.05*($D14-MIN($D14,MAX(0,MAX(0,$AY14-MIN(($BD13+$Q14+$R14+$S14),2000)-IF($AS14=0,0,IF($AS14=1,4400,1000*$AS14+3400)))+$D14-1107750))),IF($AN14="MD",(0.065+'Inputs 2'!$C$74)*$D14,IF($AN14="MI",0.0425*$D14,IF($AN14="MN",0.0625*$D14,IF($AN14="MO",0.047*$D14,IF($AN14="MT",0.05*$D14,IF($AN14="ND",0.015*$D14,IF($AN14="NE",0.035*$D14,IF($AN14="NJ",IF('Inputs 2'!$C$77="B",SUMPRODUCT(($D14*'Inputs 2'!$C$8&gt;INDEX('Methodology &amp; Sources'!$B$155:$J$162,0,4))*($D14*'Inputs 2'!$C$8-INDEX('Methodology &amp; Sources'!$B$155:$J$162,0,4))*INDEX('Methodology &amp; Sources'!$B$155:$J$162,0,4+2)),IF('Inputs 2'!$C$77="C",SUMPRODUCT(($D14*'Inputs 2'!$C$8&gt;INDEX('Methodology &amp; Sources'!$B$155:$J$162,0,7))*($D14*'Inputs 2'!$C$8-INDEX('Methodology &amp; Sources'!$B$155:$J$162,0,7))*INDEX('Methodology &amp; Sources'!$B$155:$J$162,0,7+2)),IF('Inputs 2'!$C$77="D",SUMPRODUCT(($D14*'Inputs 2'!$C$8&gt;INDEX('Methodology &amp; Sources'!$B$167:$J$179,0,1))*($D14*'Inputs 2'!$C$8-INDEX('Methodology &amp; Sources'!$B$167:$J$179,0,1))*INDEX('Methodology &amp; Sources'!$B$167:$J$179,0,1+2)),IF('Inputs 2'!$C$77="E",SUMPRODUCT(($D14*'Inputs 2'!$C$8&gt;INDEX('Methodology &amp; Sources'!$B$167:$J$179,0,4))*($D14*'Inputs 2'!$C$8-INDEX('Methodology &amp; Sources'!$B$167:$J$179,0,4))*INDEX('Methodology &amp; Sources'!$B$167:$J$179,0,4+2)),SUMPRODUCT(($D14*'Inputs 2'!$C$8&gt;INDEX('Methodology &amp; Sources'!$B$155:$J$162,0,1))*($D14*'Inputs 2'!$C$8-INDEX('Methodology &amp; Sources'!$B$155:$J$162,0,1))*INDEX('Methodology &amp; Sources'!$B$155:$J$162,0,1+2))))))/'Inputs 2'!$C$8,IF($AN14="NY",0.117*$D14,IF($AN14="OH",0.0275*$D14,IF($AN14="OK",0.045*$D14,IF($AN14="OR",0.08*$D14,IF($AN14="WI",IF($AY14&lt;12760,0.0354,IF($AY14&lt;25520,0.0465,IF($AY14&lt;280950,0.053,0.0765)))*$D14,0))))))))))))))))))))</f>
      </c>
      <c r="BD14" s="7">
        <f>IF($B14="","",$BD13+$Q14+$R14+$S14)</f>
      </c>
      <c r="BE14" s="6">
        <f>IF($B14="",$BE13,$BE13+$BF14)</f>
      </c>
      <c r="BF14" s="6">
        <f>IF($B14="","",IF(AND(IF(YEAR(IF('Inputs 2'!$C$7="Weekly",'Inputs 2'!$C$9+7*(($BE13+1)-1),IF('Inputs 2'!$C$7="Biweekly",'Inputs 2'!$C$9+14*(($BE13+1)-1),IF('Inputs 2'!$C$7="Semimonthly",DATE(YEAR('Inputs 2'!$C$9),MONTH('Inputs 2'!$C$9)+INT((($BE13+1)-1)/2),MIN(DAY('Inputs 2'!$C$9),DAY(EOMONTH(DATE(YEAR('Inputs 2'!$C$9),MONTH('Inputs 2'!$C$9)+INT((($BE13+1)-1)/2),1),0))))+IF(MOD(($BE13+1)-1,2)=1,15,0),EDATE('Inputs 2'!$C$9,($BE13+1)-1)))))&lt;&gt;'Inputs 2'!$C$10,"",IF('Inputs 2'!$C$7="Weekly",'Inputs 2'!$C$9+7*(($BE13+1)-1),IF('Inputs 2'!$C$7="Biweekly",'Inputs 2'!$C$9+14*(($BE13+1)-1),IF('Inputs 2'!$C$7="Semimonthly",DATE(YEAR('Inputs 2'!$C$9),MONTH('Inputs 2'!$C$9)+INT((($BE13+1)-1)/2),MIN(DAY('Inputs 2'!$C$9),DAY(EOMONTH(DATE(YEAR('Inputs 2'!$C$9),MONTH('Inputs 2'!$C$9)+INT((($BE13+1)-1)/2),1),0))))+IF(MOD(($BE13+1)-1,2)=1,15,0),EDATE('Inputs 2'!$C$9,($BE13+1)-1)))))&lt;&gt;"",$B14=IF(YEAR(IF('Inputs 2'!$C$7="Weekly",'Inputs 2'!$C$9+7*(($BE13+1)-1),IF('Inputs 2'!$C$7="Biweekly",'Inputs 2'!$C$9+14*(($BE13+1)-1),IF('Inputs 2'!$C$7="Semimonthly",DATE(YEAR('Inputs 2'!$C$9),MONTH('Inputs 2'!$C$9)+INT((($BE13+1)-1)/2),MIN(DAY('Inputs 2'!$C$9),DAY(EOMONTH(DATE(YEAR('Inputs 2'!$C$9),MONTH('Inputs 2'!$C$9)+INT((($BE13+1)-1)/2),1),0))))+IF(MOD(($BE13+1)-1,2)=1,15,0),EDATE('Inputs 2'!$C$9,($BE13+1)-1)))))&lt;&gt;'Inputs 2'!$C$10,"",IF('Inputs 2'!$C$7="Weekly",'Inputs 2'!$C$9+7*(($BE13+1)-1),IF('Inputs 2'!$C$7="Biweekly",'Inputs 2'!$C$9+14*(($BE13+1)-1),IF('Inputs 2'!$C$7="Semimonthly",DATE(YEAR('Inputs 2'!$C$9),MONTH('Inputs 2'!$C$9)+INT((($BE13+1)-1)/2),MIN(DAY('Inputs 2'!$C$9),DAY(EOMONTH(DATE(YEAR('Inputs 2'!$C$9),MONTH('Inputs 2'!$C$9)+INT((($BE13+1)-1)/2),1),0))))+IF(MOD(($BE13+1)-1,2)=1,15,0),EDATE('Inputs 2'!$C$9,($BE13+1)-1)))))),1,0))</f>
      </c>
      <c r="BG14" s="7">
        <f>IF($B14="","",$BG13+$H14)</f>
      </c>
      <c r="BH14" s="7">
        <f>IF($B14="","",$BH13+$I14)</f>
      </c>
      <c r="BI14" s="7">
        <f>IF($B14="","",$BI13+$G14)</f>
      </c>
      <c r="BJ14" s="7">
        <f>IF($B14="","",IFERROR(LOOKUP(2,1/(((('Events 2'!$C$6:$C$17="Deduction start"))*('Events 2'!$D$6:$D$17="Health FSA"))*('Events 2'!$B$6:$B$17&lt;=$B14)*('Events 2'!$B$6:$B$17&lt;&gt;"")),'Events 2'!$E$6:$E$17),'Inputs 2'!$D$38))</f>
      </c>
      <c r="BK14" s="7">
        <f>IF($B14="","",IFERROR(LOOKUP(2,1/(((('Events 2'!$C$6:$C$17="Deduction start"))*('Events 2'!$D$6:$D$17="Dependent-care FSA"))*('Events 2'!$B$6:$B$17&lt;=$B14)*('Events 2'!$B$6:$B$17&lt;&gt;"")),'Events 2'!$E$6:$E$17),'Inputs 2'!$D$39))</f>
      </c>
      <c r="BL14" s="7">
        <f>IF($B14="","",IFERROR(LOOKUP(2,1/(((('Events 2'!$C$6:$C$17="Deduction start")+('Events 2'!$C$6:$C$17="Deduction stop"))*('Events 2'!$D$6:$D$17="HSA"))*('Events 2'!$B$6:$B$17&lt;=$B14)*('Events 2'!$B$6:$B$17&lt;&gt;"")),'Events 2'!$I$6:$I$17),'Inputs 2'!$D$35))</f>
      </c>
      <c r="BM14" s="7">
        <f>IF($B14="","",IFERROR(LOOKUP(2,1/(((('Events 2'!$C$6:$C$17="Deduction start")+('Events 2'!$C$6:$C$17="Deduction stop"))*('Events 2'!$D$6:$D$17="Premiums"))*('Events 2'!$B$6:$B$17&lt;=$B14)*('Events 2'!$B$6:$B$17&lt;&gt;"")),'Events 2'!$I$6:$I$17),'Inputs 2'!$D$40+'Inputs 2'!$D$41+'Inputs 2'!$D$42))</f>
      </c>
      <c r="BN14" s="7">
        <f>IF($B14="","",IFERROR(LOOKUP(2,1/(((('Events 2'!$C$6:$C$17="Deduction start")+('Events 2'!$C$6:$C$17="Deduction stop"))*('Events 2'!$D$6:$D$17="Commuter"))*('Events 2'!$B$6:$B$17&lt;=$B14)*('Events 2'!$B$6:$B$17&lt;&gt;"")),'Events 2'!$I$6:$I$17),'Inputs 2'!$D$43))</f>
      </c>
      <c r="BO14" s="7">
        <f>IF($B14="","",IFERROR(LOOKUP(2,1/(((('Events 2'!$C$6:$C$17="Deduction start")+('Events 2'!$C$6:$C$17="Deduction stop"))*('Events 2'!$D$6:$D$17="Other pre-tax"))*('Events 2'!$B$6:$B$17&lt;=$B14)*('Events 2'!$B$6:$B$17&lt;&gt;"")),'Events 2'!$I$6:$I$17),'Inputs 2'!$D$44))</f>
      </c>
      <c r="BP14" s="7">
        <f>IF($B14="","",IFERROR(LOOKUP(2,1/(((('Events 2'!$C$6:$C$17="Deduction start")+('Events 2'!$C$6:$C$17="Deduction stop"))*('Events 2'!$D$6:$D$17="Other post-tax"))*('Events 2'!$B$6:$B$17&lt;=$B14)*('Events 2'!$B$6:$B$17&lt;&gt;"")),'Events 2'!$I$6:$I$17),'Inputs 2'!$D$45))</f>
      </c>
      <c r="BQ14" s="6">
        <f>IF($B14="","",IFERROR(LOOKUP(2,1/(((('Events 2'!$C$6:$C$17="Deduction start")+('Events 2'!$C$6:$C$17="Deduction stop"))*('Events 2'!$D$6:$D$17="Health FSA"))*('Events 2'!$B$6:$B$17&lt;=$B14)*('Events 2'!$B$6:$B$17&lt;&gt;"")),'Events 2'!$J$6:$J$17),0))</f>
      </c>
      <c r="BR14" s="6">
        <f>IF($B14="","",IFERROR(LOOKUP(2,1/(((('Events 2'!$C$6:$C$17="Deduction start")+('Events 2'!$C$6:$C$17="Deduction stop"))*('Events 2'!$D$6:$D$17="Dependent-care FSA"))*('Events 2'!$B$6:$B$17&lt;=$B14)*('Events 2'!$B$6:$B$17&lt;&gt;"")),'Events 2'!$J$6:$J$17),0))</f>
      </c>
      <c r="BS14" s="6">
        <f>IF($B14="","",IF(SUMPRODUCT(('Events 2'!$C$6:$C$17="Deduction start")*('Events 2'!$B$6:$B$17&lt;=$B14)*('Events 2'!$B$6:$B$17&lt;&gt;"")*('Events 2'!$D$6:$D$17="Health FSA"))&gt;0,1,0))</f>
      </c>
      <c r="BT14" s="6">
        <f>IF($B14="","",IF(SUMPRODUCT(('Events 2'!$C$6:$C$17="Deduction start")*('Events 2'!$B$6:$B$17&lt;=$B14)*('Events 2'!$B$6:$B$17&lt;&gt;"")*('Events 2'!$D$6:$D$17="Dependent-care FSA"))&gt;0,1,0))</f>
      </c>
      <c r="BU14" s="24">
        <f>IF($B14="","",IF('Inputs 2'!$C$13,SUMPRODUCT(($AH14&gt;=INDEX('Methodology &amp; Sources'!$B$29:$J$36,0,IF('Inputs 2'!$C$12="MFJ",1,IF('Inputs 2'!$C$12="HoH",7,4))))*INDEX('Methodology &amp; Sources'!$B$29:$J$36,0,IF('Inputs 2'!$C$12="MFJ",1,IF('Inputs 2'!$C$12="HoH",7,4))+2)),SUMPRODUCT(($AH14&gt;=INDEX('Methodology &amp; Sources'!$B$19:$J$26,0,IF('Inputs 2'!$C$12="MFJ",1,IF('Inputs 2'!$C$12="HoH",7,4))))*INDEX('Methodology &amp; Sources'!$B$19:$J$26,0,IF('Inputs 2'!$C$12="MFJ",1,IF('Inputs 2'!$C$12="HoH",7,4))+2))))</f>
      </c>
      <c r="BV14" s="24">
        <f>IF($B14="","",IF($BZ14&lt;&gt;"",$BZ14,IF($CA14&lt;&gt;"",$CA14,IF($CB14&lt;&gt;"",$CB14,IF($CC14&lt;&gt;"",$CC14,0)))))</f>
      </c>
      <c r="BW14" s="7">
        <f>IF($B14="","",IF($AN14="MD",IF(OR($AU14="Married",$AU14="Head of household"),SUMPRODUCT(($AZ14&gt;INDEX('Methodology &amp; Sources'!$B$114:$J$120,0,1))*($AZ14-INDEX('Methodology &amp; Sources'!$B$114:$J$120,0,1))*INDEX('Methodology &amp; Sources'!$B$114:$J$120,0,1+2)),SUMPRODUCT(($AZ14&gt;INDEX('Methodology &amp; Sources'!$B$103:$J$109,0,7))*($AZ14-INDEX('Methodology &amp; Sources'!$B$103:$J$109,0,7))*INDEX('Methodology &amp; Sources'!$B$103:$J$109,0,7+2))),IF($AN14="MO",SUMPRODUCT(($AZ14&gt;INDEX('Methodology &amp; Sources'!$B$125:$J$132,0,1))*($AZ14-INDEX('Methodology &amp; Sources'!$B$125:$J$132,0,1))*INDEX('Methodology &amp; Sources'!$B$125:$J$132,0,1+2)),IF($AN14="MT",IF($AU14="Head of household",SUMPRODUCT(($AZ14&gt;INDEX('Methodology &amp; Sources'!$B$137:$J$139,0,1))*($AZ14-INDEX('Methodology &amp; Sources'!$B$137:$J$139,0,1))*INDEX('Methodology &amp; Sources'!$B$137:$J$139,0,1+2)),IF($AU14="Married",SUMPRODUCT(($AZ14&gt;INDEX('Methodology &amp; Sources'!$B$125:$J$132,0,7))*($AZ14-INDEX('Methodology &amp; Sources'!$B$125:$J$132,0,7))*INDEX('Methodology &amp; Sources'!$B$125:$J$132,0,7+2)),SUMPRODUCT(($AZ14&gt;INDEX('Methodology &amp; Sources'!$B$125:$J$132,0,4))*($AZ14-INDEX('Methodology &amp; Sources'!$B$125:$J$132,0,4))*INDEX('Methodology &amp; Sources'!$B$125:$J$132,0,4+2)))),IF($AN14="ND",IF($AU14="Head of household",SUMPRODUCT(($AZ14&gt;INDEX('Methodology &amp; Sources'!$B$144:$J$150,0,1))*($AZ14-INDEX('Methodology &amp; Sources'!$B$144:$J$150,0,1))*INDEX('Methodology &amp; Sources'!$B$144:$J$150,0,1+2)),IF($AU14="Married",SUMPRODUCT(($AZ14&gt;INDEX('Methodology &amp; Sources'!$B$137:$J$139,0,7))*($AZ14-INDEX('Methodology &amp; Sources'!$B$137:$J$139,0,7))*INDEX('Methodology &amp; Sources'!$B$137:$J$139,0,7+2)),SUMPRODUCT(($AZ14&gt;INDEX('Methodology &amp; Sources'!$B$137:$J$139,0,4))*($AZ14-INDEX('Methodology &amp; Sources'!$B$137:$J$139,0,4))*INDEX('Methodology &amp; Sources'!$B$137:$J$139,0,4+2)))),IF($AN14="NJ",IF('Inputs 2'!$C$77="B",SUMPRODUCT(($AZ14&gt;INDEX('Methodology &amp; Sources'!$B$155:$J$162,0,4))*($AZ14-INDEX('Methodology &amp; Sources'!$B$155:$J$162,0,4))*INDEX('Methodology &amp; Sources'!$B$155:$J$162,0,4+2)),IF('Inputs 2'!$C$77="C",SUMPRODUCT(($AZ14&gt;INDEX('Methodology &amp; Sources'!$B$155:$J$162,0,7))*($AZ14-INDEX('Methodology &amp; Sources'!$B$155:$J$162,0,7))*INDEX('Methodology &amp; Sources'!$B$155:$J$162,0,7+2)),IF('Inputs 2'!$C$77="D",SUMPRODUCT(($AZ14&gt;INDEX('Methodology &amp; Sources'!$B$167:$J$179,0,1))*($AZ14-INDEX('Methodology &amp; Sources'!$B$167:$J$179,0,1))*INDEX('Methodology &amp; Sources'!$B$167:$J$179,0,1+2)),IF('Inputs 2'!$C$77="E",SUMPRODUCT(($AZ14&gt;INDEX('Methodology &amp; Sources'!$B$167:$J$179,0,4))*($AZ14-INDEX('Methodology &amp; Sources'!$B$167:$J$179,0,4))*INDEX('Methodology &amp; Sources'!$B$167:$J$179,0,4+2)),SUMPRODUCT(($AZ14&gt;INDEX('Methodology &amp; Sources'!$B$155:$J$162,0,1))*($AZ14-INDEX('Methodology &amp; Sources'!$B$155:$J$162,0,1))*INDEX('Methodology &amp; Sources'!$B$155:$J$162,0,1+2)))))),IF($AN14="NY",IF($AU14="Married",IF($AZ14&gt;=2155350,$AZ14*IF($AZ14&gt;25000000,0.117,IF($AZ14&gt;5000000,0.111,0.1045)),SUMPRODUCT(($AZ14&gt;INDEX('Methodology &amp; Sources'!$B$184:$J$198,0,1))*($AZ14-INDEX('Methodology &amp; Sources'!$B$184:$J$198,0,1))*INDEX('Methodology &amp; Sources'!$B$184:$J$198,0,1+2))),IF($AZ14&gt;=1077550,$AZ14*IF($AZ14&gt;25000000,0.117,IF($AZ14&gt;5000000,0.111,0.1045)),SUMPRODUCT(($AZ14&gt;INDEX('Methodology &amp; Sources'!$B$167:$J$179,0,7))*($AZ14-INDEX('Methodology &amp; Sources'!$B$167:$J$179,0,7))*INDEX('Methodology &amp; Sources'!$B$167:$J$179,0,7+2)))),"")))))))</f>
      </c>
      <c r="BX14" s="7">
        <f>IF($B14="","",IF($AN14="AL",IF(OR($AU14="Married",$AU14="Head of household"),SUMPRODUCT(($AZ14&gt;INDEX('Methodology &amp; Sources'!$B$82:$J$86,0,4))*($AZ14-INDEX('Methodology &amp; Sources'!$B$82:$J$86,0,4))*INDEX('Methodology &amp; Sources'!$B$82:$J$86,0,4+2)),SUMPRODUCT(($AZ14&gt;INDEX('Methodology &amp; Sources'!$B$82:$J$86,0,1))*($AZ14-INDEX('Methodology &amp; Sources'!$B$82:$J$86,0,1))*INDEX('Methodology &amp; Sources'!$B$82:$J$86,0,1+2))),IF($AN14="KS",IF($AU14="Married",SUMPRODUCT(($AZ14&gt;INDEX('Methodology &amp; Sources'!$B$103:$J$109,0,4))*($AZ14-INDEX('Methodology &amp; Sources'!$B$103:$J$109,0,4))*INDEX('Methodology &amp; Sources'!$B$103:$J$109,0,4+2)),SUMPRODUCT(($AZ14&gt;INDEX('Methodology &amp; Sources'!$B$103:$J$109,0,1))*($AZ14-INDEX('Methodology &amp; Sources'!$B$103:$J$109,0,1))*INDEX('Methodology &amp; Sources'!$B$103:$J$109,0,1+2))),IF($AN14="MN",IF($AU14="Married",SUMPRODUCT(($AZ14&gt;INDEX('Methodology &amp; Sources'!$B$114:$J$120,0,7))*($AZ14-INDEX('Methodology &amp; Sources'!$B$114:$J$120,0,7))*INDEX('Methodology &amp; Sources'!$B$114:$J$120,0,7+2)),SUMPRODUCT(($AZ14&gt;INDEX('Methodology &amp; Sources'!$B$114:$J$120,0,4))*($AZ14-INDEX('Methodology &amp; Sources'!$B$114:$J$120,0,4))*INDEX('Methodology &amp; Sources'!$B$114:$J$120,0,4+2))),IF($AN14="NE",MAX(IF($AU14="Married",SUMPRODUCT(($AZ14&gt;INDEX('Methodology &amp; Sources'!$B$144:$J$150,0,7))*($AZ14-INDEX('Methodology &amp; Sources'!$B$144:$J$150,0,7))*INDEX('Methodology &amp; Sources'!$B$144:$J$150,0,7+2)),SUMPRODUCT(($AZ14&gt;INDEX('Methodology &amp; Sources'!$B$144:$J$150,0,4))*($AZ14-INDEX('Methodology &amp; Sources'!$B$144:$J$150,0,4))*INDEX('Methodology &amp; Sources'!$B$144:$J$150,0,4+2))),0.015*$AZ14),IF($AN14="OH",IF($B14&gt;=DATE(2027,8,1),SUMPRODUCT(($AZ14&gt;INDEX('Methodology &amp; Sources'!$B$203:$J$206,0,1))*($AZ14-INDEX('Methodology &amp; Sources'!$B$203:$J$206,0,1))*INDEX('Methodology &amp; Sources'!$B$203:$J$206,0,1+2)),SUMPRODUCT(($AZ14&gt;INDEX('Methodology &amp; Sources'!$B$184:$J$198,0,7))*($AZ14-INDEX('Methodology &amp; Sources'!$B$184:$J$198,0,7))*INDEX('Methodology &amp; Sources'!$B$184:$J$198,0,7+2))),IF($AN14="OK",IF($AU14="Married",SUMPRODUCT(($AZ14&gt;INDEX('Methodology &amp; Sources'!$B$203:$J$206,0,7))*($AZ14-INDEX('Methodology &amp; Sources'!$B$203:$J$206,0,7))*INDEX('Methodology &amp; Sources'!$B$203:$J$206,0,7+2)),SUMPRODUCT(($AZ14&gt;INDEX('Methodology &amp; Sources'!$B$203:$J$206,0,4))*($AZ14-INDEX('Methodology &amp; Sources'!$B$203:$J$206,0,4))*INDEX('Methodology &amp; Sources'!$B$203:$J$206,0,4+2))),IF($AN14="RI",SUMPRODUCT(($AZ14&gt;INDEX('Methodology &amp; Sources'!$B$211:$J$214,0,7))*($AZ14-INDEX('Methodology &amp; Sources'!$B$211:$J$214,0,7))*INDEX('Methodology &amp; Sources'!$B$211:$J$214,0,7+2)),IF($AN14="VT",IF($AU14="Married",SUMPRODUCT(($AZ14&gt;INDEX('Methodology &amp; Sources'!$B$228:$J$232,0,1))*($AZ14-INDEX('Methodology &amp; Sources'!$B$228:$J$232,0,1))*INDEX('Methodology &amp; Sources'!$B$228:$J$232,0,1+2)),SUMPRODUCT(($AZ14&gt;INDEX('Methodology &amp; Sources'!$B$219:$J$223,0,7))*($AZ14-INDEX('Methodology &amp; Sources'!$B$219:$J$223,0,7))*INDEX('Methodology &amp; Sources'!$B$219:$J$223,0,7+2))),IF($AN14="WV",IF($AU14="Married",SUMPRODUCT(($AZ14&gt;INDEX('Methodology &amp; Sources'!$B$237:$J$241,0,7))*($AZ14-INDEX('Methodology &amp; Sources'!$B$237:$J$241,0,7))*INDEX('Methodology &amp; Sources'!$B$237:$J$241,0,7+2)),SUMPRODUCT(($AZ14&gt;INDEX('Methodology &amp; Sources'!$B$228:$J$232,0,7))*($AZ14-INDEX('Methodology &amp; Sources'!$B$228:$J$232,0,7))*INDEX('Methodology &amp; Sources'!$B$228:$J$232,0,7+2))),""))))))))))</f>
      </c>
      <c r="BY14" s="7">
        <f>IF($B14="","",IF($AN14="AR",SUMPRODUCT(($AZ14&gt;INDEX('Methodology &amp; Sources'!$B$82:$J$86,0,7))*($AZ14-INDEX('Methodology &amp; Sources'!$B$82:$J$86,0,7))*INDEX('Methodology &amp; Sources'!$B$82:$J$86,0,7+2)),IF($AN14="DE",SUMPRODUCT(($AZ14&gt;INDEX('Methodology &amp; Sources'!$B$91:$J$98,0,1))*($AZ14-INDEX('Methodology &amp; Sources'!$B$91:$J$98,0,1))*INDEX('Methodology &amp; Sources'!$B$91:$J$98,0,1+2)),IF($AN14="HI",IF($AU14="Married",SUMPRODUCT(($AZ14&gt;INDEX('Methodology &amp; Sources'!$B$91:$J$98,0,7))*($AZ14-INDEX('Methodology &amp; Sources'!$B$91:$J$98,0,7))*INDEX('Methodology &amp; Sources'!$B$91:$J$98,0,7+2)),SUMPRODUCT(($AZ14&gt;INDEX('Methodology &amp; Sources'!$B$91:$J$98,0,4))*($AZ14-INDEX('Methodology &amp; Sources'!$B$91:$J$98,0,4))*INDEX('Methodology &amp; Sources'!$B$91:$J$98,0,4+2))),IF($AN14="SC",SUMPRODUCT(($AZ14&gt;INDEX('Methodology &amp; Sources'!$B$219:$J$223,0,1))*($AZ14-INDEX('Methodology &amp; Sources'!$B$219:$J$223,0,1))*INDEX('Methodology &amp; Sources'!$B$219:$J$223,0,1+2)),IF($AN14="VA",SUMPRODUCT(($AZ14&gt;INDEX('Methodology &amp; Sources'!$B$219:$J$223,0,4))*($AZ14-INDEX('Methodology &amp; Sources'!$B$219:$J$223,0,4))*INDEX('Methodology &amp; Sources'!$B$219:$J$223,0,4+2)),IF($AN14="WI",SUMPRODUCT(($AZ14&gt;INDEX('Methodology &amp; Sources'!$B$228:$J$232,0,4))*($AZ14-INDEX('Methodology &amp; Sources'!$B$228:$J$232,0,4))*INDEX('Methodology &amp; Sources'!$B$228:$J$232,0,4+2)),"")))))))</f>
      </c>
      <c r="BZ14" s="24">
        <f>IF($B14="","",IF($AN14="NJ",IF('Inputs 2'!$C$77="B",SUMPRODUCT(($AZ14&gt;=INDEX('Methodology &amp; Sources'!$B$155:$J$162,0,4))*INDEX('Methodology &amp; Sources'!$B$155:$J$162,0,4+2)),IF('Inputs 2'!$C$77="C",SUMPRODUCT(($AZ14&gt;=INDEX('Methodology &amp; Sources'!$B$155:$J$162,0,7))*INDEX('Methodology &amp; Sources'!$B$155:$J$162,0,7+2)),IF('Inputs 2'!$C$77="D",SUMPRODUCT(($AZ14&gt;=INDEX('Methodology &amp; Sources'!$B$167:$J$179,0,1))*INDEX('Methodology &amp; Sources'!$B$167:$J$179,0,1+2)),IF('Inputs 2'!$C$77="E",SUMPRODUCT(($AZ14&gt;=INDEX('Methodology &amp; Sources'!$B$167:$J$179,0,4))*INDEX('Methodology &amp; Sources'!$B$167:$J$179,0,4+2)),SUMPRODUCT(($AZ14&gt;=INDEX('Methodology &amp; Sources'!$B$155:$J$162,0,1))*INDEX('Methodology &amp; Sources'!$B$155:$J$162,0,1+2)))))),IF($AN14="OR",IF(OR($AU14="Married",AND($AU14="Single",$AS14&gt;=3)),SUMPRODUCT((MAX(0,$AY14-MIN(($P14-'Methodology &amp; Sources'!$C$10*$D14)*'Inputs 2'!$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Sources'!$B$211:$J$214,0,4))*INDEX('Methodology &amp; Sources'!$B$211:$J$214,0,4+2)),SUMPRODUCT((MAX(0,$AY14-MIN(($P14-'Methodology &amp; Sources'!$C$10*$D14)*'Inputs 2'!$C$8,IF(OR($AU14="Married",AND($AU14="Single",$AS14&gt;=3)),IF($AY14&lt;250000,8750,IF($AY14&lt;260000,7000,IF($AY14&lt;270000,5250,IF($AY14&lt;280000,3500,IF($AY14&lt;290000,1750,0))))),IF($AY14&lt;125000,8750,IF($AY14&lt;130000,7000,IF($AY14&lt;135000,5250,IF($AY14&lt;140000,3500,IF($AY14&lt;145000,1750,0)))))))-IF(OR($AU14="Married",AND($AU14="Single",$AS14&gt;=3)),5820,2910))&gt;=INDEX('Methodology &amp; Sources'!$B$211:$J$214,0,1))*INDEX('Methodology &amp; Sources'!$B$211:$J$214,0,1+2)))*IF(($P14-'Methodology &amp; Sources'!$C$10*$D14)*'Inputs 2'!$C$8&gt;=IF(OR($AU14="Married",AND($AU14="Single",$AS14&gt;=3)),IF($AY14&lt;250000,8750,IF($AY14&lt;260000,7000,IF($AY14&lt;270000,5250,IF($AY14&lt;280000,3500,IF($AY14&lt;290000,1750,0))))),IF($AY14&lt;125000,8750,IF($AY14&lt;130000,7000,IF($AY14&lt;135000,5250,IF($AY14&lt;140000,3500,IF($AY14&lt;145000,1750,0)))))),1,1-IF('Inputs 2'!$C$13,SUMPRODUCT(($AH14&gt;=INDEX('Methodology &amp; Sources'!$B$29:$J$36,0,IF('Inputs 2'!$C$12="MFJ",1,IF('Inputs 2'!$C$12="HoH",7,4))))*INDEX('Methodology &amp; Sources'!$B$29:$J$36,0,IF('Inputs 2'!$C$12="MFJ",1,IF('Inputs 2'!$C$12="HoH",7,4))+2)),SUMPRODUCT(($AH14&gt;=INDEX('Methodology &amp; Sources'!$B$19:$J$26,0,IF('Inputs 2'!$C$12="MFJ",1,IF('Inputs 2'!$C$12="HoH",7,4))))*INDEX('Methodology &amp; Sources'!$B$19:$J$26,0,IF('Inputs 2'!$C$12="MFJ",1,IF('Inputs 2'!$C$12="HoH",7,4))+2)))),IF($AN14="MI",IF($AY14&gt;5900*$AS14,0.0425,0),""))))</f>
      </c>
      <c r="CA14" s="24">
        <f>IF($B14="","",IF($AN14="AL",IF(OR($AU14="Married",$AU14="Head of household"),SUMPRODUCT(($AZ14&gt;=INDEX('Methodology &amp; Sources'!$B$82:$J$86,0,4))*INDEX('Methodology &amp; Sources'!$B$82:$J$86,0,4+2)),SUMPRODUCT(($AZ14&gt;=INDEX('Methodology &amp; Sources'!$B$82:$J$86,0,1))*INDEX('Methodology &amp; Sources'!$B$82:$J$86,0,1+2)))*(1-IF('Inputs 2'!$C$13,SUMPRODUCT(($AH14&gt;=INDEX('Methodology &amp; Sources'!$B$29:$J$36,0,IF('Inputs 2'!$C$12="MFJ",1,IF('Inputs 2'!$C$12="HoH",7,4))))*INDEX('Methodology &amp; Sources'!$B$29:$J$36,0,IF('Inputs 2'!$C$12="MFJ",1,IF('Inputs 2'!$C$12="HoH",7,4))+2)),SUMPRODUCT(($AH14&gt;=INDEX('Methodology &amp; Sources'!$B$19:$J$26,0,IF('Inputs 2'!$C$12="MFJ",1,IF('Inputs 2'!$C$12="HoH",7,4))))*INDEX('Methodology &amp; Sources'!$B$19:$J$26,0,IF('Inputs 2'!$C$12="MFJ",1,IF('Inputs 2'!$C$12="HoH",7,4))+2)))),IF($AN14="KS",IF($AU14="Married",SUMPRODUCT(($AZ14&gt;=INDEX('Methodology &amp; Sources'!$B$103:$J$109,0,4))*INDEX('Methodology &amp; Sources'!$B$103:$J$109,0,4+2)),SUMPRODUCT(($AZ14&gt;=INDEX('Methodology &amp; Sources'!$B$103:$J$109,0,1))*INDEX('Methodology &amp; Sources'!$B$103:$J$109,0,1+2))),IF($AN14="MD",IF(OR($AU14="Married",$AU14="Head of household"),SUMPRODUCT(($AZ14&gt;=INDEX('Methodology &amp; Sources'!$B$114:$J$120,0,1))*INDEX('Methodology &amp; Sources'!$B$114:$J$120,0,1+2)),SUMPRODUCT(($AZ14&gt;=INDEX('Methodology &amp; Sources'!$B$103:$J$109,0,7))*INDEX('Methodology &amp; Sources'!$B$103:$J$109,0,7+2)))+'Inputs 2'!$C$74,IF($AN14="MT",IF($AU14="Head of household",SUMPRODUCT(($AZ14&gt;=INDEX('Methodology &amp; Sources'!$B$137:$J$139,0,1))*INDEX('Methodology &amp; Sources'!$B$137:$J$139,0,1+2)),IF($AU14="Married",SUMPRODUCT(($AZ14&gt;=INDEX('Methodology &amp; Sources'!$B$125:$J$132,0,7))*INDEX('Methodology &amp; Sources'!$B$125:$J$132,0,7+2)),SUMPRODUCT(($AZ14&gt;=INDEX('Methodology &amp; Sources'!$B$125:$J$132,0,4))*INDEX('Methodology &amp; Sources'!$B$125:$J$132,0,4+2)))),IF($AN14="ND",IF($AU14="Head of household",SUMPRODUCT(($AZ14&gt;=INDEX('Methodology &amp; Sources'!$B$144:$J$150,0,1))*INDEX('Methodology &amp; Sources'!$B$144:$J$150,0,1+2)),IF($AU14="Married",SUMPRODUCT(($AZ14&gt;=INDEX('Methodology &amp; Sources'!$B$137:$J$139,0,7))*INDEX('Methodology &amp; Sources'!$B$137:$J$139,0,7+2)),SUMPRODUCT(($AZ14&gt;=INDEX('Methodology &amp; Sources'!$B$137:$J$139,0,4))*INDEX('Methodology &amp; Sources'!$B$137:$J$139,0,4+2)))),IF($AN14="NY",IF($AU14="Married",IF($AZ14&gt;=2155350,IF($AZ14&gt;25000000,0.117,IF($AZ14&gt;5000000,0.111,0.1045)),SUMPRODUCT(($AZ14&gt;=INDEX('Methodology &amp; Sources'!$B$184:$J$198,0,1))*INDEX('Methodology &amp; Sources'!$B$184:$J$198,0,1+2))),IF($AZ14&gt;=1077550,IF($AZ14&gt;25000000,0.117,IF($AZ14&gt;5000000,0.111,0.1045)),SUMPRODUCT(($AZ14&gt;=INDEX('Methodology &amp; Sources'!$B$167:$J$179,0,7))*INDEX('Methodology &amp; Sources'!$B$167:$J$179,0,7+2)))),"")))))))</f>
      </c>
      <c r="CB14" s="24">
        <f>IF($B14="","",IF($AN14="CA",SUMPRODUCT(($AJ14&gt;=INDEX('Methodology &amp; Sources'!$B$39:$J$48,0,IF($AU14="Married",4,IF($AU14="Head of household",7,1))))*INDEX('Methodology &amp; Sources'!$B$39:$J$48,0,IF($AU14="Married",4,IF($AU14="Head of household",7,1))+2)),IF($AN14="HI",IF($AU14="Married",SUMPRODUCT(($AZ14&gt;=INDEX('Methodology &amp; Sources'!$B$91:$J$98,0,7))*INDEX('Methodology &amp; Sources'!$B$91:$J$98,0,7+2)),SUMPRODUCT(($AZ14&gt;=INDEX('Methodology &amp; Sources'!$B$91:$J$98,0,4))*INDEX('Methodology &amp; Sources'!$B$91:$J$98,0,4+2))),IF($AN14="MN",IF($AU14="Married",SUMPRODUCT(($AZ14&gt;=INDEX('Methodology &amp; Sources'!$B$114:$J$120,0,7))*INDEX('Methodology &amp; Sources'!$B$114:$J$120,0,7+2)),SUMPRODUCT(($AZ14&gt;=INDEX('Methodology &amp; Sources'!$B$114:$J$120,0,4))*INDEX('Methodology &amp; Sources'!$B$114:$J$120,0,4+2))),IF($AN14="MO",SUMPRODUCT(($AZ14&gt;=INDEX('Methodology &amp; Sources'!$B$125:$J$132,0,1))*INDEX('Methodology &amp; Sources'!$B$125:$J$132,0,1+2)),IF($AN14="NE",MAX(IF($AU14="Married",SUMPRODUCT(($AZ14&gt;=INDEX('Methodology &amp; Sources'!$B$144:$J$150,0,7))*INDEX('Methodology &amp; Sources'!$B$144:$J$150,0,7+2)),SUMPRODUCT(($AZ14&gt;=INDEX('Methodology &amp; Sources'!$B$144:$J$150,0,4))*INDEX('Methodology &amp; Sources'!$B$144:$J$150,0,4+2))),0.015),IF($AN14="OH",IF($B14&gt;=DATE(2027,8,1),SUMPRODUCT(($AZ14&gt;=INDEX('Methodology &amp; Sources'!$B$203:$J$206,0,1))*INDEX('Methodology &amp; Sources'!$B$203:$J$206,0,1+2)),SUMPRODUCT(($AZ14&gt;=INDEX('Methodology &amp; Sources'!$B$184:$J$198,0,7))*INDEX('Methodology &amp; Sources'!$B$184:$J$198,0,7+2))),IF($AN14="OK",IF($AU14="Married",SUMPRODUCT(($AZ14&gt;=INDEX('Methodology &amp; Sources'!$B$203:$J$206,0,7))*INDEX('Methodology &amp; Sources'!$B$203:$J$206,0,7+2)),SUMPRODUCT(($AZ14&gt;=INDEX('Methodology &amp; Sources'!$B$203:$J$206,0,4))*INDEX('Methodology &amp; Sources'!$B$203:$J$206,0,4+2))),IF($AN14="RI",SUMPRODUCT(($AZ14&gt;=INDEX('Methodology &amp; Sources'!$B$211:$J$214,0,7))*INDEX('Methodology &amp; Sources'!$B$211:$J$214,0,7+2)),IF($AN14="SC",SUMPRODUCT(($AZ14&gt;=INDEX('Methodology &amp; Sources'!$B$219:$J$223,0,1))*INDEX('Methodology &amp; Sources'!$B$219:$J$223,0,1+2)),IF($AN14="VT",IF($AU14="Married",SUMPRODUCT(($AZ14&gt;=INDEX('Methodology &amp; Sources'!$B$228:$J$232,0,1))*INDEX('Methodology &amp; Sources'!$B$228:$J$232,0,1+2)),SUMPRODUCT(($AZ14&gt;=INDEX('Methodology &amp; Sources'!$B$219:$J$223,0,7))*INDEX('Methodology &amp; Sources'!$B$219:$J$223,0,7+2))),IF($AN14="WV",IF($AU14="Married",SUMPRODUCT(($AZ14&gt;=INDEX('Methodology &amp; Sources'!$B$237:$J$241,0,7))*INDEX('Methodology &amp; Sources'!$B$237:$J$241,0,7+2)),SUMPRODUCT(($AZ14&gt;=INDEX('Methodology &amp; Sources'!$B$228:$J$232,0,7))*INDEX('Methodology &amp; Sources'!$B$228:$J$232,0,7+2))),IF($AN14="IN",(0.0295+'Inputs 2'!$C$76),"")))))))))))))</f>
      </c>
      <c r="CC14" s="24">
        <f>IF($B14="","",IF($AN14="AR",SUMPRODUCT(($AZ14&gt;=INDEX('Methodology &amp; Sources'!$B$82:$J$86,0,7))*INDEX('Methodology &amp; Sources'!$B$82:$J$86,0,7+2)),IF($AN14="DE",SUMPRODUCT(($AZ14&gt;=INDEX('Methodology &amp; Sources'!$B$91:$J$98,0,1))*INDEX('Methodology &amp; Sources'!$B$91:$J$98,0,1+2)),IF($AN14="VA",SUMPRODUCT(($AZ14&gt;=INDEX('Methodology &amp; Sources'!$B$219:$J$223,0,4))*INDEX('Methodology &amp; Sources'!$B$219:$J$223,0,4+2)),IF($AN14="WI",SUMPRODUCT(($AZ14&gt;=INDEX('Methodology &amp; Sources'!$B$228:$J$232,0,4))*INDEX('Methodology &amp; Sources'!$B$228:$J$232,0,4+2)),IF($AN14="AZ",'Inputs 2'!$C$82,IF($AN14="CO",IF($AY14&gt;IF($AU14="Married",10000,5000),0.044,0),IF($AN14="IA",IF($AY14&gt;IF($AU14="Head of household",19500,IF($AU14="Married",26000,13000)),0.038,0),IF($AN14="ID",IF($AY14&gt;IF($AU14="Married",32000,16094),0.053,0),IF($AN14="IL",IF($AY14&gt;(2925*$AS14+1000*$AT14),0.0495,0),IF($AN14="KY",IF($AI14&gt;3360,0.035,0),IF($AN14="LA",0.0309,IF($AN14="MA",IF(MAX(0,$AY14-MIN(($BD13+$Q14+$R14+$S14),2000)-IF($AS14=0,0,IF($AS14=1,4400,1000*$AS14+3400)))&gt;=1107750,0.09,0.05),IF($AN14="MS",IF($AI14-IF($AU14="Head of household",3400,IF($AU14="Married",4600,2300))-'Inputs 2'!$C$85&gt;10000,0.04,0),IF($AN14="PA",0.0307,"")))))))))))))))</f>
      </c>
      <c r="CD14" s="21">
        <f>IF(YEAR(IF('Inputs 2'!$C$7="Weekly",'Inputs 2'!$C$9+7*(($BE13+1)-1),IF('Inputs 2'!$C$7="Biweekly",'Inputs 2'!$C$9+14*(($BE13+1)-1),IF('Inputs 2'!$C$7="Semimonthly",DATE(YEAR('Inputs 2'!$C$9),MONTH('Inputs 2'!$C$9)+INT((($BE13+1)-1)/2),MIN(DAY('Inputs 2'!$C$9),DAY(EOMONTH(DATE(YEAR('Inputs 2'!$C$9),MONTH('Inputs 2'!$C$9)+INT((($BE13+1)-1)/2),1),0))))+IF(MOD(($BE13+1)-1,2)=1,15,0),EDATE('Inputs 2'!$C$9,($BE13+1)-1)))))&lt;&gt;'Inputs 2'!$C$10,"",IF('Inputs 2'!$C$7="Weekly",'Inputs 2'!$C$9+7*(($BE13+1)-1),IF('Inputs 2'!$C$7="Biweekly",'Inputs 2'!$C$9+14*(($BE13+1)-1),IF('Inputs 2'!$C$7="Semimonthly",DATE(YEAR('Inputs 2'!$C$9),MONTH('Inputs 2'!$C$9)+INT((($BE13+1)-1)/2),MIN(DAY('Inputs 2'!$C$9),DAY(EOMONTH(DATE(YEAR('Inputs 2'!$C$9),MONTH('Inputs 2'!$C$9)+INT((($BE13+1)-1)/2),1),0))))+IF(MOD(($BE13+1)-1,2)=1,15,0),EDATE('Inputs 2'!$C$9,($BE13+1)-1)))))</f>
      </c>
      <c r="CE14" s="21">
        <f>IF(SUMPRODUCT(MIN(IF(('Inputs 2'!$C$58:$C$67&gt;MAX($B$6:$B13))*('Inputs 2'!$C$58:$C$67&gt;=DATE('Inputs 2'!$C$10,1,1))*('Inputs 2'!$C$58:$C$67&lt;=DATE('Inputs 2'!$C$10,12,31)),'Inputs 2'!$C$58:$C$67,999999)))=999999,"",SUMPRODUCT(MIN(IF(('Inputs 2'!$C$58:$C$67&gt;MAX($B$6:$B13))*('Inputs 2'!$C$58:$C$67&gt;=DATE('Inputs 2'!$C$10,1,1))*('Inputs 2'!$C$58:$C$67&lt;=DATE('Inputs 2'!$C$10,12,31)),'Inputs 2'!$C$58:$C$67,999999))))</f>
      </c>
    </row>
    <row r="15">
      <c r="A15" t="n">
        <v>10</v>
      </c>
      <c r="B15" s="21">
        <f>IF(AND($CD15="",$CE15=""),"",IF($CE15="",$CD15,IF($CD15="",$CE15,MIN($CD15,$CE15))))</f>
      </c>
      <c r="C15" s="7">
        <f>IF($B15="","",IF($BF15=0,0,IF('Inputs 2'!$C$4="Annual salary",ROUND($AK15/IF(AND('Inputs 2'!$C$88="Actual paydays",MONTH('Inputs 2'!$C$9)=1),MAX(1,MAX($BE$6:$BE$68)),'Inputs 2'!$C$8),2),$AK15)))</f>
      </c>
      <c r="D15" s="7">
        <f>IF($B15="","",SUMIF('Inputs 2'!$C$58:$C$67,$B15,'Inputs 2'!$D$58:$D$67))</f>
      </c>
      <c r="E15" s="7">
        <f>IF($B15="","",ROUND(MAX(0,MIN(IF($AL15="Percent",$AM15*($C15+$D15),$AM15),MAX(0,'Inputs 2'!$C$34-$AC14))),2))</f>
      </c>
      <c r="F15" s="7">
        <f>IF($B15="","",ROUND(MAX(0,MIN(IF('Inputs 2'!$C$32="Percent",'Inputs 2'!$D$32*($C15+$D15),'Inputs 2'!$D$32),MAX(0,'Inputs 2'!$C$34-$AC14-$E15))),2))</f>
      </c>
      <c r="G15" s="7">
        <f>IF($B15="","",IF($BF15=0,0,ROUND(MAX(0,MIN($BL15,'Inputs 2'!$C$37-'Inputs 2'!$C$54-$BI14)),2)))</f>
      </c>
      <c r="H15" s="7">
        <f>IF($B15="","",IF(OR($BF15=0,$BQ15=1),0,ROUND(MAX(0,MIN(IF($BS15=1,ROUND(MAX(0,MIN($BJ15,'Methodology &amp; Sources'!$C$13)-$BG14)/MAX(1,MAX($BE$6:$BE$68)-($BE14)),2),ROUND(MIN($BJ15,'Methodology &amp; Sources'!$C$13)/'Inputs 2'!$C$8,2)),MIN($BJ15,'Methodology &amp; Sources'!$C$13)-$BG14)),2)))</f>
      </c>
      <c r="I15" s="7">
        <f>IF($B15="","",IF(OR($BF15=0,$BR15=1),0,ROUND(MAX(0,MIN(IF($BT15=1,ROUND(MAX(0,MIN($BK15,IF('Inputs 2'!$C$12="MFJ",'Methodology &amp; Sources'!$C$14,'Methodology &amp; Sources'!$C$15))-$BH14)/MAX(1,MAX($BE$6:$BE$68)-($BE14)),2),ROUND(MIN($BK15,IF('Inputs 2'!$C$12="MFJ",'Methodology &amp; Sources'!$C$14,'Methodology &amp; Sources'!$C$15))/'Inputs 2'!$C$8,2)),MIN($BK15,IF('Inputs 2'!$C$12="MFJ",'Methodology &amp; Sources'!$C$14,'Methodology &amp; Sources'!$C$15))-$BH14)),2)))</f>
      </c>
      <c r="J15" s="7">
        <f>IF($B15="","",IF($BF15=0,0,$BM15))</f>
      </c>
      <c r="K15" s="7">
        <f>IF($B15="","",IF($BF15=0,0,$BN15+$BO15))</f>
      </c>
      <c r="L15" s="7">
        <f>IF($B15="","",IF($BF15=0,0,'Inputs 2'!$D$46))</f>
      </c>
      <c r="M15" s="7">
        <f>IF($B15="","",$C15+$D15+$L15-$E15-$G15-$H15-$I15-$J15-$K15)</f>
      </c>
      <c r="N15" s="7">
        <f>IF($B15="","",$C15+$D15+$L15-$G15-$H15-$I15-$J15-$K15)</f>
      </c>
      <c r="O15" s="7">
        <f>IF($B15="","",$C15+$D15+$L15-$E15-$H15-$I15-$J15-$K15-IF(OR($AN15="CA",$AN15="NJ"),0,$G15))</f>
      </c>
      <c r="P15" s="7">
        <f>IF($B15="","",IF('Inputs 2'!$C$18,0,ROUND(MAX(0,IF('Inputs 2'!$C$13,SUMPRODUCT(($AH15&gt;INDEX('Methodology &amp; Sources'!$B$29:$J$36,0,IF('Inputs 2'!$C$12="MFJ",1,IF('Inputs 2'!$C$12="HoH",7,4))))*($AH15-INDEX('Methodology &amp; Sources'!$B$29:$J$36,0,IF('Inputs 2'!$C$12="MFJ",1,IF('Inputs 2'!$C$12="HoH",7,4))))*INDEX('Methodology &amp; Sources'!$B$29:$J$36,0,IF('Inputs 2'!$C$12="MFJ",1,IF('Inputs 2'!$C$12="HoH",7,4))+2)),SUMPRODUCT(($AH15&gt;INDEX('Methodology &amp; Sources'!$B$19:$J$26,0,IF('Inputs 2'!$C$12="MFJ",1,IF('Inputs 2'!$C$12="HoH",7,4))))*($AH15-INDEX('Methodology &amp; Sources'!$B$19:$J$26,0,IF('Inputs 2'!$C$12="MFJ",1,IF('Inputs 2'!$C$12="HoH",7,4))))*INDEX('Methodology &amp; Sources'!$B$19:$J$26,0,IF('Inputs 2'!$C$12="MFJ",1,IF('Inputs 2'!$C$12="HoH",7,4))+2)))/'Inputs 2'!$C$8-$AO15/'Inputs 2'!$C$8)+$AR15+IF('Inputs 2'!$C$89="Aggregate",MAX(0,IF('Inputs 2'!$C$13,SUMPRODUCT((($AH15+$D15)&gt;INDEX('Methodology &amp; Sources'!$B$29:$J$36,0,IF('Inputs 2'!$C$12="MFJ",1,IF('Inputs 2'!$C$12="HoH",7,4))))*(($AH15+$D15)-INDEX('Methodology &amp; Sources'!$B$29:$J$36,0,IF('Inputs 2'!$C$12="MFJ",1,IF('Inputs 2'!$C$12="HoH",7,4))))*INDEX('Methodology &amp; Sources'!$B$29:$J$36,0,IF('Inputs 2'!$C$12="MFJ",1,IF('Inputs 2'!$C$12="HoH",7,4))+2)),SUMPRODUCT((($AH15+$D15)&gt;INDEX('Methodology &amp; Sources'!$B$19:$J$26,0,IF('Inputs 2'!$C$12="MFJ",1,IF('Inputs 2'!$C$12="HoH",7,4))))*(($AH15+$D15)-INDEX('Methodology &amp; Sources'!$B$19:$J$26,0,IF('Inputs 2'!$C$12="MFJ",1,IF('Inputs 2'!$C$12="HoH",7,4))))*INDEX('Methodology &amp; Sources'!$B$19:$J$26,0,IF('Inputs 2'!$C$12="MFJ",1,IF('Inputs 2'!$C$12="HoH",7,4))+2)))-IF('Inputs 2'!$C$13,SUMPRODUCT(($AH15&gt;INDEX('Methodology &amp; Sources'!$B$29:$J$36,0,IF('Inputs 2'!$C$12="MFJ",1,IF('Inputs 2'!$C$12="HoH",7,4))))*($AH15-INDEX('Methodology &amp; Sources'!$B$29:$J$36,0,IF('Inputs 2'!$C$12="MFJ",1,IF('Inputs 2'!$C$12="HoH",7,4))))*INDEX('Methodology &amp; Sources'!$B$29:$J$36,0,IF('Inputs 2'!$C$12="MFJ",1,IF('Inputs 2'!$C$12="HoH",7,4))+2)),SUMPRODUCT(($AH15&gt;INDEX('Methodology &amp; Sources'!$B$19:$J$26,0,IF('Inputs 2'!$C$12="MFJ",1,IF('Inputs 2'!$C$12="HoH",7,4))))*($AH15-INDEX('Methodology &amp; Sources'!$B$19:$J$26,0,IF('Inputs 2'!$C$12="MFJ",1,IF('Inputs 2'!$C$12="HoH",7,4))))*INDEX('Methodology &amp; Sources'!$B$19:$J$26,0,IF('Inputs 2'!$C$12="MFJ",1,IF('Inputs 2'!$C$12="HoH",7,4))+2)))),'Methodology &amp; Sources'!$C$10*$D15),2)))</f>
      </c>
      <c r="Q15" s="7">
        <f>IF($B15="","",ROUND('Methodology &amp; Sources'!$C$4*MIN($N15,MAX(0,'Methodology &amp; Sources'!$C$3-($AX15+$AB14-$AW15))),2))</f>
      </c>
      <c r="R15" s="7">
        <f>IF($B15="","",ROUND('Methodology &amp; Sources'!$C$5*$N15,2))</f>
      </c>
      <c r="S15" s="7">
        <f>IF($B15="","",ROUND('Methodology &amp; Sources'!$C$6*MAX(0,MIN($N15,$AG14+$N15-'Methodology &amp; Sources'!$C$7)),2))</f>
      </c>
      <c r="T15" s="7">
        <f>IF($B15="","",IF('Inputs 2'!$C$26,0,IF($AN15="CA",ROUND(IF($AI15&lt;=IF(($AS15+$AT15)&gt;=2,VLOOKUP($AN15,StateTables!$A$6:$AB$56,10,FALSE),VLOOKUP($AN15,StateTables!$A$6:$AB$56,9,FALSE)),0,MAX(0,SUMPRODUCT(($AJ15&gt;INDEX('Methodology &amp; Sources'!$B$39:$J$48,0,IF($AU15="Married",4,IF($AU15="Head of household",7,1))))*($AJ15-INDEX('Methodology &amp; Sources'!$B$39:$J$48,0,IF($AU15="Married",4,IF($AU15="Head of household",7,1))))*INDEX('Methodology &amp; Sources'!$B$39:$J$48,0,IF($AU15="Married",4,IF($AU15="Head of household",7,1))+2))-VLOOKUP($AN15,StateTables!$A$6:$AB$56,11,FALSE)*$AS15)/'Inputs 2'!$C$8)+'Inputs 2'!$C$25+VLOOKUP($AN15,StateTables!$A$6:$AB$56,13,FALSE)*$D15,2),IF(VLOOKUP($AN15,StateTables!$A$6:$AB$56,4,FALSE)="None",0,IF(ISNUMBER(SEARCH("MANUAL",VLOOKUP($AN15,StateTables!$A$6:$AB$56,5,FALSE))),'Inputs 2'!$C$28,ROUND(MAX(0,$BA15+$BB15)/'Inputs 2'!$C$8+'Inputs 2'!$C$25+$BC15,2))))))</f>
      </c>
      <c r="U15" s="7">
        <f>IF($B15="","",IF(VLOOKUP($AN15,StateTables!$A$6:$AB$56,24,FALSE)="flatq",IF(OR(MONTH($B15)=1,MONTH($B15)=4,MONTH($B15)=7,MONTH($B15)=10),VLOOKUP($AN15,StateTables!$A$6:$AB$56,25,FALSE),0),IF(VLOOKUP($AN15,StateTables!$A$6:$AB$56,24,FALSE)="dbl",MIN(ROUND(0.005*$N15,2),ROUND(0.6*52/'Inputs 2'!$C$8,2)),IF(OR(VLOOKUP($AN15,StateTables!$A$6:$AB$56,15,FALSE)="",VLOOKUP($AN15,StateTables!$A$6:$AB$56,15,FALSE)=0),0,ROUND(VLOOKUP($AN15,StateTables!$A$6:$AB$56,15,FALSE)*IF(OR(VLOOKUP($AN15,StateTables!$A$6:$AB$56,16,FALSE)="",VLOOKUP($AN15,StateTables!$A$6:$AB$56,16,FALSE)=0),$N15,MIN($N15,MAX(0,VLOOKUP($AN15,StateTables!$A$6:$AB$56,16,FALSE)-($AX15+$AB14-$AW15)))),2))))+IF(VLOOKUP($AN15,StateTables!$A$6:$AB$56,27,FALSE)="flatq",IF(OR(MONTH($B15)=1,MONTH($B15)=4,MONTH($B15)=7,MONTH($B15)=10),VLOOKUP($AN15,StateTables!$A$6:$AB$56,28,FALSE),0),IF(VLOOKUP($AN15,StateTables!$A$6:$AB$56,27,FALSE)="dbl",MIN(ROUND(0.005*$N15,2),ROUND(0.6*52/'Inputs 2'!$C$8,2)),IF(OR(VLOOKUP($AN15,StateTables!$A$6:$AB$56,18,FALSE)="",VLOOKUP($AN15,StateTables!$A$6:$AB$56,18,FALSE)=0),0,ROUND(VLOOKUP($AN15,StateTables!$A$6:$AB$56,18,FALSE)*IF(OR(VLOOKUP($AN15,StateTables!$A$6:$AB$56,19,FALSE)="",VLOOKUP($AN15,StateTables!$A$6:$AB$56,19,FALSE)=0),$N15,MIN($N15,MAX(0,VLOOKUP($AN15,StateTables!$A$6:$AB$56,19,FALSE)-($AX15+$AB14-$AW15)))),2)))))</f>
      </c>
      <c r="V15" s="7">
        <f>IF($B15="","",IF($AN15="NY",IF('Inputs 2'!$C$78,ROUND(SUMPRODUCT((MAX(0,($O15-$D15)*'Inputs 2'!$C$8-(IF($AU15="Married",5500,5000)+1000*$AS15))&gt;INDEX('Methodology &amp; Sources'!$B$184:$J$198,0,4))*(MAX(0,($O15-$D15)*'Inputs 2'!$C$8-(IF($AU15="Married",5500,5000)+1000*$AS15))-INDEX('Methodology &amp; Sources'!$B$184:$J$198,0,4))*INDEX('Methodology &amp; Sources'!$B$184:$J$198,0,4+2))/'Inputs 2'!$C$8+0.0425*$D15,2),0)+IF('Inputs 2'!$C$79="Resident",ROUND(0.1675*$T15,2),IF('Inputs 2'!$C$79="Nonresident",ROUND(0.005*MAX(0,($O15-$D15)-(IF($AU15="Married",7950,7400)+1000*$AS15)/'Inputs 2'!$C$8),2),0)),IF($AN15="PA",IF('Inputs 2'!$C$80="None",'Inputs 2'!$C$27+ROUND('Inputs 2'!$C$81*($C15+$D15),2),ROUND(IF('Inputs 2'!$C$80="Resident",IF($B15&lt;DATE(2027,7,1),0.03735,0.03735),IF($B15&lt;DATE(2027,7,1),0.03425,0.03425))*($C15+$D15),2)),IF($BF15=0,ROUND('Inputs 2'!$C$81*($C15+$D15),2),'Inputs 2'!$C$27+ROUND('Inputs 2'!$C$81*($C15+$D15),2)))))</f>
      </c>
      <c r="W15" s="7">
        <f>IF($B15="","",IF($BF15=0,0,$BP15))</f>
      </c>
      <c r="X15" s="7">
        <f>IF($B15="","",SUM($E15:$K15)+$P15+$Q15+$R15+$S15+$T15+$U15+$V15+$W15)</f>
      </c>
      <c r="Y15" s="22">
        <f>IF($B15="","",$C15+$D15-$X15)</f>
      </c>
      <c r="Z15" s="7">
        <f>IF($B15="","",$Z14+$C15+$D15)</f>
      </c>
      <c r="AA15" s="7">
        <f>IF($B15="","",$AA14+$Y15)</f>
      </c>
      <c r="AB15" s="7">
        <f>IF($B15="","",$AB14+MIN($N15,MAX(0,'Methodology &amp; Sources'!$C$3-($AX15+$AB14-$AW15))))</f>
      </c>
      <c r="AC15" s="7">
        <f>IF($B15="","",$AC14+$E15+$F15)</f>
      </c>
      <c r="AD15" s="3">
        <f>IF($B15="","",IF(AND($AB14&lt;'Methodology &amp; Sources'!$C$3,$AB15&gt;='Methodology &amp; Sources'!$C$3),"★ Social Security maxed on this check — from the next check your net rises by about $"&amp;TEXT(ROUND('Methodology &amp; Sources'!$C$4*$N15,2),"#,##0.00")&amp;". ","")&amp;IF(AND($AC14&lt;'Inputs 2'!$C$34,$AC15&gt;='Inputs 2'!$C$34),"★ 401(k) reaches the $"&amp;TEXT('Inputs 2'!$C$34,"#,##0")&amp;" cap on this check — deferrals stop and net pay rises. ","")&amp;IF(AND($AG14&lt;'Methodology &amp; Sources'!$C$7,$AG15&gt;='Methodology &amp; Sources'!$C$7),"★ Wages pass $200,000 — the 0.9% Additional Medicare Tax starts here. ","")&amp;IF(AND($BJ15&gt;0,$H15&gt;0,$BG14&lt;MIN($BJ15,'Methodology &amp; Sources'!$C$13),$BG14+$H15&gt;=MIN($BJ15,'Methodology &amp; Sources'!$C$13)),"★ Health FSA election is now fully deferred for the year. ",""))</f>
      </c>
      <c r="AE15" s="41" t="n"/>
      <c r="AF15" s="7">
        <f>IF(OR($B15="",$AE15=""),"",$AE15-$Y15)</f>
      </c>
      <c r="AG15" s="7">
        <f>IF($B15="","",$AG14+$N15)</f>
      </c>
      <c r="AH15" s="7">
        <f>IF($B15="","",MAX(0,($M15-$D15)*'Inputs 2'!$C$8+$AP15-$AQ15-IF('Inputs 2'!$C$13,0,IF('Inputs 2'!$C$12="MFJ",'Methodology &amp; Sources'!$C$8,'Methodology &amp; Sources'!$C$9))))</f>
      </c>
      <c r="AI15" s="7">
        <f>IF($B15="","",$O15*'Inputs 2'!$C$8)</f>
      </c>
      <c r="AJ15" s="7">
        <f>IF($B15="","",MAX(0,$AI15-VLOOKUP($AN15,StateTables!$A$6:$AB$56,12,FALSE)*$AT15-IF(($AS15+$AT15)&gt;=2,VLOOKUP($AN15,StateTables!$A$6:$AB$56,8,FALSE),VLOOKUP($AN15,StateTables!$A$6:$AB$56,7,FALSE))))</f>
      </c>
      <c r="AK15" s="7">
        <f>IF($B15="","",IFERROR(LOOKUP(2,1/(('Events 2'!$C$6:$C$17="Salary change")*('Events 2'!$B$6:$B$17&lt;=$B15)*('Events 2'!$B$6:$B$17&lt;&gt;"")),'Events 2'!$D$6:$D$17),IF('Inputs 2'!$C$4="Annual salary",'Inputs 2'!$C$5,'Inputs 2'!$C$6)))</f>
      </c>
      <c r="AL15">
        <f>IF($B15="","",IFERROR(LOOKUP(2,1/(('Events 2'!$C$6:$C$17="401(k) change")*('Events 2'!$B$6:$B$17&lt;=$B15)*('Events 2'!$B$6:$B$17&lt;&gt;"")),'Events 2'!$D$6:$D$17),'Inputs 2'!$C$30))</f>
      </c>
      <c r="AM15" s="7">
        <f>IF($B15="","",IFERROR(LOOKUP(2,1/(('Events 2'!$C$6:$C$17="401(k) change")*('Events 2'!$B$6:$B$17&lt;=$B15)*('Events 2'!$B$6:$B$17&lt;&gt;"")),'Events 2'!$E$6:$E$17),'Inputs 2'!$D$30))</f>
      </c>
      <c r="AN15">
        <f>IF($B15="","",IFERROR(LOOKUP(2,1/(('Events 2'!$C$6:$C$17="State move")*('Events 2'!$B$6:$B$17&lt;=$B15)*('Events 2'!$B$6:$B$17&lt;&gt;"")),'Events 2'!$D$6:$D$17),'Inputs 2'!$C$21))</f>
      </c>
      <c r="AO15" s="7">
        <f>IF($B15="","",IFERROR(LOOKUP(2,1/(('Events 2'!$C$6:$C$17="W-4 change")*('Events 2'!$B$6:$B$17&lt;=$B15)*('Events 2'!$B$6:$B$17&lt;&gt;"")),'Events 2'!$D$6:$D$17),'Inputs 2'!$C$14))</f>
      </c>
      <c r="AP15" s="7">
        <f>IF($B15="","",IFERROR(LOOKUP(2,1/(('Events 2'!$C$6:$C$17="W-4 change")*('Events 2'!$B$6:$B$17&lt;=$B15)*('Events 2'!$B$6:$B$17&lt;&gt;"")),'Events 2'!$E$6:$E$17),'Inputs 2'!$C$15))</f>
      </c>
      <c r="AQ15" s="7">
        <f>IF($B15="","",IFERROR(LOOKUP(2,1/(('Events 2'!$C$6:$C$17="W-4 change")*('Events 2'!$B$6:$B$17&lt;=$B15)*('Events 2'!$B$6:$B$17&lt;&gt;"")),'Events 2'!$F$6:$F$17),'Inputs 2'!$C$16))</f>
      </c>
      <c r="AR15" s="7">
        <f>IF($B15="","",IFERROR(LOOKUP(2,1/(('Events 2'!$C$6:$C$17="W-4 change")*('Events 2'!$B$6:$B$17&lt;=$B15)*('Events 2'!$B$6:$B$17&lt;&gt;"")),'Events 2'!$G$6:$G$17),'Inputs 2'!$C$17))</f>
      </c>
      <c r="AS15" s="6">
        <f>IF($B15="","",IFERROR(LOOKUP(2,1/((('Events 2'!$C$6:$C$17="State move")+('Events 2'!$C$6:$C$17="State cert change"))*('Events 2'!$B$6:$B$17&lt;=$B15)*('Events 2'!$B$6:$B$17&lt;&gt;"")),'Events 2'!$F$6:$F$17),'Inputs 2'!$C$23))</f>
      </c>
      <c r="AT15" s="6">
        <f>IF($B15="","",IFERROR(LOOKUP(2,1/((('Events 2'!$C$6:$C$17="State move")+('Events 2'!$C$6:$C$17="State cert change"))*('Events 2'!$B$6:$B$17&lt;=$B15)*('Events 2'!$B$6:$B$17&lt;&gt;"")),'Events 2'!$G$6:$G$17),'Inputs 2'!$C$24))</f>
      </c>
      <c r="AU15">
        <f>IF($B15="","",IFERROR(LOOKUP(2,1/(('Events 2'!$C$6:$C$17="State move")*('Events 2'!$B$6:$B$17&lt;=$B15)*('Events 2'!$B$6:$B$17&lt;&gt;"")),'Events 2'!$E$6:$E$17),'Inputs 2'!$C$22))</f>
      </c>
      <c r="AV15" s="6">
        <f>IF($B15="","",1+COUNTIFS('Events 2'!$C$6:$C$17,"Employer change",'Events 2'!$B$6:$B$17,"&lt;="&amp;$B15,'Events 2'!$B$6:$B$17,"&lt;&gt;"))</f>
      </c>
      <c r="AW15" s="7">
        <f>IF($B15="","",IF($AV15=1,'Inputs 2'!$C$49,IF(IFERROR(MATCH(IFERROR(LOOKUP(2,1/(('Events 2'!$C$6:$C$17="Employer change")*('Events 2'!$B$6:$B$17&lt;=$B15)*('Events 2'!$B$6:$B$17&lt;&gt;"")),'Events 2'!$B$6:$B$17),""),$B$6:$B$68,1),1)&lt;=1,'Inputs 2'!$C$49,INDEX($AB$6:$AB$68,MATCH(IFERROR(LOOKUP(2,1/(('Events 2'!$C$6:$C$17="Employer change")*('Events 2'!$B$6:$B$17&lt;=$B15)*('Events 2'!$B$6:$B$17&lt;&gt;"")),'Events 2'!$B$6:$B$17),""),$B$6:$B$68,1)-1))))</f>
      </c>
      <c r="AX15" s="7">
        <f>IF($B15="","",IF($AV15=1,'Inputs 2'!$C$49,IFERROR(LOOKUP(2,1/(('Events 2'!$C$6:$C$17="Employer change")*('Events 2'!$B$6:$B$17&lt;=$B15)*('Events 2'!$B$6:$B$17&lt;&gt;"")),'Events 2'!$D$6:$D$17),0)))</f>
      </c>
      <c r="AY15" s="7">
        <f>IF($B15="","",($O15-$D15)*'Inputs 2'!$C$8)</f>
      </c>
      <c r="AZ15" s="7">
        <f>IF($B15="","",IF($AN15="AL",MAX(0,$AY15-IF($AU15="Married",IF($AY15&lt;=25999,8500,MAX(5000,8500-175*CEILING(($AY15-25999)/500,1))),IF($AU15="Head of household",IF($AY15&lt;=25999,5200,MAX(2500,5200-135*CEILING(($AY15-25999)/500,1))),IF($AY15&lt;=25999,3000,MAX(2500,3000-25*CEILING(($AY15-25999)/500,1)))))-($P15-'Methodology &amp; Sources'!$C$10*$D15)*'Inputs 2'!$C$8-IF(OR($AU15="Married",$AU15="Head of household"),3000,1500)-$AT15*IF($AY15&lt;=50000,1000,IF($AY15&lt;=100000,500,300))),IF($AN15="AR",IF(MAX(0,$AY15-2470)&lt;97701,INT(MAX(0,$AY15-2470)/100)*100+50,MAX(0,$AY15-2470)),IF($AN15="DE",MAX(0,$AI15-3250),IF($AN15="HI",MAX(0,$AI15-1144*$AS15-4350),IF($AN15="KS",MAX(0,$AI15-(9160*IF($AU15="Married",2,1)+2320*$AT15+IF($AU15="Head of household",2320,0))),IF($AN15="MD",MAX(0,$AI15-3400-3200*$AS15),IF($AN15="MN",MAX(0,$AY15-5300*$AS15),IF($AN15="MO",MAX(0,$AI15-IF($AU15="Head of household",24150,IF($AU15="Married",IF('Inputs 2'!$C$83,16100,32200),16100))),IF($AN15="MT",$AY15,IF($AN15="ND",($C15+$L15)*'Inputs 2'!$C$8,IF($AN15="NE",MAX(0,$AY15-2440*$AS15),IF($AN15="NJ",MAX(0,$AY15-1000*$AS15),IF($AN15="NY",MAX(0,$AY15-(IF($AU15="Married",7950,7400)+1000*$AS15)),IF($AN15="OH",MAX(0,$AY15-650*$AS15),IF($AN15="OK",MAX(0,$AY15-1000*$AS15),IF($AN15="RI",MAX(0,$AI15-1000*$AS15),IF($AN15="SC",MAX(0,$AI15-5000*$AS15-IF($AS15=0,0,MIN(0.1*$AI15,7500))),IF($AN15="VA",MAX(0,$AI15-IF($AU15="Married",17500,8750)-930*$AS15-800*$AT15),IF($AN15="VT",MAX(0,$AI15-5400*$AS15),IF($AN15="WI",MAX(0,$AI15-MAX(0,IF($AU15="Married",9461-0.2*MAX(0,$AI15-25727),6702-0.12*MAX(0,$AI15-17780)))-400*$AS15),IF($AN15="WV",MAX(0,$AI15-2000*$AS15),$AI15))))))))))))))))))))))</f>
      </c>
      <c r="BA15" s="7">
        <f>IF($B15="","",IF($BW15&lt;&gt;"",$BW15,IF($BX15&lt;&gt;"",$BX15,IF($BY15&lt;&gt;"",$BY15,0))))</f>
      </c>
      <c r="BB15" s="7">
        <f>IF($B15="","",IF($AN15="AR",-29*$AS15,IF($AN15="DE",-110*$AS15,IF($AN15="MD",$AZ15*'Inputs 2'!$C$74,IF($AN15="AZ",'Inputs 2'!$C$82*($M15-$D15)*'Inputs 2'!$C$8,IF($AN15="CO",0.044*MAX(0,$AY15-IF($AU15="Married",10000,5000)),IF($AN15="IA",MAX(0,0.038*MAX(0,$AY15-IF($AU15="Head of household",19500,IF($AU15="Married",26000,13000)))-40*$AS15),IF($AN15="ID",0.053*MAX(0,$AY15-IF($AU15="Married",32000,16094)),IF($AN15="IL",0.0495*MAX(0,$AY15-(2925*$AS15+1000*$AT15)),IF($AN15="IN",(0.0295+'Inputs 2'!$C$76)*MAX(0,$AY15-(1000*$AS15+1500*$AT15+3000*'Inputs 2'!$C$86)),IF($AN15="KY",0.035*MAX(0,$AI15-3360),IF($AN15="LA",IF('Inputs 2'!$C$84="0",0.0309*$AI15,0.0309*MAX(0,$AI15-IF('Inputs 2'!$C$84="2",25750,12875))),IF($AN15="MA",0.05*MIN(MAX(0,$AY15-MIN(($BD14+$Q15+$R15+$S15),2000)-IF($AS15=0,0,IF($AS15=1,4400,1000*$AS15+3400))),1107750)+0.09*MAX(0,MAX(0,$AY15-MIN(($BD14+$Q15+$R15+$S15),2000)-IF($AS15=0,0,IF($AS15=1,4400,1000*$AS15+3400)))-1107750)-IF($AU15="Head of household",120,0)-110*'Inputs 2'!$C$75,IF($AN15="MI",0.0425*MAX(0,$AY15-5900*$AS15),IF($AN15="MS",0.04*MAX(0,$AI15-IF($AU15="Head of household",3400,IF($AU15="Married",4600,2300))-'Inputs 2'!$C$85-10000),IF($AN15="OR",IF(OR($AU15="Married",AND($AU15="Single",$AS15&gt;=3)),SUMPRODUCT((MAX(0,$AY15-MIN(($P15-'Methodology &amp; Sources'!$C$10*$D15)*'Inputs 2'!$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Sources'!$B$211:$J$214,0,4))*(MAX(0,$AY15-MIN(($P15-'Methodology &amp; Sources'!$C$10*$D15)*'Inputs 2'!$C$8,IF(OR($AU15="Married",AND($AU15="Single",$AS15&gt;=3)),IF($AY15&lt;250000,8750,IF($AY15&lt;260000,7000,IF($AY15&lt;270000,5250,IF($AY15&lt;280000,3500,IF($AY15&lt;290000,1750,0))))),IF($AY15&lt;125000,8750,IF($AY15&lt;130000,7000,IF($AY15&lt;135000,5250,IF($AY15&lt;140000,3500,IF($AY15&lt;145000,1750,0)))))))-IF(OR($AU15="Married",AND($AU15="Single",$AS15&gt;=3)),5820,2910))-INDEX('Methodology &amp; Sources'!$B$211:$J$214,0,4))*INDEX('Methodology &amp; Sources'!$B$211:$J$214,0,4+2)),SUMPRODUCT((MAX(0,$AY15-MIN(($P15-'Methodology &amp; Sources'!$C$10*$D15)*'Inputs 2'!$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Sources'!$B$211:$J$214,0,1))*(MAX(0,$AY15-MIN(($P15-'Methodology &amp; Sources'!$C$10*$D15)*'Inputs 2'!$C$8,IF(OR($AU15="Married",AND($AU15="Single",$AS15&gt;=3)),IF($AY15&lt;250000,8750,IF($AY15&lt;260000,7000,IF($AY15&lt;270000,5250,IF($AY15&lt;280000,3500,IF($AY15&lt;290000,1750,0))))),IF($AY15&lt;125000,8750,IF($AY15&lt;130000,7000,IF($AY15&lt;135000,5250,IF($AY15&lt;140000,3500,IF($AY15&lt;145000,1750,0)))))))-IF(OR($AU15="Married",AND($AU15="Single",$AS15&gt;=3)),5820,2910))-INDEX('Methodology &amp; Sources'!$B$211:$J$214,0,1))*INDEX('Methodology &amp; Sources'!$B$211:$J$214,0,1+2)))+263-263*IF(IF($AU15="Married",$AY15&gt;200000,$AY15&gt;100000),0,$AS15),IF($AN15="PA",0.0307*(($O15+$E15+$G15)*'Inputs 2'!$C$8),IF($AN15="NY",IF($AU15="Married",IF($AZ15&gt;=2155350,0,IF($AZ15&gt;=1077550,0.48,IF($AZ15&gt;=373200,1.21,IF($AZ15&gt;=323200,0.21,IF($AZ15&gt;=211550,-0.19,IF($AZ15&gt;=157650,-2.8,IF($AZ15&gt;=107650,-0.8,IF($AZ15&gt;=96800,0.05,IF($AZ15&gt;=80650,-0.1,IF($AZ15&gt;=13900,0.4,IF($AZ15&gt;=11700,-0.3,IF($AZ15&gt;=8500,0.5,0)))))))))))),IF($AZ15&gt;=1077550,0,IF($AZ15&gt;=265400,4.29,IF($AZ15&gt;=215400,2.29,IF($AZ15&gt;=157650,2.29,IF($AZ15&gt;=107650,0.29,IF($AZ15&gt;=96800,0.05,IF($AZ15&gt;=80650,-0.1,IF($AZ15&gt;=13900,0.4,IF($AZ15&gt;=11700,-0.3,IF($AZ15&gt;=8500,0.5,0))))))))))),0))))))))))))))))))</f>
      </c>
      <c r="BC15" s="7">
        <f>IF($B15="","",IF($AN15="AL",0.05*$D15,IF($AN15="AR",0.039*$D15,IF($AN15="ID",0.053*$D15,IF($AN15="IN",(0.0295+'Inputs 2'!$C$76)*$D15,IF($AN15="KS",0.05*$D15,IF($AN15="MA",0.09*MIN($D15,MAX(0,MAX(0,$AY15-MIN(($BD14+$Q15+$R15+$S15),2000)-IF($AS15=0,0,IF($AS15=1,4400,1000*$AS15+3400)))+$D15-1107750))+0.05*($D15-MIN($D15,MAX(0,MAX(0,$AY15-MIN(($BD14+$Q15+$R15+$S15),2000)-IF($AS15=0,0,IF($AS15=1,4400,1000*$AS15+3400)))+$D15-1107750))),IF($AN15="MD",(0.065+'Inputs 2'!$C$74)*$D15,IF($AN15="MI",0.0425*$D15,IF($AN15="MN",0.0625*$D15,IF($AN15="MO",0.047*$D15,IF($AN15="MT",0.05*$D15,IF($AN15="ND",0.015*$D15,IF($AN15="NE",0.035*$D15,IF($AN15="NJ",IF('Inputs 2'!$C$77="B",SUMPRODUCT(($D15*'Inputs 2'!$C$8&gt;INDEX('Methodology &amp; Sources'!$B$155:$J$162,0,4))*($D15*'Inputs 2'!$C$8-INDEX('Methodology &amp; Sources'!$B$155:$J$162,0,4))*INDEX('Methodology &amp; Sources'!$B$155:$J$162,0,4+2)),IF('Inputs 2'!$C$77="C",SUMPRODUCT(($D15*'Inputs 2'!$C$8&gt;INDEX('Methodology &amp; Sources'!$B$155:$J$162,0,7))*($D15*'Inputs 2'!$C$8-INDEX('Methodology &amp; Sources'!$B$155:$J$162,0,7))*INDEX('Methodology &amp; Sources'!$B$155:$J$162,0,7+2)),IF('Inputs 2'!$C$77="D",SUMPRODUCT(($D15*'Inputs 2'!$C$8&gt;INDEX('Methodology &amp; Sources'!$B$167:$J$179,0,1))*($D15*'Inputs 2'!$C$8-INDEX('Methodology &amp; Sources'!$B$167:$J$179,0,1))*INDEX('Methodology &amp; Sources'!$B$167:$J$179,0,1+2)),IF('Inputs 2'!$C$77="E",SUMPRODUCT(($D15*'Inputs 2'!$C$8&gt;INDEX('Methodology &amp; Sources'!$B$167:$J$179,0,4))*($D15*'Inputs 2'!$C$8-INDEX('Methodology &amp; Sources'!$B$167:$J$179,0,4))*INDEX('Methodology &amp; Sources'!$B$167:$J$179,0,4+2)),SUMPRODUCT(($D15*'Inputs 2'!$C$8&gt;INDEX('Methodology &amp; Sources'!$B$155:$J$162,0,1))*($D15*'Inputs 2'!$C$8-INDEX('Methodology &amp; Sources'!$B$155:$J$162,0,1))*INDEX('Methodology &amp; Sources'!$B$155:$J$162,0,1+2))))))/'Inputs 2'!$C$8,IF($AN15="NY",0.117*$D15,IF($AN15="OH",0.0275*$D15,IF($AN15="OK",0.045*$D15,IF($AN15="OR",0.08*$D15,IF($AN15="WI",IF($AY15&lt;12760,0.0354,IF($AY15&lt;25520,0.0465,IF($AY15&lt;280950,0.053,0.0765)))*$D15,0))))))))))))))))))))</f>
      </c>
      <c r="BD15" s="7">
        <f>IF($B15="","",$BD14+$Q15+$R15+$S15)</f>
      </c>
      <c r="BE15" s="6">
        <f>IF($B15="",$BE14,$BE14+$BF15)</f>
      </c>
      <c r="BF15" s="6">
        <f>IF($B15="","",IF(AND(IF(YEAR(IF('Inputs 2'!$C$7="Weekly",'Inputs 2'!$C$9+7*(($BE14+1)-1),IF('Inputs 2'!$C$7="Biweekly",'Inputs 2'!$C$9+14*(($BE14+1)-1),IF('Inputs 2'!$C$7="Semimonthly",DATE(YEAR('Inputs 2'!$C$9),MONTH('Inputs 2'!$C$9)+INT((($BE14+1)-1)/2),MIN(DAY('Inputs 2'!$C$9),DAY(EOMONTH(DATE(YEAR('Inputs 2'!$C$9),MONTH('Inputs 2'!$C$9)+INT((($BE14+1)-1)/2),1),0))))+IF(MOD(($BE14+1)-1,2)=1,15,0),EDATE('Inputs 2'!$C$9,($BE14+1)-1)))))&lt;&gt;'Inputs 2'!$C$10,"",IF('Inputs 2'!$C$7="Weekly",'Inputs 2'!$C$9+7*(($BE14+1)-1),IF('Inputs 2'!$C$7="Biweekly",'Inputs 2'!$C$9+14*(($BE14+1)-1),IF('Inputs 2'!$C$7="Semimonthly",DATE(YEAR('Inputs 2'!$C$9),MONTH('Inputs 2'!$C$9)+INT((($BE14+1)-1)/2),MIN(DAY('Inputs 2'!$C$9),DAY(EOMONTH(DATE(YEAR('Inputs 2'!$C$9),MONTH('Inputs 2'!$C$9)+INT((($BE14+1)-1)/2),1),0))))+IF(MOD(($BE14+1)-1,2)=1,15,0),EDATE('Inputs 2'!$C$9,($BE14+1)-1)))))&lt;&gt;"",$B15=IF(YEAR(IF('Inputs 2'!$C$7="Weekly",'Inputs 2'!$C$9+7*(($BE14+1)-1),IF('Inputs 2'!$C$7="Biweekly",'Inputs 2'!$C$9+14*(($BE14+1)-1),IF('Inputs 2'!$C$7="Semimonthly",DATE(YEAR('Inputs 2'!$C$9),MONTH('Inputs 2'!$C$9)+INT((($BE14+1)-1)/2),MIN(DAY('Inputs 2'!$C$9),DAY(EOMONTH(DATE(YEAR('Inputs 2'!$C$9),MONTH('Inputs 2'!$C$9)+INT((($BE14+1)-1)/2),1),0))))+IF(MOD(($BE14+1)-1,2)=1,15,0),EDATE('Inputs 2'!$C$9,($BE14+1)-1)))))&lt;&gt;'Inputs 2'!$C$10,"",IF('Inputs 2'!$C$7="Weekly",'Inputs 2'!$C$9+7*(($BE14+1)-1),IF('Inputs 2'!$C$7="Biweekly",'Inputs 2'!$C$9+14*(($BE14+1)-1),IF('Inputs 2'!$C$7="Semimonthly",DATE(YEAR('Inputs 2'!$C$9),MONTH('Inputs 2'!$C$9)+INT((($BE14+1)-1)/2),MIN(DAY('Inputs 2'!$C$9),DAY(EOMONTH(DATE(YEAR('Inputs 2'!$C$9),MONTH('Inputs 2'!$C$9)+INT((($BE14+1)-1)/2),1),0))))+IF(MOD(($BE14+1)-1,2)=1,15,0),EDATE('Inputs 2'!$C$9,($BE14+1)-1)))))),1,0))</f>
      </c>
      <c r="BG15" s="7">
        <f>IF($B15="","",$BG14+$H15)</f>
      </c>
      <c r="BH15" s="7">
        <f>IF($B15="","",$BH14+$I15)</f>
      </c>
      <c r="BI15" s="7">
        <f>IF($B15="","",$BI14+$G15)</f>
      </c>
      <c r="BJ15" s="7">
        <f>IF($B15="","",IFERROR(LOOKUP(2,1/(((('Events 2'!$C$6:$C$17="Deduction start"))*('Events 2'!$D$6:$D$17="Health FSA"))*('Events 2'!$B$6:$B$17&lt;=$B15)*('Events 2'!$B$6:$B$17&lt;&gt;"")),'Events 2'!$E$6:$E$17),'Inputs 2'!$D$38))</f>
      </c>
      <c r="BK15" s="7">
        <f>IF($B15="","",IFERROR(LOOKUP(2,1/(((('Events 2'!$C$6:$C$17="Deduction start"))*('Events 2'!$D$6:$D$17="Dependent-care FSA"))*('Events 2'!$B$6:$B$17&lt;=$B15)*('Events 2'!$B$6:$B$17&lt;&gt;"")),'Events 2'!$E$6:$E$17),'Inputs 2'!$D$39))</f>
      </c>
      <c r="BL15" s="7">
        <f>IF($B15="","",IFERROR(LOOKUP(2,1/(((('Events 2'!$C$6:$C$17="Deduction start")+('Events 2'!$C$6:$C$17="Deduction stop"))*('Events 2'!$D$6:$D$17="HSA"))*('Events 2'!$B$6:$B$17&lt;=$B15)*('Events 2'!$B$6:$B$17&lt;&gt;"")),'Events 2'!$I$6:$I$17),'Inputs 2'!$D$35))</f>
      </c>
      <c r="BM15" s="7">
        <f>IF($B15="","",IFERROR(LOOKUP(2,1/(((('Events 2'!$C$6:$C$17="Deduction start")+('Events 2'!$C$6:$C$17="Deduction stop"))*('Events 2'!$D$6:$D$17="Premiums"))*('Events 2'!$B$6:$B$17&lt;=$B15)*('Events 2'!$B$6:$B$17&lt;&gt;"")),'Events 2'!$I$6:$I$17),'Inputs 2'!$D$40+'Inputs 2'!$D$41+'Inputs 2'!$D$42))</f>
      </c>
      <c r="BN15" s="7">
        <f>IF($B15="","",IFERROR(LOOKUP(2,1/(((('Events 2'!$C$6:$C$17="Deduction start")+('Events 2'!$C$6:$C$17="Deduction stop"))*('Events 2'!$D$6:$D$17="Commuter"))*('Events 2'!$B$6:$B$17&lt;=$B15)*('Events 2'!$B$6:$B$17&lt;&gt;"")),'Events 2'!$I$6:$I$17),'Inputs 2'!$D$43))</f>
      </c>
      <c r="BO15" s="7">
        <f>IF($B15="","",IFERROR(LOOKUP(2,1/(((('Events 2'!$C$6:$C$17="Deduction start")+('Events 2'!$C$6:$C$17="Deduction stop"))*('Events 2'!$D$6:$D$17="Other pre-tax"))*('Events 2'!$B$6:$B$17&lt;=$B15)*('Events 2'!$B$6:$B$17&lt;&gt;"")),'Events 2'!$I$6:$I$17),'Inputs 2'!$D$44))</f>
      </c>
      <c r="BP15" s="7">
        <f>IF($B15="","",IFERROR(LOOKUP(2,1/(((('Events 2'!$C$6:$C$17="Deduction start")+('Events 2'!$C$6:$C$17="Deduction stop"))*('Events 2'!$D$6:$D$17="Other post-tax"))*('Events 2'!$B$6:$B$17&lt;=$B15)*('Events 2'!$B$6:$B$17&lt;&gt;"")),'Events 2'!$I$6:$I$17),'Inputs 2'!$D$45))</f>
      </c>
      <c r="BQ15" s="6">
        <f>IF($B15="","",IFERROR(LOOKUP(2,1/(((('Events 2'!$C$6:$C$17="Deduction start")+('Events 2'!$C$6:$C$17="Deduction stop"))*('Events 2'!$D$6:$D$17="Health FSA"))*('Events 2'!$B$6:$B$17&lt;=$B15)*('Events 2'!$B$6:$B$17&lt;&gt;"")),'Events 2'!$J$6:$J$17),0))</f>
      </c>
      <c r="BR15" s="6">
        <f>IF($B15="","",IFERROR(LOOKUP(2,1/(((('Events 2'!$C$6:$C$17="Deduction start")+('Events 2'!$C$6:$C$17="Deduction stop"))*('Events 2'!$D$6:$D$17="Dependent-care FSA"))*('Events 2'!$B$6:$B$17&lt;=$B15)*('Events 2'!$B$6:$B$17&lt;&gt;"")),'Events 2'!$J$6:$J$17),0))</f>
      </c>
      <c r="BS15" s="6">
        <f>IF($B15="","",IF(SUMPRODUCT(('Events 2'!$C$6:$C$17="Deduction start")*('Events 2'!$B$6:$B$17&lt;=$B15)*('Events 2'!$B$6:$B$17&lt;&gt;"")*('Events 2'!$D$6:$D$17="Health FSA"))&gt;0,1,0))</f>
      </c>
      <c r="BT15" s="6">
        <f>IF($B15="","",IF(SUMPRODUCT(('Events 2'!$C$6:$C$17="Deduction start")*('Events 2'!$B$6:$B$17&lt;=$B15)*('Events 2'!$B$6:$B$17&lt;&gt;"")*('Events 2'!$D$6:$D$17="Dependent-care FSA"))&gt;0,1,0))</f>
      </c>
      <c r="BU15" s="24">
        <f>IF($B15="","",IF('Inputs 2'!$C$13,SUMPRODUCT(($AH15&gt;=INDEX('Methodology &amp; Sources'!$B$29:$J$36,0,IF('Inputs 2'!$C$12="MFJ",1,IF('Inputs 2'!$C$12="HoH",7,4))))*INDEX('Methodology &amp; Sources'!$B$29:$J$36,0,IF('Inputs 2'!$C$12="MFJ",1,IF('Inputs 2'!$C$12="HoH",7,4))+2)),SUMPRODUCT(($AH15&gt;=INDEX('Methodology &amp; Sources'!$B$19:$J$26,0,IF('Inputs 2'!$C$12="MFJ",1,IF('Inputs 2'!$C$12="HoH",7,4))))*INDEX('Methodology &amp; Sources'!$B$19:$J$26,0,IF('Inputs 2'!$C$12="MFJ",1,IF('Inputs 2'!$C$12="HoH",7,4))+2))))</f>
      </c>
      <c r="BV15" s="24">
        <f>IF($B15="","",IF($BZ15&lt;&gt;"",$BZ15,IF($CA15&lt;&gt;"",$CA15,IF($CB15&lt;&gt;"",$CB15,IF($CC15&lt;&gt;"",$CC15,0)))))</f>
      </c>
      <c r="BW15" s="7">
        <f>IF($B15="","",IF($AN15="MD",IF(OR($AU15="Married",$AU15="Head of household"),SUMPRODUCT(($AZ15&gt;INDEX('Methodology &amp; Sources'!$B$114:$J$120,0,1))*($AZ15-INDEX('Methodology &amp; Sources'!$B$114:$J$120,0,1))*INDEX('Methodology &amp; Sources'!$B$114:$J$120,0,1+2)),SUMPRODUCT(($AZ15&gt;INDEX('Methodology &amp; Sources'!$B$103:$J$109,0,7))*($AZ15-INDEX('Methodology &amp; Sources'!$B$103:$J$109,0,7))*INDEX('Methodology &amp; Sources'!$B$103:$J$109,0,7+2))),IF($AN15="MO",SUMPRODUCT(($AZ15&gt;INDEX('Methodology &amp; Sources'!$B$125:$J$132,0,1))*($AZ15-INDEX('Methodology &amp; Sources'!$B$125:$J$132,0,1))*INDEX('Methodology &amp; Sources'!$B$125:$J$132,0,1+2)),IF($AN15="MT",IF($AU15="Head of household",SUMPRODUCT(($AZ15&gt;INDEX('Methodology &amp; Sources'!$B$137:$J$139,0,1))*($AZ15-INDEX('Methodology &amp; Sources'!$B$137:$J$139,0,1))*INDEX('Methodology &amp; Sources'!$B$137:$J$139,0,1+2)),IF($AU15="Married",SUMPRODUCT(($AZ15&gt;INDEX('Methodology &amp; Sources'!$B$125:$J$132,0,7))*($AZ15-INDEX('Methodology &amp; Sources'!$B$125:$J$132,0,7))*INDEX('Methodology &amp; Sources'!$B$125:$J$132,0,7+2)),SUMPRODUCT(($AZ15&gt;INDEX('Methodology &amp; Sources'!$B$125:$J$132,0,4))*($AZ15-INDEX('Methodology &amp; Sources'!$B$125:$J$132,0,4))*INDEX('Methodology &amp; Sources'!$B$125:$J$132,0,4+2)))),IF($AN15="ND",IF($AU15="Head of household",SUMPRODUCT(($AZ15&gt;INDEX('Methodology &amp; Sources'!$B$144:$J$150,0,1))*($AZ15-INDEX('Methodology &amp; Sources'!$B$144:$J$150,0,1))*INDEX('Methodology &amp; Sources'!$B$144:$J$150,0,1+2)),IF($AU15="Married",SUMPRODUCT(($AZ15&gt;INDEX('Methodology &amp; Sources'!$B$137:$J$139,0,7))*($AZ15-INDEX('Methodology &amp; Sources'!$B$137:$J$139,0,7))*INDEX('Methodology &amp; Sources'!$B$137:$J$139,0,7+2)),SUMPRODUCT(($AZ15&gt;INDEX('Methodology &amp; Sources'!$B$137:$J$139,0,4))*($AZ15-INDEX('Methodology &amp; Sources'!$B$137:$J$139,0,4))*INDEX('Methodology &amp; Sources'!$B$137:$J$139,0,4+2)))),IF($AN15="NJ",IF('Inputs 2'!$C$77="B",SUMPRODUCT(($AZ15&gt;INDEX('Methodology &amp; Sources'!$B$155:$J$162,0,4))*($AZ15-INDEX('Methodology &amp; Sources'!$B$155:$J$162,0,4))*INDEX('Methodology &amp; Sources'!$B$155:$J$162,0,4+2)),IF('Inputs 2'!$C$77="C",SUMPRODUCT(($AZ15&gt;INDEX('Methodology &amp; Sources'!$B$155:$J$162,0,7))*($AZ15-INDEX('Methodology &amp; Sources'!$B$155:$J$162,0,7))*INDEX('Methodology &amp; Sources'!$B$155:$J$162,0,7+2)),IF('Inputs 2'!$C$77="D",SUMPRODUCT(($AZ15&gt;INDEX('Methodology &amp; Sources'!$B$167:$J$179,0,1))*($AZ15-INDEX('Methodology &amp; Sources'!$B$167:$J$179,0,1))*INDEX('Methodology &amp; Sources'!$B$167:$J$179,0,1+2)),IF('Inputs 2'!$C$77="E",SUMPRODUCT(($AZ15&gt;INDEX('Methodology &amp; Sources'!$B$167:$J$179,0,4))*($AZ15-INDEX('Methodology &amp; Sources'!$B$167:$J$179,0,4))*INDEX('Methodology &amp; Sources'!$B$167:$J$179,0,4+2)),SUMPRODUCT(($AZ15&gt;INDEX('Methodology &amp; Sources'!$B$155:$J$162,0,1))*($AZ15-INDEX('Methodology &amp; Sources'!$B$155:$J$162,0,1))*INDEX('Methodology &amp; Sources'!$B$155:$J$162,0,1+2)))))),IF($AN15="NY",IF($AU15="Married",IF($AZ15&gt;=2155350,$AZ15*IF($AZ15&gt;25000000,0.117,IF($AZ15&gt;5000000,0.111,0.1045)),SUMPRODUCT(($AZ15&gt;INDEX('Methodology &amp; Sources'!$B$184:$J$198,0,1))*($AZ15-INDEX('Methodology &amp; Sources'!$B$184:$J$198,0,1))*INDEX('Methodology &amp; Sources'!$B$184:$J$198,0,1+2))),IF($AZ15&gt;=1077550,$AZ15*IF($AZ15&gt;25000000,0.117,IF($AZ15&gt;5000000,0.111,0.1045)),SUMPRODUCT(($AZ15&gt;INDEX('Methodology &amp; Sources'!$B$167:$J$179,0,7))*($AZ15-INDEX('Methodology &amp; Sources'!$B$167:$J$179,0,7))*INDEX('Methodology &amp; Sources'!$B$167:$J$179,0,7+2)))),"")))))))</f>
      </c>
      <c r="BX15" s="7">
        <f>IF($B15="","",IF($AN15="AL",IF(OR($AU15="Married",$AU15="Head of household"),SUMPRODUCT(($AZ15&gt;INDEX('Methodology &amp; Sources'!$B$82:$J$86,0,4))*($AZ15-INDEX('Methodology &amp; Sources'!$B$82:$J$86,0,4))*INDEX('Methodology &amp; Sources'!$B$82:$J$86,0,4+2)),SUMPRODUCT(($AZ15&gt;INDEX('Methodology &amp; Sources'!$B$82:$J$86,0,1))*($AZ15-INDEX('Methodology &amp; Sources'!$B$82:$J$86,0,1))*INDEX('Methodology &amp; Sources'!$B$82:$J$86,0,1+2))),IF($AN15="KS",IF($AU15="Married",SUMPRODUCT(($AZ15&gt;INDEX('Methodology &amp; Sources'!$B$103:$J$109,0,4))*($AZ15-INDEX('Methodology &amp; Sources'!$B$103:$J$109,0,4))*INDEX('Methodology &amp; Sources'!$B$103:$J$109,0,4+2)),SUMPRODUCT(($AZ15&gt;INDEX('Methodology &amp; Sources'!$B$103:$J$109,0,1))*($AZ15-INDEX('Methodology &amp; Sources'!$B$103:$J$109,0,1))*INDEX('Methodology &amp; Sources'!$B$103:$J$109,0,1+2))),IF($AN15="MN",IF($AU15="Married",SUMPRODUCT(($AZ15&gt;INDEX('Methodology &amp; Sources'!$B$114:$J$120,0,7))*($AZ15-INDEX('Methodology &amp; Sources'!$B$114:$J$120,0,7))*INDEX('Methodology &amp; Sources'!$B$114:$J$120,0,7+2)),SUMPRODUCT(($AZ15&gt;INDEX('Methodology &amp; Sources'!$B$114:$J$120,0,4))*($AZ15-INDEX('Methodology &amp; Sources'!$B$114:$J$120,0,4))*INDEX('Methodology &amp; Sources'!$B$114:$J$120,0,4+2))),IF($AN15="NE",MAX(IF($AU15="Married",SUMPRODUCT(($AZ15&gt;INDEX('Methodology &amp; Sources'!$B$144:$J$150,0,7))*($AZ15-INDEX('Methodology &amp; Sources'!$B$144:$J$150,0,7))*INDEX('Methodology &amp; Sources'!$B$144:$J$150,0,7+2)),SUMPRODUCT(($AZ15&gt;INDEX('Methodology &amp; Sources'!$B$144:$J$150,0,4))*($AZ15-INDEX('Methodology &amp; Sources'!$B$144:$J$150,0,4))*INDEX('Methodology &amp; Sources'!$B$144:$J$150,0,4+2))),0.015*$AZ15),IF($AN15="OH",IF($B15&gt;=DATE(2027,8,1),SUMPRODUCT(($AZ15&gt;INDEX('Methodology &amp; Sources'!$B$203:$J$206,0,1))*($AZ15-INDEX('Methodology &amp; Sources'!$B$203:$J$206,0,1))*INDEX('Methodology &amp; Sources'!$B$203:$J$206,0,1+2)),SUMPRODUCT(($AZ15&gt;INDEX('Methodology &amp; Sources'!$B$184:$J$198,0,7))*($AZ15-INDEX('Methodology &amp; Sources'!$B$184:$J$198,0,7))*INDEX('Methodology &amp; Sources'!$B$184:$J$198,0,7+2))),IF($AN15="OK",IF($AU15="Married",SUMPRODUCT(($AZ15&gt;INDEX('Methodology &amp; Sources'!$B$203:$J$206,0,7))*($AZ15-INDEX('Methodology &amp; Sources'!$B$203:$J$206,0,7))*INDEX('Methodology &amp; Sources'!$B$203:$J$206,0,7+2)),SUMPRODUCT(($AZ15&gt;INDEX('Methodology &amp; Sources'!$B$203:$J$206,0,4))*($AZ15-INDEX('Methodology &amp; Sources'!$B$203:$J$206,0,4))*INDEX('Methodology &amp; Sources'!$B$203:$J$206,0,4+2))),IF($AN15="RI",SUMPRODUCT(($AZ15&gt;INDEX('Methodology &amp; Sources'!$B$211:$J$214,0,7))*($AZ15-INDEX('Methodology &amp; Sources'!$B$211:$J$214,0,7))*INDEX('Methodology &amp; Sources'!$B$211:$J$214,0,7+2)),IF($AN15="VT",IF($AU15="Married",SUMPRODUCT(($AZ15&gt;INDEX('Methodology &amp; Sources'!$B$228:$J$232,0,1))*($AZ15-INDEX('Methodology &amp; Sources'!$B$228:$J$232,0,1))*INDEX('Methodology &amp; Sources'!$B$228:$J$232,0,1+2)),SUMPRODUCT(($AZ15&gt;INDEX('Methodology &amp; Sources'!$B$219:$J$223,0,7))*($AZ15-INDEX('Methodology &amp; Sources'!$B$219:$J$223,0,7))*INDEX('Methodology &amp; Sources'!$B$219:$J$223,0,7+2))),IF($AN15="WV",IF($AU15="Married",SUMPRODUCT(($AZ15&gt;INDEX('Methodology &amp; Sources'!$B$237:$J$241,0,7))*($AZ15-INDEX('Methodology &amp; Sources'!$B$237:$J$241,0,7))*INDEX('Methodology &amp; Sources'!$B$237:$J$241,0,7+2)),SUMPRODUCT(($AZ15&gt;INDEX('Methodology &amp; Sources'!$B$228:$J$232,0,7))*($AZ15-INDEX('Methodology &amp; Sources'!$B$228:$J$232,0,7))*INDEX('Methodology &amp; Sources'!$B$228:$J$232,0,7+2))),""))))))))))</f>
      </c>
      <c r="BY15" s="7">
        <f>IF($B15="","",IF($AN15="AR",SUMPRODUCT(($AZ15&gt;INDEX('Methodology &amp; Sources'!$B$82:$J$86,0,7))*($AZ15-INDEX('Methodology &amp; Sources'!$B$82:$J$86,0,7))*INDEX('Methodology &amp; Sources'!$B$82:$J$86,0,7+2)),IF($AN15="DE",SUMPRODUCT(($AZ15&gt;INDEX('Methodology &amp; Sources'!$B$91:$J$98,0,1))*($AZ15-INDEX('Methodology &amp; Sources'!$B$91:$J$98,0,1))*INDEX('Methodology &amp; Sources'!$B$91:$J$98,0,1+2)),IF($AN15="HI",IF($AU15="Married",SUMPRODUCT(($AZ15&gt;INDEX('Methodology &amp; Sources'!$B$91:$J$98,0,7))*($AZ15-INDEX('Methodology &amp; Sources'!$B$91:$J$98,0,7))*INDEX('Methodology &amp; Sources'!$B$91:$J$98,0,7+2)),SUMPRODUCT(($AZ15&gt;INDEX('Methodology &amp; Sources'!$B$91:$J$98,0,4))*($AZ15-INDEX('Methodology &amp; Sources'!$B$91:$J$98,0,4))*INDEX('Methodology &amp; Sources'!$B$91:$J$98,0,4+2))),IF($AN15="SC",SUMPRODUCT(($AZ15&gt;INDEX('Methodology &amp; Sources'!$B$219:$J$223,0,1))*($AZ15-INDEX('Methodology &amp; Sources'!$B$219:$J$223,0,1))*INDEX('Methodology &amp; Sources'!$B$219:$J$223,0,1+2)),IF($AN15="VA",SUMPRODUCT(($AZ15&gt;INDEX('Methodology &amp; Sources'!$B$219:$J$223,0,4))*($AZ15-INDEX('Methodology &amp; Sources'!$B$219:$J$223,0,4))*INDEX('Methodology &amp; Sources'!$B$219:$J$223,0,4+2)),IF($AN15="WI",SUMPRODUCT(($AZ15&gt;INDEX('Methodology &amp; Sources'!$B$228:$J$232,0,4))*($AZ15-INDEX('Methodology &amp; Sources'!$B$228:$J$232,0,4))*INDEX('Methodology &amp; Sources'!$B$228:$J$232,0,4+2)),"")))))))</f>
      </c>
      <c r="BZ15" s="24">
        <f>IF($B15="","",IF($AN15="NJ",IF('Inputs 2'!$C$77="B",SUMPRODUCT(($AZ15&gt;=INDEX('Methodology &amp; Sources'!$B$155:$J$162,0,4))*INDEX('Methodology &amp; Sources'!$B$155:$J$162,0,4+2)),IF('Inputs 2'!$C$77="C",SUMPRODUCT(($AZ15&gt;=INDEX('Methodology &amp; Sources'!$B$155:$J$162,0,7))*INDEX('Methodology &amp; Sources'!$B$155:$J$162,0,7+2)),IF('Inputs 2'!$C$77="D",SUMPRODUCT(($AZ15&gt;=INDEX('Methodology &amp; Sources'!$B$167:$J$179,0,1))*INDEX('Methodology &amp; Sources'!$B$167:$J$179,0,1+2)),IF('Inputs 2'!$C$77="E",SUMPRODUCT(($AZ15&gt;=INDEX('Methodology &amp; Sources'!$B$167:$J$179,0,4))*INDEX('Methodology &amp; Sources'!$B$167:$J$179,0,4+2)),SUMPRODUCT(($AZ15&gt;=INDEX('Methodology &amp; Sources'!$B$155:$J$162,0,1))*INDEX('Methodology &amp; Sources'!$B$155:$J$162,0,1+2)))))),IF($AN15="OR",IF(OR($AU15="Married",AND($AU15="Single",$AS15&gt;=3)),SUMPRODUCT((MAX(0,$AY15-MIN(($P15-'Methodology &amp; Sources'!$C$10*$D15)*'Inputs 2'!$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Sources'!$B$211:$J$214,0,4))*INDEX('Methodology &amp; Sources'!$B$211:$J$214,0,4+2)),SUMPRODUCT((MAX(0,$AY15-MIN(($P15-'Methodology &amp; Sources'!$C$10*$D15)*'Inputs 2'!$C$8,IF(OR($AU15="Married",AND($AU15="Single",$AS15&gt;=3)),IF($AY15&lt;250000,8750,IF($AY15&lt;260000,7000,IF($AY15&lt;270000,5250,IF($AY15&lt;280000,3500,IF($AY15&lt;290000,1750,0))))),IF($AY15&lt;125000,8750,IF($AY15&lt;130000,7000,IF($AY15&lt;135000,5250,IF($AY15&lt;140000,3500,IF($AY15&lt;145000,1750,0)))))))-IF(OR($AU15="Married",AND($AU15="Single",$AS15&gt;=3)),5820,2910))&gt;=INDEX('Methodology &amp; Sources'!$B$211:$J$214,0,1))*INDEX('Methodology &amp; Sources'!$B$211:$J$214,0,1+2)))*IF(($P15-'Methodology &amp; Sources'!$C$10*$D15)*'Inputs 2'!$C$8&gt;=IF(OR($AU15="Married",AND($AU15="Single",$AS15&gt;=3)),IF($AY15&lt;250000,8750,IF($AY15&lt;260000,7000,IF($AY15&lt;270000,5250,IF($AY15&lt;280000,3500,IF($AY15&lt;290000,1750,0))))),IF($AY15&lt;125000,8750,IF($AY15&lt;130000,7000,IF($AY15&lt;135000,5250,IF($AY15&lt;140000,3500,IF($AY15&lt;145000,1750,0)))))),1,1-IF('Inputs 2'!$C$13,SUMPRODUCT(($AH15&gt;=INDEX('Methodology &amp; Sources'!$B$29:$J$36,0,IF('Inputs 2'!$C$12="MFJ",1,IF('Inputs 2'!$C$12="HoH",7,4))))*INDEX('Methodology &amp; Sources'!$B$29:$J$36,0,IF('Inputs 2'!$C$12="MFJ",1,IF('Inputs 2'!$C$12="HoH",7,4))+2)),SUMPRODUCT(($AH15&gt;=INDEX('Methodology &amp; Sources'!$B$19:$J$26,0,IF('Inputs 2'!$C$12="MFJ",1,IF('Inputs 2'!$C$12="HoH",7,4))))*INDEX('Methodology &amp; Sources'!$B$19:$J$26,0,IF('Inputs 2'!$C$12="MFJ",1,IF('Inputs 2'!$C$12="HoH",7,4))+2)))),IF($AN15="MI",IF($AY15&gt;5900*$AS15,0.0425,0),""))))</f>
      </c>
      <c r="CA15" s="24">
        <f>IF($B15="","",IF($AN15="AL",IF(OR($AU15="Married",$AU15="Head of household"),SUMPRODUCT(($AZ15&gt;=INDEX('Methodology &amp; Sources'!$B$82:$J$86,0,4))*INDEX('Methodology &amp; Sources'!$B$82:$J$86,0,4+2)),SUMPRODUCT(($AZ15&gt;=INDEX('Methodology &amp; Sources'!$B$82:$J$86,0,1))*INDEX('Methodology &amp; Sources'!$B$82:$J$86,0,1+2)))*(1-IF('Inputs 2'!$C$13,SUMPRODUCT(($AH15&gt;=INDEX('Methodology &amp; Sources'!$B$29:$J$36,0,IF('Inputs 2'!$C$12="MFJ",1,IF('Inputs 2'!$C$12="HoH",7,4))))*INDEX('Methodology &amp; Sources'!$B$29:$J$36,0,IF('Inputs 2'!$C$12="MFJ",1,IF('Inputs 2'!$C$12="HoH",7,4))+2)),SUMPRODUCT(($AH15&gt;=INDEX('Methodology &amp; Sources'!$B$19:$J$26,0,IF('Inputs 2'!$C$12="MFJ",1,IF('Inputs 2'!$C$12="HoH",7,4))))*INDEX('Methodology &amp; Sources'!$B$19:$J$26,0,IF('Inputs 2'!$C$12="MFJ",1,IF('Inputs 2'!$C$12="HoH",7,4))+2)))),IF($AN15="KS",IF($AU15="Married",SUMPRODUCT(($AZ15&gt;=INDEX('Methodology &amp; Sources'!$B$103:$J$109,0,4))*INDEX('Methodology &amp; Sources'!$B$103:$J$109,0,4+2)),SUMPRODUCT(($AZ15&gt;=INDEX('Methodology &amp; Sources'!$B$103:$J$109,0,1))*INDEX('Methodology &amp; Sources'!$B$103:$J$109,0,1+2))),IF($AN15="MD",IF(OR($AU15="Married",$AU15="Head of household"),SUMPRODUCT(($AZ15&gt;=INDEX('Methodology &amp; Sources'!$B$114:$J$120,0,1))*INDEX('Methodology &amp; Sources'!$B$114:$J$120,0,1+2)),SUMPRODUCT(($AZ15&gt;=INDEX('Methodology &amp; Sources'!$B$103:$J$109,0,7))*INDEX('Methodology &amp; Sources'!$B$103:$J$109,0,7+2)))+'Inputs 2'!$C$74,IF($AN15="MT",IF($AU15="Head of household",SUMPRODUCT(($AZ15&gt;=INDEX('Methodology &amp; Sources'!$B$137:$J$139,0,1))*INDEX('Methodology &amp; Sources'!$B$137:$J$139,0,1+2)),IF($AU15="Married",SUMPRODUCT(($AZ15&gt;=INDEX('Methodology &amp; Sources'!$B$125:$J$132,0,7))*INDEX('Methodology &amp; Sources'!$B$125:$J$132,0,7+2)),SUMPRODUCT(($AZ15&gt;=INDEX('Methodology &amp; Sources'!$B$125:$J$132,0,4))*INDEX('Methodology &amp; Sources'!$B$125:$J$132,0,4+2)))),IF($AN15="ND",IF($AU15="Head of household",SUMPRODUCT(($AZ15&gt;=INDEX('Methodology &amp; Sources'!$B$144:$J$150,0,1))*INDEX('Methodology &amp; Sources'!$B$144:$J$150,0,1+2)),IF($AU15="Married",SUMPRODUCT(($AZ15&gt;=INDEX('Methodology &amp; Sources'!$B$137:$J$139,0,7))*INDEX('Methodology &amp; Sources'!$B$137:$J$139,0,7+2)),SUMPRODUCT(($AZ15&gt;=INDEX('Methodology &amp; Sources'!$B$137:$J$139,0,4))*INDEX('Methodology &amp; Sources'!$B$137:$J$139,0,4+2)))),IF($AN15="NY",IF($AU15="Married",IF($AZ15&gt;=2155350,IF($AZ15&gt;25000000,0.117,IF($AZ15&gt;5000000,0.111,0.1045)),SUMPRODUCT(($AZ15&gt;=INDEX('Methodology &amp; Sources'!$B$184:$J$198,0,1))*INDEX('Methodology &amp; Sources'!$B$184:$J$198,0,1+2))),IF($AZ15&gt;=1077550,IF($AZ15&gt;25000000,0.117,IF($AZ15&gt;5000000,0.111,0.1045)),SUMPRODUCT(($AZ15&gt;=INDEX('Methodology &amp; Sources'!$B$167:$J$179,0,7))*INDEX('Methodology &amp; Sources'!$B$167:$J$179,0,7+2)))),"")))))))</f>
      </c>
      <c r="CB15" s="24">
        <f>IF($B15="","",IF($AN15="CA",SUMPRODUCT(($AJ15&gt;=INDEX('Methodology &amp; Sources'!$B$39:$J$48,0,IF($AU15="Married",4,IF($AU15="Head of household",7,1))))*INDEX('Methodology &amp; Sources'!$B$39:$J$48,0,IF($AU15="Married",4,IF($AU15="Head of household",7,1))+2)),IF($AN15="HI",IF($AU15="Married",SUMPRODUCT(($AZ15&gt;=INDEX('Methodology &amp; Sources'!$B$91:$J$98,0,7))*INDEX('Methodology &amp; Sources'!$B$91:$J$98,0,7+2)),SUMPRODUCT(($AZ15&gt;=INDEX('Methodology &amp; Sources'!$B$91:$J$98,0,4))*INDEX('Methodology &amp; Sources'!$B$91:$J$98,0,4+2))),IF($AN15="MN",IF($AU15="Married",SUMPRODUCT(($AZ15&gt;=INDEX('Methodology &amp; Sources'!$B$114:$J$120,0,7))*INDEX('Methodology &amp; Sources'!$B$114:$J$120,0,7+2)),SUMPRODUCT(($AZ15&gt;=INDEX('Methodology &amp; Sources'!$B$114:$J$120,0,4))*INDEX('Methodology &amp; Sources'!$B$114:$J$120,0,4+2))),IF($AN15="MO",SUMPRODUCT(($AZ15&gt;=INDEX('Methodology &amp; Sources'!$B$125:$J$132,0,1))*INDEX('Methodology &amp; Sources'!$B$125:$J$132,0,1+2)),IF($AN15="NE",MAX(IF($AU15="Married",SUMPRODUCT(($AZ15&gt;=INDEX('Methodology &amp; Sources'!$B$144:$J$150,0,7))*INDEX('Methodology &amp; Sources'!$B$144:$J$150,0,7+2)),SUMPRODUCT(($AZ15&gt;=INDEX('Methodology &amp; Sources'!$B$144:$J$150,0,4))*INDEX('Methodology &amp; Sources'!$B$144:$J$150,0,4+2))),0.015),IF($AN15="OH",IF($B15&gt;=DATE(2027,8,1),SUMPRODUCT(($AZ15&gt;=INDEX('Methodology &amp; Sources'!$B$203:$J$206,0,1))*INDEX('Methodology &amp; Sources'!$B$203:$J$206,0,1+2)),SUMPRODUCT(($AZ15&gt;=INDEX('Methodology &amp; Sources'!$B$184:$J$198,0,7))*INDEX('Methodology &amp; Sources'!$B$184:$J$198,0,7+2))),IF($AN15="OK",IF($AU15="Married",SUMPRODUCT(($AZ15&gt;=INDEX('Methodology &amp; Sources'!$B$203:$J$206,0,7))*INDEX('Methodology &amp; Sources'!$B$203:$J$206,0,7+2)),SUMPRODUCT(($AZ15&gt;=INDEX('Methodology &amp; Sources'!$B$203:$J$206,0,4))*INDEX('Methodology &amp; Sources'!$B$203:$J$206,0,4+2))),IF($AN15="RI",SUMPRODUCT(($AZ15&gt;=INDEX('Methodology &amp; Sources'!$B$211:$J$214,0,7))*INDEX('Methodology &amp; Sources'!$B$211:$J$214,0,7+2)),IF($AN15="SC",SUMPRODUCT(($AZ15&gt;=INDEX('Methodology &amp; Sources'!$B$219:$J$223,0,1))*INDEX('Methodology &amp; Sources'!$B$219:$J$223,0,1+2)),IF($AN15="VT",IF($AU15="Married",SUMPRODUCT(($AZ15&gt;=INDEX('Methodology &amp; Sources'!$B$228:$J$232,0,1))*INDEX('Methodology &amp; Sources'!$B$228:$J$232,0,1+2)),SUMPRODUCT(($AZ15&gt;=INDEX('Methodology &amp; Sources'!$B$219:$J$223,0,7))*INDEX('Methodology &amp; Sources'!$B$219:$J$223,0,7+2))),IF($AN15="WV",IF($AU15="Married",SUMPRODUCT(($AZ15&gt;=INDEX('Methodology &amp; Sources'!$B$237:$J$241,0,7))*INDEX('Methodology &amp; Sources'!$B$237:$J$241,0,7+2)),SUMPRODUCT(($AZ15&gt;=INDEX('Methodology &amp; Sources'!$B$228:$J$232,0,7))*INDEX('Methodology &amp; Sources'!$B$228:$J$232,0,7+2))),IF($AN15="IN",(0.0295+'Inputs 2'!$C$76),"")))))))))))))</f>
      </c>
      <c r="CC15" s="24">
        <f>IF($B15="","",IF($AN15="AR",SUMPRODUCT(($AZ15&gt;=INDEX('Methodology &amp; Sources'!$B$82:$J$86,0,7))*INDEX('Methodology &amp; Sources'!$B$82:$J$86,0,7+2)),IF($AN15="DE",SUMPRODUCT(($AZ15&gt;=INDEX('Methodology &amp; Sources'!$B$91:$J$98,0,1))*INDEX('Methodology &amp; Sources'!$B$91:$J$98,0,1+2)),IF($AN15="VA",SUMPRODUCT(($AZ15&gt;=INDEX('Methodology &amp; Sources'!$B$219:$J$223,0,4))*INDEX('Methodology &amp; Sources'!$B$219:$J$223,0,4+2)),IF($AN15="WI",SUMPRODUCT(($AZ15&gt;=INDEX('Methodology &amp; Sources'!$B$228:$J$232,0,4))*INDEX('Methodology &amp; Sources'!$B$228:$J$232,0,4+2)),IF($AN15="AZ",'Inputs 2'!$C$82,IF($AN15="CO",IF($AY15&gt;IF($AU15="Married",10000,5000),0.044,0),IF($AN15="IA",IF($AY15&gt;IF($AU15="Head of household",19500,IF($AU15="Married",26000,13000)),0.038,0),IF($AN15="ID",IF($AY15&gt;IF($AU15="Married",32000,16094),0.053,0),IF($AN15="IL",IF($AY15&gt;(2925*$AS15+1000*$AT15),0.0495,0),IF($AN15="KY",IF($AI15&gt;3360,0.035,0),IF($AN15="LA",0.0309,IF($AN15="MA",IF(MAX(0,$AY15-MIN(($BD14+$Q15+$R15+$S15),2000)-IF($AS15=0,0,IF($AS15=1,4400,1000*$AS15+3400)))&gt;=1107750,0.09,0.05),IF($AN15="MS",IF($AI15-IF($AU15="Head of household",3400,IF($AU15="Married",4600,2300))-'Inputs 2'!$C$85&gt;10000,0.04,0),IF($AN15="PA",0.0307,"")))))))))))))))</f>
      </c>
      <c r="CD15" s="21">
        <f>IF(YEAR(IF('Inputs 2'!$C$7="Weekly",'Inputs 2'!$C$9+7*(($BE14+1)-1),IF('Inputs 2'!$C$7="Biweekly",'Inputs 2'!$C$9+14*(($BE14+1)-1),IF('Inputs 2'!$C$7="Semimonthly",DATE(YEAR('Inputs 2'!$C$9),MONTH('Inputs 2'!$C$9)+INT((($BE14+1)-1)/2),MIN(DAY('Inputs 2'!$C$9),DAY(EOMONTH(DATE(YEAR('Inputs 2'!$C$9),MONTH('Inputs 2'!$C$9)+INT((($BE14+1)-1)/2),1),0))))+IF(MOD(($BE14+1)-1,2)=1,15,0),EDATE('Inputs 2'!$C$9,($BE14+1)-1)))))&lt;&gt;'Inputs 2'!$C$10,"",IF('Inputs 2'!$C$7="Weekly",'Inputs 2'!$C$9+7*(($BE14+1)-1),IF('Inputs 2'!$C$7="Biweekly",'Inputs 2'!$C$9+14*(($BE14+1)-1),IF('Inputs 2'!$C$7="Semimonthly",DATE(YEAR('Inputs 2'!$C$9),MONTH('Inputs 2'!$C$9)+INT((($BE14+1)-1)/2),MIN(DAY('Inputs 2'!$C$9),DAY(EOMONTH(DATE(YEAR('Inputs 2'!$C$9),MONTH('Inputs 2'!$C$9)+INT((($BE14+1)-1)/2),1),0))))+IF(MOD(($BE14+1)-1,2)=1,15,0),EDATE('Inputs 2'!$C$9,($BE14+1)-1)))))</f>
      </c>
      <c r="CE15" s="21">
        <f>IF(SUMPRODUCT(MIN(IF(('Inputs 2'!$C$58:$C$67&gt;MAX($B$6:$B14))*('Inputs 2'!$C$58:$C$67&gt;=DATE('Inputs 2'!$C$10,1,1))*('Inputs 2'!$C$58:$C$67&lt;=DATE('Inputs 2'!$C$10,12,31)),'Inputs 2'!$C$58:$C$67,999999)))=999999,"",SUMPRODUCT(MIN(IF(('Inputs 2'!$C$58:$C$67&gt;MAX($B$6:$B14))*('Inputs 2'!$C$58:$C$67&gt;=DATE('Inputs 2'!$C$10,1,1))*('Inputs 2'!$C$58:$C$67&lt;=DATE('Inputs 2'!$C$10,12,31)),'Inputs 2'!$C$58:$C$67,999999))))</f>
      </c>
    </row>
    <row r="16">
      <c r="A16" t="n">
        <v>11</v>
      </c>
      <c r="B16" s="21">
        <f>IF(AND($CD16="",$CE16=""),"",IF($CE16="",$CD16,IF($CD16="",$CE16,MIN($CD16,$CE16))))</f>
      </c>
      <c r="C16" s="7">
        <f>IF($B16="","",IF($BF16=0,0,IF('Inputs 2'!$C$4="Annual salary",ROUND($AK16/IF(AND('Inputs 2'!$C$88="Actual paydays",MONTH('Inputs 2'!$C$9)=1),MAX(1,MAX($BE$6:$BE$68)),'Inputs 2'!$C$8),2),$AK16)))</f>
      </c>
      <c r="D16" s="7">
        <f>IF($B16="","",SUMIF('Inputs 2'!$C$58:$C$67,$B16,'Inputs 2'!$D$58:$D$67))</f>
      </c>
      <c r="E16" s="7">
        <f>IF($B16="","",ROUND(MAX(0,MIN(IF($AL16="Percent",$AM16*($C16+$D16),$AM16),MAX(0,'Inputs 2'!$C$34-$AC15))),2))</f>
      </c>
      <c r="F16" s="7">
        <f>IF($B16="","",ROUND(MAX(0,MIN(IF('Inputs 2'!$C$32="Percent",'Inputs 2'!$D$32*($C16+$D16),'Inputs 2'!$D$32),MAX(0,'Inputs 2'!$C$34-$AC15-$E16))),2))</f>
      </c>
      <c r="G16" s="7">
        <f>IF($B16="","",IF($BF16=0,0,ROUND(MAX(0,MIN($BL16,'Inputs 2'!$C$37-'Inputs 2'!$C$54-$BI15)),2)))</f>
      </c>
      <c r="H16" s="7">
        <f>IF($B16="","",IF(OR($BF16=0,$BQ16=1),0,ROUND(MAX(0,MIN(IF($BS16=1,ROUND(MAX(0,MIN($BJ16,'Methodology &amp; Sources'!$C$13)-$BG15)/MAX(1,MAX($BE$6:$BE$68)-($BE15)),2),ROUND(MIN($BJ16,'Methodology &amp; Sources'!$C$13)/'Inputs 2'!$C$8,2)),MIN($BJ16,'Methodology &amp; Sources'!$C$13)-$BG15)),2)))</f>
      </c>
      <c r="I16" s="7">
        <f>IF($B16="","",IF(OR($BF16=0,$BR16=1),0,ROUND(MAX(0,MIN(IF($BT16=1,ROUND(MAX(0,MIN($BK16,IF('Inputs 2'!$C$12="MFJ",'Methodology &amp; Sources'!$C$14,'Methodology &amp; Sources'!$C$15))-$BH15)/MAX(1,MAX($BE$6:$BE$68)-($BE15)),2),ROUND(MIN($BK16,IF('Inputs 2'!$C$12="MFJ",'Methodology &amp; Sources'!$C$14,'Methodology &amp; Sources'!$C$15))/'Inputs 2'!$C$8,2)),MIN($BK16,IF('Inputs 2'!$C$12="MFJ",'Methodology &amp; Sources'!$C$14,'Methodology &amp; Sources'!$C$15))-$BH15)),2)))</f>
      </c>
      <c r="J16" s="7">
        <f>IF($B16="","",IF($BF16=0,0,$BM16))</f>
      </c>
      <c r="K16" s="7">
        <f>IF($B16="","",IF($BF16=0,0,$BN16+$BO16))</f>
      </c>
      <c r="L16" s="7">
        <f>IF($B16="","",IF($BF16=0,0,'Inputs 2'!$D$46))</f>
      </c>
      <c r="M16" s="7">
        <f>IF($B16="","",$C16+$D16+$L16-$E16-$G16-$H16-$I16-$J16-$K16)</f>
      </c>
      <c r="N16" s="7">
        <f>IF($B16="","",$C16+$D16+$L16-$G16-$H16-$I16-$J16-$K16)</f>
      </c>
      <c r="O16" s="7">
        <f>IF($B16="","",$C16+$D16+$L16-$E16-$H16-$I16-$J16-$K16-IF(OR($AN16="CA",$AN16="NJ"),0,$G16))</f>
      </c>
      <c r="P16" s="7">
        <f>IF($B16="","",IF('Inputs 2'!$C$18,0,ROUND(MAX(0,IF('Inputs 2'!$C$13,SUMPRODUCT(($AH16&gt;INDEX('Methodology &amp; Sources'!$B$29:$J$36,0,IF('Inputs 2'!$C$12="MFJ",1,IF('Inputs 2'!$C$12="HoH",7,4))))*($AH16-INDEX('Methodology &amp; Sources'!$B$29:$J$36,0,IF('Inputs 2'!$C$12="MFJ",1,IF('Inputs 2'!$C$12="HoH",7,4))))*INDEX('Methodology &amp; Sources'!$B$29:$J$36,0,IF('Inputs 2'!$C$12="MFJ",1,IF('Inputs 2'!$C$12="HoH",7,4))+2)),SUMPRODUCT(($AH16&gt;INDEX('Methodology &amp; Sources'!$B$19:$J$26,0,IF('Inputs 2'!$C$12="MFJ",1,IF('Inputs 2'!$C$12="HoH",7,4))))*($AH16-INDEX('Methodology &amp; Sources'!$B$19:$J$26,0,IF('Inputs 2'!$C$12="MFJ",1,IF('Inputs 2'!$C$12="HoH",7,4))))*INDEX('Methodology &amp; Sources'!$B$19:$J$26,0,IF('Inputs 2'!$C$12="MFJ",1,IF('Inputs 2'!$C$12="HoH",7,4))+2)))/'Inputs 2'!$C$8-$AO16/'Inputs 2'!$C$8)+$AR16+IF('Inputs 2'!$C$89="Aggregate",MAX(0,IF('Inputs 2'!$C$13,SUMPRODUCT((($AH16+$D16)&gt;INDEX('Methodology &amp; Sources'!$B$29:$J$36,0,IF('Inputs 2'!$C$12="MFJ",1,IF('Inputs 2'!$C$12="HoH",7,4))))*(($AH16+$D16)-INDEX('Methodology &amp; Sources'!$B$29:$J$36,0,IF('Inputs 2'!$C$12="MFJ",1,IF('Inputs 2'!$C$12="HoH",7,4))))*INDEX('Methodology &amp; Sources'!$B$29:$J$36,0,IF('Inputs 2'!$C$12="MFJ",1,IF('Inputs 2'!$C$12="HoH",7,4))+2)),SUMPRODUCT((($AH16+$D16)&gt;INDEX('Methodology &amp; Sources'!$B$19:$J$26,0,IF('Inputs 2'!$C$12="MFJ",1,IF('Inputs 2'!$C$12="HoH",7,4))))*(($AH16+$D16)-INDEX('Methodology &amp; Sources'!$B$19:$J$26,0,IF('Inputs 2'!$C$12="MFJ",1,IF('Inputs 2'!$C$12="HoH",7,4))))*INDEX('Methodology &amp; Sources'!$B$19:$J$26,0,IF('Inputs 2'!$C$12="MFJ",1,IF('Inputs 2'!$C$12="HoH",7,4))+2)))-IF('Inputs 2'!$C$13,SUMPRODUCT(($AH16&gt;INDEX('Methodology &amp; Sources'!$B$29:$J$36,0,IF('Inputs 2'!$C$12="MFJ",1,IF('Inputs 2'!$C$12="HoH",7,4))))*($AH16-INDEX('Methodology &amp; Sources'!$B$29:$J$36,0,IF('Inputs 2'!$C$12="MFJ",1,IF('Inputs 2'!$C$12="HoH",7,4))))*INDEX('Methodology &amp; Sources'!$B$29:$J$36,0,IF('Inputs 2'!$C$12="MFJ",1,IF('Inputs 2'!$C$12="HoH",7,4))+2)),SUMPRODUCT(($AH16&gt;INDEX('Methodology &amp; Sources'!$B$19:$J$26,0,IF('Inputs 2'!$C$12="MFJ",1,IF('Inputs 2'!$C$12="HoH",7,4))))*($AH16-INDEX('Methodology &amp; Sources'!$B$19:$J$26,0,IF('Inputs 2'!$C$12="MFJ",1,IF('Inputs 2'!$C$12="HoH",7,4))))*INDEX('Methodology &amp; Sources'!$B$19:$J$26,0,IF('Inputs 2'!$C$12="MFJ",1,IF('Inputs 2'!$C$12="HoH",7,4))+2)))),'Methodology &amp; Sources'!$C$10*$D16),2)))</f>
      </c>
      <c r="Q16" s="7">
        <f>IF($B16="","",ROUND('Methodology &amp; Sources'!$C$4*MIN($N16,MAX(0,'Methodology &amp; Sources'!$C$3-($AX16+$AB15-$AW16))),2))</f>
      </c>
      <c r="R16" s="7">
        <f>IF($B16="","",ROUND('Methodology &amp; Sources'!$C$5*$N16,2))</f>
      </c>
      <c r="S16" s="7">
        <f>IF($B16="","",ROUND('Methodology &amp; Sources'!$C$6*MAX(0,MIN($N16,$AG15+$N16-'Methodology &amp; Sources'!$C$7)),2))</f>
      </c>
      <c r="T16" s="7">
        <f>IF($B16="","",IF('Inputs 2'!$C$26,0,IF($AN16="CA",ROUND(IF($AI16&lt;=IF(($AS16+$AT16)&gt;=2,VLOOKUP($AN16,StateTables!$A$6:$AB$56,10,FALSE),VLOOKUP($AN16,StateTables!$A$6:$AB$56,9,FALSE)),0,MAX(0,SUMPRODUCT(($AJ16&gt;INDEX('Methodology &amp; Sources'!$B$39:$J$48,0,IF($AU16="Married",4,IF($AU16="Head of household",7,1))))*($AJ16-INDEX('Methodology &amp; Sources'!$B$39:$J$48,0,IF($AU16="Married",4,IF($AU16="Head of household",7,1))))*INDEX('Methodology &amp; Sources'!$B$39:$J$48,0,IF($AU16="Married",4,IF($AU16="Head of household",7,1))+2))-VLOOKUP($AN16,StateTables!$A$6:$AB$56,11,FALSE)*$AS16)/'Inputs 2'!$C$8)+'Inputs 2'!$C$25+VLOOKUP($AN16,StateTables!$A$6:$AB$56,13,FALSE)*$D16,2),IF(VLOOKUP($AN16,StateTables!$A$6:$AB$56,4,FALSE)="None",0,IF(ISNUMBER(SEARCH("MANUAL",VLOOKUP($AN16,StateTables!$A$6:$AB$56,5,FALSE))),'Inputs 2'!$C$28,ROUND(MAX(0,$BA16+$BB16)/'Inputs 2'!$C$8+'Inputs 2'!$C$25+$BC16,2))))))</f>
      </c>
      <c r="U16" s="7">
        <f>IF($B16="","",IF(VLOOKUP($AN16,StateTables!$A$6:$AB$56,24,FALSE)="flatq",IF(OR(MONTH($B16)=1,MONTH($B16)=4,MONTH($B16)=7,MONTH($B16)=10),VLOOKUP($AN16,StateTables!$A$6:$AB$56,25,FALSE),0),IF(VLOOKUP($AN16,StateTables!$A$6:$AB$56,24,FALSE)="dbl",MIN(ROUND(0.005*$N16,2),ROUND(0.6*52/'Inputs 2'!$C$8,2)),IF(OR(VLOOKUP($AN16,StateTables!$A$6:$AB$56,15,FALSE)="",VLOOKUP($AN16,StateTables!$A$6:$AB$56,15,FALSE)=0),0,ROUND(VLOOKUP($AN16,StateTables!$A$6:$AB$56,15,FALSE)*IF(OR(VLOOKUP($AN16,StateTables!$A$6:$AB$56,16,FALSE)="",VLOOKUP($AN16,StateTables!$A$6:$AB$56,16,FALSE)=0),$N16,MIN($N16,MAX(0,VLOOKUP($AN16,StateTables!$A$6:$AB$56,16,FALSE)-($AX16+$AB15-$AW16)))),2))))+IF(VLOOKUP($AN16,StateTables!$A$6:$AB$56,27,FALSE)="flatq",IF(OR(MONTH($B16)=1,MONTH($B16)=4,MONTH($B16)=7,MONTH($B16)=10),VLOOKUP($AN16,StateTables!$A$6:$AB$56,28,FALSE),0),IF(VLOOKUP($AN16,StateTables!$A$6:$AB$56,27,FALSE)="dbl",MIN(ROUND(0.005*$N16,2),ROUND(0.6*52/'Inputs 2'!$C$8,2)),IF(OR(VLOOKUP($AN16,StateTables!$A$6:$AB$56,18,FALSE)="",VLOOKUP($AN16,StateTables!$A$6:$AB$56,18,FALSE)=0),0,ROUND(VLOOKUP($AN16,StateTables!$A$6:$AB$56,18,FALSE)*IF(OR(VLOOKUP($AN16,StateTables!$A$6:$AB$56,19,FALSE)="",VLOOKUP($AN16,StateTables!$A$6:$AB$56,19,FALSE)=0),$N16,MIN($N16,MAX(0,VLOOKUP($AN16,StateTables!$A$6:$AB$56,19,FALSE)-($AX16+$AB15-$AW16)))),2)))))</f>
      </c>
      <c r="V16" s="7">
        <f>IF($B16="","",IF($AN16="NY",IF('Inputs 2'!$C$78,ROUND(SUMPRODUCT((MAX(0,($O16-$D16)*'Inputs 2'!$C$8-(IF($AU16="Married",5500,5000)+1000*$AS16))&gt;INDEX('Methodology &amp; Sources'!$B$184:$J$198,0,4))*(MAX(0,($O16-$D16)*'Inputs 2'!$C$8-(IF($AU16="Married",5500,5000)+1000*$AS16))-INDEX('Methodology &amp; Sources'!$B$184:$J$198,0,4))*INDEX('Methodology &amp; Sources'!$B$184:$J$198,0,4+2))/'Inputs 2'!$C$8+0.0425*$D16,2),0)+IF('Inputs 2'!$C$79="Resident",ROUND(0.1675*$T16,2),IF('Inputs 2'!$C$79="Nonresident",ROUND(0.005*MAX(0,($O16-$D16)-(IF($AU16="Married",7950,7400)+1000*$AS16)/'Inputs 2'!$C$8),2),0)),IF($AN16="PA",IF('Inputs 2'!$C$80="None",'Inputs 2'!$C$27+ROUND('Inputs 2'!$C$81*($C16+$D16),2),ROUND(IF('Inputs 2'!$C$80="Resident",IF($B16&lt;DATE(2027,7,1),0.03735,0.03735),IF($B16&lt;DATE(2027,7,1),0.03425,0.03425))*($C16+$D16),2)),IF($BF16=0,ROUND('Inputs 2'!$C$81*($C16+$D16),2),'Inputs 2'!$C$27+ROUND('Inputs 2'!$C$81*($C16+$D16),2)))))</f>
      </c>
      <c r="W16" s="7">
        <f>IF($B16="","",IF($BF16=0,0,$BP16))</f>
      </c>
      <c r="X16" s="7">
        <f>IF($B16="","",SUM($E16:$K16)+$P16+$Q16+$R16+$S16+$T16+$U16+$V16+$W16)</f>
      </c>
      <c r="Y16" s="22">
        <f>IF($B16="","",$C16+$D16-$X16)</f>
      </c>
      <c r="Z16" s="7">
        <f>IF($B16="","",$Z15+$C16+$D16)</f>
      </c>
      <c r="AA16" s="7">
        <f>IF($B16="","",$AA15+$Y16)</f>
      </c>
      <c r="AB16" s="7">
        <f>IF($B16="","",$AB15+MIN($N16,MAX(0,'Methodology &amp; Sources'!$C$3-($AX16+$AB15-$AW16))))</f>
      </c>
      <c r="AC16" s="7">
        <f>IF($B16="","",$AC15+$E16+$F16)</f>
      </c>
      <c r="AD16" s="3">
        <f>IF($B16="","",IF(AND($AB15&lt;'Methodology &amp; Sources'!$C$3,$AB16&gt;='Methodology &amp; Sources'!$C$3),"★ Social Security maxed on this check — from the next check your net rises by about $"&amp;TEXT(ROUND('Methodology &amp; Sources'!$C$4*$N16,2),"#,##0.00")&amp;". ","")&amp;IF(AND($AC15&lt;'Inputs 2'!$C$34,$AC16&gt;='Inputs 2'!$C$34),"★ 401(k) reaches the $"&amp;TEXT('Inputs 2'!$C$34,"#,##0")&amp;" cap on this check — deferrals stop and net pay rises. ","")&amp;IF(AND($AG15&lt;'Methodology &amp; Sources'!$C$7,$AG16&gt;='Methodology &amp; Sources'!$C$7),"★ Wages pass $200,000 — the 0.9% Additional Medicare Tax starts here. ","")&amp;IF(AND($BJ16&gt;0,$H16&gt;0,$BG15&lt;MIN($BJ16,'Methodology &amp; Sources'!$C$13),$BG15+$H16&gt;=MIN($BJ16,'Methodology &amp; Sources'!$C$13)),"★ Health FSA election is now fully deferred for the year. ",""))</f>
      </c>
      <c r="AE16" s="41" t="n"/>
      <c r="AF16" s="7">
        <f>IF(OR($B16="",$AE16=""),"",$AE16-$Y16)</f>
      </c>
      <c r="AG16" s="7">
        <f>IF($B16="","",$AG15+$N16)</f>
      </c>
      <c r="AH16" s="7">
        <f>IF($B16="","",MAX(0,($M16-$D16)*'Inputs 2'!$C$8+$AP16-$AQ16-IF('Inputs 2'!$C$13,0,IF('Inputs 2'!$C$12="MFJ",'Methodology &amp; Sources'!$C$8,'Methodology &amp; Sources'!$C$9))))</f>
      </c>
      <c r="AI16" s="7">
        <f>IF($B16="","",$O16*'Inputs 2'!$C$8)</f>
      </c>
      <c r="AJ16" s="7">
        <f>IF($B16="","",MAX(0,$AI16-VLOOKUP($AN16,StateTables!$A$6:$AB$56,12,FALSE)*$AT16-IF(($AS16+$AT16)&gt;=2,VLOOKUP($AN16,StateTables!$A$6:$AB$56,8,FALSE),VLOOKUP($AN16,StateTables!$A$6:$AB$56,7,FALSE))))</f>
      </c>
      <c r="AK16" s="7">
        <f>IF($B16="","",IFERROR(LOOKUP(2,1/(('Events 2'!$C$6:$C$17="Salary change")*('Events 2'!$B$6:$B$17&lt;=$B16)*('Events 2'!$B$6:$B$17&lt;&gt;"")),'Events 2'!$D$6:$D$17),IF('Inputs 2'!$C$4="Annual salary",'Inputs 2'!$C$5,'Inputs 2'!$C$6)))</f>
      </c>
      <c r="AL16">
        <f>IF($B16="","",IFERROR(LOOKUP(2,1/(('Events 2'!$C$6:$C$17="401(k) change")*('Events 2'!$B$6:$B$17&lt;=$B16)*('Events 2'!$B$6:$B$17&lt;&gt;"")),'Events 2'!$D$6:$D$17),'Inputs 2'!$C$30))</f>
      </c>
      <c r="AM16" s="7">
        <f>IF($B16="","",IFERROR(LOOKUP(2,1/(('Events 2'!$C$6:$C$17="401(k) change")*('Events 2'!$B$6:$B$17&lt;=$B16)*('Events 2'!$B$6:$B$17&lt;&gt;"")),'Events 2'!$E$6:$E$17),'Inputs 2'!$D$30))</f>
      </c>
      <c r="AN16">
        <f>IF($B16="","",IFERROR(LOOKUP(2,1/(('Events 2'!$C$6:$C$17="State move")*('Events 2'!$B$6:$B$17&lt;=$B16)*('Events 2'!$B$6:$B$17&lt;&gt;"")),'Events 2'!$D$6:$D$17),'Inputs 2'!$C$21))</f>
      </c>
      <c r="AO16" s="7">
        <f>IF($B16="","",IFERROR(LOOKUP(2,1/(('Events 2'!$C$6:$C$17="W-4 change")*('Events 2'!$B$6:$B$17&lt;=$B16)*('Events 2'!$B$6:$B$17&lt;&gt;"")),'Events 2'!$D$6:$D$17),'Inputs 2'!$C$14))</f>
      </c>
      <c r="AP16" s="7">
        <f>IF($B16="","",IFERROR(LOOKUP(2,1/(('Events 2'!$C$6:$C$17="W-4 change")*('Events 2'!$B$6:$B$17&lt;=$B16)*('Events 2'!$B$6:$B$17&lt;&gt;"")),'Events 2'!$E$6:$E$17),'Inputs 2'!$C$15))</f>
      </c>
      <c r="AQ16" s="7">
        <f>IF($B16="","",IFERROR(LOOKUP(2,1/(('Events 2'!$C$6:$C$17="W-4 change")*('Events 2'!$B$6:$B$17&lt;=$B16)*('Events 2'!$B$6:$B$17&lt;&gt;"")),'Events 2'!$F$6:$F$17),'Inputs 2'!$C$16))</f>
      </c>
      <c r="AR16" s="7">
        <f>IF($B16="","",IFERROR(LOOKUP(2,1/(('Events 2'!$C$6:$C$17="W-4 change")*('Events 2'!$B$6:$B$17&lt;=$B16)*('Events 2'!$B$6:$B$17&lt;&gt;"")),'Events 2'!$G$6:$G$17),'Inputs 2'!$C$17))</f>
      </c>
      <c r="AS16" s="6">
        <f>IF($B16="","",IFERROR(LOOKUP(2,1/((('Events 2'!$C$6:$C$17="State move")+('Events 2'!$C$6:$C$17="State cert change"))*('Events 2'!$B$6:$B$17&lt;=$B16)*('Events 2'!$B$6:$B$17&lt;&gt;"")),'Events 2'!$F$6:$F$17),'Inputs 2'!$C$23))</f>
      </c>
      <c r="AT16" s="6">
        <f>IF($B16="","",IFERROR(LOOKUP(2,1/((('Events 2'!$C$6:$C$17="State move")+('Events 2'!$C$6:$C$17="State cert change"))*('Events 2'!$B$6:$B$17&lt;=$B16)*('Events 2'!$B$6:$B$17&lt;&gt;"")),'Events 2'!$G$6:$G$17),'Inputs 2'!$C$24))</f>
      </c>
      <c r="AU16">
        <f>IF($B16="","",IFERROR(LOOKUP(2,1/(('Events 2'!$C$6:$C$17="State move")*('Events 2'!$B$6:$B$17&lt;=$B16)*('Events 2'!$B$6:$B$17&lt;&gt;"")),'Events 2'!$E$6:$E$17),'Inputs 2'!$C$22))</f>
      </c>
      <c r="AV16" s="6">
        <f>IF($B16="","",1+COUNTIFS('Events 2'!$C$6:$C$17,"Employer change",'Events 2'!$B$6:$B$17,"&lt;="&amp;$B16,'Events 2'!$B$6:$B$17,"&lt;&gt;"))</f>
      </c>
      <c r="AW16" s="7">
        <f>IF($B16="","",IF($AV16=1,'Inputs 2'!$C$49,IF(IFERROR(MATCH(IFERROR(LOOKUP(2,1/(('Events 2'!$C$6:$C$17="Employer change")*('Events 2'!$B$6:$B$17&lt;=$B16)*('Events 2'!$B$6:$B$17&lt;&gt;"")),'Events 2'!$B$6:$B$17),""),$B$6:$B$68,1),1)&lt;=1,'Inputs 2'!$C$49,INDEX($AB$6:$AB$68,MATCH(IFERROR(LOOKUP(2,1/(('Events 2'!$C$6:$C$17="Employer change")*('Events 2'!$B$6:$B$17&lt;=$B16)*('Events 2'!$B$6:$B$17&lt;&gt;"")),'Events 2'!$B$6:$B$17),""),$B$6:$B$68,1)-1))))</f>
      </c>
      <c r="AX16" s="7">
        <f>IF($B16="","",IF($AV16=1,'Inputs 2'!$C$49,IFERROR(LOOKUP(2,1/(('Events 2'!$C$6:$C$17="Employer change")*('Events 2'!$B$6:$B$17&lt;=$B16)*('Events 2'!$B$6:$B$17&lt;&gt;"")),'Events 2'!$D$6:$D$17),0)))</f>
      </c>
      <c r="AY16" s="7">
        <f>IF($B16="","",($O16-$D16)*'Inputs 2'!$C$8)</f>
      </c>
      <c r="AZ16" s="7">
        <f>IF($B16="","",IF($AN16="AL",MAX(0,$AY16-IF($AU16="Married",IF($AY16&lt;=25999,8500,MAX(5000,8500-175*CEILING(($AY16-25999)/500,1))),IF($AU16="Head of household",IF($AY16&lt;=25999,5200,MAX(2500,5200-135*CEILING(($AY16-25999)/500,1))),IF($AY16&lt;=25999,3000,MAX(2500,3000-25*CEILING(($AY16-25999)/500,1)))))-($P16-'Methodology &amp; Sources'!$C$10*$D16)*'Inputs 2'!$C$8-IF(OR($AU16="Married",$AU16="Head of household"),3000,1500)-$AT16*IF($AY16&lt;=50000,1000,IF($AY16&lt;=100000,500,300))),IF($AN16="AR",IF(MAX(0,$AY16-2470)&lt;97701,INT(MAX(0,$AY16-2470)/100)*100+50,MAX(0,$AY16-2470)),IF($AN16="DE",MAX(0,$AI16-3250),IF($AN16="HI",MAX(0,$AI16-1144*$AS16-4350),IF($AN16="KS",MAX(0,$AI16-(9160*IF($AU16="Married",2,1)+2320*$AT16+IF($AU16="Head of household",2320,0))),IF($AN16="MD",MAX(0,$AI16-3400-3200*$AS16),IF($AN16="MN",MAX(0,$AY16-5300*$AS16),IF($AN16="MO",MAX(0,$AI16-IF($AU16="Head of household",24150,IF($AU16="Married",IF('Inputs 2'!$C$83,16100,32200),16100))),IF($AN16="MT",$AY16,IF($AN16="ND",($C16+$L16)*'Inputs 2'!$C$8,IF($AN16="NE",MAX(0,$AY16-2440*$AS16),IF($AN16="NJ",MAX(0,$AY16-1000*$AS16),IF($AN16="NY",MAX(0,$AY16-(IF($AU16="Married",7950,7400)+1000*$AS16)),IF($AN16="OH",MAX(0,$AY16-650*$AS16),IF($AN16="OK",MAX(0,$AY16-1000*$AS16),IF($AN16="RI",MAX(0,$AI16-1000*$AS16),IF($AN16="SC",MAX(0,$AI16-5000*$AS16-IF($AS16=0,0,MIN(0.1*$AI16,7500))),IF($AN16="VA",MAX(0,$AI16-IF($AU16="Married",17500,8750)-930*$AS16-800*$AT16),IF($AN16="VT",MAX(0,$AI16-5400*$AS16),IF($AN16="WI",MAX(0,$AI16-MAX(0,IF($AU16="Married",9461-0.2*MAX(0,$AI16-25727),6702-0.12*MAX(0,$AI16-17780)))-400*$AS16),IF($AN16="WV",MAX(0,$AI16-2000*$AS16),$AI16))))))))))))))))))))))</f>
      </c>
      <c r="BA16" s="7">
        <f>IF($B16="","",IF($BW16&lt;&gt;"",$BW16,IF($BX16&lt;&gt;"",$BX16,IF($BY16&lt;&gt;"",$BY16,0))))</f>
      </c>
      <c r="BB16" s="7">
        <f>IF($B16="","",IF($AN16="AR",-29*$AS16,IF($AN16="DE",-110*$AS16,IF($AN16="MD",$AZ16*'Inputs 2'!$C$74,IF($AN16="AZ",'Inputs 2'!$C$82*($M16-$D16)*'Inputs 2'!$C$8,IF($AN16="CO",0.044*MAX(0,$AY16-IF($AU16="Married",10000,5000)),IF($AN16="IA",MAX(0,0.038*MAX(0,$AY16-IF($AU16="Head of household",19500,IF($AU16="Married",26000,13000)))-40*$AS16),IF($AN16="ID",0.053*MAX(0,$AY16-IF($AU16="Married",32000,16094)),IF($AN16="IL",0.0495*MAX(0,$AY16-(2925*$AS16+1000*$AT16)),IF($AN16="IN",(0.0295+'Inputs 2'!$C$76)*MAX(0,$AY16-(1000*$AS16+1500*$AT16+3000*'Inputs 2'!$C$86)),IF($AN16="KY",0.035*MAX(0,$AI16-3360),IF($AN16="LA",IF('Inputs 2'!$C$84="0",0.0309*$AI16,0.0309*MAX(0,$AI16-IF('Inputs 2'!$C$84="2",25750,12875))),IF($AN16="MA",0.05*MIN(MAX(0,$AY16-MIN(($BD15+$Q16+$R16+$S16),2000)-IF($AS16=0,0,IF($AS16=1,4400,1000*$AS16+3400))),1107750)+0.09*MAX(0,MAX(0,$AY16-MIN(($BD15+$Q16+$R16+$S16),2000)-IF($AS16=0,0,IF($AS16=1,4400,1000*$AS16+3400)))-1107750)-IF($AU16="Head of household",120,0)-110*'Inputs 2'!$C$75,IF($AN16="MI",0.0425*MAX(0,$AY16-5900*$AS16),IF($AN16="MS",0.04*MAX(0,$AI16-IF($AU16="Head of household",3400,IF($AU16="Married",4600,2300))-'Inputs 2'!$C$85-10000),IF($AN16="OR",IF(OR($AU16="Married",AND($AU16="Single",$AS16&gt;=3)),SUMPRODUCT((MAX(0,$AY16-MIN(($P16-'Methodology &amp; Sources'!$C$10*$D16)*'Inputs 2'!$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Sources'!$B$211:$J$214,0,4))*(MAX(0,$AY16-MIN(($P16-'Methodology &amp; Sources'!$C$10*$D16)*'Inputs 2'!$C$8,IF(OR($AU16="Married",AND($AU16="Single",$AS16&gt;=3)),IF($AY16&lt;250000,8750,IF($AY16&lt;260000,7000,IF($AY16&lt;270000,5250,IF($AY16&lt;280000,3500,IF($AY16&lt;290000,1750,0))))),IF($AY16&lt;125000,8750,IF($AY16&lt;130000,7000,IF($AY16&lt;135000,5250,IF($AY16&lt;140000,3500,IF($AY16&lt;145000,1750,0)))))))-IF(OR($AU16="Married",AND($AU16="Single",$AS16&gt;=3)),5820,2910))-INDEX('Methodology &amp; Sources'!$B$211:$J$214,0,4))*INDEX('Methodology &amp; Sources'!$B$211:$J$214,0,4+2)),SUMPRODUCT((MAX(0,$AY16-MIN(($P16-'Methodology &amp; Sources'!$C$10*$D16)*'Inputs 2'!$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Sources'!$B$211:$J$214,0,1))*(MAX(0,$AY16-MIN(($P16-'Methodology &amp; Sources'!$C$10*$D16)*'Inputs 2'!$C$8,IF(OR($AU16="Married",AND($AU16="Single",$AS16&gt;=3)),IF($AY16&lt;250000,8750,IF($AY16&lt;260000,7000,IF($AY16&lt;270000,5250,IF($AY16&lt;280000,3500,IF($AY16&lt;290000,1750,0))))),IF($AY16&lt;125000,8750,IF($AY16&lt;130000,7000,IF($AY16&lt;135000,5250,IF($AY16&lt;140000,3500,IF($AY16&lt;145000,1750,0)))))))-IF(OR($AU16="Married",AND($AU16="Single",$AS16&gt;=3)),5820,2910))-INDEX('Methodology &amp; Sources'!$B$211:$J$214,0,1))*INDEX('Methodology &amp; Sources'!$B$211:$J$214,0,1+2)))+263-263*IF(IF($AU16="Married",$AY16&gt;200000,$AY16&gt;100000),0,$AS16),IF($AN16="PA",0.0307*(($O16+$E16+$G16)*'Inputs 2'!$C$8),IF($AN16="NY",IF($AU16="Married",IF($AZ16&gt;=2155350,0,IF($AZ16&gt;=1077550,0.48,IF($AZ16&gt;=373200,1.21,IF($AZ16&gt;=323200,0.21,IF($AZ16&gt;=211550,-0.19,IF($AZ16&gt;=157650,-2.8,IF($AZ16&gt;=107650,-0.8,IF($AZ16&gt;=96800,0.05,IF($AZ16&gt;=80650,-0.1,IF($AZ16&gt;=13900,0.4,IF($AZ16&gt;=11700,-0.3,IF($AZ16&gt;=8500,0.5,0)))))))))))),IF($AZ16&gt;=1077550,0,IF($AZ16&gt;=265400,4.29,IF($AZ16&gt;=215400,2.29,IF($AZ16&gt;=157650,2.29,IF($AZ16&gt;=107650,0.29,IF($AZ16&gt;=96800,0.05,IF($AZ16&gt;=80650,-0.1,IF($AZ16&gt;=13900,0.4,IF($AZ16&gt;=11700,-0.3,IF($AZ16&gt;=8500,0.5,0))))))))))),0))))))))))))))))))</f>
      </c>
      <c r="BC16" s="7">
        <f>IF($B16="","",IF($AN16="AL",0.05*$D16,IF($AN16="AR",0.039*$D16,IF($AN16="ID",0.053*$D16,IF($AN16="IN",(0.0295+'Inputs 2'!$C$76)*$D16,IF($AN16="KS",0.05*$D16,IF($AN16="MA",0.09*MIN($D16,MAX(0,MAX(0,$AY16-MIN(($BD15+$Q16+$R16+$S16),2000)-IF($AS16=0,0,IF($AS16=1,4400,1000*$AS16+3400)))+$D16-1107750))+0.05*($D16-MIN($D16,MAX(0,MAX(0,$AY16-MIN(($BD15+$Q16+$R16+$S16),2000)-IF($AS16=0,0,IF($AS16=1,4400,1000*$AS16+3400)))+$D16-1107750))),IF($AN16="MD",(0.065+'Inputs 2'!$C$74)*$D16,IF($AN16="MI",0.0425*$D16,IF($AN16="MN",0.0625*$D16,IF($AN16="MO",0.047*$D16,IF($AN16="MT",0.05*$D16,IF($AN16="ND",0.015*$D16,IF($AN16="NE",0.035*$D16,IF($AN16="NJ",IF('Inputs 2'!$C$77="B",SUMPRODUCT(($D16*'Inputs 2'!$C$8&gt;INDEX('Methodology &amp; Sources'!$B$155:$J$162,0,4))*($D16*'Inputs 2'!$C$8-INDEX('Methodology &amp; Sources'!$B$155:$J$162,0,4))*INDEX('Methodology &amp; Sources'!$B$155:$J$162,0,4+2)),IF('Inputs 2'!$C$77="C",SUMPRODUCT(($D16*'Inputs 2'!$C$8&gt;INDEX('Methodology &amp; Sources'!$B$155:$J$162,0,7))*($D16*'Inputs 2'!$C$8-INDEX('Methodology &amp; Sources'!$B$155:$J$162,0,7))*INDEX('Methodology &amp; Sources'!$B$155:$J$162,0,7+2)),IF('Inputs 2'!$C$77="D",SUMPRODUCT(($D16*'Inputs 2'!$C$8&gt;INDEX('Methodology &amp; Sources'!$B$167:$J$179,0,1))*($D16*'Inputs 2'!$C$8-INDEX('Methodology &amp; Sources'!$B$167:$J$179,0,1))*INDEX('Methodology &amp; Sources'!$B$167:$J$179,0,1+2)),IF('Inputs 2'!$C$77="E",SUMPRODUCT(($D16*'Inputs 2'!$C$8&gt;INDEX('Methodology &amp; Sources'!$B$167:$J$179,0,4))*($D16*'Inputs 2'!$C$8-INDEX('Methodology &amp; Sources'!$B$167:$J$179,0,4))*INDEX('Methodology &amp; Sources'!$B$167:$J$179,0,4+2)),SUMPRODUCT(($D16*'Inputs 2'!$C$8&gt;INDEX('Methodology &amp; Sources'!$B$155:$J$162,0,1))*($D16*'Inputs 2'!$C$8-INDEX('Methodology &amp; Sources'!$B$155:$J$162,0,1))*INDEX('Methodology &amp; Sources'!$B$155:$J$162,0,1+2))))))/'Inputs 2'!$C$8,IF($AN16="NY",0.117*$D16,IF($AN16="OH",0.0275*$D16,IF($AN16="OK",0.045*$D16,IF($AN16="OR",0.08*$D16,IF($AN16="WI",IF($AY16&lt;12760,0.0354,IF($AY16&lt;25520,0.0465,IF($AY16&lt;280950,0.053,0.0765)))*$D16,0))))))))))))))))))))</f>
      </c>
      <c r="BD16" s="7">
        <f>IF($B16="","",$BD15+$Q16+$R16+$S16)</f>
      </c>
      <c r="BE16" s="6">
        <f>IF($B16="",$BE15,$BE15+$BF16)</f>
      </c>
      <c r="BF16" s="6">
        <f>IF($B16="","",IF(AND(IF(YEAR(IF('Inputs 2'!$C$7="Weekly",'Inputs 2'!$C$9+7*(($BE15+1)-1),IF('Inputs 2'!$C$7="Biweekly",'Inputs 2'!$C$9+14*(($BE15+1)-1),IF('Inputs 2'!$C$7="Semimonthly",DATE(YEAR('Inputs 2'!$C$9),MONTH('Inputs 2'!$C$9)+INT((($BE15+1)-1)/2),MIN(DAY('Inputs 2'!$C$9),DAY(EOMONTH(DATE(YEAR('Inputs 2'!$C$9),MONTH('Inputs 2'!$C$9)+INT((($BE15+1)-1)/2),1),0))))+IF(MOD(($BE15+1)-1,2)=1,15,0),EDATE('Inputs 2'!$C$9,($BE15+1)-1)))))&lt;&gt;'Inputs 2'!$C$10,"",IF('Inputs 2'!$C$7="Weekly",'Inputs 2'!$C$9+7*(($BE15+1)-1),IF('Inputs 2'!$C$7="Biweekly",'Inputs 2'!$C$9+14*(($BE15+1)-1),IF('Inputs 2'!$C$7="Semimonthly",DATE(YEAR('Inputs 2'!$C$9),MONTH('Inputs 2'!$C$9)+INT((($BE15+1)-1)/2),MIN(DAY('Inputs 2'!$C$9),DAY(EOMONTH(DATE(YEAR('Inputs 2'!$C$9),MONTH('Inputs 2'!$C$9)+INT((($BE15+1)-1)/2),1),0))))+IF(MOD(($BE15+1)-1,2)=1,15,0),EDATE('Inputs 2'!$C$9,($BE15+1)-1)))))&lt;&gt;"",$B16=IF(YEAR(IF('Inputs 2'!$C$7="Weekly",'Inputs 2'!$C$9+7*(($BE15+1)-1),IF('Inputs 2'!$C$7="Biweekly",'Inputs 2'!$C$9+14*(($BE15+1)-1),IF('Inputs 2'!$C$7="Semimonthly",DATE(YEAR('Inputs 2'!$C$9),MONTH('Inputs 2'!$C$9)+INT((($BE15+1)-1)/2),MIN(DAY('Inputs 2'!$C$9),DAY(EOMONTH(DATE(YEAR('Inputs 2'!$C$9),MONTH('Inputs 2'!$C$9)+INT((($BE15+1)-1)/2),1),0))))+IF(MOD(($BE15+1)-1,2)=1,15,0),EDATE('Inputs 2'!$C$9,($BE15+1)-1)))))&lt;&gt;'Inputs 2'!$C$10,"",IF('Inputs 2'!$C$7="Weekly",'Inputs 2'!$C$9+7*(($BE15+1)-1),IF('Inputs 2'!$C$7="Biweekly",'Inputs 2'!$C$9+14*(($BE15+1)-1),IF('Inputs 2'!$C$7="Semimonthly",DATE(YEAR('Inputs 2'!$C$9),MONTH('Inputs 2'!$C$9)+INT((($BE15+1)-1)/2),MIN(DAY('Inputs 2'!$C$9),DAY(EOMONTH(DATE(YEAR('Inputs 2'!$C$9),MONTH('Inputs 2'!$C$9)+INT((($BE15+1)-1)/2),1),0))))+IF(MOD(($BE15+1)-1,2)=1,15,0),EDATE('Inputs 2'!$C$9,($BE15+1)-1)))))),1,0))</f>
      </c>
      <c r="BG16" s="7">
        <f>IF($B16="","",$BG15+$H16)</f>
      </c>
      <c r="BH16" s="7">
        <f>IF($B16="","",$BH15+$I16)</f>
      </c>
      <c r="BI16" s="7">
        <f>IF($B16="","",$BI15+$G16)</f>
      </c>
      <c r="BJ16" s="7">
        <f>IF($B16="","",IFERROR(LOOKUP(2,1/(((('Events 2'!$C$6:$C$17="Deduction start"))*('Events 2'!$D$6:$D$17="Health FSA"))*('Events 2'!$B$6:$B$17&lt;=$B16)*('Events 2'!$B$6:$B$17&lt;&gt;"")),'Events 2'!$E$6:$E$17),'Inputs 2'!$D$38))</f>
      </c>
      <c r="BK16" s="7">
        <f>IF($B16="","",IFERROR(LOOKUP(2,1/(((('Events 2'!$C$6:$C$17="Deduction start"))*('Events 2'!$D$6:$D$17="Dependent-care FSA"))*('Events 2'!$B$6:$B$17&lt;=$B16)*('Events 2'!$B$6:$B$17&lt;&gt;"")),'Events 2'!$E$6:$E$17),'Inputs 2'!$D$39))</f>
      </c>
      <c r="BL16" s="7">
        <f>IF($B16="","",IFERROR(LOOKUP(2,1/(((('Events 2'!$C$6:$C$17="Deduction start")+('Events 2'!$C$6:$C$17="Deduction stop"))*('Events 2'!$D$6:$D$17="HSA"))*('Events 2'!$B$6:$B$17&lt;=$B16)*('Events 2'!$B$6:$B$17&lt;&gt;"")),'Events 2'!$I$6:$I$17),'Inputs 2'!$D$35))</f>
      </c>
      <c r="BM16" s="7">
        <f>IF($B16="","",IFERROR(LOOKUP(2,1/(((('Events 2'!$C$6:$C$17="Deduction start")+('Events 2'!$C$6:$C$17="Deduction stop"))*('Events 2'!$D$6:$D$17="Premiums"))*('Events 2'!$B$6:$B$17&lt;=$B16)*('Events 2'!$B$6:$B$17&lt;&gt;"")),'Events 2'!$I$6:$I$17),'Inputs 2'!$D$40+'Inputs 2'!$D$41+'Inputs 2'!$D$42))</f>
      </c>
      <c r="BN16" s="7">
        <f>IF($B16="","",IFERROR(LOOKUP(2,1/(((('Events 2'!$C$6:$C$17="Deduction start")+('Events 2'!$C$6:$C$17="Deduction stop"))*('Events 2'!$D$6:$D$17="Commuter"))*('Events 2'!$B$6:$B$17&lt;=$B16)*('Events 2'!$B$6:$B$17&lt;&gt;"")),'Events 2'!$I$6:$I$17),'Inputs 2'!$D$43))</f>
      </c>
      <c r="BO16" s="7">
        <f>IF($B16="","",IFERROR(LOOKUP(2,1/(((('Events 2'!$C$6:$C$17="Deduction start")+('Events 2'!$C$6:$C$17="Deduction stop"))*('Events 2'!$D$6:$D$17="Other pre-tax"))*('Events 2'!$B$6:$B$17&lt;=$B16)*('Events 2'!$B$6:$B$17&lt;&gt;"")),'Events 2'!$I$6:$I$17),'Inputs 2'!$D$44))</f>
      </c>
      <c r="BP16" s="7">
        <f>IF($B16="","",IFERROR(LOOKUP(2,1/(((('Events 2'!$C$6:$C$17="Deduction start")+('Events 2'!$C$6:$C$17="Deduction stop"))*('Events 2'!$D$6:$D$17="Other post-tax"))*('Events 2'!$B$6:$B$17&lt;=$B16)*('Events 2'!$B$6:$B$17&lt;&gt;"")),'Events 2'!$I$6:$I$17),'Inputs 2'!$D$45))</f>
      </c>
      <c r="BQ16" s="6">
        <f>IF($B16="","",IFERROR(LOOKUP(2,1/(((('Events 2'!$C$6:$C$17="Deduction start")+('Events 2'!$C$6:$C$17="Deduction stop"))*('Events 2'!$D$6:$D$17="Health FSA"))*('Events 2'!$B$6:$B$17&lt;=$B16)*('Events 2'!$B$6:$B$17&lt;&gt;"")),'Events 2'!$J$6:$J$17),0))</f>
      </c>
      <c r="BR16" s="6">
        <f>IF($B16="","",IFERROR(LOOKUP(2,1/(((('Events 2'!$C$6:$C$17="Deduction start")+('Events 2'!$C$6:$C$17="Deduction stop"))*('Events 2'!$D$6:$D$17="Dependent-care FSA"))*('Events 2'!$B$6:$B$17&lt;=$B16)*('Events 2'!$B$6:$B$17&lt;&gt;"")),'Events 2'!$J$6:$J$17),0))</f>
      </c>
      <c r="BS16" s="6">
        <f>IF($B16="","",IF(SUMPRODUCT(('Events 2'!$C$6:$C$17="Deduction start")*('Events 2'!$B$6:$B$17&lt;=$B16)*('Events 2'!$B$6:$B$17&lt;&gt;"")*('Events 2'!$D$6:$D$17="Health FSA"))&gt;0,1,0))</f>
      </c>
      <c r="BT16" s="6">
        <f>IF($B16="","",IF(SUMPRODUCT(('Events 2'!$C$6:$C$17="Deduction start")*('Events 2'!$B$6:$B$17&lt;=$B16)*('Events 2'!$B$6:$B$17&lt;&gt;"")*('Events 2'!$D$6:$D$17="Dependent-care FSA"))&gt;0,1,0))</f>
      </c>
      <c r="BU16" s="24">
        <f>IF($B16="","",IF('Inputs 2'!$C$13,SUMPRODUCT(($AH16&gt;=INDEX('Methodology &amp; Sources'!$B$29:$J$36,0,IF('Inputs 2'!$C$12="MFJ",1,IF('Inputs 2'!$C$12="HoH",7,4))))*INDEX('Methodology &amp; Sources'!$B$29:$J$36,0,IF('Inputs 2'!$C$12="MFJ",1,IF('Inputs 2'!$C$12="HoH",7,4))+2)),SUMPRODUCT(($AH16&gt;=INDEX('Methodology &amp; Sources'!$B$19:$J$26,0,IF('Inputs 2'!$C$12="MFJ",1,IF('Inputs 2'!$C$12="HoH",7,4))))*INDEX('Methodology &amp; Sources'!$B$19:$J$26,0,IF('Inputs 2'!$C$12="MFJ",1,IF('Inputs 2'!$C$12="HoH",7,4))+2))))</f>
      </c>
      <c r="BV16" s="24">
        <f>IF($B16="","",IF($BZ16&lt;&gt;"",$BZ16,IF($CA16&lt;&gt;"",$CA16,IF($CB16&lt;&gt;"",$CB16,IF($CC16&lt;&gt;"",$CC16,0)))))</f>
      </c>
      <c r="BW16" s="7">
        <f>IF($B16="","",IF($AN16="MD",IF(OR($AU16="Married",$AU16="Head of household"),SUMPRODUCT(($AZ16&gt;INDEX('Methodology &amp; Sources'!$B$114:$J$120,0,1))*($AZ16-INDEX('Methodology &amp; Sources'!$B$114:$J$120,0,1))*INDEX('Methodology &amp; Sources'!$B$114:$J$120,0,1+2)),SUMPRODUCT(($AZ16&gt;INDEX('Methodology &amp; Sources'!$B$103:$J$109,0,7))*($AZ16-INDEX('Methodology &amp; Sources'!$B$103:$J$109,0,7))*INDEX('Methodology &amp; Sources'!$B$103:$J$109,0,7+2))),IF($AN16="MO",SUMPRODUCT(($AZ16&gt;INDEX('Methodology &amp; Sources'!$B$125:$J$132,0,1))*($AZ16-INDEX('Methodology &amp; Sources'!$B$125:$J$132,0,1))*INDEX('Methodology &amp; Sources'!$B$125:$J$132,0,1+2)),IF($AN16="MT",IF($AU16="Head of household",SUMPRODUCT(($AZ16&gt;INDEX('Methodology &amp; Sources'!$B$137:$J$139,0,1))*($AZ16-INDEX('Methodology &amp; Sources'!$B$137:$J$139,0,1))*INDEX('Methodology &amp; Sources'!$B$137:$J$139,0,1+2)),IF($AU16="Married",SUMPRODUCT(($AZ16&gt;INDEX('Methodology &amp; Sources'!$B$125:$J$132,0,7))*($AZ16-INDEX('Methodology &amp; Sources'!$B$125:$J$132,0,7))*INDEX('Methodology &amp; Sources'!$B$125:$J$132,0,7+2)),SUMPRODUCT(($AZ16&gt;INDEX('Methodology &amp; Sources'!$B$125:$J$132,0,4))*($AZ16-INDEX('Methodology &amp; Sources'!$B$125:$J$132,0,4))*INDEX('Methodology &amp; Sources'!$B$125:$J$132,0,4+2)))),IF($AN16="ND",IF($AU16="Head of household",SUMPRODUCT(($AZ16&gt;INDEX('Methodology &amp; Sources'!$B$144:$J$150,0,1))*($AZ16-INDEX('Methodology &amp; Sources'!$B$144:$J$150,0,1))*INDEX('Methodology &amp; Sources'!$B$144:$J$150,0,1+2)),IF($AU16="Married",SUMPRODUCT(($AZ16&gt;INDEX('Methodology &amp; Sources'!$B$137:$J$139,0,7))*($AZ16-INDEX('Methodology &amp; Sources'!$B$137:$J$139,0,7))*INDEX('Methodology &amp; Sources'!$B$137:$J$139,0,7+2)),SUMPRODUCT(($AZ16&gt;INDEX('Methodology &amp; Sources'!$B$137:$J$139,0,4))*($AZ16-INDEX('Methodology &amp; Sources'!$B$137:$J$139,0,4))*INDEX('Methodology &amp; Sources'!$B$137:$J$139,0,4+2)))),IF($AN16="NJ",IF('Inputs 2'!$C$77="B",SUMPRODUCT(($AZ16&gt;INDEX('Methodology &amp; Sources'!$B$155:$J$162,0,4))*($AZ16-INDEX('Methodology &amp; Sources'!$B$155:$J$162,0,4))*INDEX('Methodology &amp; Sources'!$B$155:$J$162,0,4+2)),IF('Inputs 2'!$C$77="C",SUMPRODUCT(($AZ16&gt;INDEX('Methodology &amp; Sources'!$B$155:$J$162,0,7))*($AZ16-INDEX('Methodology &amp; Sources'!$B$155:$J$162,0,7))*INDEX('Methodology &amp; Sources'!$B$155:$J$162,0,7+2)),IF('Inputs 2'!$C$77="D",SUMPRODUCT(($AZ16&gt;INDEX('Methodology &amp; Sources'!$B$167:$J$179,0,1))*($AZ16-INDEX('Methodology &amp; Sources'!$B$167:$J$179,0,1))*INDEX('Methodology &amp; Sources'!$B$167:$J$179,0,1+2)),IF('Inputs 2'!$C$77="E",SUMPRODUCT(($AZ16&gt;INDEX('Methodology &amp; Sources'!$B$167:$J$179,0,4))*($AZ16-INDEX('Methodology &amp; Sources'!$B$167:$J$179,0,4))*INDEX('Methodology &amp; Sources'!$B$167:$J$179,0,4+2)),SUMPRODUCT(($AZ16&gt;INDEX('Methodology &amp; Sources'!$B$155:$J$162,0,1))*($AZ16-INDEX('Methodology &amp; Sources'!$B$155:$J$162,0,1))*INDEX('Methodology &amp; Sources'!$B$155:$J$162,0,1+2)))))),IF($AN16="NY",IF($AU16="Married",IF($AZ16&gt;=2155350,$AZ16*IF($AZ16&gt;25000000,0.117,IF($AZ16&gt;5000000,0.111,0.1045)),SUMPRODUCT(($AZ16&gt;INDEX('Methodology &amp; Sources'!$B$184:$J$198,0,1))*($AZ16-INDEX('Methodology &amp; Sources'!$B$184:$J$198,0,1))*INDEX('Methodology &amp; Sources'!$B$184:$J$198,0,1+2))),IF($AZ16&gt;=1077550,$AZ16*IF($AZ16&gt;25000000,0.117,IF($AZ16&gt;5000000,0.111,0.1045)),SUMPRODUCT(($AZ16&gt;INDEX('Methodology &amp; Sources'!$B$167:$J$179,0,7))*($AZ16-INDEX('Methodology &amp; Sources'!$B$167:$J$179,0,7))*INDEX('Methodology &amp; Sources'!$B$167:$J$179,0,7+2)))),"")))))))</f>
      </c>
      <c r="BX16" s="7">
        <f>IF($B16="","",IF($AN16="AL",IF(OR($AU16="Married",$AU16="Head of household"),SUMPRODUCT(($AZ16&gt;INDEX('Methodology &amp; Sources'!$B$82:$J$86,0,4))*($AZ16-INDEX('Methodology &amp; Sources'!$B$82:$J$86,0,4))*INDEX('Methodology &amp; Sources'!$B$82:$J$86,0,4+2)),SUMPRODUCT(($AZ16&gt;INDEX('Methodology &amp; Sources'!$B$82:$J$86,0,1))*($AZ16-INDEX('Methodology &amp; Sources'!$B$82:$J$86,0,1))*INDEX('Methodology &amp; Sources'!$B$82:$J$86,0,1+2))),IF($AN16="KS",IF($AU16="Married",SUMPRODUCT(($AZ16&gt;INDEX('Methodology &amp; Sources'!$B$103:$J$109,0,4))*($AZ16-INDEX('Methodology &amp; Sources'!$B$103:$J$109,0,4))*INDEX('Methodology &amp; Sources'!$B$103:$J$109,0,4+2)),SUMPRODUCT(($AZ16&gt;INDEX('Methodology &amp; Sources'!$B$103:$J$109,0,1))*($AZ16-INDEX('Methodology &amp; Sources'!$B$103:$J$109,0,1))*INDEX('Methodology &amp; Sources'!$B$103:$J$109,0,1+2))),IF($AN16="MN",IF($AU16="Married",SUMPRODUCT(($AZ16&gt;INDEX('Methodology &amp; Sources'!$B$114:$J$120,0,7))*($AZ16-INDEX('Methodology &amp; Sources'!$B$114:$J$120,0,7))*INDEX('Methodology &amp; Sources'!$B$114:$J$120,0,7+2)),SUMPRODUCT(($AZ16&gt;INDEX('Methodology &amp; Sources'!$B$114:$J$120,0,4))*($AZ16-INDEX('Methodology &amp; Sources'!$B$114:$J$120,0,4))*INDEX('Methodology &amp; Sources'!$B$114:$J$120,0,4+2))),IF($AN16="NE",MAX(IF($AU16="Married",SUMPRODUCT(($AZ16&gt;INDEX('Methodology &amp; Sources'!$B$144:$J$150,0,7))*($AZ16-INDEX('Methodology &amp; Sources'!$B$144:$J$150,0,7))*INDEX('Methodology &amp; Sources'!$B$144:$J$150,0,7+2)),SUMPRODUCT(($AZ16&gt;INDEX('Methodology &amp; Sources'!$B$144:$J$150,0,4))*($AZ16-INDEX('Methodology &amp; Sources'!$B$144:$J$150,0,4))*INDEX('Methodology &amp; Sources'!$B$144:$J$150,0,4+2))),0.015*$AZ16),IF($AN16="OH",IF($B16&gt;=DATE(2027,8,1),SUMPRODUCT(($AZ16&gt;INDEX('Methodology &amp; Sources'!$B$203:$J$206,0,1))*($AZ16-INDEX('Methodology &amp; Sources'!$B$203:$J$206,0,1))*INDEX('Methodology &amp; Sources'!$B$203:$J$206,0,1+2)),SUMPRODUCT(($AZ16&gt;INDEX('Methodology &amp; Sources'!$B$184:$J$198,0,7))*($AZ16-INDEX('Methodology &amp; Sources'!$B$184:$J$198,0,7))*INDEX('Methodology &amp; Sources'!$B$184:$J$198,0,7+2))),IF($AN16="OK",IF($AU16="Married",SUMPRODUCT(($AZ16&gt;INDEX('Methodology &amp; Sources'!$B$203:$J$206,0,7))*($AZ16-INDEX('Methodology &amp; Sources'!$B$203:$J$206,0,7))*INDEX('Methodology &amp; Sources'!$B$203:$J$206,0,7+2)),SUMPRODUCT(($AZ16&gt;INDEX('Methodology &amp; Sources'!$B$203:$J$206,0,4))*($AZ16-INDEX('Methodology &amp; Sources'!$B$203:$J$206,0,4))*INDEX('Methodology &amp; Sources'!$B$203:$J$206,0,4+2))),IF($AN16="RI",SUMPRODUCT(($AZ16&gt;INDEX('Methodology &amp; Sources'!$B$211:$J$214,0,7))*($AZ16-INDEX('Methodology &amp; Sources'!$B$211:$J$214,0,7))*INDEX('Methodology &amp; Sources'!$B$211:$J$214,0,7+2)),IF($AN16="VT",IF($AU16="Married",SUMPRODUCT(($AZ16&gt;INDEX('Methodology &amp; Sources'!$B$228:$J$232,0,1))*($AZ16-INDEX('Methodology &amp; Sources'!$B$228:$J$232,0,1))*INDEX('Methodology &amp; Sources'!$B$228:$J$232,0,1+2)),SUMPRODUCT(($AZ16&gt;INDEX('Methodology &amp; Sources'!$B$219:$J$223,0,7))*($AZ16-INDEX('Methodology &amp; Sources'!$B$219:$J$223,0,7))*INDEX('Methodology &amp; Sources'!$B$219:$J$223,0,7+2))),IF($AN16="WV",IF($AU16="Married",SUMPRODUCT(($AZ16&gt;INDEX('Methodology &amp; Sources'!$B$237:$J$241,0,7))*($AZ16-INDEX('Methodology &amp; Sources'!$B$237:$J$241,0,7))*INDEX('Methodology &amp; Sources'!$B$237:$J$241,0,7+2)),SUMPRODUCT(($AZ16&gt;INDEX('Methodology &amp; Sources'!$B$228:$J$232,0,7))*($AZ16-INDEX('Methodology &amp; Sources'!$B$228:$J$232,0,7))*INDEX('Methodology &amp; Sources'!$B$228:$J$232,0,7+2))),""))))))))))</f>
      </c>
      <c r="BY16" s="7">
        <f>IF($B16="","",IF($AN16="AR",SUMPRODUCT(($AZ16&gt;INDEX('Methodology &amp; Sources'!$B$82:$J$86,0,7))*($AZ16-INDEX('Methodology &amp; Sources'!$B$82:$J$86,0,7))*INDEX('Methodology &amp; Sources'!$B$82:$J$86,0,7+2)),IF($AN16="DE",SUMPRODUCT(($AZ16&gt;INDEX('Methodology &amp; Sources'!$B$91:$J$98,0,1))*($AZ16-INDEX('Methodology &amp; Sources'!$B$91:$J$98,0,1))*INDEX('Methodology &amp; Sources'!$B$91:$J$98,0,1+2)),IF($AN16="HI",IF($AU16="Married",SUMPRODUCT(($AZ16&gt;INDEX('Methodology &amp; Sources'!$B$91:$J$98,0,7))*($AZ16-INDEX('Methodology &amp; Sources'!$B$91:$J$98,0,7))*INDEX('Methodology &amp; Sources'!$B$91:$J$98,0,7+2)),SUMPRODUCT(($AZ16&gt;INDEX('Methodology &amp; Sources'!$B$91:$J$98,0,4))*($AZ16-INDEX('Methodology &amp; Sources'!$B$91:$J$98,0,4))*INDEX('Methodology &amp; Sources'!$B$91:$J$98,0,4+2))),IF($AN16="SC",SUMPRODUCT(($AZ16&gt;INDEX('Methodology &amp; Sources'!$B$219:$J$223,0,1))*($AZ16-INDEX('Methodology &amp; Sources'!$B$219:$J$223,0,1))*INDEX('Methodology &amp; Sources'!$B$219:$J$223,0,1+2)),IF($AN16="VA",SUMPRODUCT(($AZ16&gt;INDEX('Methodology &amp; Sources'!$B$219:$J$223,0,4))*($AZ16-INDEX('Methodology &amp; Sources'!$B$219:$J$223,0,4))*INDEX('Methodology &amp; Sources'!$B$219:$J$223,0,4+2)),IF($AN16="WI",SUMPRODUCT(($AZ16&gt;INDEX('Methodology &amp; Sources'!$B$228:$J$232,0,4))*($AZ16-INDEX('Methodology &amp; Sources'!$B$228:$J$232,0,4))*INDEX('Methodology &amp; Sources'!$B$228:$J$232,0,4+2)),"")))))))</f>
      </c>
      <c r="BZ16" s="24">
        <f>IF($B16="","",IF($AN16="NJ",IF('Inputs 2'!$C$77="B",SUMPRODUCT(($AZ16&gt;=INDEX('Methodology &amp; Sources'!$B$155:$J$162,0,4))*INDEX('Methodology &amp; Sources'!$B$155:$J$162,0,4+2)),IF('Inputs 2'!$C$77="C",SUMPRODUCT(($AZ16&gt;=INDEX('Methodology &amp; Sources'!$B$155:$J$162,0,7))*INDEX('Methodology &amp; Sources'!$B$155:$J$162,0,7+2)),IF('Inputs 2'!$C$77="D",SUMPRODUCT(($AZ16&gt;=INDEX('Methodology &amp; Sources'!$B$167:$J$179,0,1))*INDEX('Methodology &amp; Sources'!$B$167:$J$179,0,1+2)),IF('Inputs 2'!$C$77="E",SUMPRODUCT(($AZ16&gt;=INDEX('Methodology &amp; Sources'!$B$167:$J$179,0,4))*INDEX('Methodology &amp; Sources'!$B$167:$J$179,0,4+2)),SUMPRODUCT(($AZ16&gt;=INDEX('Methodology &amp; Sources'!$B$155:$J$162,0,1))*INDEX('Methodology &amp; Sources'!$B$155:$J$162,0,1+2)))))),IF($AN16="OR",IF(OR($AU16="Married",AND($AU16="Single",$AS16&gt;=3)),SUMPRODUCT((MAX(0,$AY16-MIN(($P16-'Methodology &amp; Sources'!$C$10*$D16)*'Inputs 2'!$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Sources'!$B$211:$J$214,0,4))*INDEX('Methodology &amp; Sources'!$B$211:$J$214,0,4+2)),SUMPRODUCT((MAX(0,$AY16-MIN(($P16-'Methodology &amp; Sources'!$C$10*$D16)*'Inputs 2'!$C$8,IF(OR($AU16="Married",AND($AU16="Single",$AS16&gt;=3)),IF($AY16&lt;250000,8750,IF($AY16&lt;260000,7000,IF($AY16&lt;270000,5250,IF($AY16&lt;280000,3500,IF($AY16&lt;290000,1750,0))))),IF($AY16&lt;125000,8750,IF($AY16&lt;130000,7000,IF($AY16&lt;135000,5250,IF($AY16&lt;140000,3500,IF($AY16&lt;145000,1750,0)))))))-IF(OR($AU16="Married",AND($AU16="Single",$AS16&gt;=3)),5820,2910))&gt;=INDEX('Methodology &amp; Sources'!$B$211:$J$214,0,1))*INDEX('Methodology &amp; Sources'!$B$211:$J$214,0,1+2)))*IF(($P16-'Methodology &amp; Sources'!$C$10*$D16)*'Inputs 2'!$C$8&gt;=IF(OR($AU16="Married",AND($AU16="Single",$AS16&gt;=3)),IF($AY16&lt;250000,8750,IF($AY16&lt;260000,7000,IF($AY16&lt;270000,5250,IF($AY16&lt;280000,3500,IF($AY16&lt;290000,1750,0))))),IF($AY16&lt;125000,8750,IF($AY16&lt;130000,7000,IF($AY16&lt;135000,5250,IF($AY16&lt;140000,3500,IF($AY16&lt;145000,1750,0)))))),1,1-IF('Inputs 2'!$C$13,SUMPRODUCT(($AH16&gt;=INDEX('Methodology &amp; Sources'!$B$29:$J$36,0,IF('Inputs 2'!$C$12="MFJ",1,IF('Inputs 2'!$C$12="HoH",7,4))))*INDEX('Methodology &amp; Sources'!$B$29:$J$36,0,IF('Inputs 2'!$C$12="MFJ",1,IF('Inputs 2'!$C$12="HoH",7,4))+2)),SUMPRODUCT(($AH16&gt;=INDEX('Methodology &amp; Sources'!$B$19:$J$26,0,IF('Inputs 2'!$C$12="MFJ",1,IF('Inputs 2'!$C$12="HoH",7,4))))*INDEX('Methodology &amp; Sources'!$B$19:$J$26,0,IF('Inputs 2'!$C$12="MFJ",1,IF('Inputs 2'!$C$12="HoH",7,4))+2)))),IF($AN16="MI",IF($AY16&gt;5900*$AS16,0.0425,0),""))))</f>
      </c>
      <c r="CA16" s="24">
        <f>IF($B16="","",IF($AN16="AL",IF(OR($AU16="Married",$AU16="Head of household"),SUMPRODUCT(($AZ16&gt;=INDEX('Methodology &amp; Sources'!$B$82:$J$86,0,4))*INDEX('Methodology &amp; Sources'!$B$82:$J$86,0,4+2)),SUMPRODUCT(($AZ16&gt;=INDEX('Methodology &amp; Sources'!$B$82:$J$86,0,1))*INDEX('Methodology &amp; Sources'!$B$82:$J$86,0,1+2)))*(1-IF('Inputs 2'!$C$13,SUMPRODUCT(($AH16&gt;=INDEX('Methodology &amp; Sources'!$B$29:$J$36,0,IF('Inputs 2'!$C$12="MFJ",1,IF('Inputs 2'!$C$12="HoH",7,4))))*INDEX('Methodology &amp; Sources'!$B$29:$J$36,0,IF('Inputs 2'!$C$12="MFJ",1,IF('Inputs 2'!$C$12="HoH",7,4))+2)),SUMPRODUCT(($AH16&gt;=INDEX('Methodology &amp; Sources'!$B$19:$J$26,0,IF('Inputs 2'!$C$12="MFJ",1,IF('Inputs 2'!$C$12="HoH",7,4))))*INDEX('Methodology &amp; Sources'!$B$19:$J$26,0,IF('Inputs 2'!$C$12="MFJ",1,IF('Inputs 2'!$C$12="HoH",7,4))+2)))),IF($AN16="KS",IF($AU16="Married",SUMPRODUCT(($AZ16&gt;=INDEX('Methodology &amp; Sources'!$B$103:$J$109,0,4))*INDEX('Methodology &amp; Sources'!$B$103:$J$109,0,4+2)),SUMPRODUCT(($AZ16&gt;=INDEX('Methodology &amp; Sources'!$B$103:$J$109,0,1))*INDEX('Methodology &amp; Sources'!$B$103:$J$109,0,1+2))),IF($AN16="MD",IF(OR($AU16="Married",$AU16="Head of household"),SUMPRODUCT(($AZ16&gt;=INDEX('Methodology &amp; Sources'!$B$114:$J$120,0,1))*INDEX('Methodology &amp; Sources'!$B$114:$J$120,0,1+2)),SUMPRODUCT(($AZ16&gt;=INDEX('Methodology &amp; Sources'!$B$103:$J$109,0,7))*INDEX('Methodology &amp; Sources'!$B$103:$J$109,0,7+2)))+'Inputs 2'!$C$74,IF($AN16="MT",IF($AU16="Head of household",SUMPRODUCT(($AZ16&gt;=INDEX('Methodology &amp; Sources'!$B$137:$J$139,0,1))*INDEX('Methodology &amp; Sources'!$B$137:$J$139,0,1+2)),IF($AU16="Married",SUMPRODUCT(($AZ16&gt;=INDEX('Methodology &amp; Sources'!$B$125:$J$132,0,7))*INDEX('Methodology &amp; Sources'!$B$125:$J$132,0,7+2)),SUMPRODUCT(($AZ16&gt;=INDEX('Methodology &amp; Sources'!$B$125:$J$132,0,4))*INDEX('Methodology &amp; Sources'!$B$125:$J$132,0,4+2)))),IF($AN16="ND",IF($AU16="Head of household",SUMPRODUCT(($AZ16&gt;=INDEX('Methodology &amp; Sources'!$B$144:$J$150,0,1))*INDEX('Methodology &amp; Sources'!$B$144:$J$150,0,1+2)),IF($AU16="Married",SUMPRODUCT(($AZ16&gt;=INDEX('Methodology &amp; Sources'!$B$137:$J$139,0,7))*INDEX('Methodology &amp; Sources'!$B$137:$J$139,0,7+2)),SUMPRODUCT(($AZ16&gt;=INDEX('Methodology &amp; Sources'!$B$137:$J$139,0,4))*INDEX('Methodology &amp; Sources'!$B$137:$J$139,0,4+2)))),IF($AN16="NY",IF($AU16="Married",IF($AZ16&gt;=2155350,IF($AZ16&gt;25000000,0.117,IF($AZ16&gt;5000000,0.111,0.1045)),SUMPRODUCT(($AZ16&gt;=INDEX('Methodology &amp; Sources'!$B$184:$J$198,0,1))*INDEX('Methodology &amp; Sources'!$B$184:$J$198,0,1+2))),IF($AZ16&gt;=1077550,IF($AZ16&gt;25000000,0.117,IF($AZ16&gt;5000000,0.111,0.1045)),SUMPRODUCT(($AZ16&gt;=INDEX('Methodology &amp; Sources'!$B$167:$J$179,0,7))*INDEX('Methodology &amp; Sources'!$B$167:$J$179,0,7+2)))),"")))))))</f>
      </c>
      <c r="CB16" s="24">
        <f>IF($B16="","",IF($AN16="CA",SUMPRODUCT(($AJ16&gt;=INDEX('Methodology &amp; Sources'!$B$39:$J$48,0,IF($AU16="Married",4,IF($AU16="Head of household",7,1))))*INDEX('Methodology &amp; Sources'!$B$39:$J$48,0,IF($AU16="Married",4,IF($AU16="Head of household",7,1))+2)),IF($AN16="HI",IF($AU16="Married",SUMPRODUCT(($AZ16&gt;=INDEX('Methodology &amp; Sources'!$B$91:$J$98,0,7))*INDEX('Methodology &amp; Sources'!$B$91:$J$98,0,7+2)),SUMPRODUCT(($AZ16&gt;=INDEX('Methodology &amp; Sources'!$B$91:$J$98,0,4))*INDEX('Methodology &amp; Sources'!$B$91:$J$98,0,4+2))),IF($AN16="MN",IF($AU16="Married",SUMPRODUCT(($AZ16&gt;=INDEX('Methodology &amp; Sources'!$B$114:$J$120,0,7))*INDEX('Methodology &amp; Sources'!$B$114:$J$120,0,7+2)),SUMPRODUCT(($AZ16&gt;=INDEX('Methodology &amp; Sources'!$B$114:$J$120,0,4))*INDEX('Methodology &amp; Sources'!$B$114:$J$120,0,4+2))),IF($AN16="MO",SUMPRODUCT(($AZ16&gt;=INDEX('Methodology &amp; Sources'!$B$125:$J$132,0,1))*INDEX('Methodology &amp; Sources'!$B$125:$J$132,0,1+2)),IF($AN16="NE",MAX(IF($AU16="Married",SUMPRODUCT(($AZ16&gt;=INDEX('Methodology &amp; Sources'!$B$144:$J$150,0,7))*INDEX('Methodology &amp; Sources'!$B$144:$J$150,0,7+2)),SUMPRODUCT(($AZ16&gt;=INDEX('Methodology &amp; Sources'!$B$144:$J$150,0,4))*INDEX('Methodology &amp; Sources'!$B$144:$J$150,0,4+2))),0.015),IF($AN16="OH",IF($B16&gt;=DATE(2027,8,1),SUMPRODUCT(($AZ16&gt;=INDEX('Methodology &amp; Sources'!$B$203:$J$206,0,1))*INDEX('Methodology &amp; Sources'!$B$203:$J$206,0,1+2)),SUMPRODUCT(($AZ16&gt;=INDEX('Methodology &amp; Sources'!$B$184:$J$198,0,7))*INDEX('Methodology &amp; Sources'!$B$184:$J$198,0,7+2))),IF($AN16="OK",IF($AU16="Married",SUMPRODUCT(($AZ16&gt;=INDEX('Methodology &amp; Sources'!$B$203:$J$206,0,7))*INDEX('Methodology &amp; Sources'!$B$203:$J$206,0,7+2)),SUMPRODUCT(($AZ16&gt;=INDEX('Methodology &amp; Sources'!$B$203:$J$206,0,4))*INDEX('Methodology &amp; Sources'!$B$203:$J$206,0,4+2))),IF($AN16="RI",SUMPRODUCT(($AZ16&gt;=INDEX('Methodology &amp; Sources'!$B$211:$J$214,0,7))*INDEX('Methodology &amp; Sources'!$B$211:$J$214,0,7+2)),IF($AN16="SC",SUMPRODUCT(($AZ16&gt;=INDEX('Methodology &amp; Sources'!$B$219:$J$223,0,1))*INDEX('Methodology &amp; Sources'!$B$219:$J$223,0,1+2)),IF($AN16="VT",IF($AU16="Married",SUMPRODUCT(($AZ16&gt;=INDEX('Methodology &amp; Sources'!$B$228:$J$232,0,1))*INDEX('Methodology &amp; Sources'!$B$228:$J$232,0,1+2)),SUMPRODUCT(($AZ16&gt;=INDEX('Methodology &amp; Sources'!$B$219:$J$223,0,7))*INDEX('Methodology &amp; Sources'!$B$219:$J$223,0,7+2))),IF($AN16="WV",IF($AU16="Married",SUMPRODUCT(($AZ16&gt;=INDEX('Methodology &amp; Sources'!$B$237:$J$241,0,7))*INDEX('Methodology &amp; Sources'!$B$237:$J$241,0,7+2)),SUMPRODUCT(($AZ16&gt;=INDEX('Methodology &amp; Sources'!$B$228:$J$232,0,7))*INDEX('Methodology &amp; Sources'!$B$228:$J$232,0,7+2))),IF($AN16="IN",(0.0295+'Inputs 2'!$C$76),"")))))))))))))</f>
      </c>
      <c r="CC16" s="24">
        <f>IF($B16="","",IF($AN16="AR",SUMPRODUCT(($AZ16&gt;=INDEX('Methodology &amp; Sources'!$B$82:$J$86,0,7))*INDEX('Methodology &amp; Sources'!$B$82:$J$86,0,7+2)),IF($AN16="DE",SUMPRODUCT(($AZ16&gt;=INDEX('Methodology &amp; Sources'!$B$91:$J$98,0,1))*INDEX('Methodology &amp; Sources'!$B$91:$J$98,0,1+2)),IF($AN16="VA",SUMPRODUCT(($AZ16&gt;=INDEX('Methodology &amp; Sources'!$B$219:$J$223,0,4))*INDEX('Methodology &amp; Sources'!$B$219:$J$223,0,4+2)),IF($AN16="WI",SUMPRODUCT(($AZ16&gt;=INDEX('Methodology &amp; Sources'!$B$228:$J$232,0,4))*INDEX('Methodology &amp; Sources'!$B$228:$J$232,0,4+2)),IF($AN16="AZ",'Inputs 2'!$C$82,IF($AN16="CO",IF($AY16&gt;IF($AU16="Married",10000,5000),0.044,0),IF($AN16="IA",IF($AY16&gt;IF($AU16="Head of household",19500,IF($AU16="Married",26000,13000)),0.038,0),IF($AN16="ID",IF($AY16&gt;IF($AU16="Married",32000,16094),0.053,0),IF($AN16="IL",IF($AY16&gt;(2925*$AS16+1000*$AT16),0.0495,0),IF($AN16="KY",IF($AI16&gt;3360,0.035,0),IF($AN16="LA",0.0309,IF($AN16="MA",IF(MAX(0,$AY16-MIN(($BD15+$Q16+$R16+$S16),2000)-IF($AS16=0,0,IF($AS16=1,4400,1000*$AS16+3400)))&gt;=1107750,0.09,0.05),IF($AN16="MS",IF($AI16-IF($AU16="Head of household",3400,IF($AU16="Married",4600,2300))-'Inputs 2'!$C$85&gt;10000,0.04,0),IF($AN16="PA",0.0307,"")))))))))))))))</f>
      </c>
      <c r="CD16" s="21">
        <f>IF(YEAR(IF('Inputs 2'!$C$7="Weekly",'Inputs 2'!$C$9+7*(($BE15+1)-1),IF('Inputs 2'!$C$7="Biweekly",'Inputs 2'!$C$9+14*(($BE15+1)-1),IF('Inputs 2'!$C$7="Semimonthly",DATE(YEAR('Inputs 2'!$C$9),MONTH('Inputs 2'!$C$9)+INT((($BE15+1)-1)/2),MIN(DAY('Inputs 2'!$C$9),DAY(EOMONTH(DATE(YEAR('Inputs 2'!$C$9),MONTH('Inputs 2'!$C$9)+INT((($BE15+1)-1)/2),1),0))))+IF(MOD(($BE15+1)-1,2)=1,15,0),EDATE('Inputs 2'!$C$9,($BE15+1)-1)))))&lt;&gt;'Inputs 2'!$C$10,"",IF('Inputs 2'!$C$7="Weekly",'Inputs 2'!$C$9+7*(($BE15+1)-1),IF('Inputs 2'!$C$7="Biweekly",'Inputs 2'!$C$9+14*(($BE15+1)-1),IF('Inputs 2'!$C$7="Semimonthly",DATE(YEAR('Inputs 2'!$C$9),MONTH('Inputs 2'!$C$9)+INT((($BE15+1)-1)/2),MIN(DAY('Inputs 2'!$C$9),DAY(EOMONTH(DATE(YEAR('Inputs 2'!$C$9),MONTH('Inputs 2'!$C$9)+INT((($BE15+1)-1)/2),1),0))))+IF(MOD(($BE15+1)-1,2)=1,15,0),EDATE('Inputs 2'!$C$9,($BE15+1)-1)))))</f>
      </c>
      <c r="CE16" s="21">
        <f>IF(SUMPRODUCT(MIN(IF(('Inputs 2'!$C$58:$C$67&gt;MAX($B$6:$B15))*('Inputs 2'!$C$58:$C$67&gt;=DATE('Inputs 2'!$C$10,1,1))*('Inputs 2'!$C$58:$C$67&lt;=DATE('Inputs 2'!$C$10,12,31)),'Inputs 2'!$C$58:$C$67,999999)))=999999,"",SUMPRODUCT(MIN(IF(('Inputs 2'!$C$58:$C$67&gt;MAX($B$6:$B15))*('Inputs 2'!$C$58:$C$67&gt;=DATE('Inputs 2'!$C$10,1,1))*('Inputs 2'!$C$58:$C$67&lt;=DATE('Inputs 2'!$C$10,12,31)),'Inputs 2'!$C$58:$C$67,999999))))</f>
      </c>
    </row>
    <row r="17">
      <c r="A17" t="n">
        <v>12</v>
      </c>
      <c r="B17" s="21">
        <f>IF(AND($CD17="",$CE17=""),"",IF($CE17="",$CD17,IF($CD17="",$CE17,MIN($CD17,$CE17))))</f>
      </c>
      <c r="C17" s="7">
        <f>IF($B17="","",IF($BF17=0,0,IF('Inputs 2'!$C$4="Annual salary",ROUND($AK17/IF(AND('Inputs 2'!$C$88="Actual paydays",MONTH('Inputs 2'!$C$9)=1),MAX(1,MAX($BE$6:$BE$68)),'Inputs 2'!$C$8),2),$AK17)))</f>
      </c>
      <c r="D17" s="7">
        <f>IF($B17="","",SUMIF('Inputs 2'!$C$58:$C$67,$B17,'Inputs 2'!$D$58:$D$67))</f>
      </c>
      <c r="E17" s="7">
        <f>IF($B17="","",ROUND(MAX(0,MIN(IF($AL17="Percent",$AM17*($C17+$D17),$AM17),MAX(0,'Inputs 2'!$C$34-$AC16))),2))</f>
      </c>
      <c r="F17" s="7">
        <f>IF($B17="","",ROUND(MAX(0,MIN(IF('Inputs 2'!$C$32="Percent",'Inputs 2'!$D$32*($C17+$D17),'Inputs 2'!$D$32),MAX(0,'Inputs 2'!$C$34-$AC16-$E17))),2))</f>
      </c>
      <c r="G17" s="7">
        <f>IF($B17="","",IF($BF17=0,0,ROUND(MAX(0,MIN($BL17,'Inputs 2'!$C$37-'Inputs 2'!$C$54-$BI16)),2)))</f>
      </c>
      <c r="H17" s="7">
        <f>IF($B17="","",IF(OR($BF17=0,$BQ17=1),0,ROUND(MAX(0,MIN(IF($BS17=1,ROUND(MAX(0,MIN($BJ17,'Methodology &amp; Sources'!$C$13)-$BG16)/MAX(1,MAX($BE$6:$BE$68)-($BE16)),2),ROUND(MIN($BJ17,'Methodology &amp; Sources'!$C$13)/'Inputs 2'!$C$8,2)),MIN($BJ17,'Methodology &amp; Sources'!$C$13)-$BG16)),2)))</f>
      </c>
      <c r="I17" s="7">
        <f>IF($B17="","",IF(OR($BF17=0,$BR17=1),0,ROUND(MAX(0,MIN(IF($BT17=1,ROUND(MAX(0,MIN($BK17,IF('Inputs 2'!$C$12="MFJ",'Methodology &amp; Sources'!$C$14,'Methodology &amp; Sources'!$C$15))-$BH16)/MAX(1,MAX($BE$6:$BE$68)-($BE16)),2),ROUND(MIN($BK17,IF('Inputs 2'!$C$12="MFJ",'Methodology &amp; Sources'!$C$14,'Methodology &amp; Sources'!$C$15))/'Inputs 2'!$C$8,2)),MIN($BK17,IF('Inputs 2'!$C$12="MFJ",'Methodology &amp; Sources'!$C$14,'Methodology &amp; Sources'!$C$15))-$BH16)),2)))</f>
      </c>
      <c r="J17" s="7">
        <f>IF($B17="","",IF($BF17=0,0,$BM17))</f>
      </c>
      <c r="K17" s="7">
        <f>IF($B17="","",IF($BF17=0,0,$BN17+$BO17))</f>
      </c>
      <c r="L17" s="7">
        <f>IF($B17="","",IF($BF17=0,0,'Inputs 2'!$D$46))</f>
      </c>
      <c r="M17" s="7">
        <f>IF($B17="","",$C17+$D17+$L17-$E17-$G17-$H17-$I17-$J17-$K17)</f>
      </c>
      <c r="N17" s="7">
        <f>IF($B17="","",$C17+$D17+$L17-$G17-$H17-$I17-$J17-$K17)</f>
      </c>
      <c r="O17" s="7">
        <f>IF($B17="","",$C17+$D17+$L17-$E17-$H17-$I17-$J17-$K17-IF(OR($AN17="CA",$AN17="NJ"),0,$G17))</f>
      </c>
      <c r="P17" s="7">
        <f>IF($B17="","",IF('Inputs 2'!$C$18,0,ROUND(MAX(0,IF('Inputs 2'!$C$13,SUMPRODUCT(($AH17&gt;INDEX('Methodology &amp; Sources'!$B$29:$J$36,0,IF('Inputs 2'!$C$12="MFJ",1,IF('Inputs 2'!$C$12="HoH",7,4))))*($AH17-INDEX('Methodology &amp; Sources'!$B$29:$J$36,0,IF('Inputs 2'!$C$12="MFJ",1,IF('Inputs 2'!$C$12="HoH",7,4))))*INDEX('Methodology &amp; Sources'!$B$29:$J$36,0,IF('Inputs 2'!$C$12="MFJ",1,IF('Inputs 2'!$C$12="HoH",7,4))+2)),SUMPRODUCT(($AH17&gt;INDEX('Methodology &amp; Sources'!$B$19:$J$26,0,IF('Inputs 2'!$C$12="MFJ",1,IF('Inputs 2'!$C$12="HoH",7,4))))*($AH17-INDEX('Methodology &amp; Sources'!$B$19:$J$26,0,IF('Inputs 2'!$C$12="MFJ",1,IF('Inputs 2'!$C$12="HoH",7,4))))*INDEX('Methodology &amp; Sources'!$B$19:$J$26,0,IF('Inputs 2'!$C$12="MFJ",1,IF('Inputs 2'!$C$12="HoH",7,4))+2)))/'Inputs 2'!$C$8-$AO17/'Inputs 2'!$C$8)+$AR17+IF('Inputs 2'!$C$89="Aggregate",MAX(0,IF('Inputs 2'!$C$13,SUMPRODUCT((($AH17+$D17)&gt;INDEX('Methodology &amp; Sources'!$B$29:$J$36,0,IF('Inputs 2'!$C$12="MFJ",1,IF('Inputs 2'!$C$12="HoH",7,4))))*(($AH17+$D17)-INDEX('Methodology &amp; Sources'!$B$29:$J$36,0,IF('Inputs 2'!$C$12="MFJ",1,IF('Inputs 2'!$C$12="HoH",7,4))))*INDEX('Methodology &amp; Sources'!$B$29:$J$36,0,IF('Inputs 2'!$C$12="MFJ",1,IF('Inputs 2'!$C$12="HoH",7,4))+2)),SUMPRODUCT((($AH17+$D17)&gt;INDEX('Methodology &amp; Sources'!$B$19:$J$26,0,IF('Inputs 2'!$C$12="MFJ",1,IF('Inputs 2'!$C$12="HoH",7,4))))*(($AH17+$D17)-INDEX('Methodology &amp; Sources'!$B$19:$J$26,0,IF('Inputs 2'!$C$12="MFJ",1,IF('Inputs 2'!$C$12="HoH",7,4))))*INDEX('Methodology &amp; Sources'!$B$19:$J$26,0,IF('Inputs 2'!$C$12="MFJ",1,IF('Inputs 2'!$C$12="HoH",7,4))+2)))-IF('Inputs 2'!$C$13,SUMPRODUCT(($AH17&gt;INDEX('Methodology &amp; Sources'!$B$29:$J$36,0,IF('Inputs 2'!$C$12="MFJ",1,IF('Inputs 2'!$C$12="HoH",7,4))))*($AH17-INDEX('Methodology &amp; Sources'!$B$29:$J$36,0,IF('Inputs 2'!$C$12="MFJ",1,IF('Inputs 2'!$C$12="HoH",7,4))))*INDEX('Methodology &amp; Sources'!$B$29:$J$36,0,IF('Inputs 2'!$C$12="MFJ",1,IF('Inputs 2'!$C$12="HoH",7,4))+2)),SUMPRODUCT(($AH17&gt;INDEX('Methodology &amp; Sources'!$B$19:$J$26,0,IF('Inputs 2'!$C$12="MFJ",1,IF('Inputs 2'!$C$12="HoH",7,4))))*($AH17-INDEX('Methodology &amp; Sources'!$B$19:$J$26,0,IF('Inputs 2'!$C$12="MFJ",1,IF('Inputs 2'!$C$12="HoH",7,4))))*INDEX('Methodology &amp; Sources'!$B$19:$J$26,0,IF('Inputs 2'!$C$12="MFJ",1,IF('Inputs 2'!$C$12="HoH",7,4))+2)))),'Methodology &amp; Sources'!$C$10*$D17),2)))</f>
      </c>
      <c r="Q17" s="7">
        <f>IF($B17="","",ROUND('Methodology &amp; Sources'!$C$4*MIN($N17,MAX(0,'Methodology &amp; Sources'!$C$3-($AX17+$AB16-$AW17))),2))</f>
      </c>
      <c r="R17" s="7">
        <f>IF($B17="","",ROUND('Methodology &amp; Sources'!$C$5*$N17,2))</f>
      </c>
      <c r="S17" s="7">
        <f>IF($B17="","",ROUND('Methodology &amp; Sources'!$C$6*MAX(0,MIN($N17,$AG16+$N17-'Methodology &amp; Sources'!$C$7)),2))</f>
      </c>
      <c r="T17" s="7">
        <f>IF($B17="","",IF('Inputs 2'!$C$26,0,IF($AN17="CA",ROUND(IF($AI17&lt;=IF(($AS17+$AT17)&gt;=2,VLOOKUP($AN17,StateTables!$A$6:$AB$56,10,FALSE),VLOOKUP($AN17,StateTables!$A$6:$AB$56,9,FALSE)),0,MAX(0,SUMPRODUCT(($AJ17&gt;INDEX('Methodology &amp; Sources'!$B$39:$J$48,0,IF($AU17="Married",4,IF($AU17="Head of household",7,1))))*($AJ17-INDEX('Methodology &amp; Sources'!$B$39:$J$48,0,IF($AU17="Married",4,IF($AU17="Head of household",7,1))))*INDEX('Methodology &amp; Sources'!$B$39:$J$48,0,IF($AU17="Married",4,IF($AU17="Head of household",7,1))+2))-VLOOKUP($AN17,StateTables!$A$6:$AB$56,11,FALSE)*$AS17)/'Inputs 2'!$C$8)+'Inputs 2'!$C$25+VLOOKUP($AN17,StateTables!$A$6:$AB$56,13,FALSE)*$D17,2),IF(VLOOKUP($AN17,StateTables!$A$6:$AB$56,4,FALSE)="None",0,IF(ISNUMBER(SEARCH("MANUAL",VLOOKUP($AN17,StateTables!$A$6:$AB$56,5,FALSE))),'Inputs 2'!$C$28,ROUND(MAX(0,$BA17+$BB17)/'Inputs 2'!$C$8+'Inputs 2'!$C$25+$BC17,2))))))</f>
      </c>
      <c r="U17" s="7">
        <f>IF($B17="","",IF(VLOOKUP($AN17,StateTables!$A$6:$AB$56,24,FALSE)="flatq",IF(OR(MONTH($B17)=1,MONTH($B17)=4,MONTH($B17)=7,MONTH($B17)=10),VLOOKUP($AN17,StateTables!$A$6:$AB$56,25,FALSE),0),IF(VLOOKUP($AN17,StateTables!$A$6:$AB$56,24,FALSE)="dbl",MIN(ROUND(0.005*$N17,2),ROUND(0.6*52/'Inputs 2'!$C$8,2)),IF(OR(VLOOKUP($AN17,StateTables!$A$6:$AB$56,15,FALSE)="",VLOOKUP($AN17,StateTables!$A$6:$AB$56,15,FALSE)=0),0,ROUND(VLOOKUP($AN17,StateTables!$A$6:$AB$56,15,FALSE)*IF(OR(VLOOKUP($AN17,StateTables!$A$6:$AB$56,16,FALSE)="",VLOOKUP($AN17,StateTables!$A$6:$AB$56,16,FALSE)=0),$N17,MIN($N17,MAX(0,VLOOKUP($AN17,StateTables!$A$6:$AB$56,16,FALSE)-($AX17+$AB16-$AW17)))),2))))+IF(VLOOKUP($AN17,StateTables!$A$6:$AB$56,27,FALSE)="flatq",IF(OR(MONTH($B17)=1,MONTH($B17)=4,MONTH($B17)=7,MONTH($B17)=10),VLOOKUP($AN17,StateTables!$A$6:$AB$56,28,FALSE),0),IF(VLOOKUP($AN17,StateTables!$A$6:$AB$56,27,FALSE)="dbl",MIN(ROUND(0.005*$N17,2),ROUND(0.6*52/'Inputs 2'!$C$8,2)),IF(OR(VLOOKUP($AN17,StateTables!$A$6:$AB$56,18,FALSE)="",VLOOKUP($AN17,StateTables!$A$6:$AB$56,18,FALSE)=0),0,ROUND(VLOOKUP($AN17,StateTables!$A$6:$AB$56,18,FALSE)*IF(OR(VLOOKUP($AN17,StateTables!$A$6:$AB$56,19,FALSE)="",VLOOKUP($AN17,StateTables!$A$6:$AB$56,19,FALSE)=0),$N17,MIN($N17,MAX(0,VLOOKUP($AN17,StateTables!$A$6:$AB$56,19,FALSE)-($AX17+$AB16-$AW17)))),2)))))</f>
      </c>
      <c r="V17" s="7">
        <f>IF($B17="","",IF($AN17="NY",IF('Inputs 2'!$C$78,ROUND(SUMPRODUCT((MAX(0,($O17-$D17)*'Inputs 2'!$C$8-(IF($AU17="Married",5500,5000)+1000*$AS17))&gt;INDEX('Methodology &amp; Sources'!$B$184:$J$198,0,4))*(MAX(0,($O17-$D17)*'Inputs 2'!$C$8-(IF($AU17="Married",5500,5000)+1000*$AS17))-INDEX('Methodology &amp; Sources'!$B$184:$J$198,0,4))*INDEX('Methodology &amp; Sources'!$B$184:$J$198,0,4+2))/'Inputs 2'!$C$8+0.0425*$D17,2),0)+IF('Inputs 2'!$C$79="Resident",ROUND(0.1675*$T17,2),IF('Inputs 2'!$C$79="Nonresident",ROUND(0.005*MAX(0,($O17-$D17)-(IF($AU17="Married",7950,7400)+1000*$AS17)/'Inputs 2'!$C$8),2),0)),IF($AN17="PA",IF('Inputs 2'!$C$80="None",'Inputs 2'!$C$27+ROUND('Inputs 2'!$C$81*($C17+$D17),2),ROUND(IF('Inputs 2'!$C$80="Resident",IF($B17&lt;DATE(2027,7,1),0.03735,0.03735),IF($B17&lt;DATE(2027,7,1),0.03425,0.03425))*($C17+$D17),2)),IF($BF17=0,ROUND('Inputs 2'!$C$81*($C17+$D17),2),'Inputs 2'!$C$27+ROUND('Inputs 2'!$C$81*($C17+$D17),2)))))</f>
      </c>
      <c r="W17" s="7">
        <f>IF($B17="","",IF($BF17=0,0,$BP17))</f>
      </c>
      <c r="X17" s="7">
        <f>IF($B17="","",SUM($E17:$K17)+$P17+$Q17+$R17+$S17+$T17+$U17+$V17+$W17)</f>
      </c>
      <c r="Y17" s="22">
        <f>IF($B17="","",$C17+$D17-$X17)</f>
      </c>
      <c r="Z17" s="7">
        <f>IF($B17="","",$Z16+$C17+$D17)</f>
      </c>
      <c r="AA17" s="7">
        <f>IF($B17="","",$AA16+$Y17)</f>
      </c>
      <c r="AB17" s="7">
        <f>IF($B17="","",$AB16+MIN($N17,MAX(0,'Methodology &amp; Sources'!$C$3-($AX17+$AB16-$AW17))))</f>
      </c>
      <c r="AC17" s="7">
        <f>IF($B17="","",$AC16+$E17+$F17)</f>
      </c>
      <c r="AD17" s="3">
        <f>IF($B17="","",IF(AND($AB16&lt;'Methodology &amp; Sources'!$C$3,$AB17&gt;='Methodology &amp; Sources'!$C$3),"★ Social Security maxed on this check — from the next check your net rises by about $"&amp;TEXT(ROUND('Methodology &amp; Sources'!$C$4*$N17,2),"#,##0.00")&amp;". ","")&amp;IF(AND($AC16&lt;'Inputs 2'!$C$34,$AC17&gt;='Inputs 2'!$C$34),"★ 401(k) reaches the $"&amp;TEXT('Inputs 2'!$C$34,"#,##0")&amp;" cap on this check — deferrals stop and net pay rises. ","")&amp;IF(AND($AG16&lt;'Methodology &amp; Sources'!$C$7,$AG17&gt;='Methodology &amp; Sources'!$C$7),"★ Wages pass $200,000 — the 0.9% Additional Medicare Tax starts here. ","")&amp;IF(AND($BJ17&gt;0,$H17&gt;0,$BG16&lt;MIN($BJ17,'Methodology &amp; Sources'!$C$13),$BG16+$H17&gt;=MIN($BJ17,'Methodology &amp; Sources'!$C$13)),"★ Health FSA election is now fully deferred for the year. ",""))</f>
      </c>
      <c r="AE17" s="41" t="n"/>
      <c r="AF17" s="7">
        <f>IF(OR($B17="",$AE17=""),"",$AE17-$Y17)</f>
      </c>
      <c r="AG17" s="7">
        <f>IF($B17="","",$AG16+$N17)</f>
      </c>
      <c r="AH17" s="7">
        <f>IF($B17="","",MAX(0,($M17-$D17)*'Inputs 2'!$C$8+$AP17-$AQ17-IF('Inputs 2'!$C$13,0,IF('Inputs 2'!$C$12="MFJ",'Methodology &amp; Sources'!$C$8,'Methodology &amp; Sources'!$C$9))))</f>
      </c>
      <c r="AI17" s="7">
        <f>IF($B17="","",$O17*'Inputs 2'!$C$8)</f>
      </c>
      <c r="AJ17" s="7">
        <f>IF($B17="","",MAX(0,$AI17-VLOOKUP($AN17,StateTables!$A$6:$AB$56,12,FALSE)*$AT17-IF(($AS17+$AT17)&gt;=2,VLOOKUP($AN17,StateTables!$A$6:$AB$56,8,FALSE),VLOOKUP($AN17,StateTables!$A$6:$AB$56,7,FALSE))))</f>
      </c>
      <c r="AK17" s="7">
        <f>IF($B17="","",IFERROR(LOOKUP(2,1/(('Events 2'!$C$6:$C$17="Salary change")*('Events 2'!$B$6:$B$17&lt;=$B17)*('Events 2'!$B$6:$B$17&lt;&gt;"")),'Events 2'!$D$6:$D$17),IF('Inputs 2'!$C$4="Annual salary",'Inputs 2'!$C$5,'Inputs 2'!$C$6)))</f>
      </c>
      <c r="AL17">
        <f>IF($B17="","",IFERROR(LOOKUP(2,1/(('Events 2'!$C$6:$C$17="401(k) change")*('Events 2'!$B$6:$B$17&lt;=$B17)*('Events 2'!$B$6:$B$17&lt;&gt;"")),'Events 2'!$D$6:$D$17),'Inputs 2'!$C$30))</f>
      </c>
      <c r="AM17" s="7">
        <f>IF($B17="","",IFERROR(LOOKUP(2,1/(('Events 2'!$C$6:$C$17="401(k) change")*('Events 2'!$B$6:$B$17&lt;=$B17)*('Events 2'!$B$6:$B$17&lt;&gt;"")),'Events 2'!$E$6:$E$17),'Inputs 2'!$D$30))</f>
      </c>
      <c r="AN17">
        <f>IF($B17="","",IFERROR(LOOKUP(2,1/(('Events 2'!$C$6:$C$17="State move")*('Events 2'!$B$6:$B$17&lt;=$B17)*('Events 2'!$B$6:$B$17&lt;&gt;"")),'Events 2'!$D$6:$D$17),'Inputs 2'!$C$21))</f>
      </c>
      <c r="AO17" s="7">
        <f>IF($B17="","",IFERROR(LOOKUP(2,1/(('Events 2'!$C$6:$C$17="W-4 change")*('Events 2'!$B$6:$B$17&lt;=$B17)*('Events 2'!$B$6:$B$17&lt;&gt;"")),'Events 2'!$D$6:$D$17),'Inputs 2'!$C$14))</f>
      </c>
      <c r="AP17" s="7">
        <f>IF($B17="","",IFERROR(LOOKUP(2,1/(('Events 2'!$C$6:$C$17="W-4 change")*('Events 2'!$B$6:$B$17&lt;=$B17)*('Events 2'!$B$6:$B$17&lt;&gt;"")),'Events 2'!$E$6:$E$17),'Inputs 2'!$C$15))</f>
      </c>
      <c r="AQ17" s="7">
        <f>IF($B17="","",IFERROR(LOOKUP(2,1/(('Events 2'!$C$6:$C$17="W-4 change")*('Events 2'!$B$6:$B$17&lt;=$B17)*('Events 2'!$B$6:$B$17&lt;&gt;"")),'Events 2'!$F$6:$F$17),'Inputs 2'!$C$16))</f>
      </c>
      <c r="AR17" s="7">
        <f>IF($B17="","",IFERROR(LOOKUP(2,1/(('Events 2'!$C$6:$C$17="W-4 change")*('Events 2'!$B$6:$B$17&lt;=$B17)*('Events 2'!$B$6:$B$17&lt;&gt;"")),'Events 2'!$G$6:$G$17),'Inputs 2'!$C$17))</f>
      </c>
      <c r="AS17" s="6">
        <f>IF($B17="","",IFERROR(LOOKUP(2,1/((('Events 2'!$C$6:$C$17="State move")+('Events 2'!$C$6:$C$17="State cert change"))*('Events 2'!$B$6:$B$17&lt;=$B17)*('Events 2'!$B$6:$B$17&lt;&gt;"")),'Events 2'!$F$6:$F$17),'Inputs 2'!$C$23))</f>
      </c>
      <c r="AT17" s="6">
        <f>IF($B17="","",IFERROR(LOOKUP(2,1/((('Events 2'!$C$6:$C$17="State move")+('Events 2'!$C$6:$C$17="State cert change"))*('Events 2'!$B$6:$B$17&lt;=$B17)*('Events 2'!$B$6:$B$17&lt;&gt;"")),'Events 2'!$G$6:$G$17),'Inputs 2'!$C$24))</f>
      </c>
      <c r="AU17">
        <f>IF($B17="","",IFERROR(LOOKUP(2,1/(('Events 2'!$C$6:$C$17="State move")*('Events 2'!$B$6:$B$17&lt;=$B17)*('Events 2'!$B$6:$B$17&lt;&gt;"")),'Events 2'!$E$6:$E$17),'Inputs 2'!$C$22))</f>
      </c>
      <c r="AV17" s="6">
        <f>IF($B17="","",1+COUNTIFS('Events 2'!$C$6:$C$17,"Employer change",'Events 2'!$B$6:$B$17,"&lt;="&amp;$B17,'Events 2'!$B$6:$B$17,"&lt;&gt;"))</f>
      </c>
      <c r="AW17" s="7">
        <f>IF($B17="","",IF($AV17=1,'Inputs 2'!$C$49,IF(IFERROR(MATCH(IFERROR(LOOKUP(2,1/(('Events 2'!$C$6:$C$17="Employer change")*('Events 2'!$B$6:$B$17&lt;=$B17)*('Events 2'!$B$6:$B$17&lt;&gt;"")),'Events 2'!$B$6:$B$17),""),$B$6:$B$68,1),1)&lt;=1,'Inputs 2'!$C$49,INDEX($AB$6:$AB$68,MATCH(IFERROR(LOOKUP(2,1/(('Events 2'!$C$6:$C$17="Employer change")*('Events 2'!$B$6:$B$17&lt;=$B17)*('Events 2'!$B$6:$B$17&lt;&gt;"")),'Events 2'!$B$6:$B$17),""),$B$6:$B$68,1)-1))))</f>
      </c>
      <c r="AX17" s="7">
        <f>IF($B17="","",IF($AV17=1,'Inputs 2'!$C$49,IFERROR(LOOKUP(2,1/(('Events 2'!$C$6:$C$17="Employer change")*('Events 2'!$B$6:$B$17&lt;=$B17)*('Events 2'!$B$6:$B$17&lt;&gt;"")),'Events 2'!$D$6:$D$17),0)))</f>
      </c>
      <c r="AY17" s="7">
        <f>IF($B17="","",($O17-$D17)*'Inputs 2'!$C$8)</f>
      </c>
      <c r="AZ17" s="7">
        <f>IF($B17="","",IF($AN17="AL",MAX(0,$AY17-IF($AU17="Married",IF($AY17&lt;=25999,8500,MAX(5000,8500-175*CEILING(($AY17-25999)/500,1))),IF($AU17="Head of household",IF($AY17&lt;=25999,5200,MAX(2500,5200-135*CEILING(($AY17-25999)/500,1))),IF($AY17&lt;=25999,3000,MAX(2500,3000-25*CEILING(($AY17-25999)/500,1)))))-($P17-'Methodology &amp; Sources'!$C$10*$D17)*'Inputs 2'!$C$8-IF(OR($AU17="Married",$AU17="Head of household"),3000,1500)-$AT17*IF($AY17&lt;=50000,1000,IF($AY17&lt;=100000,500,300))),IF($AN17="AR",IF(MAX(0,$AY17-2470)&lt;97701,INT(MAX(0,$AY17-2470)/100)*100+50,MAX(0,$AY17-2470)),IF($AN17="DE",MAX(0,$AI17-3250),IF($AN17="HI",MAX(0,$AI17-1144*$AS17-4350),IF($AN17="KS",MAX(0,$AI17-(9160*IF($AU17="Married",2,1)+2320*$AT17+IF($AU17="Head of household",2320,0))),IF($AN17="MD",MAX(0,$AI17-3400-3200*$AS17),IF($AN17="MN",MAX(0,$AY17-5300*$AS17),IF($AN17="MO",MAX(0,$AI17-IF($AU17="Head of household",24150,IF($AU17="Married",IF('Inputs 2'!$C$83,16100,32200),16100))),IF($AN17="MT",$AY17,IF($AN17="ND",($C17+$L17)*'Inputs 2'!$C$8,IF($AN17="NE",MAX(0,$AY17-2440*$AS17),IF($AN17="NJ",MAX(0,$AY17-1000*$AS17),IF($AN17="NY",MAX(0,$AY17-(IF($AU17="Married",7950,7400)+1000*$AS17)),IF($AN17="OH",MAX(0,$AY17-650*$AS17),IF($AN17="OK",MAX(0,$AY17-1000*$AS17),IF($AN17="RI",MAX(0,$AI17-1000*$AS17),IF($AN17="SC",MAX(0,$AI17-5000*$AS17-IF($AS17=0,0,MIN(0.1*$AI17,7500))),IF($AN17="VA",MAX(0,$AI17-IF($AU17="Married",17500,8750)-930*$AS17-800*$AT17),IF($AN17="VT",MAX(0,$AI17-5400*$AS17),IF($AN17="WI",MAX(0,$AI17-MAX(0,IF($AU17="Married",9461-0.2*MAX(0,$AI17-25727),6702-0.12*MAX(0,$AI17-17780)))-400*$AS17),IF($AN17="WV",MAX(0,$AI17-2000*$AS17),$AI17))))))))))))))))))))))</f>
      </c>
      <c r="BA17" s="7">
        <f>IF($B17="","",IF($BW17&lt;&gt;"",$BW17,IF($BX17&lt;&gt;"",$BX17,IF($BY17&lt;&gt;"",$BY17,0))))</f>
      </c>
      <c r="BB17" s="7">
        <f>IF($B17="","",IF($AN17="AR",-29*$AS17,IF($AN17="DE",-110*$AS17,IF($AN17="MD",$AZ17*'Inputs 2'!$C$74,IF($AN17="AZ",'Inputs 2'!$C$82*($M17-$D17)*'Inputs 2'!$C$8,IF($AN17="CO",0.044*MAX(0,$AY17-IF($AU17="Married",10000,5000)),IF($AN17="IA",MAX(0,0.038*MAX(0,$AY17-IF($AU17="Head of household",19500,IF($AU17="Married",26000,13000)))-40*$AS17),IF($AN17="ID",0.053*MAX(0,$AY17-IF($AU17="Married",32000,16094)),IF($AN17="IL",0.0495*MAX(0,$AY17-(2925*$AS17+1000*$AT17)),IF($AN17="IN",(0.0295+'Inputs 2'!$C$76)*MAX(0,$AY17-(1000*$AS17+1500*$AT17+3000*'Inputs 2'!$C$86)),IF($AN17="KY",0.035*MAX(0,$AI17-3360),IF($AN17="LA",IF('Inputs 2'!$C$84="0",0.0309*$AI17,0.0309*MAX(0,$AI17-IF('Inputs 2'!$C$84="2",25750,12875))),IF($AN17="MA",0.05*MIN(MAX(0,$AY17-MIN(($BD16+$Q17+$R17+$S17),2000)-IF($AS17=0,0,IF($AS17=1,4400,1000*$AS17+3400))),1107750)+0.09*MAX(0,MAX(0,$AY17-MIN(($BD16+$Q17+$R17+$S17),2000)-IF($AS17=0,0,IF($AS17=1,4400,1000*$AS17+3400)))-1107750)-IF($AU17="Head of household",120,0)-110*'Inputs 2'!$C$75,IF($AN17="MI",0.0425*MAX(0,$AY17-5900*$AS17),IF($AN17="MS",0.04*MAX(0,$AI17-IF($AU17="Head of household",3400,IF($AU17="Married",4600,2300))-'Inputs 2'!$C$85-10000),IF($AN17="OR",IF(OR($AU17="Married",AND($AU17="Single",$AS17&gt;=3)),SUMPRODUCT((MAX(0,$AY17-MIN(($P17-'Methodology &amp; Sources'!$C$10*$D17)*'Inputs 2'!$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Sources'!$B$211:$J$214,0,4))*(MAX(0,$AY17-MIN(($P17-'Methodology &amp; Sources'!$C$10*$D17)*'Inputs 2'!$C$8,IF(OR($AU17="Married",AND($AU17="Single",$AS17&gt;=3)),IF($AY17&lt;250000,8750,IF($AY17&lt;260000,7000,IF($AY17&lt;270000,5250,IF($AY17&lt;280000,3500,IF($AY17&lt;290000,1750,0))))),IF($AY17&lt;125000,8750,IF($AY17&lt;130000,7000,IF($AY17&lt;135000,5250,IF($AY17&lt;140000,3500,IF($AY17&lt;145000,1750,0)))))))-IF(OR($AU17="Married",AND($AU17="Single",$AS17&gt;=3)),5820,2910))-INDEX('Methodology &amp; Sources'!$B$211:$J$214,0,4))*INDEX('Methodology &amp; Sources'!$B$211:$J$214,0,4+2)),SUMPRODUCT((MAX(0,$AY17-MIN(($P17-'Methodology &amp; Sources'!$C$10*$D17)*'Inputs 2'!$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Sources'!$B$211:$J$214,0,1))*(MAX(0,$AY17-MIN(($P17-'Methodology &amp; Sources'!$C$10*$D17)*'Inputs 2'!$C$8,IF(OR($AU17="Married",AND($AU17="Single",$AS17&gt;=3)),IF($AY17&lt;250000,8750,IF($AY17&lt;260000,7000,IF($AY17&lt;270000,5250,IF($AY17&lt;280000,3500,IF($AY17&lt;290000,1750,0))))),IF($AY17&lt;125000,8750,IF($AY17&lt;130000,7000,IF($AY17&lt;135000,5250,IF($AY17&lt;140000,3500,IF($AY17&lt;145000,1750,0)))))))-IF(OR($AU17="Married",AND($AU17="Single",$AS17&gt;=3)),5820,2910))-INDEX('Methodology &amp; Sources'!$B$211:$J$214,0,1))*INDEX('Methodology &amp; Sources'!$B$211:$J$214,0,1+2)))+263-263*IF(IF($AU17="Married",$AY17&gt;200000,$AY17&gt;100000),0,$AS17),IF($AN17="PA",0.0307*(($O17+$E17+$G17)*'Inputs 2'!$C$8),IF($AN17="NY",IF($AU17="Married",IF($AZ17&gt;=2155350,0,IF($AZ17&gt;=1077550,0.48,IF($AZ17&gt;=373200,1.21,IF($AZ17&gt;=323200,0.21,IF($AZ17&gt;=211550,-0.19,IF($AZ17&gt;=157650,-2.8,IF($AZ17&gt;=107650,-0.8,IF($AZ17&gt;=96800,0.05,IF($AZ17&gt;=80650,-0.1,IF($AZ17&gt;=13900,0.4,IF($AZ17&gt;=11700,-0.3,IF($AZ17&gt;=8500,0.5,0)))))))))))),IF($AZ17&gt;=1077550,0,IF($AZ17&gt;=265400,4.29,IF($AZ17&gt;=215400,2.29,IF($AZ17&gt;=157650,2.29,IF($AZ17&gt;=107650,0.29,IF($AZ17&gt;=96800,0.05,IF($AZ17&gt;=80650,-0.1,IF($AZ17&gt;=13900,0.4,IF($AZ17&gt;=11700,-0.3,IF($AZ17&gt;=8500,0.5,0))))))))))),0))))))))))))))))))</f>
      </c>
      <c r="BC17" s="7">
        <f>IF($B17="","",IF($AN17="AL",0.05*$D17,IF($AN17="AR",0.039*$D17,IF($AN17="ID",0.053*$D17,IF($AN17="IN",(0.0295+'Inputs 2'!$C$76)*$D17,IF($AN17="KS",0.05*$D17,IF($AN17="MA",0.09*MIN($D17,MAX(0,MAX(0,$AY17-MIN(($BD16+$Q17+$R17+$S17),2000)-IF($AS17=0,0,IF($AS17=1,4400,1000*$AS17+3400)))+$D17-1107750))+0.05*($D17-MIN($D17,MAX(0,MAX(0,$AY17-MIN(($BD16+$Q17+$R17+$S17),2000)-IF($AS17=0,0,IF($AS17=1,4400,1000*$AS17+3400)))+$D17-1107750))),IF($AN17="MD",(0.065+'Inputs 2'!$C$74)*$D17,IF($AN17="MI",0.0425*$D17,IF($AN17="MN",0.0625*$D17,IF($AN17="MO",0.047*$D17,IF($AN17="MT",0.05*$D17,IF($AN17="ND",0.015*$D17,IF($AN17="NE",0.035*$D17,IF($AN17="NJ",IF('Inputs 2'!$C$77="B",SUMPRODUCT(($D17*'Inputs 2'!$C$8&gt;INDEX('Methodology &amp; Sources'!$B$155:$J$162,0,4))*($D17*'Inputs 2'!$C$8-INDEX('Methodology &amp; Sources'!$B$155:$J$162,0,4))*INDEX('Methodology &amp; Sources'!$B$155:$J$162,0,4+2)),IF('Inputs 2'!$C$77="C",SUMPRODUCT(($D17*'Inputs 2'!$C$8&gt;INDEX('Methodology &amp; Sources'!$B$155:$J$162,0,7))*($D17*'Inputs 2'!$C$8-INDEX('Methodology &amp; Sources'!$B$155:$J$162,0,7))*INDEX('Methodology &amp; Sources'!$B$155:$J$162,0,7+2)),IF('Inputs 2'!$C$77="D",SUMPRODUCT(($D17*'Inputs 2'!$C$8&gt;INDEX('Methodology &amp; Sources'!$B$167:$J$179,0,1))*($D17*'Inputs 2'!$C$8-INDEX('Methodology &amp; Sources'!$B$167:$J$179,0,1))*INDEX('Methodology &amp; Sources'!$B$167:$J$179,0,1+2)),IF('Inputs 2'!$C$77="E",SUMPRODUCT(($D17*'Inputs 2'!$C$8&gt;INDEX('Methodology &amp; Sources'!$B$167:$J$179,0,4))*($D17*'Inputs 2'!$C$8-INDEX('Methodology &amp; Sources'!$B$167:$J$179,0,4))*INDEX('Methodology &amp; Sources'!$B$167:$J$179,0,4+2)),SUMPRODUCT(($D17*'Inputs 2'!$C$8&gt;INDEX('Methodology &amp; Sources'!$B$155:$J$162,0,1))*($D17*'Inputs 2'!$C$8-INDEX('Methodology &amp; Sources'!$B$155:$J$162,0,1))*INDEX('Methodology &amp; Sources'!$B$155:$J$162,0,1+2))))))/'Inputs 2'!$C$8,IF($AN17="NY",0.117*$D17,IF($AN17="OH",0.0275*$D17,IF($AN17="OK",0.045*$D17,IF($AN17="OR",0.08*$D17,IF($AN17="WI",IF($AY17&lt;12760,0.0354,IF($AY17&lt;25520,0.0465,IF($AY17&lt;280950,0.053,0.0765)))*$D17,0))))))))))))))))))))</f>
      </c>
      <c r="BD17" s="7">
        <f>IF($B17="","",$BD16+$Q17+$R17+$S17)</f>
      </c>
      <c r="BE17" s="6">
        <f>IF($B17="",$BE16,$BE16+$BF17)</f>
      </c>
      <c r="BF17" s="6">
        <f>IF($B17="","",IF(AND(IF(YEAR(IF('Inputs 2'!$C$7="Weekly",'Inputs 2'!$C$9+7*(($BE16+1)-1),IF('Inputs 2'!$C$7="Biweekly",'Inputs 2'!$C$9+14*(($BE16+1)-1),IF('Inputs 2'!$C$7="Semimonthly",DATE(YEAR('Inputs 2'!$C$9),MONTH('Inputs 2'!$C$9)+INT((($BE16+1)-1)/2),MIN(DAY('Inputs 2'!$C$9),DAY(EOMONTH(DATE(YEAR('Inputs 2'!$C$9),MONTH('Inputs 2'!$C$9)+INT((($BE16+1)-1)/2),1),0))))+IF(MOD(($BE16+1)-1,2)=1,15,0),EDATE('Inputs 2'!$C$9,($BE16+1)-1)))))&lt;&gt;'Inputs 2'!$C$10,"",IF('Inputs 2'!$C$7="Weekly",'Inputs 2'!$C$9+7*(($BE16+1)-1),IF('Inputs 2'!$C$7="Biweekly",'Inputs 2'!$C$9+14*(($BE16+1)-1),IF('Inputs 2'!$C$7="Semimonthly",DATE(YEAR('Inputs 2'!$C$9),MONTH('Inputs 2'!$C$9)+INT((($BE16+1)-1)/2),MIN(DAY('Inputs 2'!$C$9),DAY(EOMONTH(DATE(YEAR('Inputs 2'!$C$9),MONTH('Inputs 2'!$C$9)+INT((($BE16+1)-1)/2),1),0))))+IF(MOD(($BE16+1)-1,2)=1,15,0),EDATE('Inputs 2'!$C$9,($BE16+1)-1)))))&lt;&gt;"",$B17=IF(YEAR(IF('Inputs 2'!$C$7="Weekly",'Inputs 2'!$C$9+7*(($BE16+1)-1),IF('Inputs 2'!$C$7="Biweekly",'Inputs 2'!$C$9+14*(($BE16+1)-1),IF('Inputs 2'!$C$7="Semimonthly",DATE(YEAR('Inputs 2'!$C$9),MONTH('Inputs 2'!$C$9)+INT((($BE16+1)-1)/2),MIN(DAY('Inputs 2'!$C$9),DAY(EOMONTH(DATE(YEAR('Inputs 2'!$C$9),MONTH('Inputs 2'!$C$9)+INT((($BE16+1)-1)/2),1),0))))+IF(MOD(($BE16+1)-1,2)=1,15,0),EDATE('Inputs 2'!$C$9,($BE16+1)-1)))))&lt;&gt;'Inputs 2'!$C$10,"",IF('Inputs 2'!$C$7="Weekly",'Inputs 2'!$C$9+7*(($BE16+1)-1),IF('Inputs 2'!$C$7="Biweekly",'Inputs 2'!$C$9+14*(($BE16+1)-1),IF('Inputs 2'!$C$7="Semimonthly",DATE(YEAR('Inputs 2'!$C$9),MONTH('Inputs 2'!$C$9)+INT((($BE16+1)-1)/2),MIN(DAY('Inputs 2'!$C$9),DAY(EOMONTH(DATE(YEAR('Inputs 2'!$C$9),MONTH('Inputs 2'!$C$9)+INT((($BE16+1)-1)/2),1),0))))+IF(MOD(($BE16+1)-1,2)=1,15,0),EDATE('Inputs 2'!$C$9,($BE16+1)-1)))))),1,0))</f>
      </c>
      <c r="BG17" s="7">
        <f>IF($B17="","",$BG16+$H17)</f>
      </c>
      <c r="BH17" s="7">
        <f>IF($B17="","",$BH16+$I17)</f>
      </c>
      <c r="BI17" s="7">
        <f>IF($B17="","",$BI16+$G17)</f>
      </c>
      <c r="BJ17" s="7">
        <f>IF($B17="","",IFERROR(LOOKUP(2,1/(((('Events 2'!$C$6:$C$17="Deduction start"))*('Events 2'!$D$6:$D$17="Health FSA"))*('Events 2'!$B$6:$B$17&lt;=$B17)*('Events 2'!$B$6:$B$17&lt;&gt;"")),'Events 2'!$E$6:$E$17),'Inputs 2'!$D$38))</f>
      </c>
      <c r="BK17" s="7">
        <f>IF($B17="","",IFERROR(LOOKUP(2,1/(((('Events 2'!$C$6:$C$17="Deduction start"))*('Events 2'!$D$6:$D$17="Dependent-care FSA"))*('Events 2'!$B$6:$B$17&lt;=$B17)*('Events 2'!$B$6:$B$17&lt;&gt;"")),'Events 2'!$E$6:$E$17),'Inputs 2'!$D$39))</f>
      </c>
      <c r="BL17" s="7">
        <f>IF($B17="","",IFERROR(LOOKUP(2,1/(((('Events 2'!$C$6:$C$17="Deduction start")+('Events 2'!$C$6:$C$17="Deduction stop"))*('Events 2'!$D$6:$D$17="HSA"))*('Events 2'!$B$6:$B$17&lt;=$B17)*('Events 2'!$B$6:$B$17&lt;&gt;"")),'Events 2'!$I$6:$I$17),'Inputs 2'!$D$35))</f>
      </c>
      <c r="BM17" s="7">
        <f>IF($B17="","",IFERROR(LOOKUP(2,1/(((('Events 2'!$C$6:$C$17="Deduction start")+('Events 2'!$C$6:$C$17="Deduction stop"))*('Events 2'!$D$6:$D$17="Premiums"))*('Events 2'!$B$6:$B$17&lt;=$B17)*('Events 2'!$B$6:$B$17&lt;&gt;"")),'Events 2'!$I$6:$I$17),'Inputs 2'!$D$40+'Inputs 2'!$D$41+'Inputs 2'!$D$42))</f>
      </c>
      <c r="BN17" s="7">
        <f>IF($B17="","",IFERROR(LOOKUP(2,1/(((('Events 2'!$C$6:$C$17="Deduction start")+('Events 2'!$C$6:$C$17="Deduction stop"))*('Events 2'!$D$6:$D$17="Commuter"))*('Events 2'!$B$6:$B$17&lt;=$B17)*('Events 2'!$B$6:$B$17&lt;&gt;"")),'Events 2'!$I$6:$I$17),'Inputs 2'!$D$43))</f>
      </c>
      <c r="BO17" s="7">
        <f>IF($B17="","",IFERROR(LOOKUP(2,1/(((('Events 2'!$C$6:$C$17="Deduction start")+('Events 2'!$C$6:$C$17="Deduction stop"))*('Events 2'!$D$6:$D$17="Other pre-tax"))*('Events 2'!$B$6:$B$17&lt;=$B17)*('Events 2'!$B$6:$B$17&lt;&gt;"")),'Events 2'!$I$6:$I$17),'Inputs 2'!$D$44))</f>
      </c>
      <c r="BP17" s="7">
        <f>IF($B17="","",IFERROR(LOOKUP(2,1/(((('Events 2'!$C$6:$C$17="Deduction start")+('Events 2'!$C$6:$C$17="Deduction stop"))*('Events 2'!$D$6:$D$17="Other post-tax"))*('Events 2'!$B$6:$B$17&lt;=$B17)*('Events 2'!$B$6:$B$17&lt;&gt;"")),'Events 2'!$I$6:$I$17),'Inputs 2'!$D$45))</f>
      </c>
      <c r="BQ17" s="6">
        <f>IF($B17="","",IFERROR(LOOKUP(2,1/(((('Events 2'!$C$6:$C$17="Deduction start")+('Events 2'!$C$6:$C$17="Deduction stop"))*('Events 2'!$D$6:$D$17="Health FSA"))*('Events 2'!$B$6:$B$17&lt;=$B17)*('Events 2'!$B$6:$B$17&lt;&gt;"")),'Events 2'!$J$6:$J$17),0))</f>
      </c>
      <c r="BR17" s="6">
        <f>IF($B17="","",IFERROR(LOOKUP(2,1/(((('Events 2'!$C$6:$C$17="Deduction start")+('Events 2'!$C$6:$C$17="Deduction stop"))*('Events 2'!$D$6:$D$17="Dependent-care FSA"))*('Events 2'!$B$6:$B$17&lt;=$B17)*('Events 2'!$B$6:$B$17&lt;&gt;"")),'Events 2'!$J$6:$J$17),0))</f>
      </c>
      <c r="BS17" s="6">
        <f>IF($B17="","",IF(SUMPRODUCT(('Events 2'!$C$6:$C$17="Deduction start")*('Events 2'!$B$6:$B$17&lt;=$B17)*('Events 2'!$B$6:$B$17&lt;&gt;"")*('Events 2'!$D$6:$D$17="Health FSA"))&gt;0,1,0))</f>
      </c>
      <c r="BT17" s="6">
        <f>IF($B17="","",IF(SUMPRODUCT(('Events 2'!$C$6:$C$17="Deduction start")*('Events 2'!$B$6:$B$17&lt;=$B17)*('Events 2'!$B$6:$B$17&lt;&gt;"")*('Events 2'!$D$6:$D$17="Dependent-care FSA"))&gt;0,1,0))</f>
      </c>
      <c r="BU17" s="24">
        <f>IF($B17="","",IF('Inputs 2'!$C$13,SUMPRODUCT(($AH17&gt;=INDEX('Methodology &amp; Sources'!$B$29:$J$36,0,IF('Inputs 2'!$C$12="MFJ",1,IF('Inputs 2'!$C$12="HoH",7,4))))*INDEX('Methodology &amp; Sources'!$B$29:$J$36,0,IF('Inputs 2'!$C$12="MFJ",1,IF('Inputs 2'!$C$12="HoH",7,4))+2)),SUMPRODUCT(($AH17&gt;=INDEX('Methodology &amp; Sources'!$B$19:$J$26,0,IF('Inputs 2'!$C$12="MFJ",1,IF('Inputs 2'!$C$12="HoH",7,4))))*INDEX('Methodology &amp; Sources'!$B$19:$J$26,0,IF('Inputs 2'!$C$12="MFJ",1,IF('Inputs 2'!$C$12="HoH",7,4))+2))))</f>
      </c>
      <c r="BV17" s="24">
        <f>IF($B17="","",IF($BZ17&lt;&gt;"",$BZ17,IF($CA17&lt;&gt;"",$CA17,IF($CB17&lt;&gt;"",$CB17,IF($CC17&lt;&gt;"",$CC17,0)))))</f>
      </c>
      <c r="BW17" s="7">
        <f>IF($B17="","",IF($AN17="MD",IF(OR($AU17="Married",$AU17="Head of household"),SUMPRODUCT(($AZ17&gt;INDEX('Methodology &amp; Sources'!$B$114:$J$120,0,1))*($AZ17-INDEX('Methodology &amp; Sources'!$B$114:$J$120,0,1))*INDEX('Methodology &amp; Sources'!$B$114:$J$120,0,1+2)),SUMPRODUCT(($AZ17&gt;INDEX('Methodology &amp; Sources'!$B$103:$J$109,0,7))*($AZ17-INDEX('Methodology &amp; Sources'!$B$103:$J$109,0,7))*INDEX('Methodology &amp; Sources'!$B$103:$J$109,0,7+2))),IF($AN17="MO",SUMPRODUCT(($AZ17&gt;INDEX('Methodology &amp; Sources'!$B$125:$J$132,0,1))*($AZ17-INDEX('Methodology &amp; Sources'!$B$125:$J$132,0,1))*INDEX('Methodology &amp; Sources'!$B$125:$J$132,0,1+2)),IF($AN17="MT",IF($AU17="Head of household",SUMPRODUCT(($AZ17&gt;INDEX('Methodology &amp; Sources'!$B$137:$J$139,0,1))*($AZ17-INDEX('Methodology &amp; Sources'!$B$137:$J$139,0,1))*INDEX('Methodology &amp; Sources'!$B$137:$J$139,0,1+2)),IF($AU17="Married",SUMPRODUCT(($AZ17&gt;INDEX('Methodology &amp; Sources'!$B$125:$J$132,0,7))*($AZ17-INDEX('Methodology &amp; Sources'!$B$125:$J$132,0,7))*INDEX('Methodology &amp; Sources'!$B$125:$J$132,0,7+2)),SUMPRODUCT(($AZ17&gt;INDEX('Methodology &amp; Sources'!$B$125:$J$132,0,4))*($AZ17-INDEX('Methodology &amp; Sources'!$B$125:$J$132,0,4))*INDEX('Methodology &amp; Sources'!$B$125:$J$132,0,4+2)))),IF($AN17="ND",IF($AU17="Head of household",SUMPRODUCT(($AZ17&gt;INDEX('Methodology &amp; Sources'!$B$144:$J$150,0,1))*($AZ17-INDEX('Methodology &amp; Sources'!$B$144:$J$150,0,1))*INDEX('Methodology &amp; Sources'!$B$144:$J$150,0,1+2)),IF($AU17="Married",SUMPRODUCT(($AZ17&gt;INDEX('Methodology &amp; Sources'!$B$137:$J$139,0,7))*($AZ17-INDEX('Methodology &amp; Sources'!$B$137:$J$139,0,7))*INDEX('Methodology &amp; Sources'!$B$137:$J$139,0,7+2)),SUMPRODUCT(($AZ17&gt;INDEX('Methodology &amp; Sources'!$B$137:$J$139,0,4))*($AZ17-INDEX('Methodology &amp; Sources'!$B$137:$J$139,0,4))*INDEX('Methodology &amp; Sources'!$B$137:$J$139,0,4+2)))),IF($AN17="NJ",IF('Inputs 2'!$C$77="B",SUMPRODUCT(($AZ17&gt;INDEX('Methodology &amp; Sources'!$B$155:$J$162,0,4))*($AZ17-INDEX('Methodology &amp; Sources'!$B$155:$J$162,0,4))*INDEX('Methodology &amp; Sources'!$B$155:$J$162,0,4+2)),IF('Inputs 2'!$C$77="C",SUMPRODUCT(($AZ17&gt;INDEX('Methodology &amp; Sources'!$B$155:$J$162,0,7))*($AZ17-INDEX('Methodology &amp; Sources'!$B$155:$J$162,0,7))*INDEX('Methodology &amp; Sources'!$B$155:$J$162,0,7+2)),IF('Inputs 2'!$C$77="D",SUMPRODUCT(($AZ17&gt;INDEX('Methodology &amp; Sources'!$B$167:$J$179,0,1))*($AZ17-INDEX('Methodology &amp; Sources'!$B$167:$J$179,0,1))*INDEX('Methodology &amp; Sources'!$B$167:$J$179,0,1+2)),IF('Inputs 2'!$C$77="E",SUMPRODUCT(($AZ17&gt;INDEX('Methodology &amp; Sources'!$B$167:$J$179,0,4))*($AZ17-INDEX('Methodology &amp; Sources'!$B$167:$J$179,0,4))*INDEX('Methodology &amp; Sources'!$B$167:$J$179,0,4+2)),SUMPRODUCT(($AZ17&gt;INDEX('Methodology &amp; Sources'!$B$155:$J$162,0,1))*($AZ17-INDEX('Methodology &amp; Sources'!$B$155:$J$162,0,1))*INDEX('Methodology &amp; Sources'!$B$155:$J$162,0,1+2)))))),IF($AN17="NY",IF($AU17="Married",IF($AZ17&gt;=2155350,$AZ17*IF($AZ17&gt;25000000,0.117,IF($AZ17&gt;5000000,0.111,0.1045)),SUMPRODUCT(($AZ17&gt;INDEX('Methodology &amp; Sources'!$B$184:$J$198,0,1))*($AZ17-INDEX('Methodology &amp; Sources'!$B$184:$J$198,0,1))*INDEX('Methodology &amp; Sources'!$B$184:$J$198,0,1+2))),IF($AZ17&gt;=1077550,$AZ17*IF($AZ17&gt;25000000,0.117,IF($AZ17&gt;5000000,0.111,0.1045)),SUMPRODUCT(($AZ17&gt;INDEX('Methodology &amp; Sources'!$B$167:$J$179,0,7))*($AZ17-INDEX('Methodology &amp; Sources'!$B$167:$J$179,0,7))*INDEX('Methodology &amp; Sources'!$B$167:$J$179,0,7+2)))),"")))))))</f>
      </c>
      <c r="BX17" s="7">
        <f>IF($B17="","",IF($AN17="AL",IF(OR($AU17="Married",$AU17="Head of household"),SUMPRODUCT(($AZ17&gt;INDEX('Methodology &amp; Sources'!$B$82:$J$86,0,4))*($AZ17-INDEX('Methodology &amp; Sources'!$B$82:$J$86,0,4))*INDEX('Methodology &amp; Sources'!$B$82:$J$86,0,4+2)),SUMPRODUCT(($AZ17&gt;INDEX('Methodology &amp; Sources'!$B$82:$J$86,0,1))*($AZ17-INDEX('Methodology &amp; Sources'!$B$82:$J$86,0,1))*INDEX('Methodology &amp; Sources'!$B$82:$J$86,0,1+2))),IF($AN17="KS",IF($AU17="Married",SUMPRODUCT(($AZ17&gt;INDEX('Methodology &amp; Sources'!$B$103:$J$109,0,4))*($AZ17-INDEX('Methodology &amp; Sources'!$B$103:$J$109,0,4))*INDEX('Methodology &amp; Sources'!$B$103:$J$109,0,4+2)),SUMPRODUCT(($AZ17&gt;INDEX('Methodology &amp; Sources'!$B$103:$J$109,0,1))*($AZ17-INDEX('Methodology &amp; Sources'!$B$103:$J$109,0,1))*INDEX('Methodology &amp; Sources'!$B$103:$J$109,0,1+2))),IF($AN17="MN",IF($AU17="Married",SUMPRODUCT(($AZ17&gt;INDEX('Methodology &amp; Sources'!$B$114:$J$120,0,7))*($AZ17-INDEX('Methodology &amp; Sources'!$B$114:$J$120,0,7))*INDEX('Methodology &amp; Sources'!$B$114:$J$120,0,7+2)),SUMPRODUCT(($AZ17&gt;INDEX('Methodology &amp; Sources'!$B$114:$J$120,0,4))*($AZ17-INDEX('Methodology &amp; Sources'!$B$114:$J$120,0,4))*INDEX('Methodology &amp; Sources'!$B$114:$J$120,0,4+2))),IF($AN17="NE",MAX(IF($AU17="Married",SUMPRODUCT(($AZ17&gt;INDEX('Methodology &amp; Sources'!$B$144:$J$150,0,7))*($AZ17-INDEX('Methodology &amp; Sources'!$B$144:$J$150,0,7))*INDEX('Methodology &amp; Sources'!$B$144:$J$150,0,7+2)),SUMPRODUCT(($AZ17&gt;INDEX('Methodology &amp; Sources'!$B$144:$J$150,0,4))*($AZ17-INDEX('Methodology &amp; Sources'!$B$144:$J$150,0,4))*INDEX('Methodology &amp; Sources'!$B$144:$J$150,0,4+2))),0.015*$AZ17),IF($AN17="OH",IF($B17&gt;=DATE(2027,8,1),SUMPRODUCT(($AZ17&gt;INDEX('Methodology &amp; Sources'!$B$203:$J$206,0,1))*($AZ17-INDEX('Methodology &amp; Sources'!$B$203:$J$206,0,1))*INDEX('Methodology &amp; Sources'!$B$203:$J$206,0,1+2)),SUMPRODUCT(($AZ17&gt;INDEX('Methodology &amp; Sources'!$B$184:$J$198,0,7))*($AZ17-INDEX('Methodology &amp; Sources'!$B$184:$J$198,0,7))*INDEX('Methodology &amp; Sources'!$B$184:$J$198,0,7+2))),IF($AN17="OK",IF($AU17="Married",SUMPRODUCT(($AZ17&gt;INDEX('Methodology &amp; Sources'!$B$203:$J$206,0,7))*($AZ17-INDEX('Methodology &amp; Sources'!$B$203:$J$206,0,7))*INDEX('Methodology &amp; Sources'!$B$203:$J$206,0,7+2)),SUMPRODUCT(($AZ17&gt;INDEX('Methodology &amp; Sources'!$B$203:$J$206,0,4))*($AZ17-INDEX('Methodology &amp; Sources'!$B$203:$J$206,0,4))*INDEX('Methodology &amp; Sources'!$B$203:$J$206,0,4+2))),IF($AN17="RI",SUMPRODUCT(($AZ17&gt;INDEX('Methodology &amp; Sources'!$B$211:$J$214,0,7))*($AZ17-INDEX('Methodology &amp; Sources'!$B$211:$J$214,0,7))*INDEX('Methodology &amp; Sources'!$B$211:$J$214,0,7+2)),IF($AN17="VT",IF($AU17="Married",SUMPRODUCT(($AZ17&gt;INDEX('Methodology &amp; Sources'!$B$228:$J$232,0,1))*($AZ17-INDEX('Methodology &amp; Sources'!$B$228:$J$232,0,1))*INDEX('Methodology &amp; Sources'!$B$228:$J$232,0,1+2)),SUMPRODUCT(($AZ17&gt;INDEX('Methodology &amp; Sources'!$B$219:$J$223,0,7))*($AZ17-INDEX('Methodology &amp; Sources'!$B$219:$J$223,0,7))*INDEX('Methodology &amp; Sources'!$B$219:$J$223,0,7+2))),IF($AN17="WV",IF($AU17="Married",SUMPRODUCT(($AZ17&gt;INDEX('Methodology &amp; Sources'!$B$237:$J$241,0,7))*($AZ17-INDEX('Methodology &amp; Sources'!$B$237:$J$241,0,7))*INDEX('Methodology &amp; Sources'!$B$237:$J$241,0,7+2)),SUMPRODUCT(($AZ17&gt;INDEX('Methodology &amp; Sources'!$B$228:$J$232,0,7))*($AZ17-INDEX('Methodology &amp; Sources'!$B$228:$J$232,0,7))*INDEX('Methodology &amp; Sources'!$B$228:$J$232,0,7+2))),""))))))))))</f>
      </c>
      <c r="BY17" s="7">
        <f>IF($B17="","",IF($AN17="AR",SUMPRODUCT(($AZ17&gt;INDEX('Methodology &amp; Sources'!$B$82:$J$86,0,7))*($AZ17-INDEX('Methodology &amp; Sources'!$B$82:$J$86,0,7))*INDEX('Methodology &amp; Sources'!$B$82:$J$86,0,7+2)),IF($AN17="DE",SUMPRODUCT(($AZ17&gt;INDEX('Methodology &amp; Sources'!$B$91:$J$98,0,1))*($AZ17-INDEX('Methodology &amp; Sources'!$B$91:$J$98,0,1))*INDEX('Methodology &amp; Sources'!$B$91:$J$98,0,1+2)),IF($AN17="HI",IF($AU17="Married",SUMPRODUCT(($AZ17&gt;INDEX('Methodology &amp; Sources'!$B$91:$J$98,0,7))*($AZ17-INDEX('Methodology &amp; Sources'!$B$91:$J$98,0,7))*INDEX('Methodology &amp; Sources'!$B$91:$J$98,0,7+2)),SUMPRODUCT(($AZ17&gt;INDEX('Methodology &amp; Sources'!$B$91:$J$98,0,4))*($AZ17-INDEX('Methodology &amp; Sources'!$B$91:$J$98,0,4))*INDEX('Methodology &amp; Sources'!$B$91:$J$98,0,4+2))),IF($AN17="SC",SUMPRODUCT(($AZ17&gt;INDEX('Methodology &amp; Sources'!$B$219:$J$223,0,1))*($AZ17-INDEX('Methodology &amp; Sources'!$B$219:$J$223,0,1))*INDEX('Methodology &amp; Sources'!$B$219:$J$223,0,1+2)),IF($AN17="VA",SUMPRODUCT(($AZ17&gt;INDEX('Methodology &amp; Sources'!$B$219:$J$223,0,4))*($AZ17-INDEX('Methodology &amp; Sources'!$B$219:$J$223,0,4))*INDEX('Methodology &amp; Sources'!$B$219:$J$223,0,4+2)),IF($AN17="WI",SUMPRODUCT(($AZ17&gt;INDEX('Methodology &amp; Sources'!$B$228:$J$232,0,4))*($AZ17-INDEX('Methodology &amp; Sources'!$B$228:$J$232,0,4))*INDEX('Methodology &amp; Sources'!$B$228:$J$232,0,4+2)),"")))))))</f>
      </c>
      <c r="BZ17" s="24">
        <f>IF($B17="","",IF($AN17="NJ",IF('Inputs 2'!$C$77="B",SUMPRODUCT(($AZ17&gt;=INDEX('Methodology &amp; Sources'!$B$155:$J$162,0,4))*INDEX('Methodology &amp; Sources'!$B$155:$J$162,0,4+2)),IF('Inputs 2'!$C$77="C",SUMPRODUCT(($AZ17&gt;=INDEX('Methodology &amp; Sources'!$B$155:$J$162,0,7))*INDEX('Methodology &amp; Sources'!$B$155:$J$162,0,7+2)),IF('Inputs 2'!$C$77="D",SUMPRODUCT(($AZ17&gt;=INDEX('Methodology &amp; Sources'!$B$167:$J$179,0,1))*INDEX('Methodology &amp; Sources'!$B$167:$J$179,0,1+2)),IF('Inputs 2'!$C$77="E",SUMPRODUCT(($AZ17&gt;=INDEX('Methodology &amp; Sources'!$B$167:$J$179,0,4))*INDEX('Methodology &amp; Sources'!$B$167:$J$179,0,4+2)),SUMPRODUCT(($AZ17&gt;=INDEX('Methodology &amp; Sources'!$B$155:$J$162,0,1))*INDEX('Methodology &amp; Sources'!$B$155:$J$162,0,1+2)))))),IF($AN17="OR",IF(OR($AU17="Married",AND($AU17="Single",$AS17&gt;=3)),SUMPRODUCT((MAX(0,$AY17-MIN(($P17-'Methodology &amp; Sources'!$C$10*$D17)*'Inputs 2'!$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Sources'!$B$211:$J$214,0,4))*INDEX('Methodology &amp; Sources'!$B$211:$J$214,0,4+2)),SUMPRODUCT((MAX(0,$AY17-MIN(($P17-'Methodology &amp; Sources'!$C$10*$D17)*'Inputs 2'!$C$8,IF(OR($AU17="Married",AND($AU17="Single",$AS17&gt;=3)),IF($AY17&lt;250000,8750,IF($AY17&lt;260000,7000,IF($AY17&lt;270000,5250,IF($AY17&lt;280000,3500,IF($AY17&lt;290000,1750,0))))),IF($AY17&lt;125000,8750,IF($AY17&lt;130000,7000,IF($AY17&lt;135000,5250,IF($AY17&lt;140000,3500,IF($AY17&lt;145000,1750,0)))))))-IF(OR($AU17="Married",AND($AU17="Single",$AS17&gt;=3)),5820,2910))&gt;=INDEX('Methodology &amp; Sources'!$B$211:$J$214,0,1))*INDEX('Methodology &amp; Sources'!$B$211:$J$214,0,1+2)))*IF(($P17-'Methodology &amp; Sources'!$C$10*$D17)*'Inputs 2'!$C$8&gt;=IF(OR($AU17="Married",AND($AU17="Single",$AS17&gt;=3)),IF($AY17&lt;250000,8750,IF($AY17&lt;260000,7000,IF($AY17&lt;270000,5250,IF($AY17&lt;280000,3500,IF($AY17&lt;290000,1750,0))))),IF($AY17&lt;125000,8750,IF($AY17&lt;130000,7000,IF($AY17&lt;135000,5250,IF($AY17&lt;140000,3500,IF($AY17&lt;145000,1750,0)))))),1,1-IF('Inputs 2'!$C$13,SUMPRODUCT(($AH17&gt;=INDEX('Methodology &amp; Sources'!$B$29:$J$36,0,IF('Inputs 2'!$C$12="MFJ",1,IF('Inputs 2'!$C$12="HoH",7,4))))*INDEX('Methodology &amp; Sources'!$B$29:$J$36,0,IF('Inputs 2'!$C$12="MFJ",1,IF('Inputs 2'!$C$12="HoH",7,4))+2)),SUMPRODUCT(($AH17&gt;=INDEX('Methodology &amp; Sources'!$B$19:$J$26,0,IF('Inputs 2'!$C$12="MFJ",1,IF('Inputs 2'!$C$12="HoH",7,4))))*INDEX('Methodology &amp; Sources'!$B$19:$J$26,0,IF('Inputs 2'!$C$12="MFJ",1,IF('Inputs 2'!$C$12="HoH",7,4))+2)))),IF($AN17="MI",IF($AY17&gt;5900*$AS17,0.0425,0),""))))</f>
      </c>
      <c r="CA17" s="24">
        <f>IF($B17="","",IF($AN17="AL",IF(OR($AU17="Married",$AU17="Head of household"),SUMPRODUCT(($AZ17&gt;=INDEX('Methodology &amp; Sources'!$B$82:$J$86,0,4))*INDEX('Methodology &amp; Sources'!$B$82:$J$86,0,4+2)),SUMPRODUCT(($AZ17&gt;=INDEX('Methodology &amp; Sources'!$B$82:$J$86,0,1))*INDEX('Methodology &amp; Sources'!$B$82:$J$86,0,1+2)))*(1-IF('Inputs 2'!$C$13,SUMPRODUCT(($AH17&gt;=INDEX('Methodology &amp; Sources'!$B$29:$J$36,0,IF('Inputs 2'!$C$12="MFJ",1,IF('Inputs 2'!$C$12="HoH",7,4))))*INDEX('Methodology &amp; Sources'!$B$29:$J$36,0,IF('Inputs 2'!$C$12="MFJ",1,IF('Inputs 2'!$C$12="HoH",7,4))+2)),SUMPRODUCT(($AH17&gt;=INDEX('Methodology &amp; Sources'!$B$19:$J$26,0,IF('Inputs 2'!$C$12="MFJ",1,IF('Inputs 2'!$C$12="HoH",7,4))))*INDEX('Methodology &amp; Sources'!$B$19:$J$26,0,IF('Inputs 2'!$C$12="MFJ",1,IF('Inputs 2'!$C$12="HoH",7,4))+2)))),IF($AN17="KS",IF($AU17="Married",SUMPRODUCT(($AZ17&gt;=INDEX('Methodology &amp; Sources'!$B$103:$J$109,0,4))*INDEX('Methodology &amp; Sources'!$B$103:$J$109,0,4+2)),SUMPRODUCT(($AZ17&gt;=INDEX('Methodology &amp; Sources'!$B$103:$J$109,0,1))*INDEX('Methodology &amp; Sources'!$B$103:$J$109,0,1+2))),IF($AN17="MD",IF(OR($AU17="Married",$AU17="Head of household"),SUMPRODUCT(($AZ17&gt;=INDEX('Methodology &amp; Sources'!$B$114:$J$120,0,1))*INDEX('Methodology &amp; Sources'!$B$114:$J$120,0,1+2)),SUMPRODUCT(($AZ17&gt;=INDEX('Methodology &amp; Sources'!$B$103:$J$109,0,7))*INDEX('Methodology &amp; Sources'!$B$103:$J$109,0,7+2)))+'Inputs 2'!$C$74,IF($AN17="MT",IF($AU17="Head of household",SUMPRODUCT(($AZ17&gt;=INDEX('Methodology &amp; Sources'!$B$137:$J$139,0,1))*INDEX('Methodology &amp; Sources'!$B$137:$J$139,0,1+2)),IF($AU17="Married",SUMPRODUCT(($AZ17&gt;=INDEX('Methodology &amp; Sources'!$B$125:$J$132,0,7))*INDEX('Methodology &amp; Sources'!$B$125:$J$132,0,7+2)),SUMPRODUCT(($AZ17&gt;=INDEX('Methodology &amp; Sources'!$B$125:$J$132,0,4))*INDEX('Methodology &amp; Sources'!$B$125:$J$132,0,4+2)))),IF($AN17="ND",IF($AU17="Head of household",SUMPRODUCT(($AZ17&gt;=INDEX('Methodology &amp; Sources'!$B$144:$J$150,0,1))*INDEX('Methodology &amp; Sources'!$B$144:$J$150,0,1+2)),IF($AU17="Married",SUMPRODUCT(($AZ17&gt;=INDEX('Methodology &amp; Sources'!$B$137:$J$139,0,7))*INDEX('Methodology &amp; Sources'!$B$137:$J$139,0,7+2)),SUMPRODUCT(($AZ17&gt;=INDEX('Methodology &amp; Sources'!$B$137:$J$139,0,4))*INDEX('Methodology &amp; Sources'!$B$137:$J$139,0,4+2)))),IF($AN17="NY",IF($AU17="Married",IF($AZ17&gt;=2155350,IF($AZ17&gt;25000000,0.117,IF($AZ17&gt;5000000,0.111,0.1045)),SUMPRODUCT(($AZ17&gt;=INDEX('Methodology &amp; Sources'!$B$184:$J$198,0,1))*INDEX('Methodology &amp; Sources'!$B$184:$J$198,0,1+2))),IF($AZ17&gt;=1077550,IF($AZ17&gt;25000000,0.117,IF($AZ17&gt;5000000,0.111,0.1045)),SUMPRODUCT(($AZ17&gt;=INDEX('Methodology &amp; Sources'!$B$167:$J$179,0,7))*INDEX('Methodology &amp; Sources'!$B$167:$J$179,0,7+2)))),"")))))))</f>
      </c>
      <c r="CB17" s="24">
        <f>IF($B17="","",IF($AN17="CA",SUMPRODUCT(($AJ17&gt;=INDEX('Methodology &amp; Sources'!$B$39:$J$48,0,IF($AU17="Married",4,IF($AU17="Head of household",7,1))))*INDEX('Methodology &amp; Sources'!$B$39:$J$48,0,IF($AU17="Married",4,IF($AU17="Head of household",7,1))+2)),IF($AN17="HI",IF($AU17="Married",SUMPRODUCT(($AZ17&gt;=INDEX('Methodology &amp; Sources'!$B$91:$J$98,0,7))*INDEX('Methodology &amp; Sources'!$B$91:$J$98,0,7+2)),SUMPRODUCT(($AZ17&gt;=INDEX('Methodology &amp; Sources'!$B$91:$J$98,0,4))*INDEX('Methodology &amp; Sources'!$B$91:$J$98,0,4+2))),IF($AN17="MN",IF($AU17="Married",SUMPRODUCT(($AZ17&gt;=INDEX('Methodology &amp; Sources'!$B$114:$J$120,0,7))*INDEX('Methodology &amp; Sources'!$B$114:$J$120,0,7+2)),SUMPRODUCT(($AZ17&gt;=INDEX('Methodology &amp; Sources'!$B$114:$J$120,0,4))*INDEX('Methodology &amp; Sources'!$B$114:$J$120,0,4+2))),IF($AN17="MO",SUMPRODUCT(($AZ17&gt;=INDEX('Methodology &amp; Sources'!$B$125:$J$132,0,1))*INDEX('Methodology &amp; Sources'!$B$125:$J$132,0,1+2)),IF($AN17="NE",MAX(IF($AU17="Married",SUMPRODUCT(($AZ17&gt;=INDEX('Methodology &amp; Sources'!$B$144:$J$150,0,7))*INDEX('Methodology &amp; Sources'!$B$144:$J$150,0,7+2)),SUMPRODUCT(($AZ17&gt;=INDEX('Methodology &amp; Sources'!$B$144:$J$150,0,4))*INDEX('Methodology &amp; Sources'!$B$144:$J$150,0,4+2))),0.015),IF($AN17="OH",IF($B17&gt;=DATE(2027,8,1),SUMPRODUCT(($AZ17&gt;=INDEX('Methodology &amp; Sources'!$B$203:$J$206,0,1))*INDEX('Methodology &amp; Sources'!$B$203:$J$206,0,1+2)),SUMPRODUCT(($AZ17&gt;=INDEX('Methodology &amp; Sources'!$B$184:$J$198,0,7))*INDEX('Methodology &amp; Sources'!$B$184:$J$198,0,7+2))),IF($AN17="OK",IF($AU17="Married",SUMPRODUCT(($AZ17&gt;=INDEX('Methodology &amp; Sources'!$B$203:$J$206,0,7))*INDEX('Methodology &amp; Sources'!$B$203:$J$206,0,7+2)),SUMPRODUCT(($AZ17&gt;=INDEX('Methodology &amp; Sources'!$B$203:$J$206,0,4))*INDEX('Methodology &amp; Sources'!$B$203:$J$206,0,4+2))),IF($AN17="RI",SUMPRODUCT(($AZ17&gt;=INDEX('Methodology &amp; Sources'!$B$211:$J$214,0,7))*INDEX('Methodology &amp; Sources'!$B$211:$J$214,0,7+2)),IF($AN17="SC",SUMPRODUCT(($AZ17&gt;=INDEX('Methodology &amp; Sources'!$B$219:$J$223,0,1))*INDEX('Methodology &amp; Sources'!$B$219:$J$223,0,1+2)),IF($AN17="VT",IF($AU17="Married",SUMPRODUCT(($AZ17&gt;=INDEX('Methodology &amp; Sources'!$B$228:$J$232,0,1))*INDEX('Methodology &amp; Sources'!$B$228:$J$232,0,1+2)),SUMPRODUCT(($AZ17&gt;=INDEX('Methodology &amp; Sources'!$B$219:$J$223,0,7))*INDEX('Methodology &amp; Sources'!$B$219:$J$223,0,7+2))),IF($AN17="WV",IF($AU17="Married",SUMPRODUCT(($AZ17&gt;=INDEX('Methodology &amp; Sources'!$B$237:$J$241,0,7))*INDEX('Methodology &amp; Sources'!$B$237:$J$241,0,7+2)),SUMPRODUCT(($AZ17&gt;=INDEX('Methodology &amp; Sources'!$B$228:$J$232,0,7))*INDEX('Methodology &amp; Sources'!$B$228:$J$232,0,7+2))),IF($AN17="IN",(0.0295+'Inputs 2'!$C$76),"")))))))))))))</f>
      </c>
      <c r="CC17" s="24">
        <f>IF($B17="","",IF($AN17="AR",SUMPRODUCT(($AZ17&gt;=INDEX('Methodology &amp; Sources'!$B$82:$J$86,0,7))*INDEX('Methodology &amp; Sources'!$B$82:$J$86,0,7+2)),IF($AN17="DE",SUMPRODUCT(($AZ17&gt;=INDEX('Methodology &amp; Sources'!$B$91:$J$98,0,1))*INDEX('Methodology &amp; Sources'!$B$91:$J$98,0,1+2)),IF($AN17="VA",SUMPRODUCT(($AZ17&gt;=INDEX('Methodology &amp; Sources'!$B$219:$J$223,0,4))*INDEX('Methodology &amp; Sources'!$B$219:$J$223,0,4+2)),IF($AN17="WI",SUMPRODUCT(($AZ17&gt;=INDEX('Methodology &amp; Sources'!$B$228:$J$232,0,4))*INDEX('Methodology &amp; Sources'!$B$228:$J$232,0,4+2)),IF($AN17="AZ",'Inputs 2'!$C$82,IF($AN17="CO",IF($AY17&gt;IF($AU17="Married",10000,5000),0.044,0),IF($AN17="IA",IF($AY17&gt;IF($AU17="Head of household",19500,IF($AU17="Married",26000,13000)),0.038,0),IF($AN17="ID",IF($AY17&gt;IF($AU17="Married",32000,16094),0.053,0),IF($AN17="IL",IF($AY17&gt;(2925*$AS17+1000*$AT17),0.0495,0),IF($AN17="KY",IF($AI17&gt;3360,0.035,0),IF($AN17="LA",0.0309,IF($AN17="MA",IF(MAX(0,$AY17-MIN(($BD16+$Q17+$R17+$S17),2000)-IF($AS17=0,0,IF($AS17=1,4400,1000*$AS17+3400)))&gt;=1107750,0.09,0.05),IF($AN17="MS",IF($AI17-IF($AU17="Head of household",3400,IF($AU17="Married",4600,2300))-'Inputs 2'!$C$85&gt;10000,0.04,0),IF($AN17="PA",0.0307,"")))))))))))))))</f>
      </c>
      <c r="CD17" s="21">
        <f>IF(YEAR(IF('Inputs 2'!$C$7="Weekly",'Inputs 2'!$C$9+7*(($BE16+1)-1),IF('Inputs 2'!$C$7="Biweekly",'Inputs 2'!$C$9+14*(($BE16+1)-1),IF('Inputs 2'!$C$7="Semimonthly",DATE(YEAR('Inputs 2'!$C$9),MONTH('Inputs 2'!$C$9)+INT((($BE16+1)-1)/2),MIN(DAY('Inputs 2'!$C$9),DAY(EOMONTH(DATE(YEAR('Inputs 2'!$C$9),MONTH('Inputs 2'!$C$9)+INT((($BE16+1)-1)/2),1),0))))+IF(MOD(($BE16+1)-1,2)=1,15,0),EDATE('Inputs 2'!$C$9,($BE16+1)-1)))))&lt;&gt;'Inputs 2'!$C$10,"",IF('Inputs 2'!$C$7="Weekly",'Inputs 2'!$C$9+7*(($BE16+1)-1),IF('Inputs 2'!$C$7="Biweekly",'Inputs 2'!$C$9+14*(($BE16+1)-1),IF('Inputs 2'!$C$7="Semimonthly",DATE(YEAR('Inputs 2'!$C$9),MONTH('Inputs 2'!$C$9)+INT((($BE16+1)-1)/2),MIN(DAY('Inputs 2'!$C$9),DAY(EOMONTH(DATE(YEAR('Inputs 2'!$C$9),MONTH('Inputs 2'!$C$9)+INT((($BE16+1)-1)/2),1),0))))+IF(MOD(($BE16+1)-1,2)=1,15,0),EDATE('Inputs 2'!$C$9,($BE16+1)-1)))))</f>
      </c>
      <c r="CE17" s="21">
        <f>IF(SUMPRODUCT(MIN(IF(('Inputs 2'!$C$58:$C$67&gt;MAX($B$6:$B16))*('Inputs 2'!$C$58:$C$67&gt;=DATE('Inputs 2'!$C$10,1,1))*('Inputs 2'!$C$58:$C$67&lt;=DATE('Inputs 2'!$C$10,12,31)),'Inputs 2'!$C$58:$C$67,999999)))=999999,"",SUMPRODUCT(MIN(IF(('Inputs 2'!$C$58:$C$67&gt;MAX($B$6:$B16))*('Inputs 2'!$C$58:$C$67&gt;=DATE('Inputs 2'!$C$10,1,1))*('Inputs 2'!$C$58:$C$67&lt;=DATE('Inputs 2'!$C$10,12,31)),'Inputs 2'!$C$58:$C$67,999999))))</f>
      </c>
    </row>
    <row r="18">
      <c r="A18" t="n">
        <v>13</v>
      </c>
      <c r="B18" s="21">
        <f>IF(AND($CD18="",$CE18=""),"",IF($CE18="",$CD18,IF($CD18="",$CE18,MIN($CD18,$CE18))))</f>
      </c>
      <c r="C18" s="7">
        <f>IF($B18="","",IF($BF18=0,0,IF('Inputs 2'!$C$4="Annual salary",ROUND($AK18/IF(AND('Inputs 2'!$C$88="Actual paydays",MONTH('Inputs 2'!$C$9)=1),MAX(1,MAX($BE$6:$BE$68)),'Inputs 2'!$C$8),2),$AK18)))</f>
      </c>
      <c r="D18" s="7">
        <f>IF($B18="","",SUMIF('Inputs 2'!$C$58:$C$67,$B18,'Inputs 2'!$D$58:$D$67))</f>
      </c>
      <c r="E18" s="7">
        <f>IF($B18="","",ROUND(MAX(0,MIN(IF($AL18="Percent",$AM18*($C18+$D18),$AM18),MAX(0,'Inputs 2'!$C$34-$AC17))),2))</f>
      </c>
      <c r="F18" s="7">
        <f>IF($B18="","",ROUND(MAX(0,MIN(IF('Inputs 2'!$C$32="Percent",'Inputs 2'!$D$32*($C18+$D18),'Inputs 2'!$D$32),MAX(0,'Inputs 2'!$C$34-$AC17-$E18))),2))</f>
      </c>
      <c r="G18" s="7">
        <f>IF($B18="","",IF($BF18=0,0,ROUND(MAX(0,MIN($BL18,'Inputs 2'!$C$37-'Inputs 2'!$C$54-$BI17)),2)))</f>
      </c>
      <c r="H18" s="7">
        <f>IF($B18="","",IF(OR($BF18=0,$BQ18=1),0,ROUND(MAX(0,MIN(IF($BS18=1,ROUND(MAX(0,MIN($BJ18,'Methodology &amp; Sources'!$C$13)-$BG17)/MAX(1,MAX($BE$6:$BE$68)-($BE17)),2),ROUND(MIN($BJ18,'Methodology &amp; Sources'!$C$13)/'Inputs 2'!$C$8,2)),MIN($BJ18,'Methodology &amp; Sources'!$C$13)-$BG17)),2)))</f>
      </c>
      <c r="I18" s="7">
        <f>IF($B18="","",IF(OR($BF18=0,$BR18=1),0,ROUND(MAX(0,MIN(IF($BT18=1,ROUND(MAX(0,MIN($BK18,IF('Inputs 2'!$C$12="MFJ",'Methodology &amp; Sources'!$C$14,'Methodology &amp; Sources'!$C$15))-$BH17)/MAX(1,MAX($BE$6:$BE$68)-($BE17)),2),ROUND(MIN($BK18,IF('Inputs 2'!$C$12="MFJ",'Methodology &amp; Sources'!$C$14,'Methodology &amp; Sources'!$C$15))/'Inputs 2'!$C$8,2)),MIN($BK18,IF('Inputs 2'!$C$12="MFJ",'Methodology &amp; Sources'!$C$14,'Methodology &amp; Sources'!$C$15))-$BH17)),2)))</f>
      </c>
      <c r="J18" s="7">
        <f>IF($B18="","",IF($BF18=0,0,$BM18))</f>
      </c>
      <c r="K18" s="7">
        <f>IF($B18="","",IF($BF18=0,0,$BN18+$BO18))</f>
      </c>
      <c r="L18" s="7">
        <f>IF($B18="","",IF($BF18=0,0,'Inputs 2'!$D$46))</f>
      </c>
      <c r="M18" s="7">
        <f>IF($B18="","",$C18+$D18+$L18-$E18-$G18-$H18-$I18-$J18-$K18)</f>
      </c>
      <c r="N18" s="7">
        <f>IF($B18="","",$C18+$D18+$L18-$G18-$H18-$I18-$J18-$K18)</f>
      </c>
      <c r="O18" s="7">
        <f>IF($B18="","",$C18+$D18+$L18-$E18-$H18-$I18-$J18-$K18-IF(OR($AN18="CA",$AN18="NJ"),0,$G18))</f>
      </c>
      <c r="P18" s="7">
        <f>IF($B18="","",IF('Inputs 2'!$C$18,0,ROUND(MAX(0,IF('Inputs 2'!$C$13,SUMPRODUCT(($AH18&gt;INDEX('Methodology &amp; Sources'!$B$29:$J$36,0,IF('Inputs 2'!$C$12="MFJ",1,IF('Inputs 2'!$C$12="HoH",7,4))))*($AH18-INDEX('Methodology &amp; Sources'!$B$29:$J$36,0,IF('Inputs 2'!$C$12="MFJ",1,IF('Inputs 2'!$C$12="HoH",7,4))))*INDEX('Methodology &amp; Sources'!$B$29:$J$36,0,IF('Inputs 2'!$C$12="MFJ",1,IF('Inputs 2'!$C$12="HoH",7,4))+2)),SUMPRODUCT(($AH18&gt;INDEX('Methodology &amp; Sources'!$B$19:$J$26,0,IF('Inputs 2'!$C$12="MFJ",1,IF('Inputs 2'!$C$12="HoH",7,4))))*($AH18-INDEX('Methodology &amp; Sources'!$B$19:$J$26,0,IF('Inputs 2'!$C$12="MFJ",1,IF('Inputs 2'!$C$12="HoH",7,4))))*INDEX('Methodology &amp; Sources'!$B$19:$J$26,0,IF('Inputs 2'!$C$12="MFJ",1,IF('Inputs 2'!$C$12="HoH",7,4))+2)))/'Inputs 2'!$C$8-$AO18/'Inputs 2'!$C$8)+$AR18+IF('Inputs 2'!$C$89="Aggregate",MAX(0,IF('Inputs 2'!$C$13,SUMPRODUCT((($AH18+$D18)&gt;INDEX('Methodology &amp; Sources'!$B$29:$J$36,0,IF('Inputs 2'!$C$12="MFJ",1,IF('Inputs 2'!$C$12="HoH",7,4))))*(($AH18+$D18)-INDEX('Methodology &amp; Sources'!$B$29:$J$36,0,IF('Inputs 2'!$C$12="MFJ",1,IF('Inputs 2'!$C$12="HoH",7,4))))*INDEX('Methodology &amp; Sources'!$B$29:$J$36,0,IF('Inputs 2'!$C$12="MFJ",1,IF('Inputs 2'!$C$12="HoH",7,4))+2)),SUMPRODUCT((($AH18+$D18)&gt;INDEX('Methodology &amp; Sources'!$B$19:$J$26,0,IF('Inputs 2'!$C$12="MFJ",1,IF('Inputs 2'!$C$12="HoH",7,4))))*(($AH18+$D18)-INDEX('Methodology &amp; Sources'!$B$19:$J$26,0,IF('Inputs 2'!$C$12="MFJ",1,IF('Inputs 2'!$C$12="HoH",7,4))))*INDEX('Methodology &amp; Sources'!$B$19:$J$26,0,IF('Inputs 2'!$C$12="MFJ",1,IF('Inputs 2'!$C$12="HoH",7,4))+2)))-IF('Inputs 2'!$C$13,SUMPRODUCT(($AH18&gt;INDEX('Methodology &amp; Sources'!$B$29:$J$36,0,IF('Inputs 2'!$C$12="MFJ",1,IF('Inputs 2'!$C$12="HoH",7,4))))*($AH18-INDEX('Methodology &amp; Sources'!$B$29:$J$36,0,IF('Inputs 2'!$C$12="MFJ",1,IF('Inputs 2'!$C$12="HoH",7,4))))*INDEX('Methodology &amp; Sources'!$B$29:$J$36,0,IF('Inputs 2'!$C$12="MFJ",1,IF('Inputs 2'!$C$12="HoH",7,4))+2)),SUMPRODUCT(($AH18&gt;INDEX('Methodology &amp; Sources'!$B$19:$J$26,0,IF('Inputs 2'!$C$12="MFJ",1,IF('Inputs 2'!$C$12="HoH",7,4))))*($AH18-INDEX('Methodology &amp; Sources'!$B$19:$J$26,0,IF('Inputs 2'!$C$12="MFJ",1,IF('Inputs 2'!$C$12="HoH",7,4))))*INDEX('Methodology &amp; Sources'!$B$19:$J$26,0,IF('Inputs 2'!$C$12="MFJ",1,IF('Inputs 2'!$C$12="HoH",7,4))+2)))),'Methodology &amp; Sources'!$C$10*$D18),2)))</f>
      </c>
      <c r="Q18" s="7">
        <f>IF($B18="","",ROUND('Methodology &amp; Sources'!$C$4*MIN($N18,MAX(0,'Methodology &amp; Sources'!$C$3-($AX18+$AB17-$AW18))),2))</f>
      </c>
      <c r="R18" s="7">
        <f>IF($B18="","",ROUND('Methodology &amp; Sources'!$C$5*$N18,2))</f>
      </c>
      <c r="S18" s="7">
        <f>IF($B18="","",ROUND('Methodology &amp; Sources'!$C$6*MAX(0,MIN($N18,$AG17+$N18-'Methodology &amp; Sources'!$C$7)),2))</f>
      </c>
      <c r="T18" s="7">
        <f>IF($B18="","",IF('Inputs 2'!$C$26,0,IF($AN18="CA",ROUND(IF($AI18&lt;=IF(($AS18+$AT18)&gt;=2,VLOOKUP($AN18,StateTables!$A$6:$AB$56,10,FALSE),VLOOKUP($AN18,StateTables!$A$6:$AB$56,9,FALSE)),0,MAX(0,SUMPRODUCT(($AJ18&gt;INDEX('Methodology &amp; Sources'!$B$39:$J$48,0,IF($AU18="Married",4,IF($AU18="Head of household",7,1))))*($AJ18-INDEX('Methodology &amp; Sources'!$B$39:$J$48,0,IF($AU18="Married",4,IF($AU18="Head of household",7,1))))*INDEX('Methodology &amp; Sources'!$B$39:$J$48,0,IF($AU18="Married",4,IF($AU18="Head of household",7,1))+2))-VLOOKUP($AN18,StateTables!$A$6:$AB$56,11,FALSE)*$AS18)/'Inputs 2'!$C$8)+'Inputs 2'!$C$25+VLOOKUP($AN18,StateTables!$A$6:$AB$56,13,FALSE)*$D18,2),IF(VLOOKUP($AN18,StateTables!$A$6:$AB$56,4,FALSE)="None",0,IF(ISNUMBER(SEARCH("MANUAL",VLOOKUP($AN18,StateTables!$A$6:$AB$56,5,FALSE))),'Inputs 2'!$C$28,ROUND(MAX(0,$BA18+$BB18)/'Inputs 2'!$C$8+'Inputs 2'!$C$25+$BC18,2))))))</f>
      </c>
      <c r="U18" s="7">
        <f>IF($B18="","",IF(VLOOKUP($AN18,StateTables!$A$6:$AB$56,24,FALSE)="flatq",IF(OR(MONTH($B18)=1,MONTH($B18)=4,MONTH($B18)=7,MONTH($B18)=10),VLOOKUP($AN18,StateTables!$A$6:$AB$56,25,FALSE),0),IF(VLOOKUP($AN18,StateTables!$A$6:$AB$56,24,FALSE)="dbl",MIN(ROUND(0.005*$N18,2),ROUND(0.6*52/'Inputs 2'!$C$8,2)),IF(OR(VLOOKUP($AN18,StateTables!$A$6:$AB$56,15,FALSE)="",VLOOKUP($AN18,StateTables!$A$6:$AB$56,15,FALSE)=0),0,ROUND(VLOOKUP($AN18,StateTables!$A$6:$AB$56,15,FALSE)*IF(OR(VLOOKUP($AN18,StateTables!$A$6:$AB$56,16,FALSE)="",VLOOKUP($AN18,StateTables!$A$6:$AB$56,16,FALSE)=0),$N18,MIN($N18,MAX(0,VLOOKUP($AN18,StateTables!$A$6:$AB$56,16,FALSE)-($AX18+$AB17-$AW18)))),2))))+IF(VLOOKUP($AN18,StateTables!$A$6:$AB$56,27,FALSE)="flatq",IF(OR(MONTH($B18)=1,MONTH($B18)=4,MONTH($B18)=7,MONTH($B18)=10),VLOOKUP($AN18,StateTables!$A$6:$AB$56,28,FALSE),0),IF(VLOOKUP($AN18,StateTables!$A$6:$AB$56,27,FALSE)="dbl",MIN(ROUND(0.005*$N18,2),ROUND(0.6*52/'Inputs 2'!$C$8,2)),IF(OR(VLOOKUP($AN18,StateTables!$A$6:$AB$56,18,FALSE)="",VLOOKUP($AN18,StateTables!$A$6:$AB$56,18,FALSE)=0),0,ROUND(VLOOKUP($AN18,StateTables!$A$6:$AB$56,18,FALSE)*IF(OR(VLOOKUP($AN18,StateTables!$A$6:$AB$56,19,FALSE)="",VLOOKUP($AN18,StateTables!$A$6:$AB$56,19,FALSE)=0),$N18,MIN($N18,MAX(0,VLOOKUP($AN18,StateTables!$A$6:$AB$56,19,FALSE)-($AX18+$AB17-$AW18)))),2)))))</f>
      </c>
      <c r="V18" s="7">
        <f>IF($B18="","",IF($AN18="NY",IF('Inputs 2'!$C$78,ROUND(SUMPRODUCT((MAX(0,($O18-$D18)*'Inputs 2'!$C$8-(IF($AU18="Married",5500,5000)+1000*$AS18))&gt;INDEX('Methodology &amp; Sources'!$B$184:$J$198,0,4))*(MAX(0,($O18-$D18)*'Inputs 2'!$C$8-(IF($AU18="Married",5500,5000)+1000*$AS18))-INDEX('Methodology &amp; Sources'!$B$184:$J$198,0,4))*INDEX('Methodology &amp; Sources'!$B$184:$J$198,0,4+2))/'Inputs 2'!$C$8+0.0425*$D18,2),0)+IF('Inputs 2'!$C$79="Resident",ROUND(0.1675*$T18,2),IF('Inputs 2'!$C$79="Nonresident",ROUND(0.005*MAX(0,($O18-$D18)-(IF($AU18="Married",7950,7400)+1000*$AS18)/'Inputs 2'!$C$8),2),0)),IF($AN18="PA",IF('Inputs 2'!$C$80="None",'Inputs 2'!$C$27+ROUND('Inputs 2'!$C$81*($C18+$D18),2),ROUND(IF('Inputs 2'!$C$80="Resident",IF($B18&lt;DATE(2027,7,1),0.03735,0.03735),IF($B18&lt;DATE(2027,7,1),0.03425,0.03425))*($C18+$D18),2)),IF($BF18=0,ROUND('Inputs 2'!$C$81*($C18+$D18),2),'Inputs 2'!$C$27+ROUND('Inputs 2'!$C$81*($C18+$D18),2)))))</f>
      </c>
      <c r="W18" s="7">
        <f>IF($B18="","",IF($BF18=0,0,$BP18))</f>
      </c>
      <c r="X18" s="7">
        <f>IF($B18="","",SUM($E18:$K18)+$P18+$Q18+$R18+$S18+$T18+$U18+$V18+$W18)</f>
      </c>
      <c r="Y18" s="22">
        <f>IF($B18="","",$C18+$D18-$X18)</f>
      </c>
      <c r="Z18" s="7">
        <f>IF($B18="","",$Z17+$C18+$D18)</f>
      </c>
      <c r="AA18" s="7">
        <f>IF($B18="","",$AA17+$Y18)</f>
      </c>
      <c r="AB18" s="7">
        <f>IF($B18="","",$AB17+MIN($N18,MAX(0,'Methodology &amp; Sources'!$C$3-($AX18+$AB17-$AW18))))</f>
      </c>
      <c r="AC18" s="7">
        <f>IF($B18="","",$AC17+$E18+$F18)</f>
      </c>
      <c r="AD18" s="3">
        <f>IF($B18="","",IF(AND($AB17&lt;'Methodology &amp; Sources'!$C$3,$AB18&gt;='Methodology &amp; Sources'!$C$3),"★ Social Security maxed on this check — from the next check your net rises by about $"&amp;TEXT(ROUND('Methodology &amp; Sources'!$C$4*$N18,2),"#,##0.00")&amp;". ","")&amp;IF(AND($AC17&lt;'Inputs 2'!$C$34,$AC18&gt;='Inputs 2'!$C$34),"★ 401(k) reaches the $"&amp;TEXT('Inputs 2'!$C$34,"#,##0")&amp;" cap on this check — deferrals stop and net pay rises. ","")&amp;IF(AND($AG17&lt;'Methodology &amp; Sources'!$C$7,$AG18&gt;='Methodology &amp; Sources'!$C$7),"★ Wages pass $200,000 — the 0.9% Additional Medicare Tax starts here. ","")&amp;IF(AND($BJ18&gt;0,$H18&gt;0,$BG17&lt;MIN($BJ18,'Methodology &amp; Sources'!$C$13),$BG17+$H18&gt;=MIN($BJ18,'Methodology &amp; Sources'!$C$13)),"★ Health FSA election is now fully deferred for the year. ",""))</f>
      </c>
      <c r="AE18" s="41" t="n"/>
      <c r="AF18" s="7">
        <f>IF(OR($B18="",$AE18=""),"",$AE18-$Y18)</f>
      </c>
      <c r="AG18" s="7">
        <f>IF($B18="","",$AG17+$N18)</f>
      </c>
      <c r="AH18" s="7">
        <f>IF($B18="","",MAX(0,($M18-$D18)*'Inputs 2'!$C$8+$AP18-$AQ18-IF('Inputs 2'!$C$13,0,IF('Inputs 2'!$C$12="MFJ",'Methodology &amp; Sources'!$C$8,'Methodology &amp; Sources'!$C$9))))</f>
      </c>
      <c r="AI18" s="7">
        <f>IF($B18="","",$O18*'Inputs 2'!$C$8)</f>
      </c>
      <c r="AJ18" s="7">
        <f>IF($B18="","",MAX(0,$AI18-VLOOKUP($AN18,StateTables!$A$6:$AB$56,12,FALSE)*$AT18-IF(($AS18+$AT18)&gt;=2,VLOOKUP($AN18,StateTables!$A$6:$AB$56,8,FALSE),VLOOKUP($AN18,StateTables!$A$6:$AB$56,7,FALSE))))</f>
      </c>
      <c r="AK18" s="7">
        <f>IF($B18="","",IFERROR(LOOKUP(2,1/(('Events 2'!$C$6:$C$17="Salary change")*('Events 2'!$B$6:$B$17&lt;=$B18)*('Events 2'!$B$6:$B$17&lt;&gt;"")),'Events 2'!$D$6:$D$17),IF('Inputs 2'!$C$4="Annual salary",'Inputs 2'!$C$5,'Inputs 2'!$C$6)))</f>
      </c>
      <c r="AL18">
        <f>IF($B18="","",IFERROR(LOOKUP(2,1/(('Events 2'!$C$6:$C$17="401(k) change")*('Events 2'!$B$6:$B$17&lt;=$B18)*('Events 2'!$B$6:$B$17&lt;&gt;"")),'Events 2'!$D$6:$D$17),'Inputs 2'!$C$30))</f>
      </c>
      <c r="AM18" s="7">
        <f>IF($B18="","",IFERROR(LOOKUP(2,1/(('Events 2'!$C$6:$C$17="401(k) change")*('Events 2'!$B$6:$B$17&lt;=$B18)*('Events 2'!$B$6:$B$17&lt;&gt;"")),'Events 2'!$E$6:$E$17),'Inputs 2'!$D$30))</f>
      </c>
      <c r="AN18">
        <f>IF($B18="","",IFERROR(LOOKUP(2,1/(('Events 2'!$C$6:$C$17="State move")*('Events 2'!$B$6:$B$17&lt;=$B18)*('Events 2'!$B$6:$B$17&lt;&gt;"")),'Events 2'!$D$6:$D$17),'Inputs 2'!$C$21))</f>
      </c>
      <c r="AO18" s="7">
        <f>IF($B18="","",IFERROR(LOOKUP(2,1/(('Events 2'!$C$6:$C$17="W-4 change")*('Events 2'!$B$6:$B$17&lt;=$B18)*('Events 2'!$B$6:$B$17&lt;&gt;"")),'Events 2'!$D$6:$D$17),'Inputs 2'!$C$14))</f>
      </c>
      <c r="AP18" s="7">
        <f>IF($B18="","",IFERROR(LOOKUP(2,1/(('Events 2'!$C$6:$C$17="W-4 change")*('Events 2'!$B$6:$B$17&lt;=$B18)*('Events 2'!$B$6:$B$17&lt;&gt;"")),'Events 2'!$E$6:$E$17),'Inputs 2'!$C$15))</f>
      </c>
      <c r="AQ18" s="7">
        <f>IF($B18="","",IFERROR(LOOKUP(2,1/(('Events 2'!$C$6:$C$17="W-4 change")*('Events 2'!$B$6:$B$17&lt;=$B18)*('Events 2'!$B$6:$B$17&lt;&gt;"")),'Events 2'!$F$6:$F$17),'Inputs 2'!$C$16))</f>
      </c>
      <c r="AR18" s="7">
        <f>IF($B18="","",IFERROR(LOOKUP(2,1/(('Events 2'!$C$6:$C$17="W-4 change")*('Events 2'!$B$6:$B$17&lt;=$B18)*('Events 2'!$B$6:$B$17&lt;&gt;"")),'Events 2'!$G$6:$G$17),'Inputs 2'!$C$17))</f>
      </c>
      <c r="AS18" s="6">
        <f>IF($B18="","",IFERROR(LOOKUP(2,1/((('Events 2'!$C$6:$C$17="State move")+('Events 2'!$C$6:$C$17="State cert change"))*('Events 2'!$B$6:$B$17&lt;=$B18)*('Events 2'!$B$6:$B$17&lt;&gt;"")),'Events 2'!$F$6:$F$17),'Inputs 2'!$C$23))</f>
      </c>
      <c r="AT18" s="6">
        <f>IF($B18="","",IFERROR(LOOKUP(2,1/((('Events 2'!$C$6:$C$17="State move")+('Events 2'!$C$6:$C$17="State cert change"))*('Events 2'!$B$6:$B$17&lt;=$B18)*('Events 2'!$B$6:$B$17&lt;&gt;"")),'Events 2'!$G$6:$G$17),'Inputs 2'!$C$24))</f>
      </c>
      <c r="AU18">
        <f>IF($B18="","",IFERROR(LOOKUP(2,1/(('Events 2'!$C$6:$C$17="State move")*('Events 2'!$B$6:$B$17&lt;=$B18)*('Events 2'!$B$6:$B$17&lt;&gt;"")),'Events 2'!$E$6:$E$17),'Inputs 2'!$C$22))</f>
      </c>
      <c r="AV18" s="6">
        <f>IF($B18="","",1+COUNTIFS('Events 2'!$C$6:$C$17,"Employer change",'Events 2'!$B$6:$B$17,"&lt;="&amp;$B18,'Events 2'!$B$6:$B$17,"&lt;&gt;"))</f>
      </c>
      <c r="AW18" s="7">
        <f>IF($B18="","",IF($AV18=1,'Inputs 2'!$C$49,IF(IFERROR(MATCH(IFERROR(LOOKUP(2,1/(('Events 2'!$C$6:$C$17="Employer change")*('Events 2'!$B$6:$B$17&lt;=$B18)*('Events 2'!$B$6:$B$17&lt;&gt;"")),'Events 2'!$B$6:$B$17),""),$B$6:$B$68,1),1)&lt;=1,'Inputs 2'!$C$49,INDEX($AB$6:$AB$68,MATCH(IFERROR(LOOKUP(2,1/(('Events 2'!$C$6:$C$17="Employer change")*('Events 2'!$B$6:$B$17&lt;=$B18)*('Events 2'!$B$6:$B$17&lt;&gt;"")),'Events 2'!$B$6:$B$17),""),$B$6:$B$68,1)-1))))</f>
      </c>
      <c r="AX18" s="7">
        <f>IF($B18="","",IF($AV18=1,'Inputs 2'!$C$49,IFERROR(LOOKUP(2,1/(('Events 2'!$C$6:$C$17="Employer change")*('Events 2'!$B$6:$B$17&lt;=$B18)*('Events 2'!$B$6:$B$17&lt;&gt;"")),'Events 2'!$D$6:$D$17),0)))</f>
      </c>
      <c r="AY18" s="7">
        <f>IF($B18="","",($O18-$D18)*'Inputs 2'!$C$8)</f>
      </c>
      <c r="AZ18" s="7">
        <f>IF($B18="","",IF($AN18="AL",MAX(0,$AY18-IF($AU18="Married",IF($AY18&lt;=25999,8500,MAX(5000,8500-175*CEILING(($AY18-25999)/500,1))),IF($AU18="Head of household",IF($AY18&lt;=25999,5200,MAX(2500,5200-135*CEILING(($AY18-25999)/500,1))),IF($AY18&lt;=25999,3000,MAX(2500,3000-25*CEILING(($AY18-25999)/500,1)))))-($P18-'Methodology &amp; Sources'!$C$10*$D18)*'Inputs 2'!$C$8-IF(OR($AU18="Married",$AU18="Head of household"),3000,1500)-$AT18*IF($AY18&lt;=50000,1000,IF($AY18&lt;=100000,500,300))),IF($AN18="AR",IF(MAX(0,$AY18-2470)&lt;97701,INT(MAX(0,$AY18-2470)/100)*100+50,MAX(0,$AY18-2470)),IF($AN18="DE",MAX(0,$AI18-3250),IF($AN18="HI",MAX(0,$AI18-1144*$AS18-4350),IF($AN18="KS",MAX(0,$AI18-(9160*IF($AU18="Married",2,1)+2320*$AT18+IF($AU18="Head of household",2320,0))),IF($AN18="MD",MAX(0,$AI18-3400-3200*$AS18),IF($AN18="MN",MAX(0,$AY18-5300*$AS18),IF($AN18="MO",MAX(0,$AI18-IF($AU18="Head of household",24150,IF($AU18="Married",IF('Inputs 2'!$C$83,16100,32200),16100))),IF($AN18="MT",$AY18,IF($AN18="ND",($C18+$L18)*'Inputs 2'!$C$8,IF($AN18="NE",MAX(0,$AY18-2440*$AS18),IF($AN18="NJ",MAX(0,$AY18-1000*$AS18),IF($AN18="NY",MAX(0,$AY18-(IF($AU18="Married",7950,7400)+1000*$AS18)),IF($AN18="OH",MAX(0,$AY18-650*$AS18),IF($AN18="OK",MAX(0,$AY18-1000*$AS18),IF($AN18="RI",MAX(0,$AI18-1000*$AS18),IF($AN18="SC",MAX(0,$AI18-5000*$AS18-IF($AS18=0,0,MIN(0.1*$AI18,7500))),IF($AN18="VA",MAX(0,$AI18-IF($AU18="Married",17500,8750)-930*$AS18-800*$AT18),IF($AN18="VT",MAX(0,$AI18-5400*$AS18),IF($AN18="WI",MAX(0,$AI18-MAX(0,IF($AU18="Married",9461-0.2*MAX(0,$AI18-25727),6702-0.12*MAX(0,$AI18-17780)))-400*$AS18),IF($AN18="WV",MAX(0,$AI18-2000*$AS18),$AI18))))))))))))))))))))))</f>
      </c>
      <c r="BA18" s="7">
        <f>IF($B18="","",IF($BW18&lt;&gt;"",$BW18,IF($BX18&lt;&gt;"",$BX18,IF($BY18&lt;&gt;"",$BY18,0))))</f>
      </c>
      <c r="BB18" s="7">
        <f>IF($B18="","",IF($AN18="AR",-29*$AS18,IF($AN18="DE",-110*$AS18,IF($AN18="MD",$AZ18*'Inputs 2'!$C$74,IF($AN18="AZ",'Inputs 2'!$C$82*($M18-$D18)*'Inputs 2'!$C$8,IF($AN18="CO",0.044*MAX(0,$AY18-IF($AU18="Married",10000,5000)),IF($AN18="IA",MAX(0,0.038*MAX(0,$AY18-IF($AU18="Head of household",19500,IF($AU18="Married",26000,13000)))-40*$AS18),IF($AN18="ID",0.053*MAX(0,$AY18-IF($AU18="Married",32000,16094)),IF($AN18="IL",0.0495*MAX(0,$AY18-(2925*$AS18+1000*$AT18)),IF($AN18="IN",(0.0295+'Inputs 2'!$C$76)*MAX(0,$AY18-(1000*$AS18+1500*$AT18+3000*'Inputs 2'!$C$86)),IF($AN18="KY",0.035*MAX(0,$AI18-3360),IF($AN18="LA",IF('Inputs 2'!$C$84="0",0.0309*$AI18,0.0309*MAX(0,$AI18-IF('Inputs 2'!$C$84="2",25750,12875))),IF($AN18="MA",0.05*MIN(MAX(0,$AY18-MIN(($BD17+$Q18+$R18+$S18),2000)-IF($AS18=0,0,IF($AS18=1,4400,1000*$AS18+3400))),1107750)+0.09*MAX(0,MAX(0,$AY18-MIN(($BD17+$Q18+$R18+$S18),2000)-IF($AS18=0,0,IF($AS18=1,4400,1000*$AS18+3400)))-1107750)-IF($AU18="Head of household",120,0)-110*'Inputs 2'!$C$75,IF($AN18="MI",0.0425*MAX(0,$AY18-5900*$AS18),IF($AN18="MS",0.04*MAX(0,$AI18-IF($AU18="Head of household",3400,IF($AU18="Married",4600,2300))-'Inputs 2'!$C$85-10000),IF($AN18="OR",IF(OR($AU18="Married",AND($AU18="Single",$AS18&gt;=3)),SUMPRODUCT((MAX(0,$AY18-MIN(($P18-'Methodology &amp; Sources'!$C$10*$D18)*'Inputs 2'!$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Sources'!$B$211:$J$214,0,4))*(MAX(0,$AY18-MIN(($P18-'Methodology &amp; Sources'!$C$10*$D18)*'Inputs 2'!$C$8,IF(OR($AU18="Married",AND($AU18="Single",$AS18&gt;=3)),IF($AY18&lt;250000,8750,IF($AY18&lt;260000,7000,IF($AY18&lt;270000,5250,IF($AY18&lt;280000,3500,IF($AY18&lt;290000,1750,0))))),IF($AY18&lt;125000,8750,IF($AY18&lt;130000,7000,IF($AY18&lt;135000,5250,IF($AY18&lt;140000,3500,IF($AY18&lt;145000,1750,0)))))))-IF(OR($AU18="Married",AND($AU18="Single",$AS18&gt;=3)),5820,2910))-INDEX('Methodology &amp; Sources'!$B$211:$J$214,0,4))*INDEX('Methodology &amp; Sources'!$B$211:$J$214,0,4+2)),SUMPRODUCT((MAX(0,$AY18-MIN(($P18-'Methodology &amp; Sources'!$C$10*$D18)*'Inputs 2'!$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Sources'!$B$211:$J$214,0,1))*(MAX(0,$AY18-MIN(($P18-'Methodology &amp; Sources'!$C$10*$D18)*'Inputs 2'!$C$8,IF(OR($AU18="Married",AND($AU18="Single",$AS18&gt;=3)),IF($AY18&lt;250000,8750,IF($AY18&lt;260000,7000,IF($AY18&lt;270000,5250,IF($AY18&lt;280000,3500,IF($AY18&lt;290000,1750,0))))),IF($AY18&lt;125000,8750,IF($AY18&lt;130000,7000,IF($AY18&lt;135000,5250,IF($AY18&lt;140000,3500,IF($AY18&lt;145000,1750,0)))))))-IF(OR($AU18="Married",AND($AU18="Single",$AS18&gt;=3)),5820,2910))-INDEX('Methodology &amp; Sources'!$B$211:$J$214,0,1))*INDEX('Methodology &amp; Sources'!$B$211:$J$214,0,1+2)))+263-263*IF(IF($AU18="Married",$AY18&gt;200000,$AY18&gt;100000),0,$AS18),IF($AN18="PA",0.0307*(($O18+$E18+$G18)*'Inputs 2'!$C$8),IF($AN18="NY",IF($AU18="Married",IF($AZ18&gt;=2155350,0,IF($AZ18&gt;=1077550,0.48,IF($AZ18&gt;=373200,1.21,IF($AZ18&gt;=323200,0.21,IF($AZ18&gt;=211550,-0.19,IF($AZ18&gt;=157650,-2.8,IF($AZ18&gt;=107650,-0.8,IF($AZ18&gt;=96800,0.05,IF($AZ18&gt;=80650,-0.1,IF($AZ18&gt;=13900,0.4,IF($AZ18&gt;=11700,-0.3,IF($AZ18&gt;=8500,0.5,0)))))))))))),IF($AZ18&gt;=1077550,0,IF($AZ18&gt;=265400,4.29,IF($AZ18&gt;=215400,2.29,IF($AZ18&gt;=157650,2.29,IF($AZ18&gt;=107650,0.29,IF($AZ18&gt;=96800,0.05,IF($AZ18&gt;=80650,-0.1,IF($AZ18&gt;=13900,0.4,IF($AZ18&gt;=11700,-0.3,IF($AZ18&gt;=8500,0.5,0))))))))))),0))))))))))))))))))</f>
      </c>
      <c r="BC18" s="7">
        <f>IF($B18="","",IF($AN18="AL",0.05*$D18,IF($AN18="AR",0.039*$D18,IF($AN18="ID",0.053*$D18,IF($AN18="IN",(0.0295+'Inputs 2'!$C$76)*$D18,IF($AN18="KS",0.05*$D18,IF($AN18="MA",0.09*MIN($D18,MAX(0,MAX(0,$AY18-MIN(($BD17+$Q18+$R18+$S18),2000)-IF($AS18=0,0,IF($AS18=1,4400,1000*$AS18+3400)))+$D18-1107750))+0.05*($D18-MIN($D18,MAX(0,MAX(0,$AY18-MIN(($BD17+$Q18+$R18+$S18),2000)-IF($AS18=0,0,IF($AS18=1,4400,1000*$AS18+3400)))+$D18-1107750))),IF($AN18="MD",(0.065+'Inputs 2'!$C$74)*$D18,IF($AN18="MI",0.0425*$D18,IF($AN18="MN",0.0625*$D18,IF($AN18="MO",0.047*$D18,IF($AN18="MT",0.05*$D18,IF($AN18="ND",0.015*$D18,IF($AN18="NE",0.035*$D18,IF($AN18="NJ",IF('Inputs 2'!$C$77="B",SUMPRODUCT(($D18*'Inputs 2'!$C$8&gt;INDEX('Methodology &amp; Sources'!$B$155:$J$162,0,4))*($D18*'Inputs 2'!$C$8-INDEX('Methodology &amp; Sources'!$B$155:$J$162,0,4))*INDEX('Methodology &amp; Sources'!$B$155:$J$162,0,4+2)),IF('Inputs 2'!$C$77="C",SUMPRODUCT(($D18*'Inputs 2'!$C$8&gt;INDEX('Methodology &amp; Sources'!$B$155:$J$162,0,7))*($D18*'Inputs 2'!$C$8-INDEX('Methodology &amp; Sources'!$B$155:$J$162,0,7))*INDEX('Methodology &amp; Sources'!$B$155:$J$162,0,7+2)),IF('Inputs 2'!$C$77="D",SUMPRODUCT(($D18*'Inputs 2'!$C$8&gt;INDEX('Methodology &amp; Sources'!$B$167:$J$179,0,1))*($D18*'Inputs 2'!$C$8-INDEX('Methodology &amp; Sources'!$B$167:$J$179,0,1))*INDEX('Methodology &amp; Sources'!$B$167:$J$179,0,1+2)),IF('Inputs 2'!$C$77="E",SUMPRODUCT(($D18*'Inputs 2'!$C$8&gt;INDEX('Methodology &amp; Sources'!$B$167:$J$179,0,4))*($D18*'Inputs 2'!$C$8-INDEX('Methodology &amp; Sources'!$B$167:$J$179,0,4))*INDEX('Methodology &amp; Sources'!$B$167:$J$179,0,4+2)),SUMPRODUCT(($D18*'Inputs 2'!$C$8&gt;INDEX('Methodology &amp; Sources'!$B$155:$J$162,0,1))*($D18*'Inputs 2'!$C$8-INDEX('Methodology &amp; Sources'!$B$155:$J$162,0,1))*INDEX('Methodology &amp; Sources'!$B$155:$J$162,0,1+2))))))/'Inputs 2'!$C$8,IF($AN18="NY",0.117*$D18,IF($AN18="OH",0.0275*$D18,IF($AN18="OK",0.045*$D18,IF($AN18="OR",0.08*$D18,IF($AN18="WI",IF($AY18&lt;12760,0.0354,IF($AY18&lt;25520,0.0465,IF($AY18&lt;280950,0.053,0.0765)))*$D18,0))))))))))))))))))))</f>
      </c>
      <c r="BD18" s="7">
        <f>IF($B18="","",$BD17+$Q18+$R18+$S18)</f>
      </c>
      <c r="BE18" s="6">
        <f>IF($B18="",$BE17,$BE17+$BF18)</f>
      </c>
      <c r="BF18" s="6">
        <f>IF($B18="","",IF(AND(IF(YEAR(IF('Inputs 2'!$C$7="Weekly",'Inputs 2'!$C$9+7*(($BE17+1)-1),IF('Inputs 2'!$C$7="Biweekly",'Inputs 2'!$C$9+14*(($BE17+1)-1),IF('Inputs 2'!$C$7="Semimonthly",DATE(YEAR('Inputs 2'!$C$9),MONTH('Inputs 2'!$C$9)+INT((($BE17+1)-1)/2),MIN(DAY('Inputs 2'!$C$9),DAY(EOMONTH(DATE(YEAR('Inputs 2'!$C$9),MONTH('Inputs 2'!$C$9)+INT((($BE17+1)-1)/2),1),0))))+IF(MOD(($BE17+1)-1,2)=1,15,0),EDATE('Inputs 2'!$C$9,($BE17+1)-1)))))&lt;&gt;'Inputs 2'!$C$10,"",IF('Inputs 2'!$C$7="Weekly",'Inputs 2'!$C$9+7*(($BE17+1)-1),IF('Inputs 2'!$C$7="Biweekly",'Inputs 2'!$C$9+14*(($BE17+1)-1),IF('Inputs 2'!$C$7="Semimonthly",DATE(YEAR('Inputs 2'!$C$9),MONTH('Inputs 2'!$C$9)+INT((($BE17+1)-1)/2),MIN(DAY('Inputs 2'!$C$9),DAY(EOMONTH(DATE(YEAR('Inputs 2'!$C$9),MONTH('Inputs 2'!$C$9)+INT((($BE17+1)-1)/2),1),0))))+IF(MOD(($BE17+1)-1,2)=1,15,0),EDATE('Inputs 2'!$C$9,($BE17+1)-1)))))&lt;&gt;"",$B18=IF(YEAR(IF('Inputs 2'!$C$7="Weekly",'Inputs 2'!$C$9+7*(($BE17+1)-1),IF('Inputs 2'!$C$7="Biweekly",'Inputs 2'!$C$9+14*(($BE17+1)-1),IF('Inputs 2'!$C$7="Semimonthly",DATE(YEAR('Inputs 2'!$C$9),MONTH('Inputs 2'!$C$9)+INT((($BE17+1)-1)/2),MIN(DAY('Inputs 2'!$C$9),DAY(EOMONTH(DATE(YEAR('Inputs 2'!$C$9),MONTH('Inputs 2'!$C$9)+INT((($BE17+1)-1)/2),1),0))))+IF(MOD(($BE17+1)-1,2)=1,15,0),EDATE('Inputs 2'!$C$9,($BE17+1)-1)))))&lt;&gt;'Inputs 2'!$C$10,"",IF('Inputs 2'!$C$7="Weekly",'Inputs 2'!$C$9+7*(($BE17+1)-1),IF('Inputs 2'!$C$7="Biweekly",'Inputs 2'!$C$9+14*(($BE17+1)-1),IF('Inputs 2'!$C$7="Semimonthly",DATE(YEAR('Inputs 2'!$C$9),MONTH('Inputs 2'!$C$9)+INT((($BE17+1)-1)/2),MIN(DAY('Inputs 2'!$C$9),DAY(EOMONTH(DATE(YEAR('Inputs 2'!$C$9),MONTH('Inputs 2'!$C$9)+INT((($BE17+1)-1)/2),1),0))))+IF(MOD(($BE17+1)-1,2)=1,15,0),EDATE('Inputs 2'!$C$9,($BE17+1)-1)))))),1,0))</f>
      </c>
      <c r="BG18" s="7">
        <f>IF($B18="","",$BG17+$H18)</f>
      </c>
      <c r="BH18" s="7">
        <f>IF($B18="","",$BH17+$I18)</f>
      </c>
      <c r="BI18" s="7">
        <f>IF($B18="","",$BI17+$G18)</f>
      </c>
      <c r="BJ18" s="7">
        <f>IF($B18="","",IFERROR(LOOKUP(2,1/(((('Events 2'!$C$6:$C$17="Deduction start"))*('Events 2'!$D$6:$D$17="Health FSA"))*('Events 2'!$B$6:$B$17&lt;=$B18)*('Events 2'!$B$6:$B$17&lt;&gt;"")),'Events 2'!$E$6:$E$17),'Inputs 2'!$D$38))</f>
      </c>
      <c r="BK18" s="7">
        <f>IF($B18="","",IFERROR(LOOKUP(2,1/(((('Events 2'!$C$6:$C$17="Deduction start"))*('Events 2'!$D$6:$D$17="Dependent-care FSA"))*('Events 2'!$B$6:$B$17&lt;=$B18)*('Events 2'!$B$6:$B$17&lt;&gt;"")),'Events 2'!$E$6:$E$17),'Inputs 2'!$D$39))</f>
      </c>
      <c r="BL18" s="7">
        <f>IF($B18="","",IFERROR(LOOKUP(2,1/(((('Events 2'!$C$6:$C$17="Deduction start")+('Events 2'!$C$6:$C$17="Deduction stop"))*('Events 2'!$D$6:$D$17="HSA"))*('Events 2'!$B$6:$B$17&lt;=$B18)*('Events 2'!$B$6:$B$17&lt;&gt;"")),'Events 2'!$I$6:$I$17),'Inputs 2'!$D$35))</f>
      </c>
      <c r="BM18" s="7">
        <f>IF($B18="","",IFERROR(LOOKUP(2,1/(((('Events 2'!$C$6:$C$17="Deduction start")+('Events 2'!$C$6:$C$17="Deduction stop"))*('Events 2'!$D$6:$D$17="Premiums"))*('Events 2'!$B$6:$B$17&lt;=$B18)*('Events 2'!$B$6:$B$17&lt;&gt;"")),'Events 2'!$I$6:$I$17),'Inputs 2'!$D$40+'Inputs 2'!$D$41+'Inputs 2'!$D$42))</f>
      </c>
      <c r="BN18" s="7">
        <f>IF($B18="","",IFERROR(LOOKUP(2,1/(((('Events 2'!$C$6:$C$17="Deduction start")+('Events 2'!$C$6:$C$17="Deduction stop"))*('Events 2'!$D$6:$D$17="Commuter"))*('Events 2'!$B$6:$B$17&lt;=$B18)*('Events 2'!$B$6:$B$17&lt;&gt;"")),'Events 2'!$I$6:$I$17),'Inputs 2'!$D$43))</f>
      </c>
      <c r="BO18" s="7">
        <f>IF($B18="","",IFERROR(LOOKUP(2,1/(((('Events 2'!$C$6:$C$17="Deduction start")+('Events 2'!$C$6:$C$17="Deduction stop"))*('Events 2'!$D$6:$D$17="Other pre-tax"))*('Events 2'!$B$6:$B$17&lt;=$B18)*('Events 2'!$B$6:$B$17&lt;&gt;"")),'Events 2'!$I$6:$I$17),'Inputs 2'!$D$44))</f>
      </c>
      <c r="BP18" s="7">
        <f>IF($B18="","",IFERROR(LOOKUP(2,1/(((('Events 2'!$C$6:$C$17="Deduction start")+('Events 2'!$C$6:$C$17="Deduction stop"))*('Events 2'!$D$6:$D$17="Other post-tax"))*('Events 2'!$B$6:$B$17&lt;=$B18)*('Events 2'!$B$6:$B$17&lt;&gt;"")),'Events 2'!$I$6:$I$17),'Inputs 2'!$D$45))</f>
      </c>
      <c r="BQ18" s="6">
        <f>IF($B18="","",IFERROR(LOOKUP(2,1/(((('Events 2'!$C$6:$C$17="Deduction start")+('Events 2'!$C$6:$C$17="Deduction stop"))*('Events 2'!$D$6:$D$17="Health FSA"))*('Events 2'!$B$6:$B$17&lt;=$B18)*('Events 2'!$B$6:$B$17&lt;&gt;"")),'Events 2'!$J$6:$J$17),0))</f>
      </c>
      <c r="BR18" s="6">
        <f>IF($B18="","",IFERROR(LOOKUP(2,1/(((('Events 2'!$C$6:$C$17="Deduction start")+('Events 2'!$C$6:$C$17="Deduction stop"))*('Events 2'!$D$6:$D$17="Dependent-care FSA"))*('Events 2'!$B$6:$B$17&lt;=$B18)*('Events 2'!$B$6:$B$17&lt;&gt;"")),'Events 2'!$J$6:$J$17),0))</f>
      </c>
      <c r="BS18" s="6">
        <f>IF($B18="","",IF(SUMPRODUCT(('Events 2'!$C$6:$C$17="Deduction start")*('Events 2'!$B$6:$B$17&lt;=$B18)*('Events 2'!$B$6:$B$17&lt;&gt;"")*('Events 2'!$D$6:$D$17="Health FSA"))&gt;0,1,0))</f>
      </c>
      <c r="BT18" s="6">
        <f>IF($B18="","",IF(SUMPRODUCT(('Events 2'!$C$6:$C$17="Deduction start")*('Events 2'!$B$6:$B$17&lt;=$B18)*('Events 2'!$B$6:$B$17&lt;&gt;"")*('Events 2'!$D$6:$D$17="Dependent-care FSA"))&gt;0,1,0))</f>
      </c>
      <c r="BU18" s="24">
        <f>IF($B18="","",IF('Inputs 2'!$C$13,SUMPRODUCT(($AH18&gt;=INDEX('Methodology &amp; Sources'!$B$29:$J$36,0,IF('Inputs 2'!$C$12="MFJ",1,IF('Inputs 2'!$C$12="HoH",7,4))))*INDEX('Methodology &amp; Sources'!$B$29:$J$36,0,IF('Inputs 2'!$C$12="MFJ",1,IF('Inputs 2'!$C$12="HoH",7,4))+2)),SUMPRODUCT(($AH18&gt;=INDEX('Methodology &amp; Sources'!$B$19:$J$26,0,IF('Inputs 2'!$C$12="MFJ",1,IF('Inputs 2'!$C$12="HoH",7,4))))*INDEX('Methodology &amp; Sources'!$B$19:$J$26,0,IF('Inputs 2'!$C$12="MFJ",1,IF('Inputs 2'!$C$12="HoH",7,4))+2))))</f>
      </c>
      <c r="BV18" s="24">
        <f>IF($B18="","",IF($BZ18&lt;&gt;"",$BZ18,IF($CA18&lt;&gt;"",$CA18,IF($CB18&lt;&gt;"",$CB18,IF($CC18&lt;&gt;"",$CC18,0)))))</f>
      </c>
      <c r="BW18" s="7">
        <f>IF($B18="","",IF($AN18="MD",IF(OR($AU18="Married",$AU18="Head of household"),SUMPRODUCT(($AZ18&gt;INDEX('Methodology &amp; Sources'!$B$114:$J$120,0,1))*($AZ18-INDEX('Methodology &amp; Sources'!$B$114:$J$120,0,1))*INDEX('Methodology &amp; Sources'!$B$114:$J$120,0,1+2)),SUMPRODUCT(($AZ18&gt;INDEX('Methodology &amp; Sources'!$B$103:$J$109,0,7))*($AZ18-INDEX('Methodology &amp; Sources'!$B$103:$J$109,0,7))*INDEX('Methodology &amp; Sources'!$B$103:$J$109,0,7+2))),IF($AN18="MO",SUMPRODUCT(($AZ18&gt;INDEX('Methodology &amp; Sources'!$B$125:$J$132,0,1))*($AZ18-INDEX('Methodology &amp; Sources'!$B$125:$J$132,0,1))*INDEX('Methodology &amp; Sources'!$B$125:$J$132,0,1+2)),IF($AN18="MT",IF($AU18="Head of household",SUMPRODUCT(($AZ18&gt;INDEX('Methodology &amp; Sources'!$B$137:$J$139,0,1))*($AZ18-INDEX('Methodology &amp; Sources'!$B$137:$J$139,0,1))*INDEX('Methodology &amp; Sources'!$B$137:$J$139,0,1+2)),IF($AU18="Married",SUMPRODUCT(($AZ18&gt;INDEX('Methodology &amp; Sources'!$B$125:$J$132,0,7))*($AZ18-INDEX('Methodology &amp; Sources'!$B$125:$J$132,0,7))*INDEX('Methodology &amp; Sources'!$B$125:$J$132,0,7+2)),SUMPRODUCT(($AZ18&gt;INDEX('Methodology &amp; Sources'!$B$125:$J$132,0,4))*($AZ18-INDEX('Methodology &amp; Sources'!$B$125:$J$132,0,4))*INDEX('Methodology &amp; Sources'!$B$125:$J$132,0,4+2)))),IF($AN18="ND",IF($AU18="Head of household",SUMPRODUCT(($AZ18&gt;INDEX('Methodology &amp; Sources'!$B$144:$J$150,0,1))*($AZ18-INDEX('Methodology &amp; Sources'!$B$144:$J$150,0,1))*INDEX('Methodology &amp; Sources'!$B$144:$J$150,0,1+2)),IF($AU18="Married",SUMPRODUCT(($AZ18&gt;INDEX('Methodology &amp; Sources'!$B$137:$J$139,0,7))*($AZ18-INDEX('Methodology &amp; Sources'!$B$137:$J$139,0,7))*INDEX('Methodology &amp; Sources'!$B$137:$J$139,0,7+2)),SUMPRODUCT(($AZ18&gt;INDEX('Methodology &amp; Sources'!$B$137:$J$139,0,4))*($AZ18-INDEX('Methodology &amp; Sources'!$B$137:$J$139,0,4))*INDEX('Methodology &amp; Sources'!$B$137:$J$139,0,4+2)))),IF($AN18="NJ",IF('Inputs 2'!$C$77="B",SUMPRODUCT(($AZ18&gt;INDEX('Methodology &amp; Sources'!$B$155:$J$162,0,4))*($AZ18-INDEX('Methodology &amp; Sources'!$B$155:$J$162,0,4))*INDEX('Methodology &amp; Sources'!$B$155:$J$162,0,4+2)),IF('Inputs 2'!$C$77="C",SUMPRODUCT(($AZ18&gt;INDEX('Methodology &amp; Sources'!$B$155:$J$162,0,7))*($AZ18-INDEX('Methodology &amp; Sources'!$B$155:$J$162,0,7))*INDEX('Methodology &amp; Sources'!$B$155:$J$162,0,7+2)),IF('Inputs 2'!$C$77="D",SUMPRODUCT(($AZ18&gt;INDEX('Methodology &amp; Sources'!$B$167:$J$179,0,1))*($AZ18-INDEX('Methodology &amp; Sources'!$B$167:$J$179,0,1))*INDEX('Methodology &amp; Sources'!$B$167:$J$179,0,1+2)),IF('Inputs 2'!$C$77="E",SUMPRODUCT(($AZ18&gt;INDEX('Methodology &amp; Sources'!$B$167:$J$179,0,4))*($AZ18-INDEX('Methodology &amp; Sources'!$B$167:$J$179,0,4))*INDEX('Methodology &amp; Sources'!$B$167:$J$179,0,4+2)),SUMPRODUCT(($AZ18&gt;INDEX('Methodology &amp; Sources'!$B$155:$J$162,0,1))*($AZ18-INDEX('Methodology &amp; Sources'!$B$155:$J$162,0,1))*INDEX('Methodology &amp; Sources'!$B$155:$J$162,0,1+2)))))),IF($AN18="NY",IF($AU18="Married",IF($AZ18&gt;=2155350,$AZ18*IF($AZ18&gt;25000000,0.117,IF($AZ18&gt;5000000,0.111,0.1045)),SUMPRODUCT(($AZ18&gt;INDEX('Methodology &amp; Sources'!$B$184:$J$198,0,1))*($AZ18-INDEX('Methodology &amp; Sources'!$B$184:$J$198,0,1))*INDEX('Methodology &amp; Sources'!$B$184:$J$198,0,1+2))),IF($AZ18&gt;=1077550,$AZ18*IF($AZ18&gt;25000000,0.117,IF($AZ18&gt;5000000,0.111,0.1045)),SUMPRODUCT(($AZ18&gt;INDEX('Methodology &amp; Sources'!$B$167:$J$179,0,7))*($AZ18-INDEX('Methodology &amp; Sources'!$B$167:$J$179,0,7))*INDEX('Methodology &amp; Sources'!$B$167:$J$179,0,7+2)))),"")))))))</f>
      </c>
      <c r="BX18" s="7">
        <f>IF($B18="","",IF($AN18="AL",IF(OR($AU18="Married",$AU18="Head of household"),SUMPRODUCT(($AZ18&gt;INDEX('Methodology &amp; Sources'!$B$82:$J$86,0,4))*($AZ18-INDEX('Methodology &amp; Sources'!$B$82:$J$86,0,4))*INDEX('Methodology &amp; Sources'!$B$82:$J$86,0,4+2)),SUMPRODUCT(($AZ18&gt;INDEX('Methodology &amp; Sources'!$B$82:$J$86,0,1))*($AZ18-INDEX('Methodology &amp; Sources'!$B$82:$J$86,0,1))*INDEX('Methodology &amp; Sources'!$B$82:$J$86,0,1+2))),IF($AN18="KS",IF($AU18="Married",SUMPRODUCT(($AZ18&gt;INDEX('Methodology &amp; Sources'!$B$103:$J$109,0,4))*($AZ18-INDEX('Methodology &amp; Sources'!$B$103:$J$109,0,4))*INDEX('Methodology &amp; Sources'!$B$103:$J$109,0,4+2)),SUMPRODUCT(($AZ18&gt;INDEX('Methodology &amp; Sources'!$B$103:$J$109,0,1))*($AZ18-INDEX('Methodology &amp; Sources'!$B$103:$J$109,0,1))*INDEX('Methodology &amp; Sources'!$B$103:$J$109,0,1+2))),IF($AN18="MN",IF($AU18="Married",SUMPRODUCT(($AZ18&gt;INDEX('Methodology &amp; Sources'!$B$114:$J$120,0,7))*($AZ18-INDEX('Methodology &amp; Sources'!$B$114:$J$120,0,7))*INDEX('Methodology &amp; Sources'!$B$114:$J$120,0,7+2)),SUMPRODUCT(($AZ18&gt;INDEX('Methodology &amp; Sources'!$B$114:$J$120,0,4))*($AZ18-INDEX('Methodology &amp; Sources'!$B$114:$J$120,0,4))*INDEX('Methodology &amp; Sources'!$B$114:$J$120,0,4+2))),IF($AN18="NE",MAX(IF($AU18="Married",SUMPRODUCT(($AZ18&gt;INDEX('Methodology &amp; Sources'!$B$144:$J$150,0,7))*($AZ18-INDEX('Methodology &amp; Sources'!$B$144:$J$150,0,7))*INDEX('Methodology &amp; Sources'!$B$144:$J$150,0,7+2)),SUMPRODUCT(($AZ18&gt;INDEX('Methodology &amp; Sources'!$B$144:$J$150,0,4))*($AZ18-INDEX('Methodology &amp; Sources'!$B$144:$J$150,0,4))*INDEX('Methodology &amp; Sources'!$B$144:$J$150,0,4+2))),0.015*$AZ18),IF($AN18="OH",IF($B18&gt;=DATE(2027,8,1),SUMPRODUCT(($AZ18&gt;INDEX('Methodology &amp; Sources'!$B$203:$J$206,0,1))*($AZ18-INDEX('Methodology &amp; Sources'!$B$203:$J$206,0,1))*INDEX('Methodology &amp; Sources'!$B$203:$J$206,0,1+2)),SUMPRODUCT(($AZ18&gt;INDEX('Methodology &amp; Sources'!$B$184:$J$198,0,7))*($AZ18-INDEX('Methodology &amp; Sources'!$B$184:$J$198,0,7))*INDEX('Methodology &amp; Sources'!$B$184:$J$198,0,7+2))),IF($AN18="OK",IF($AU18="Married",SUMPRODUCT(($AZ18&gt;INDEX('Methodology &amp; Sources'!$B$203:$J$206,0,7))*($AZ18-INDEX('Methodology &amp; Sources'!$B$203:$J$206,0,7))*INDEX('Methodology &amp; Sources'!$B$203:$J$206,0,7+2)),SUMPRODUCT(($AZ18&gt;INDEX('Methodology &amp; Sources'!$B$203:$J$206,0,4))*($AZ18-INDEX('Methodology &amp; Sources'!$B$203:$J$206,0,4))*INDEX('Methodology &amp; Sources'!$B$203:$J$206,0,4+2))),IF($AN18="RI",SUMPRODUCT(($AZ18&gt;INDEX('Methodology &amp; Sources'!$B$211:$J$214,0,7))*($AZ18-INDEX('Methodology &amp; Sources'!$B$211:$J$214,0,7))*INDEX('Methodology &amp; Sources'!$B$211:$J$214,0,7+2)),IF($AN18="VT",IF($AU18="Married",SUMPRODUCT(($AZ18&gt;INDEX('Methodology &amp; Sources'!$B$228:$J$232,0,1))*($AZ18-INDEX('Methodology &amp; Sources'!$B$228:$J$232,0,1))*INDEX('Methodology &amp; Sources'!$B$228:$J$232,0,1+2)),SUMPRODUCT(($AZ18&gt;INDEX('Methodology &amp; Sources'!$B$219:$J$223,0,7))*($AZ18-INDEX('Methodology &amp; Sources'!$B$219:$J$223,0,7))*INDEX('Methodology &amp; Sources'!$B$219:$J$223,0,7+2))),IF($AN18="WV",IF($AU18="Married",SUMPRODUCT(($AZ18&gt;INDEX('Methodology &amp; Sources'!$B$237:$J$241,0,7))*($AZ18-INDEX('Methodology &amp; Sources'!$B$237:$J$241,0,7))*INDEX('Methodology &amp; Sources'!$B$237:$J$241,0,7+2)),SUMPRODUCT(($AZ18&gt;INDEX('Methodology &amp; Sources'!$B$228:$J$232,0,7))*($AZ18-INDEX('Methodology &amp; Sources'!$B$228:$J$232,0,7))*INDEX('Methodology &amp; Sources'!$B$228:$J$232,0,7+2))),""))))))))))</f>
      </c>
      <c r="BY18" s="7">
        <f>IF($B18="","",IF($AN18="AR",SUMPRODUCT(($AZ18&gt;INDEX('Methodology &amp; Sources'!$B$82:$J$86,0,7))*($AZ18-INDEX('Methodology &amp; Sources'!$B$82:$J$86,0,7))*INDEX('Methodology &amp; Sources'!$B$82:$J$86,0,7+2)),IF($AN18="DE",SUMPRODUCT(($AZ18&gt;INDEX('Methodology &amp; Sources'!$B$91:$J$98,0,1))*($AZ18-INDEX('Methodology &amp; Sources'!$B$91:$J$98,0,1))*INDEX('Methodology &amp; Sources'!$B$91:$J$98,0,1+2)),IF($AN18="HI",IF($AU18="Married",SUMPRODUCT(($AZ18&gt;INDEX('Methodology &amp; Sources'!$B$91:$J$98,0,7))*($AZ18-INDEX('Methodology &amp; Sources'!$B$91:$J$98,0,7))*INDEX('Methodology &amp; Sources'!$B$91:$J$98,0,7+2)),SUMPRODUCT(($AZ18&gt;INDEX('Methodology &amp; Sources'!$B$91:$J$98,0,4))*($AZ18-INDEX('Methodology &amp; Sources'!$B$91:$J$98,0,4))*INDEX('Methodology &amp; Sources'!$B$91:$J$98,0,4+2))),IF($AN18="SC",SUMPRODUCT(($AZ18&gt;INDEX('Methodology &amp; Sources'!$B$219:$J$223,0,1))*($AZ18-INDEX('Methodology &amp; Sources'!$B$219:$J$223,0,1))*INDEX('Methodology &amp; Sources'!$B$219:$J$223,0,1+2)),IF($AN18="VA",SUMPRODUCT(($AZ18&gt;INDEX('Methodology &amp; Sources'!$B$219:$J$223,0,4))*($AZ18-INDEX('Methodology &amp; Sources'!$B$219:$J$223,0,4))*INDEX('Methodology &amp; Sources'!$B$219:$J$223,0,4+2)),IF($AN18="WI",SUMPRODUCT(($AZ18&gt;INDEX('Methodology &amp; Sources'!$B$228:$J$232,0,4))*($AZ18-INDEX('Methodology &amp; Sources'!$B$228:$J$232,0,4))*INDEX('Methodology &amp; Sources'!$B$228:$J$232,0,4+2)),"")))))))</f>
      </c>
      <c r="BZ18" s="24">
        <f>IF($B18="","",IF($AN18="NJ",IF('Inputs 2'!$C$77="B",SUMPRODUCT(($AZ18&gt;=INDEX('Methodology &amp; Sources'!$B$155:$J$162,0,4))*INDEX('Methodology &amp; Sources'!$B$155:$J$162,0,4+2)),IF('Inputs 2'!$C$77="C",SUMPRODUCT(($AZ18&gt;=INDEX('Methodology &amp; Sources'!$B$155:$J$162,0,7))*INDEX('Methodology &amp; Sources'!$B$155:$J$162,0,7+2)),IF('Inputs 2'!$C$77="D",SUMPRODUCT(($AZ18&gt;=INDEX('Methodology &amp; Sources'!$B$167:$J$179,0,1))*INDEX('Methodology &amp; Sources'!$B$167:$J$179,0,1+2)),IF('Inputs 2'!$C$77="E",SUMPRODUCT(($AZ18&gt;=INDEX('Methodology &amp; Sources'!$B$167:$J$179,0,4))*INDEX('Methodology &amp; Sources'!$B$167:$J$179,0,4+2)),SUMPRODUCT(($AZ18&gt;=INDEX('Methodology &amp; Sources'!$B$155:$J$162,0,1))*INDEX('Methodology &amp; Sources'!$B$155:$J$162,0,1+2)))))),IF($AN18="OR",IF(OR($AU18="Married",AND($AU18="Single",$AS18&gt;=3)),SUMPRODUCT((MAX(0,$AY18-MIN(($P18-'Methodology &amp; Sources'!$C$10*$D18)*'Inputs 2'!$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Sources'!$B$211:$J$214,0,4))*INDEX('Methodology &amp; Sources'!$B$211:$J$214,0,4+2)),SUMPRODUCT((MAX(0,$AY18-MIN(($P18-'Methodology &amp; Sources'!$C$10*$D18)*'Inputs 2'!$C$8,IF(OR($AU18="Married",AND($AU18="Single",$AS18&gt;=3)),IF($AY18&lt;250000,8750,IF($AY18&lt;260000,7000,IF($AY18&lt;270000,5250,IF($AY18&lt;280000,3500,IF($AY18&lt;290000,1750,0))))),IF($AY18&lt;125000,8750,IF($AY18&lt;130000,7000,IF($AY18&lt;135000,5250,IF($AY18&lt;140000,3500,IF($AY18&lt;145000,1750,0)))))))-IF(OR($AU18="Married",AND($AU18="Single",$AS18&gt;=3)),5820,2910))&gt;=INDEX('Methodology &amp; Sources'!$B$211:$J$214,0,1))*INDEX('Methodology &amp; Sources'!$B$211:$J$214,0,1+2)))*IF(($P18-'Methodology &amp; Sources'!$C$10*$D18)*'Inputs 2'!$C$8&gt;=IF(OR($AU18="Married",AND($AU18="Single",$AS18&gt;=3)),IF($AY18&lt;250000,8750,IF($AY18&lt;260000,7000,IF($AY18&lt;270000,5250,IF($AY18&lt;280000,3500,IF($AY18&lt;290000,1750,0))))),IF($AY18&lt;125000,8750,IF($AY18&lt;130000,7000,IF($AY18&lt;135000,5250,IF($AY18&lt;140000,3500,IF($AY18&lt;145000,1750,0)))))),1,1-IF('Inputs 2'!$C$13,SUMPRODUCT(($AH18&gt;=INDEX('Methodology &amp; Sources'!$B$29:$J$36,0,IF('Inputs 2'!$C$12="MFJ",1,IF('Inputs 2'!$C$12="HoH",7,4))))*INDEX('Methodology &amp; Sources'!$B$29:$J$36,0,IF('Inputs 2'!$C$12="MFJ",1,IF('Inputs 2'!$C$12="HoH",7,4))+2)),SUMPRODUCT(($AH18&gt;=INDEX('Methodology &amp; Sources'!$B$19:$J$26,0,IF('Inputs 2'!$C$12="MFJ",1,IF('Inputs 2'!$C$12="HoH",7,4))))*INDEX('Methodology &amp; Sources'!$B$19:$J$26,0,IF('Inputs 2'!$C$12="MFJ",1,IF('Inputs 2'!$C$12="HoH",7,4))+2)))),IF($AN18="MI",IF($AY18&gt;5900*$AS18,0.0425,0),""))))</f>
      </c>
      <c r="CA18" s="24">
        <f>IF($B18="","",IF($AN18="AL",IF(OR($AU18="Married",$AU18="Head of household"),SUMPRODUCT(($AZ18&gt;=INDEX('Methodology &amp; Sources'!$B$82:$J$86,0,4))*INDEX('Methodology &amp; Sources'!$B$82:$J$86,0,4+2)),SUMPRODUCT(($AZ18&gt;=INDEX('Methodology &amp; Sources'!$B$82:$J$86,0,1))*INDEX('Methodology &amp; Sources'!$B$82:$J$86,0,1+2)))*(1-IF('Inputs 2'!$C$13,SUMPRODUCT(($AH18&gt;=INDEX('Methodology &amp; Sources'!$B$29:$J$36,0,IF('Inputs 2'!$C$12="MFJ",1,IF('Inputs 2'!$C$12="HoH",7,4))))*INDEX('Methodology &amp; Sources'!$B$29:$J$36,0,IF('Inputs 2'!$C$12="MFJ",1,IF('Inputs 2'!$C$12="HoH",7,4))+2)),SUMPRODUCT(($AH18&gt;=INDEX('Methodology &amp; Sources'!$B$19:$J$26,0,IF('Inputs 2'!$C$12="MFJ",1,IF('Inputs 2'!$C$12="HoH",7,4))))*INDEX('Methodology &amp; Sources'!$B$19:$J$26,0,IF('Inputs 2'!$C$12="MFJ",1,IF('Inputs 2'!$C$12="HoH",7,4))+2)))),IF($AN18="KS",IF($AU18="Married",SUMPRODUCT(($AZ18&gt;=INDEX('Methodology &amp; Sources'!$B$103:$J$109,0,4))*INDEX('Methodology &amp; Sources'!$B$103:$J$109,0,4+2)),SUMPRODUCT(($AZ18&gt;=INDEX('Methodology &amp; Sources'!$B$103:$J$109,0,1))*INDEX('Methodology &amp; Sources'!$B$103:$J$109,0,1+2))),IF($AN18="MD",IF(OR($AU18="Married",$AU18="Head of household"),SUMPRODUCT(($AZ18&gt;=INDEX('Methodology &amp; Sources'!$B$114:$J$120,0,1))*INDEX('Methodology &amp; Sources'!$B$114:$J$120,0,1+2)),SUMPRODUCT(($AZ18&gt;=INDEX('Methodology &amp; Sources'!$B$103:$J$109,0,7))*INDEX('Methodology &amp; Sources'!$B$103:$J$109,0,7+2)))+'Inputs 2'!$C$74,IF($AN18="MT",IF($AU18="Head of household",SUMPRODUCT(($AZ18&gt;=INDEX('Methodology &amp; Sources'!$B$137:$J$139,0,1))*INDEX('Methodology &amp; Sources'!$B$137:$J$139,0,1+2)),IF($AU18="Married",SUMPRODUCT(($AZ18&gt;=INDEX('Methodology &amp; Sources'!$B$125:$J$132,0,7))*INDEX('Methodology &amp; Sources'!$B$125:$J$132,0,7+2)),SUMPRODUCT(($AZ18&gt;=INDEX('Methodology &amp; Sources'!$B$125:$J$132,0,4))*INDEX('Methodology &amp; Sources'!$B$125:$J$132,0,4+2)))),IF($AN18="ND",IF($AU18="Head of household",SUMPRODUCT(($AZ18&gt;=INDEX('Methodology &amp; Sources'!$B$144:$J$150,0,1))*INDEX('Methodology &amp; Sources'!$B$144:$J$150,0,1+2)),IF($AU18="Married",SUMPRODUCT(($AZ18&gt;=INDEX('Methodology &amp; Sources'!$B$137:$J$139,0,7))*INDEX('Methodology &amp; Sources'!$B$137:$J$139,0,7+2)),SUMPRODUCT(($AZ18&gt;=INDEX('Methodology &amp; Sources'!$B$137:$J$139,0,4))*INDEX('Methodology &amp; Sources'!$B$137:$J$139,0,4+2)))),IF($AN18="NY",IF($AU18="Married",IF($AZ18&gt;=2155350,IF($AZ18&gt;25000000,0.117,IF($AZ18&gt;5000000,0.111,0.1045)),SUMPRODUCT(($AZ18&gt;=INDEX('Methodology &amp; Sources'!$B$184:$J$198,0,1))*INDEX('Methodology &amp; Sources'!$B$184:$J$198,0,1+2))),IF($AZ18&gt;=1077550,IF($AZ18&gt;25000000,0.117,IF($AZ18&gt;5000000,0.111,0.1045)),SUMPRODUCT(($AZ18&gt;=INDEX('Methodology &amp; Sources'!$B$167:$J$179,0,7))*INDEX('Methodology &amp; Sources'!$B$167:$J$179,0,7+2)))),"")))))))</f>
      </c>
      <c r="CB18" s="24">
        <f>IF($B18="","",IF($AN18="CA",SUMPRODUCT(($AJ18&gt;=INDEX('Methodology &amp; Sources'!$B$39:$J$48,0,IF($AU18="Married",4,IF($AU18="Head of household",7,1))))*INDEX('Methodology &amp; Sources'!$B$39:$J$48,0,IF($AU18="Married",4,IF($AU18="Head of household",7,1))+2)),IF($AN18="HI",IF($AU18="Married",SUMPRODUCT(($AZ18&gt;=INDEX('Methodology &amp; Sources'!$B$91:$J$98,0,7))*INDEX('Methodology &amp; Sources'!$B$91:$J$98,0,7+2)),SUMPRODUCT(($AZ18&gt;=INDEX('Methodology &amp; Sources'!$B$91:$J$98,0,4))*INDEX('Methodology &amp; Sources'!$B$91:$J$98,0,4+2))),IF($AN18="MN",IF($AU18="Married",SUMPRODUCT(($AZ18&gt;=INDEX('Methodology &amp; Sources'!$B$114:$J$120,0,7))*INDEX('Methodology &amp; Sources'!$B$114:$J$120,0,7+2)),SUMPRODUCT(($AZ18&gt;=INDEX('Methodology &amp; Sources'!$B$114:$J$120,0,4))*INDEX('Methodology &amp; Sources'!$B$114:$J$120,0,4+2))),IF($AN18="MO",SUMPRODUCT(($AZ18&gt;=INDEX('Methodology &amp; Sources'!$B$125:$J$132,0,1))*INDEX('Methodology &amp; Sources'!$B$125:$J$132,0,1+2)),IF($AN18="NE",MAX(IF($AU18="Married",SUMPRODUCT(($AZ18&gt;=INDEX('Methodology &amp; Sources'!$B$144:$J$150,0,7))*INDEX('Methodology &amp; Sources'!$B$144:$J$150,0,7+2)),SUMPRODUCT(($AZ18&gt;=INDEX('Methodology &amp; Sources'!$B$144:$J$150,0,4))*INDEX('Methodology &amp; Sources'!$B$144:$J$150,0,4+2))),0.015),IF($AN18="OH",IF($B18&gt;=DATE(2027,8,1),SUMPRODUCT(($AZ18&gt;=INDEX('Methodology &amp; Sources'!$B$203:$J$206,0,1))*INDEX('Methodology &amp; Sources'!$B$203:$J$206,0,1+2)),SUMPRODUCT(($AZ18&gt;=INDEX('Methodology &amp; Sources'!$B$184:$J$198,0,7))*INDEX('Methodology &amp; Sources'!$B$184:$J$198,0,7+2))),IF($AN18="OK",IF($AU18="Married",SUMPRODUCT(($AZ18&gt;=INDEX('Methodology &amp; Sources'!$B$203:$J$206,0,7))*INDEX('Methodology &amp; Sources'!$B$203:$J$206,0,7+2)),SUMPRODUCT(($AZ18&gt;=INDEX('Methodology &amp; Sources'!$B$203:$J$206,0,4))*INDEX('Methodology &amp; Sources'!$B$203:$J$206,0,4+2))),IF($AN18="RI",SUMPRODUCT(($AZ18&gt;=INDEX('Methodology &amp; Sources'!$B$211:$J$214,0,7))*INDEX('Methodology &amp; Sources'!$B$211:$J$214,0,7+2)),IF($AN18="SC",SUMPRODUCT(($AZ18&gt;=INDEX('Methodology &amp; Sources'!$B$219:$J$223,0,1))*INDEX('Methodology &amp; Sources'!$B$219:$J$223,0,1+2)),IF($AN18="VT",IF($AU18="Married",SUMPRODUCT(($AZ18&gt;=INDEX('Methodology &amp; Sources'!$B$228:$J$232,0,1))*INDEX('Methodology &amp; Sources'!$B$228:$J$232,0,1+2)),SUMPRODUCT(($AZ18&gt;=INDEX('Methodology &amp; Sources'!$B$219:$J$223,0,7))*INDEX('Methodology &amp; Sources'!$B$219:$J$223,0,7+2))),IF($AN18="WV",IF($AU18="Married",SUMPRODUCT(($AZ18&gt;=INDEX('Methodology &amp; Sources'!$B$237:$J$241,0,7))*INDEX('Methodology &amp; Sources'!$B$237:$J$241,0,7+2)),SUMPRODUCT(($AZ18&gt;=INDEX('Methodology &amp; Sources'!$B$228:$J$232,0,7))*INDEX('Methodology &amp; Sources'!$B$228:$J$232,0,7+2))),IF($AN18="IN",(0.0295+'Inputs 2'!$C$76),"")))))))))))))</f>
      </c>
      <c r="CC18" s="24">
        <f>IF($B18="","",IF($AN18="AR",SUMPRODUCT(($AZ18&gt;=INDEX('Methodology &amp; Sources'!$B$82:$J$86,0,7))*INDEX('Methodology &amp; Sources'!$B$82:$J$86,0,7+2)),IF($AN18="DE",SUMPRODUCT(($AZ18&gt;=INDEX('Methodology &amp; Sources'!$B$91:$J$98,0,1))*INDEX('Methodology &amp; Sources'!$B$91:$J$98,0,1+2)),IF($AN18="VA",SUMPRODUCT(($AZ18&gt;=INDEX('Methodology &amp; Sources'!$B$219:$J$223,0,4))*INDEX('Methodology &amp; Sources'!$B$219:$J$223,0,4+2)),IF($AN18="WI",SUMPRODUCT(($AZ18&gt;=INDEX('Methodology &amp; Sources'!$B$228:$J$232,0,4))*INDEX('Methodology &amp; Sources'!$B$228:$J$232,0,4+2)),IF($AN18="AZ",'Inputs 2'!$C$82,IF($AN18="CO",IF($AY18&gt;IF($AU18="Married",10000,5000),0.044,0),IF($AN18="IA",IF($AY18&gt;IF($AU18="Head of household",19500,IF($AU18="Married",26000,13000)),0.038,0),IF($AN18="ID",IF($AY18&gt;IF($AU18="Married",32000,16094),0.053,0),IF($AN18="IL",IF($AY18&gt;(2925*$AS18+1000*$AT18),0.0495,0),IF($AN18="KY",IF($AI18&gt;3360,0.035,0),IF($AN18="LA",0.0309,IF($AN18="MA",IF(MAX(0,$AY18-MIN(($BD17+$Q18+$R18+$S18),2000)-IF($AS18=0,0,IF($AS18=1,4400,1000*$AS18+3400)))&gt;=1107750,0.09,0.05),IF($AN18="MS",IF($AI18-IF($AU18="Head of household",3400,IF($AU18="Married",4600,2300))-'Inputs 2'!$C$85&gt;10000,0.04,0),IF($AN18="PA",0.0307,"")))))))))))))))</f>
      </c>
      <c r="CD18" s="21">
        <f>IF(YEAR(IF('Inputs 2'!$C$7="Weekly",'Inputs 2'!$C$9+7*(($BE17+1)-1),IF('Inputs 2'!$C$7="Biweekly",'Inputs 2'!$C$9+14*(($BE17+1)-1),IF('Inputs 2'!$C$7="Semimonthly",DATE(YEAR('Inputs 2'!$C$9),MONTH('Inputs 2'!$C$9)+INT((($BE17+1)-1)/2),MIN(DAY('Inputs 2'!$C$9),DAY(EOMONTH(DATE(YEAR('Inputs 2'!$C$9),MONTH('Inputs 2'!$C$9)+INT((($BE17+1)-1)/2),1),0))))+IF(MOD(($BE17+1)-1,2)=1,15,0),EDATE('Inputs 2'!$C$9,($BE17+1)-1)))))&lt;&gt;'Inputs 2'!$C$10,"",IF('Inputs 2'!$C$7="Weekly",'Inputs 2'!$C$9+7*(($BE17+1)-1),IF('Inputs 2'!$C$7="Biweekly",'Inputs 2'!$C$9+14*(($BE17+1)-1),IF('Inputs 2'!$C$7="Semimonthly",DATE(YEAR('Inputs 2'!$C$9),MONTH('Inputs 2'!$C$9)+INT((($BE17+1)-1)/2),MIN(DAY('Inputs 2'!$C$9),DAY(EOMONTH(DATE(YEAR('Inputs 2'!$C$9),MONTH('Inputs 2'!$C$9)+INT((($BE17+1)-1)/2),1),0))))+IF(MOD(($BE17+1)-1,2)=1,15,0),EDATE('Inputs 2'!$C$9,($BE17+1)-1)))))</f>
      </c>
      <c r="CE18" s="21">
        <f>IF(SUMPRODUCT(MIN(IF(('Inputs 2'!$C$58:$C$67&gt;MAX($B$6:$B17))*('Inputs 2'!$C$58:$C$67&gt;=DATE('Inputs 2'!$C$10,1,1))*('Inputs 2'!$C$58:$C$67&lt;=DATE('Inputs 2'!$C$10,12,31)),'Inputs 2'!$C$58:$C$67,999999)))=999999,"",SUMPRODUCT(MIN(IF(('Inputs 2'!$C$58:$C$67&gt;MAX($B$6:$B17))*('Inputs 2'!$C$58:$C$67&gt;=DATE('Inputs 2'!$C$10,1,1))*('Inputs 2'!$C$58:$C$67&lt;=DATE('Inputs 2'!$C$10,12,31)),'Inputs 2'!$C$58:$C$67,999999))))</f>
      </c>
    </row>
    <row r="19">
      <c r="A19" t="n">
        <v>14</v>
      </c>
      <c r="B19" s="21">
        <f>IF(AND($CD19="",$CE19=""),"",IF($CE19="",$CD19,IF($CD19="",$CE19,MIN($CD19,$CE19))))</f>
      </c>
      <c r="C19" s="7">
        <f>IF($B19="","",IF($BF19=0,0,IF('Inputs 2'!$C$4="Annual salary",ROUND($AK19/IF(AND('Inputs 2'!$C$88="Actual paydays",MONTH('Inputs 2'!$C$9)=1),MAX(1,MAX($BE$6:$BE$68)),'Inputs 2'!$C$8),2),$AK19)))</f>
      </c>
      <c r="D19" s="7">
        <f>IF($B19="","",SUMIF('Inputs 2'!$C$58:$C$67,$B19,'Inputs 2'!$D$58:$D$67))</f>
      </c>
      <c r="E19" s="7">
        <f>IF($B19="","",ROUND(MAX(0,MIN(IF($AL19="Percent",$AM19*($C19+$D19),$AM19),MAX(0,'Inputs 2'!$C$34-$AC18))),2))</f>
      </c>
      <c r="F19" s="7">
        <f>IF($B19="","",ROUND(MAX(0,MIN(IF('Inputs 2'!$C$32="Percent",'Inputs 2'!$D$32*($C19+$D19),'Inputs 2'!$D$32),MAX(0,'Inputs 2'!$C$34-$AC18-$E19))),2))</f>
      </c>
      <c r="G19" s="7">
        <f>IF($B19="","",IF($BF19=0,0,ROUND(MAX(0,MIN($BL19,'Inputs 2'!$C$37-'Inputs 2'!$C$54-$BI18)),2)))</f>
      </c>
      <c r="H19" s="7">
        <f>IF($B19="","",IF(OR($BF19=0,$BQ19=1),0,ROUND(MAX(0,MIN(IF($BS19=1,ROUND(MAX(0,MIN($BJ19,'Methodology &amp; Sources'!$C$13)-$BG18)/MAX(1,MAX($BE$6:$BE$68)-($BE18)),2),ROUND(MIN($BJ19,'Methodology &amp; Sources'!$C$13)/'Inputs 2'!$C$8,2)),MIN($BJ19,'Methodology &amp; Sources'!$C$13)-$BG18)),2)))</f>
      </c>
      <c r="I19" s="7">
        <f>IF($B19="","",IF(OR($BF19=0,$BR19=1),0,ROUND(MAX(0,MIN(IF($BT19=1,ROUND(MAX(0,MIN($BK19,IF('Inputs 2'!$C$12="MFJ",'Methodology &amp; Sources'!$C$14,'Methodology &amp; Sources'!$C$15))-$BH18)/MAX(1,MAX($BE$6:$BE$68)-($BE18)),2),ROUND(MIN($BK19,IF('Inputs 2'!$C$12="MFJ",'Methodology &amp; Sources'!$C$14,'Methodology &amp; Sources'!$C$15))/'Inputs 2'!$C$8,2)),MIN($BK19,IF('Inputs 2'!$C$12="MFJ",'Methodology &amp; Sources'!$C$14,'Methodology &amp; Sources'!$C$15))-$BH18)),2)))</f>
      </c>
      <c r="J19" s="7">
        <f>IF($B19="","",IF($BF19=0,0,$BM19))</f>
      </c>
      <c r="K19" s="7">
        <f>IF($B19="","",IF($BF19=0,0,$BN19+$BO19))</f>
      </c>
      <c r="L19" s="7">
        <f>IF($B19="","",IF($BF19=0,0,'Inputs 2'!$D$46))</f>
      </c>
      <c r="M19" s="7">
        <f>IF($B19="","",$C19+$D19+$L19-$E19-$G19-$H19-$I19-$J19-$K19)</f>
      </c>
      <c r="N19" s="7">
        <f>IF($B19="","",$C19+$D19+$L19-$G19-$H19-$I19-$J19-$K19)</f>
      </c>
      <c r="O19" s="7">
        <f>IF($B19="","",$C19+$D19+$L19-$E19-$H19-$I19-$J19-$K19-IF(OR($AN19="CA",$AN19="NJ"),0,$G19))</f>
      </c>
      <c r="P19" s="7">
        <f>IF($B19="","",IF('Inputs 2'!$C$18,0,ROUND(MAX(0,IF('Inputs 2'!$C$13,SUMPRODUCT(($AH19&gt;INDEX('Methodology &amp; Sources'!$B$29:$J$36,0,IF('Inputs 2'!$C$12="MFJ",1,IF('Inputs 2'!$C$12="HoH",7,4))))*($AH19-INDEX('Methodology &amp; Sources'!$B$29:$J$36,0,IF('Inputs 2'!$C$12="MFJ",1,IF('Inputs 2'!$C$12="HoH",7,4))))*INDEX('Methodology &amp; Sources'!$B$29:$J$36,0,IF('Inputs 2'!$C$12="MFJ",1,IF('Inputs 2'!$C$12="HoH",7,4))+2)),SUMPRODUCT(($AH19&gt;INDEX('Methodology &amp; Sources'!$B$19:$J$26,0,IF('Inputs 2'!$C$12="MFJ",1,IF('Inputs 2'!$C$12="HoH",7,4))))*($AH19-INDEX('Methodology &amp; Sources'!$B$19:$J$26,0,IF('Inputs 2'!$C$12="MFJ",1,IF('Inputs 2'!$C$12="HoH",7,4))))*INDEX('Methodology &amp; Sources'!$B$19:$J$26,0,IF('Inputs 2'!$C$12="MFJ",1,IF('Inputs 2'!$C$12="HoH",7,4))+2)))/'Inputs 2'!$C$8-$AO19/'Inputs 2'!$C$8)+$AR19+IF('Inputs 2'!$C$89="Aggregate",MAX(0,IF('Inputs 2'!$C$13,SUMPRODUCT((($AH19+$D19)&gt;INDEX('Methodology &amp; Sources'!$B$29:$J$36,0,IF('Inputs 2'!$C$12="MFJ",1,IF('Inputs 2'!$C$12="HoH",7,4))))*(($AH19+$D19)-INDEX('Methodology &amp; Sources'!$B$29:$J$36,0,IF('Inputs 2'!$C$12="MFJ",1,IF('Inputs 2'!$C$12="HoH",7,4))))*INDEX('Methodology &amp; Sources'!$B$29:$J$36,0,IF('Inputs 2'!$C$12="MFJ",1,IF('Inputs 2'!$C$12="HoH",7,4))+2)),SUMPRODUCT((($AH19+$D19)&gt;INDEX('Methodology &amp; Sources'!$B$19:$J$26,0,IF('Inputs 2'!$C$12="MFJ",1,IF('Inputs 2'!$C$12="HoH",7,4))))*(($AH19+$D19)-INDEX('Methodology &amp; Sources'!$B$19:$J$26,0,IF('Inputs 2'!$C$12="MFJ",1,IF('Inputs 2'!$C$12="HoH",7,4))))*INDEX('Methodology &amp; Sources'!$B$19:$J$26,0,IF('Inputs 2'!$C$12="MFJ",1,IF('Inputs 2'!$C$12="HoH",7,4))+2)))-IF('Inputs 2'!$C$13,SUMPRODUCT(($AH19&gt;INDEX('Methodology &amp; Sources'!$B$29:$J$36,0,IF('Inputs 2'!$C$12="MFJ",1,IF('Inputs 2'!$C$12="HoH",7,4))))*($AH19-INDEX('Methodology &amp; Sources'!$B$29:$J$36,0,IF('Inputs 2'!$C$12="MFJ",1,IF('Inputs 2'!$C$12="HoH",7,4))))*INDEX('Methodology &amp; Sources'!$B$29:$J$36,0,IF('Inputs 2'!$C$12="MFJ",1,IF('Inputs 2'!$C$12="HoH",7,4))+2)),SUMPRODUCT(($AH19&gt;INDEX('Methodology &amp; Sources'!$B$19:$J$26,0,IF('Inputs 2'!$C$12="MFJ",1,IF('Inputs 2'!$C$12="HoH",7,4))))*($AH19-INDEX('Methodology &amp; Sources'!$B$19:$J$26,0,IF('Inputs 2'!$C$12="MFJ",1,IF('Inputs 2'!$C$12="HoH",7,4))))*INDEX('Methodology &amp; Sources'!$B$19:$J$26,0,IF('Inputs 2'!$C$12="MFJ",1,IF('Inputs 2'!$C$12="HoH",7,4))+2)))),'Methodology &amp; Sources'!$C$10*$D19),2)))</f>
      </c>
      <c r="Q19" s="7">
        <f>IF($B19="","",ROUND('Methodology &amp; Sources'!$C$4*MIN($N19,MAX(0,'Methodology &amp; Sources'!$C$3-($AX19+$AB18-$AW19))),2))</f>
      </c>
      <c r="R19" s="7">
        <f>IF($B19="","",ROUND('Methodology &amp; Sources'!$C$5*$N19,2))</f>
      </c>
      <c r="S19" s="7">
        <f>IF($B19="","",ROUND('Methodology &amp; Sources'!$C$6*MAX(0,MIN($N19,$AG18+$N19-'Methodology &amp; Sources'!$C$7)),2))</f>
      </c>
      <c r="T19" s="7">
        <f>IF($B19="","",IF('Inputs 2'!$C$26,0,IF($AN19="CA",ROUND(IF($AI19&lt;=IF(($AS19+$AT19)&gt;=2,VLOOKUP($AN19,StateTables!$A$6:$AB$56,10,FALSE),VLOOKUP($AN19,StateTables!$A$6:$AB$56,9,FALSE)),0,MAX(0,SUMPRODUCT(($AJ19&gt;INDEX('Methodology &amp; Sources'!$B$39:$J$48,0,IF($AU19="Married",4,IF($AU19="Head of household",7,1))))*($AJ19-INDEX('Methodology &amp; Sources'!$B$39:$J$48,0,IF($AU19="Married",4,IF($AU19="Head of household",7,1))))*INDEX('Methodology &amp; Sources'!$B$39:$J$48,0,IF($AU19="Married",4,IF($AU19="Head of household",7,1))+2))-VLOOKUP($AN19,StateTables!$A$6:$AB$56,11,FALSE)*$AS19)/'Inputs 2'!$C$8)+'Inputs 2'!$C$25+VLOOKUP($AN19,StateTables!$A$6:$AB$56,13,FALSE)*$D19,2),IF(VLOOKUP($AN19,StateTables!$A$6:$AB$56,4,FALSE)="None",0,IF(ISNUMBER(SEARCH("MANUAL",VLOOKUP($AN19,StateTables!$A$6:$AB$56,5,FALSE))),'Inputs 2'!$C$28,ROUND(MAX(0,$BA19+$BB19)/'Inputs 2'!$C$8+'Inputs 2'!$C$25+$BC19,2))))))</f>
      </c>
      <c r="U19" s="7">
        <f>IF($B19="","",IF(VLOOKUP($AN19,StateTables!$A$6:$AB$56,24,FALSE)="flatq",IF(OR(MONTH($B19)=1,MONTH($B19)=4,MONTH($B19)=7,MONTH($B19)=10),VLOOKUP($AN19,StateTables!$A$6:$AB$56,25,FALSE),0),IF(VLOOKUP($AN19,StateTables!$A$6:$AB$56,24,FALSE)="dbl",MIN(ROUND(0.005*$N19,2),ROUND(0.6*52/'Inputs 2'!$C$8,2)),IF(OR(VLOOKUP($AN19,StateTables!$A$6:$AB$56,15,FALSE)="",VLOOKUP($AN19,StateTables!$A$6:$AB$56,15,FALSE)=0),0,ROUND(VLOOKUP($AN19,StateTables!$A$6:$AB$56,15,FALSE)*IF(OR(VLOOKUP($AN19,StateTables!$A$6:$AB$56,16,FALSE)="",VLOOKUP($AN19,StateTables!$A$6:$AB$56,16,FALSE)=0),$N19,MIN($N19,MAX(0,VLOOKUP($AN19,StateTables!$A$6:$AB$56,16,FALSE)-($AX19+$AB18-$AW19)))),2))))+IF(VLOOKUP($AN19,StateTables!$A$6:$AB$56,27,FALSE)="flatq",IF(OR(MONTH($B19)=1,MONTH($B19)=4,MONTH($B19)=7,MONTH($B19)=10),VLOOKUP($AN19,StateTables!$A$6:$AB$56,28,FALSE),0),IF(VLOOKUP($AN19,StateTables!$A$6:$AB$56,27,FALSE)="dbl",MIN(ROUND(0.005*$N19,2),ROUND(0.6*52/'Inputs 2'!$C$8,2)),IF(OR(VLOOKUP($AN19,StateTables!$A$6:$AB$56,18,FALSE)="",VLOOKUP($AN19,StateTables!$A$6:$AB$56,18,FALSE)=0),0,ROUND(VLOOKUP($AN19,StateTables!$A$6:$AB$56,18,FALSE)*IF(OR(VLOOKUP($AN19,StateTables!$A$6:$AB$56,19,FALSE)="",VLOOKUP($AN19,StateTables!$A$6:$AB$56,19,FALSE)=0),$N19,MIN($N19,MAX(0,VLOOKUP($AN19,StateTables!$A$6:$AB$56,19,FALSE)-($AX19+$AB18-$AW19)))),2)))))</f>
      </c>
      <c r="V19" s="7">
        <f>IF($B19="","",IF($AN19="NY",IF('Inputs 2'!$C$78,ROUND(SUMPRODUCT((MAX(0,($O19-$D19)*'Inputs 2'!$C$8-(IF($AU19="Married",5500,5000)+1000*$AS19))&gt;INDEX('Methodology &amp; Sources'!$B$184:$J$198,0,4))*(MAX(0,($O19-$D19)*'Inputs 2'!$C$8-(IF($AU19="Married",5500,5000)+1000*$AS19))-INDEX('Methodology &amp; Sources'!$B$184:$J$198,0,4))*INDEX('Methodology &amp; Sources'!$B$184:$J$198,0,4+2))/'Inputs 2'!$C$8+0.0425*$D19,2),0)+IF('Inputs 2'!$C$79="Resident",ROUND(0.1675*$T19,2),IF('Inputs 2'!$C$79="Nonresident",ROUND(0.005*MAX(0,($O19-$D19)-(IF($AU19="Married",7950,7400)+1000*$AS19)/'Inputs 2'!$C$8),2),0)),IF($AN19="PA",IF('Inputs 2'!$C$80="None",'Inputs 2'!$C$27+ROUND('Inputs 2'!$C$81*($C19+$D19),2),ROUND(IF('Inputs 2'!$C$80="Resident",IF($B19&lt;DATE(2027,7,1),0.03735,0.03735),IF($B19&lt;DATE(2027,7,1),0.03425,0.03425))*($C19+$D19),2)),IF($BF19=0,ROUND('Inputs 2'!$C$81*($C19+$D19),2),'Inputs 2'!$C$27+ROUND('Inputs 2'!$C$81*($C19+$D19),2)))))</f>
      </c>
      <c r="W19" s="7">
        <f>IF($B19="","",IF($BF19=0,0,$BP19))</f>
      </c>
      <c r="X19" s="7">
        <f>IF($B19="","",SUM($E19:$K19)+$P19+$Q19+$R19+$S19+$T19+$U19+$V19+$W19)</f>
      </c>
      <c r="Y19" s="22">
        <f>IF($B19="","",$C19+$D19-$X19)</f>
      </c>
      <c r="Z19" s="7">
        <f>IF($B19="","",$Z18+$C19+$D19)</f>
      </c>
      <c r="AA19" s="7">
        <f>IF($B19="","",$AA18+$Y19)</f>
      </c>
      <c r="AB19" s="7">
        <f>IF($B19="","",$AB18+MIN($N19,MAX(0,'Methodology &amp; Sources'!$C$3-($AX19+$AB18-$AW19))))</f>
      </c>
      <c r="AC19" s="7">
        <f>IF($B19="","",$AC18+$E19+$F19)</f>
      </c>
      <c r="AD19" s="3">
        <f>IF($B19="","",IF(AND($AB18&lt;'Methodology &amp; Sources'!$C$3,$AB19&gt;='Methodology &amp; Sources'!$C$3),"★ Social Security maxed on this check — from the next check your net rises by about $"&amp;TEXT(ROUND('Methodology &amp; Sources'!$C$4*$N19,2),"#,##0.00")&amp;". ","")&amp;IF(AND($AC18&lt;'Inputs 2'!$C$34,$AC19&gt;='Inputs 2'!$C$34),"★ 401(k) reaches the $"&amp;TEXT('Inputs 2'!$C$34,"#,##0")&amp;" cap on this check — deferrals stop and net pay rises. ","")&amp;IF(AND($AG18&lt;'Methodology &amp; Sources'!$C$7,$AG19&gt;='Methodology &amp; Sources'!$C$7),"★ Wages pass $200,000 — the 0.9% Additional Medicare Tax starts here. ","")&amp;IF(AND($BJ19&gt;0,$H19&gt;0,$BG18&lt;MIN($BJ19,'Methodology &amp; Sources'!$C$13),$BG18+$H19&gt;=MIN($BJ19,'Methodology &amp; Sources'!$C$13)),"★ Health FSA election is now fully deferred for the year. ",""))</f>
      </c>
      <c r="AE19" s="41" t="n"/>
      <c r="AF19" s="7">
        <f>IF(OR($B19="",$AE19=""),"",$AE19-$Y19)</f>
      </c>
      <c r="AG19" s="7">
        <f>IF($B19="","",$AG18+$N19)</f>
      </c>
      <c r="AH19" s="7">
        <f>IF($B19="","",MAX(0,($M19-$D19)*'Inputs 2'!$C$8+$AP19-$AQ19-IF('Inputs 2'!$C$13,0,IF('Inputs 2'!$C$12="MFJ",'Methodology &amp; Sources'!$C$8,'Methodology &amp; Sources'!$C$9))))</f>
      </c>
      <c r="AI19" s="7">
        <f>IF($B19="","",$O19*'Inputs 2'!$C$8)</f>
      </c>
      <c r="AJ19" s="7">
        <f>IF($B19="","",MAX(0,$AI19-VLOOKUP($AN19,StateTables!$A$6:$AB$56,12,FALSE)*$AT19-IF(($AS19+$AT19)&gt;=2,VLOOKUP($AN19,StateTables!$A$6:$AB$56,8,FALSE),VLOOKUP($AN19,StateTables!$A$6:$AB$56,7,FALSE))))</f>
      </c>
      <c r="AK19" s="7">
        <f>IF($B19="","",IFERROR(LOOKUP(2,1/(('Events 2'!$C$6:$C$17="Salary change")*('Events 2'!$B$6:$B$17&lt;=$B19)*('Events 2'!$B$6:$B$17&lt;&gt;"")),'Events 2'!$D$6:$D$17),IF('Inputs 2'!$C$4="Annual salary",'Inputs 2'!$C$5,'Inputs 2'!$C$6)))</f>
      </c>
      <c r="AL19">
        <f>IF($B19="","",IFERROR(LOOKUP(2,1/(('Events 2'!$C$6:$C$17="401(k) change")*('Events 2'!$B$6:$B$17&lt;=$B19)*('Events 2'!$B$6:$B$17&lt;&gt;"")),'Events 2'!$D$6:$D$17),'Inputs 2'!$C$30))</f>
      </c>
      <c r="AM19" s="7">
        <f>IF($B19="","",IFERROR(LOOKUP(2,1/(('Events 2'!$C$6:$C$17="401(k) change")*('Events 2'!$B$6:$B$17&lt;=$B19)*('Events 2'!$B$6:$B$17&lt;&gt;"")),'Events 2'!$E$6:$E$17),'Inputs 2'!$D$30))</f>
      </c>
      <c r="AN19">
        <f>IF($B19="","",IFERROR(LOOKUP(2,1/(('Events 2'!$C$6:$C$17="State move")*('Events 2'!$B$6:$B$17&lt;=$B19)*('Events 2'!$B$6:$B$17&lt;&gt;"")),'Events 2'!$D$6:$D$17),'Inputs 2'!$C$21))</f>
      </c>
      <c r="AO19" s="7">
        <f>IF($B19="","",IFERROR(LOOKUP(2,1/(('Events 2'!$C$6:$C$17="W-4 change")*('Events 2'!$B$6:$B$17&lt;=$B19)*('Events 2'!$B$6:$B$17&lt;&gt;"")),'Events 2'!$D$6:$D$17),'Inputs 2'!$C$14))</f>
      </c>
      <c r="AP19" s="7">
        <f>IF($B19="","",IFERROR(LOOKUP(2,1/(('Events 2'!$C$6:$C$17="W-4 change")*('Events 2'!$B$6:$B$17&lt;=$B19)*('Events 2'!$B$6:$B$17&lt;&gt;"")),'Events 2'!$E$6:$E$17),'Inputs 2'!$C$15))</f>
      </c>
      <c r="AQ19" s="7">
        <f>IF($B19="","",IFERROR(LOOKUP(2,1/(('Events 2'!$C$6:$C$17="W-4 change")*('Events 2'!$B$6:$B$17&lt;=$B19)*('Events 2'!$B$6:$B$17&lt;&gt;"")),'Events 2'!$F$6:$F$17),'Inputs 2'!$C$16))</f>
      </c>
      <c r="AR19" s="7">
        <f>IF($B19="","",IFERROR(LOOKUP(2,1/(('Events 2'!$C$6:$C$17="W-4 change")*('Events 2'!$B$6:$B$17&lt;=$B19)*('Events 2'!$B$6:$B$17&lt;&gt;"")),'Events 2'!$G$6:$G$17),'Inputs 2'!$C$17))</f>
      </c>
      <c r="AS19" s="6">
        <f>IF($B19="","",IFERROR(LOOKUP(2,1/((('Events 2'!$C$6:$C$17="State move")+('Events 2'!$C$6:$C$17="State cert change"))*('Events 2'!$B$6:$B$17&lt;=$B19)*('Events 2'!$B$6:$B$17&lt;&gt;"")),'Events 2'!$F$6:$F$17),'Inputs 2'!$C$23))</f>
      </c>
      <c r="AT19" s="6">
        <f>IF($B19="","",IFERROR(LOOKUP(2,1/((('Events 2'!$C$6:$C$17="State move")+('Events 2'!$C$6:$C$17="State cert change"))*('Events 2'!$B$6:$B$17&lt;=$B19)*('Events 2'!$B$6:$B$17&lt;&gt;"")),'Events 2'!$G$6:$G$17),'Inputs 2'!$C$24))</f>
      </c>
      <c r="AU19">
        <f>IF($B19="","",IFERROR(LOOKUP(2,1/(('Events 2'!$C$6:$C$17="State move")*('Events 2'!$B$6:$B$17&lt;=$B19)*('Events 2'!$B$6:$B$17&lt;&gt;"")),'Events 2'!$E$6:$E$17),'Inputs 2'!$C$22))</f>
      </c>
      <c r="AV19" s="6">
        <f>IF($B19="","",1+COUNTIFS('Events 2'!$C$6:$C$17,"Employer change",'Events 2'!$B$6:$B$17,"&lt;="&amp;$B19,'Events 2'!$B$6:$B$17,"&lt;&gt;"))</f>
      </c>
      <c r="AW19" s="7">
        <f>IF($B19="","",IF($AV19=1,'Inputs 2'!$C$49,IF(IFERROR(MATCH(IFERROR(LOOKUP(2,1/(('Events 2'!$C$6:$C$17="Employer change")*('Events 2'!$B$6:$B$17&lt;=$B19)*('Events 2'!$B$6:$B$17&lt;&gt;"")),'Events 2'!$B$6:$B$17),""),$B$6:$B$68,1),1)&lt;=1,'Inputs 2'!$C$49,INDEX($AB$6:$AB$68,MATCH(IFERROR(LOOKUP(2,1/(('Events 2'!$C$6:$C$17="Employer change")*('Events 2'!$B$6:$B$17&lt;=$B19)*('Events 2'!$B$6:$B$17&lt;&gt;"")),'Events 2'!$B$6:$B$17),""),$B$6:$B$68,1)-1))))</f>
      </c>
      <c r="AX19" s="7">
        <f>IF($B19="","",IF($AV19=1,'Inputs 2'!$C$49,IFERROR(LOOKUP(2,1/(('Events 2'!$C$6:$C$17="Employer change")*('Events 2'!$B$6:$B$17&lt;=$B19)*('Events 2'!$B$6:$B$17&lt;&gt;"")),'Events 2'!$D$6:$D$17),0)))</f>
      </c>
      <c r="AY19" s="7">
        <f>IF($B19="","",($O19-$D19)*'Inputs 2'!$C$8)</f>
      </c>
      <c r="AZ19" s="7">
        <f>IF($B19="","",IF($AN19="AL",MAX(0,$AY19-IF($AU19="Married",IF($AY19&lt;=25999,8500,MAX(5000,8500-175*CEILING(($AY19-25999)/500,1))),IF($AU19="Head of household",IF($AY19&lt;=25999,5200,MAX(2500,5200-135*CEILING(($AY19-25999)/500,1))),IF($AY19&lt;=25999,3000,MAX(2500,3000-25*CEILING(($AY19-25999)/500,1)))))-($P19-'Methodology &amp; Sources'!$C$10*$D19)*'Inputs 2'!$C$8-IF(OR($AU19="Married",$AU19="Head of household"),3000,1500)-$AT19*IF($AY19&lt;=50000,1000,IF($AY19&lt;=100000,500,300))),IF($AN19="AR",IF(MAX(0,$AY19-2470)&lt;97701,INT(MAX(0,$AY19-2470)/100)*100+50,MAX(0,$AY19-2470)),IF($AN19="DE",MAX(0,$AI19-3250),IF($AN19="HI",MAX(0,$AI19-1144*$AS19-4350),IF($AN19="KS",MAX(0,$AI19-(9160*IF($AU19="Married",2,1)+2320*$AT19+IF($AU19="Head of household",2320,0))),IF($AN19="MD",MAX(0,$AI19-3400-3200*$AS19),IF($AN19="MN",MAX(0,$AY19-5300*$AS19),IF($AN19="MO",MAX(0,$AI19-IF($AU19="Head of household",24150,IF($AU19="Married",IF('Inputs 2'!$C$83,16100,32200),16100))),IF($AN19="MT",$AY19,IF($AN19="ND",($C19+$L19)*'Inputs 2'!$C$8,IF($AN19="NE",MAX(0,$AY19-2440*$AS19),IF($AN19="NJ",MAX(0,$AY19-1000*$AS19),IF($AN19="NY",MAX(0,$AY19-(IF($AU19="Married",7950,7400)+1000*$AS19)),IF($AN19="OH",MAX(0,$AY19-650*$AS19),IF($AN19="OK",MAX(0,$AY19-1000*$AS19),IF($AN19="RI",MAX(0,$AI19-1000*$AS19),IF($AN19="SC",MAX(0,$AI19-5000*$AS19-IF($AS19=0,0,MIN(0.1*$AI19,7500))),IF($AN19="VA",MAX(0,$AI19-IF($AU19="Married",17500,8750)-930*$AS19-800*$AT19),IF($AN19="VT",MAX(0,$AI19-5400*$AS19),IF($AN19="WI",MAX(0,$AI19-MAX(0,IF($AU19="Married",9461-0.2*MAX(0,$AI19-25727),6702-0.12*MAX(0,$AI19-17780)))-400*$AS19),IF($AN19="WV",MAX(0,$AI19-2000*$AS19),$AI19))))))))))))))))))))))</f>
      </c>
      <c r="BA19" s="7">
        <f>IF($B19="","",IF($BW19&lt;&gt;"",$BW19,IF($BX19&lt;&gt;"",$BX19,IF($BY19&lt;&gt;"",$BY19,0))))</f>
      </c>
      <c r="BB19" s="7">
        <f>IF($B19="","",IF($AN19="AR",-29*$AS19,IF($AN19="DE",-110*$AS19,IF($AN19="MD",$AZ19*'Inputs 2'!$C$74,IF($AN19="AZ",'Inputs 2'!$C$82*($M19-$D19)*'Inputs 2'!$C$8,IF($AN19="CO",0.044*MAX(0,$AY19-IF($AU19="Married",10000,5000)),IF($AN19="IA",MAX(0,0.038*MAX(0,$AY19-IF($AU19="Head of household",19500,IF($AU19="Married",26000,13000)))-40*$AS19),IF($AN19="ID",0.053*MAX(0,$AY19-IF($AU19="Married",32000,16094)),IF($AN19="IL",0.0495*MAX(0,$AY19-(2925*$AS19+1000*$AT19)),IF($AN19="IN",(0.0295+'Inputs 2'!$C$76)*MAX(0,$AY19-(1000*$AS19+1500*$AT19+3000*'Inputs 2'!$C$86)),IF($AN19="KY",0.035*MAX(0,$AI19-3360),IF($AN19="LA",IF('Inputs 2'!$C$84="0",0.0309*$AI19,0.0309*MAX(0,$AI19-IF('Inputs 2'!$C$84="2",25750,12875))),IF($AN19="MA",0.05*MIN(MAX(0,$AY19-MIN(($BD18+$Q19+$R19+$S19),2000)-IF($AS19=0,0,IF($AS19=1,4400,1000*$AS19+3400))),1107750)+0.09*MAX(0,MAX(0,$AY19-MIN(($BD18+$Q19+$R19+$S19),2000)-IF($AS19=0,0,IF($AS19=1,4400,1000*$AS19+3400)))-1107750)-IF($AU19="Head of household",120,0)-110*'Inputs 2'!$C$75,IF($AN19="MI",0.0425*MAX(0,$AY19-5900*$AS19),IF($AN19="MS",0.04*MAX(0,$AI19-IF($AU19="Head of household",3400,IF($AU19="Married",4600,2300))-'Inputs 2'!$C$85-10000),IF($AN19="OR",IF(OR($AU19="Married",AND($AU19="Single",$AS19&gt;=3)),SUMPRODUCT((MAX(0,$AY19-MIN(($P19-'Methodology &amp; Sources'!$C$10*$D19)*'Inputs 2'!$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Sources'!$B$211:$J$214,0,4))*(MAX(0,$AY19-MIN(($P19-'Methodology &amp; Sources'!$C$10*$D19)*'Inputs 2'!$C$8,IF(OR($AU19="Married",AND($AU19="Single",$AS19&gt;=3)),IF($AY19&lt;250000,8750,IF($AY19&lt;260000,7000,IF($AY19&lt;270000,5250,IF($AY19&lt;280000,3500,IF($AY19&lt;290000,1750,0))))),IF($AY19&lt;125000,8750,IF($AY19&lt;130000,7000,IF($AY19&lt;135000,5250,IF($AY19&lt;140000,3500,IF($AY19&lt;145000,1750,0)))))))-IF(OR($AU19="Married",AND($AU19="Single",$AS19&gt;=3)),5820,2910))-INDEX('Methodology &amp; Sources'!$B$211:$J$214,0,4))*INDEX('Methodology &amp; Sources'!$B$211:$J$214,0,4+2)),SUMPRODUCT((MAX(0,$AY19-MIN(($P19-'Methodology &amp; Sources'!$C$10*$D19)*'Inputs 2'!$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Sources'!$B$211:$J$214,0,1))*(MAX(0,$AY19-MIN(($P19-'Methodology &amp; Sources'!$C$10*$D19)*'Inputs 2'!$C$8,IF(OR($AU19="Married",AND($AU19="Single",$AS19&gt;=3)),IF($AY19&lt;250000,8750,IF($AY19&lt;260000,7000,IF($AY19&lt;270000,5250,IF($AY19&lt;280000,3500,IF($AY19&lt;290000,1750,0))))),IF($AY19&lt;125000,8750,IF($AY19&lt;130000,7000,IF($AY19&lt;135000,5250,IF($AY19&lt;140000,3500,IF($AY19&lt;145000,1750,0)))))))-IF(OR($AU19="Married",AND($AU19="Single",$AS19&gt;=3)),5820,2910))-INDEX('Methodology &amp; Sources'!$B$211:$J$214,0,1))*INDEX('Methodology &amp; Sources'!$B$211:$J$214,0,1+2)))+263-263*IF(IF($AU19="Married",$AY19&gt;200000,$AY19&gt;100000),0,$AS19),IF($AN19="PA",0.0307*(($O19+$E19+$G19)*'Inputs 2'!$C$8),IF($AN19="NY",IF($AU19="Married",IF($AZ19&gt;=2155350,0,IF($AZ19&gt;=1077550,0.48,IF($AZ19&gt;=373200,1.21,IF($AZ19&gt;=323200,0.21,IF($AZ19&gt;=211550,-0.19,IF($AZ19&gt;=157650,-2.8,IF($AZ19&gt;=107650,-0.8,IF($AZ19&gt;=96800,0.05,IF($AZ19&gt;=80650,-0.1,IF($AZ19&gt;=13900,0.4,IF($AZ19&gt;=11700,-0.3,IF($AZ19&gt;=8500,0.5,0)))))))))))),IF($AZ19&gt;=1077550,0,IF($AZ19&gt;=265400,4.29,IF($AZ19&gt;=215400,2.29,IF($AZ19&gt;=157650,2.29,IF($AZ19&gt;=107650,0.29,IF($AZ19&gt;=96800,0.05,IF($AZ19&gt;=80650,-0.1,IF($AZ19&gt;=13900,0.4,IF($AZ19&gt;=11700,-0.3,IF($AZ19&gt;=8500,0.5,0))))))))))),0))))))))))))))))))</f>
      </c>
      <c r="BC19" s="7">
        <f>IF($B19="","",IF($AN19="AL",0.05*$D19,IF($AN19="AR",0.039*$D19,IF($AN19="ID",0.053*$D19,IF($AN19="IN",(0.0295+'Inputs 2'!$C$76)*$D19,IF($AN19="KS",0.05*$D19,IF($AN19="MA",0.09*MIN($D19,MAX(0,MAX(0,$AY19-MIN(($BD18+$Q19+$R19+$S19),2000)-IF($AS19=0,0,IF($AS19=1,4400,1000*$AS19+3400)))+$D19-1107750))+0.05*($D19-MIN($D19,MAX(0,MAX(0,$AY19-MIN(($BD18+$Q19+$R19+$S19),2000)-IF($AS19=0,0,IF($AS19=1,4400,1000*$AS19+3400)))+$D19-1107750))),IF($AN19="MD",(0.065+'Inputs 2'!$C$74)*$D19,IF($AN19="MI",0.0425*$D19,IF($AN19="MN",0.0625*$D19,IF($AN19="MO",0.047*$D19,IF($AN19="MT",0.05*$D19,IF($AN19="ND",0.015*$D19,IF($AN19="NE",0.035*$D19,IF($AN19="NJ",IF('Inputs 2'!$C$77="B",SUMPRODUCT(($D19*'Inputs 2'!$C$8&gt;INDEX('Methodology &amp; Sources'!$B$155:$J$162,0,4))*($D19*'Inputs 2'!$C$8-INDEX('Methodology &amp; Sources'!$B$155:$J$162,0,4))*INDEX('Methodology &amp; Sources'!$B$155:$J$162,0,4+2)),IF('Inputs 2'!$C$77="C",SUMPRODUCT(($D19*'Inputs 2'!$C$8&gt;INDEX('Methodology &amp; Sources'!$B$155:$J$162,0,7))*($D19*'Inputs 2'!$C$8-INDEX('Methodology &amp; Sources'!$B$155:$J$162,0,7))*INDEX('Methodology &amp; Sources'!$B$155:$J$162,0,7+2)),IF('Inputs 2'!$C$77="D",SUMPRODUCT(($D19*'Inputs 2'!$C$8&gt;INDEX('Methodology &amp; Sources'!$B$167:$J$179,0,1))*($D19*'Inputs 2'!$C$8-INDEX('Methodology &amp; Sources'!$B$167:$J$179,0,1))*INDEX('Methodology &amp; Sources'!$B$167:$J$179,0,1+2)),IF('Inputs 2'!$C$77="E",SUMPRODUCT(($D19*'Inputs 2'!$C$8&gt;INDEX('Methodology &amp; Sources'!$B$167:$J$179,0,4))*($D19*'Inputs 2'!$C$8-INDEX('Methodology &amp; Sources'!$B$167:$J$179,0,4))*INDEX('Methodology &amp; Sources'!$B$167:$J$179,0,4+2)),SUMPRODUCT(($D19*'Inputs 2'!$C$8&gt;INDEX('Methodology &amp; Sources'!$B$155:$J$162,0,1))*($D19*'Inputs 2'!$C$8-INDEX('Methodology &amp; Sources'!$B$155:$J$162,0,1))*INDEX('Methodology &amp; Sources'!$B$155:$J$162,0,1+2))))))/'Inputs 2'!$C$8,IF($AN19="NY",0.117*$D19,IF($AN19="OH",0.0275*$D19,IF($AN19="OK",0.045*$D19,IF($AN19="OR",0.08*$D19,IF($AN19="WI",IF($AY19&lt;12760,0.0354,IF($AY19&lt;25520,0.0465,IF($AY19&lt;280950,0.053,0.0765)))*$D19,0))))))))))))))))))))</f>
      </c>
      <c r="BD19" s="7">
        <f>IF($B19="","",$BD18+$Q19+$R19+$S19)</f>
      </c>
      <c r="BE19" s="6">
        <f>IF($B19="",$BE18,$BE18+$BF19)</f>
      </c>
      <c r="BF19" s="6">
        <f>IF($B19="","",IF(AND(IF(YEAR(IF('Inputs 2'!$C$7="Weekly",'Inputs 2'!$C$9+7*(($BE18+1)-1),IF('Inputs 2'!$C$7="Biweekly",'Inputs 2'!$C$9+14*(($BE18+1)-1),IF('Inputs 2'!$C$7="Semimonthly",DATE(YEAR('Inputs 2'!$C$9),MONTH('Inputs 2'!$C$9)+INT((($BE18+1)-1)/2),MIN(DAY('Inputs 2'!$C$9),DAY(EOMONTH(DATE(YEAR('Inputs 2'!$C$9),MONTH('Inputs 2'!$C$9)+INT((($BE18+1)-1)/2),1),0))))+IF(MOD(($BE18+1)-1,2)=1,15,0),EDATE('Inputs 2'!$C$9,($BE18+1)-1)))))&lt;&gt;'Inputs 2'!$C$10,"",IF('Inputs 2'!$C$7="Weekly",'Inputs 2'!$C$9+7*(($BE18+1)-1),IF('Inputs 2'!$C$7="Biweekly",'Inputs 2'!$C$9+14*(($BE18+1)-1),IF('Inputs 2'!$C$7="Semimonthly",DATE(YEAR('Inputs 2'!$C$9),MONTH('Inputs 2'!$C$9)+INT((($BE18+1)-1)/2),MIN(DAY('Inputs 2'!$C$9),DAY(EOMONTH(DATE(YEAR('Inputs 2'!$C$9),MONTH('Inputs 2'!$C$9)+INT((($BE18+1)-1)/2),1),0))))+IF(MOD(($BE18+1)-1,2)=1,15,0),EDATE('Inputs 2'!$C$9,($BE18+1)-1)))))&lt;&gt;"",$B19=IF(YEAR(IF('Inputs 2'!$C$7="Weekly",'Inputs 2'!$C$9+7*(($BE18+1)-1),IF('Inputs 2'!$C$7="Biweekly",'Inputs 2'!$C$9+14*(($BE18+1)-1),IF('Inputs 2'!$C$7="Semimonthly",DATE(YEAR('Inputs 2'!$C$9),MONTH('Inputs 2'!$C$9)+INT((($BE18+1)-1)/2),MIN(DAY('Inputs 2'!$C$9),DAY(EOMONTH(DATE(YEAR('Inputs 2'!$C$9),MONTH('Inputs 2'!$C$9)+INT((($BE18+1)-1)/2),1),0))))+IF(MOD(($BE18+1)-1,2)=1,15,0),EDATE('Inputs 2'!$C$9,($BE18+1)-1)))))&lt;&gt;'Inputs 2'!$C$10,"",IF('Inputs 2'!$C$7="Weekly",'Inputs 2'!$C$9+7*(($BE18+1)-1),IF('Inputs 2'!$C$7="Biweekly",'Inputs 2'!$C$9+14*(($BE18+1)-1),IF('Inputs 2'!$C$7="Semimonthly",DATE(YEAR('Inputs 2'!$C$9),MONTH('Inputs 2'!$C$9)+INT((($BE18+1)-1)/2),MIN(DAY('Inputs 2'!$C$9),DAY(EOMONTH(DATE(YEAR('Inputs 2'!$C$9),MONTH('Inputs 2'!$C$9)+INT((($BE18+1)-1)/2),1),0))))+IF(MOD(($BE18+1)-1,2)=1,15,0),EDATE('Inputs 2'!$C$9,($BE18+1)-1)))))),1,0))</f>
      </c>
      <c r="BG19" s="7">
        <f>IF($B19="","",$BG18+$H19)</f>
      </c>
      <c r="BH19" s="7">
        <f>IF($B19="","",$BH18+$I19)</f>
      </c>
      <c r="BI19" s="7">
        <f>IF($B19="","",$BI18+$G19)</f>
      </c>
      <c r="BJ19" s="7">
        <f>IF($B19="","",IFERROR(LOOKUP(2,1/(((('Events 2'!$C$6:$C$17="Deduction start"))*('Events 2'!$D$6:$D$17="Health FSA"))*('Events 2'!$B$6:$B$17&lt;=$B19)*('Events 2'!$B$6:$B$17&lt;&gt;"")),'Events 2'!$E$6:$E$17),'Inputs 2'!$D$38))</f>
      </c>
      <c r="BK19" s="7">
        <f>IF($B19="","",IFERROR(LOOKUP(2,1/(((('Events 2'!$C$6:$C$17="Deduction start"))*('Events 2'!$D$6:$D$17="Dependent-care FSA"))*('Events 2'!$B$6:$B$17&lt;=$B19)*('Events 2'!$B$6:$B$17&lt;&gt;"")),'Events 2'!$E$6:$E$17),'Inputs 2'!$D$39))</f>
      </c>
      <c r="BL19" s="7">
        <f>IF($B19="","",IFERROR(LOOKUP(2,1/(((('Events 2'!$C$6:$C$17="Deduction start")+('Events 2'!$C$6:$C$17="Deduction stop"))*('Events 2'!$D$6:$D$17="HSA"))*('Events 2'!$B$6:$B$17&lt;=$B19)*('Events 2'!$B$6:$B$17&lt;&gt;"")),'Events 2'!$I$6:$I$17),'Inputs 2'!$D$35))</f>
      </c>
      <c r="BM19" s="7">
        <f>IF($B19="","",IFERROR(LOOKUP(2,1/(((('Events 2'!$C$6:$C$17="Deduction start")+('Events 2'!$C$6:$C$17="Deduction stop"))*('Events 2'!$D$6:$D$17="Premiums"))*('Events 2'!$B$6:$B$17&lt;=$B19)*('Events 2'!$B$6:$B$17&lt;&gt;"")),'Events 2'!$I$6:$I$17),'Inputs 2'!$D$40+'Inputs 2'!$D$41+'Inputs 2'!$D$42))</f>
      </c>
      <c r="BN19" s="7">
        <f>IF($B19="","",IFERROR(LOOKUP(2,1/(((('Events 2'!$C$6:$C$17="Deduction start")+('Events 2'!$C$6:$C$17="Deduction stop"))*('Events 2'!$D$6:$D$17="Commuter"))*('Events 2'!$B$6:$B$17&lt;=$B19)*('Events 2'!$B$6:$B$17&lt;&gt;"")),'Events 2'!$I$6:$I$17),'Inputs 2'!$D$43))</f>
      </c>
      <c r="BO19" s="7">
        <f>IF($B19="","",IFERROR(LOOKUP(2,1/(((('Events 2'!$C$6:$C$17="Deduction start")+('Events 2'!$C$6:$C$17="Deduction stop"))*('Events 2'!$D$6:$D$17="Other pre-tax"))*('Events 2'!$B$6:$B$17&lt;=$B19)*('Events 2'!$B$6:$B$17&lt;&gt;"")),'Events 2'!$I$6:$I$17),'Inputs 2'!$D$44))</f>
      </c>
      <c r="BP19" s="7">
        <f>IF($B19="","",IFERROR(LOOKUP(2,1/(((('Events 2'!$C$6:$C$17="Deduction start")+('Events 2'!$C$6:$C$17="Deduction stop"))*('Events 2'!$D$6:$D$17="Other post-tax"))*('Events 2'!$B$6:$B$17&lt;=$B19)*('Events 2'!$B$6:$B$17&lt;&gt;"")),'Events 2'!$I$6:$I$17),'Inputs 2'!$D$45))</f>
      </c>
      <c r="BQ19" s="6">
        <f>IF($B19="","",IFERROR(LOOKUP(2,1/(((('Events 2'!$C$6:$C$17="Deduction start")+('Events 2'!$C$6:$C$17="Deduction stop"))*('Events 2'!$D$6:$D$17="Health FSA"))*('Events 2'!$B$6:$B$17&lt;=$B19)*('Events 2'!$B$6:$B$17&lt;&gt;"")),'Events 2'!$J$6:$J$17),0))</f>
      </c>
      <c r="BR19" s="6">
        <f>IF($B19="","",IFERROR(LOOKUP(2,1/(((('Events 2'!$C$6:$C$17="Deduction start")+('Events 2'!$C$6:$C$17="Deduction stop"))*('Events 2'!$D$6:$D$17="Dependent-care FSA"))*('Events 2'!$B$6:$B$17&lt;=$B19)*('Events 2'!$B$6:$B$17&lt;&gt;"")),'Events 2'!$J$6:$J$17),0))</f>
      </c>
      <c r="BS19" s="6">
        <f>IF($B19="","",IF(SUMPRODUCT(('Events 2'!$C$6:$C$17="Deduction start")*('Events 2'!$B$6:$B$17&lt;=$B19)*('Events 2'!$B$6:$B$17&lt;&gt;"")*('Events 2'!$D$6:$D$17="Health FSA"))&gt;0,1,0))</f>
      </c>
      <c r="BT19" s="6">
        <f>IF($B19="","",IF(SUMPRODUCT(('Events 2'!$C$6:$C$17="Deduction start")*('Events 2'!$B$6:$B$17&lt;=$B19)*('Events 2'!$B$6:$B$17&lt;&gt;"")*('Events 2'!$D$6:$D$17="Dependent-care FSA"))&gt;0,1,0))</f>
      </c>
      <c r="BU19" s="24">
        <f>IF($B19="","",IF('Inputs 2'!$C$13,SUMPRODUCT(($AH19&gt;=INDEX('Methodology &amp; Sources'!$B$29:$J$36,0,IF('Inputs 2'!$C$12="MFJ",1,IF('Inputs 2'!$C$12="HoH",7,4))))*INDEX('Methodology &amp; Sources'!$B$29:$J$36,0,IF('Inputs 2'!$C$12="MFJ",1,IF('Inputs 2'!$C$12="HoH",7,4))+2)),SUMPRODUCT(($AH19&gt;=INDEX('Methodology &amp; Sources'!$B$19:$J$26,0,IF('Inputs 2'!$C$12="MFJ",1,IF('Inputs 2'!$C$12="HoH",7,4))))*INDEX('Methodology &amp; Sources'!$B$19:$J$26,0,IF('Inputs 2'!$C$12="MFJ",1,IF('Inputs 2'!$C$12="HoH",7,4))+2))))</f>
      </c>
      <c r="BV19" s="24">
        <f>IF($B19="","",IF($BZ19&lt;&gt;"",$BZ19,IF($CA19&lt;&gt;"",$CA19,IF($CB19&lt;&gt;"",$CB19,IF($CC19&lt;&gt;"",$CC19,0)))))</f>
      </c>
      <c r="BW19" s="7">
        <f>IF($B19="","",IF($AN19="MD",IF(OR($AU19="Married",$AU19="Head of household"),SUMPRODUCT(($AZ19&gt;INDEX('Methodology &amp; Sources'!$B$114:$J$120,0,1))*($AZ19-INDEX('Methodology &amp; Sources'!$B$114:$J$120,0,1))*INDEX('Methodology &amp; Sources'!$B$114:$J$120,0,1+2)),SUMPRODUCT(($AZ19&gt;INDEX('Methodology &amp; Sources'!$B$103:$J$109,0,7))*($AZ19-INDEX('Methodology &amp; Sources'!$B$103:$J$109,0,7))*INDEX('Methodology &amp; Sources'!$B$103:$J$109,0,7+2))),IF($AN19="MO",SUMPRODUCT(($AZ19&gt;INDEX('Methodology &amp; Sources'!$B$125:$J$132,0,1))*($AZ19-INDEX('Methodology &amp; Sources'!$B$125:$J$132,0,1))*INDEX('Methodology &amp; Sources'!$B$125:$J$132,0,1+2)),IF($AN19="MT",IF($AU19="Head of household",SUMPRODUCT(($AZ19&gt;INDEX('Methodology &amp; Sources'!$B$137:$J$139,0,1))*($AZ19-INDEX('Methodology &amp; Sources'!$B$137:$J$139,0,1))*INDEX('Methodology &amp; Sources'!$B$137:$J$139,0,1+2)),IF($AU19="Married",SUMPRODUCT(($AZ19&gt;INDEX('Methodology &amp; Sources'!$B$125:$J$132,0,7))*($AZ19-INDEX('Methodology &amp; Sources'!$B$125:$J$132,0,7))*INDEX('Methodology &amp; Sources'!$B$125:$J$132,0,7+2)),SUMPRODUCT(($AZ19&gt;INDEX('Methodology &amp; Sources'!$B$125:$J$132,0,4))*($AZ19-INDEX('Methodology &amp; Sources'!$B$125:$J$132,0,4))*INDEX('Methodology &amp; Sources'!$B$125:$J$132,0,4+2)))),IF($AN19="ND",IF($AU19="Head of household",SUMPRODUCT(($AZ19&gt;INDEX('Methodology &amp; Sources'!$B$144:$J$150,0,1))*($AZ19-INDEX('Methodology &amp; Sources'!$B$144:$J$150,0,1))*INDEX('Methodology &amp; Sources'!$B$144:$J$150,0,1+2)),IF($AU19="Married",SUMPRODUCT(($AZ19&gt;INDEX('Methodology &amp; Sources'!$B$137:$J$139,0,7))*($AZ19-INDEX('Methodology &amp; Sources'!$B$137:$J$139,0,7))*INDEX('Methodology &amp; Sources'!$B$137:$J$139,0,7+2)),SUMPRODUCT(($AZ19&gt;INDEX('Methodology &amp; Sources'!$B$137:$J$139,0,4))*($AZ19-INDEX('Methodology &amp; Sources'!$B$137:$J$139,0,4))*INDEX('Methodology &amp; Sources'!$B$137:$J$139,0,4+2)))),IF($AN19="NJ",IF('Inputs 2'!$C$77="B",SUMPRODUCT(($AZ19&gt;INDEX('Methodology &amp; Sources'!$B$155:$J$162,0,4))*($AZ19-INDEX('Methodology &amp; Sources'!$B$155:$J$162,0,4))*INDEX('Methodology &amp; Sources'!$B$155:$J$162,0,4+2)),IF('Inputs 2'!$C$77="C",SUMPRODUCT(($AZ19&gt;INDEX('Methodology &amp; Sources'!$B$155:$J$162,0,7))*($AZ19-INDEX('Methodology &amp; Sources'!$B$155:$J$162,0,7))*INDEX('Methodology &amp; Sources'!$B$155:$J$162,0,7+2)),IF('Inputs 2'!$C$77="D",SUMPRODUCT(($AZ19&gt;INDEX('Methodology &amp; Sources'!$B$167:$J$179,0,1))*($AZ19-INDEX('Methodology &amp; Sources'!$B$167:$J$179,0,1))*INDEX('Methodology &amp; Sources'!$B$167:$J$179,0,1+2)),IF('Inputs 2'!$C$77="E",SUMPRODUCT(($AZ19&gt;INDEX('Methodology &amp; Sources'!$B$167:$J$179,0,4))*($AZ19-INDEX('Methodology &amp; Sources'!$B$167:$J$179,0,4))*INDEX('Methodology &amp; Sources'!$B$167:$J$179,0,4+2)),SUMPRODUCT(($AZ19&gt;INDEX('Methodology &amp; Sources'!$B$155:$J$162,0,1))*($AZ19-INDEX('Methodology &amp; Sources'!$B$155:$J$162,0,1))*INDEX('Methodology &amp; Sources'!$B$155:$J$162,0,1+2)))))),IF($AN19="NY",IF($AU19="Married",IF($AZ19&gt;=2155350,$AZ19*IF($AZ19&gt;25000000,0.117,IF($AZ19&gt;5000000,0.111,0.1045)),SUMPRODUCT(($AZ19&gt;INDEX('Methodology &amp; Sources'!$B$184:$J$198,0,1))*($AZ19-INDEX('Methodology &amp; Sources'!$B$184:$J$198,0,1))*INDEX('Methodology &amp; Sources'!$B$184:$J$198,0,1+2))),IF($AZ19&gt;=1077550,$AZ19*IF($AZ19&gt;25000000,0.117,IF($AZ19&gt;5000000,0.111,0.1045)),SUMPRODUCT(($AZ19&gt;INDEX('Methodology &amp; Sources'!$B$167:$J$179,0,7))*($AZ19-INDEX('Methodology &amp; Sources'!$B$167:$J$179,0,7))*INDEX('Methodology &amp; Sources'!$B$167:$J$179,0,7+2)))),"")))))))</f>
      </c>
      <c r="BX19" s="7">
        <f>IF($B19="","",IF($AN19="AL",IF(OR($AU19="Married",$AU19="Head of household"),SUMPRODUCT(($AZ19&gt;INDEX('Methodology &amp; Sources'!$B$82:$J$86,0,4))*($AZ19-INDEX('Methodology &amp; Sources'!$B$82:$J$86,0,4))*INDEX('Methodology &amp; Sources'!$B$82:$J$86,0,4+2)),SUMPRODUCT(($AZ19&gt;INDEX('Methodology &amp; Sources'!$B$82:$J$86,0,1))*($AZ19-INDEX('Methodology &amp; Sources'!$B$82:$J$86,0,1))*INDEX('Methodology &amp; Sources'!$B$82:$J$86,0,1+2))),IF($AN19="KS",IF($AU19="Married",SUMPRODUCT(($AZ19&gt;INDEX('Methodology &amp; Sources'!$B$103:$J$109,0,4))*($AZ19-INDEX('Methodology &amp; Sources'!$B$103:$J$109,0,4))*INDEX('Methodology &amp; Sources'!$B$103:$J$109,0,4+2)),SUMPRODUCT(($AZ19&gt;INDEX('Methodology &amp; Sources'!$B$103:$J$109,0,1))*($AZ19-INDEX('Methodology &amp; Sources'!$B$103:$J$109,0,1))*INDEX('Methodology &amp; Sources'!$B$103:$J$109,0,1+2))),IF($AN19="MN",IF($AU19="Married",SUMPRODUCT(($AZ19&gt;INDEX('Methodology &amp; Sources'!$B$114:$J$120,0,7))*($AZ19-INDEX('Methodology &amp; Sources'!$B$114:$J$120,0,7))*INDEX('Methodology &amp; Sources'!$B$114:$J$120,0,7+2)),SUMPRODUCT(($AZ19&gt;INDEX('Methodology &amp; Sources'!$B$114:$J$120,0,4))*($AZ19-INDEX('Methodology &amp; Sources'!$B$114:$J$120,0,4))*INDEX('Methodology &amp; Sources'!$B$114:$J$120,0,4+2))),IF($AN19="NE",MAX(IF($AU19="Married",SUMPRODUCT(($AZ19&gt;INDEX('Methodology &amp; Sources'!$B$144:$J$150,0,7))*($AZ19-INDEX('Methodology &amp; Sources'!$B$144:$J$150,0,7))*INDEX('Methodology &amp; Sources'!$B$144:$J$150,0,7+2)),SUMPRODUCT(($AZ19&gt;INDEX('Methodology &amp; Sources'!$B$144:$J$150,0,4))*($AZ19-INDEX('Methodology &amp; Sources'!$B$144:$J$150,0,4))*INDEX('Methodology &amp; Sources'!$B$144:$J$150,0,4+2))),0.015*$AZ19),IF($AN19="OH",IF($B19&gt;=DATE(2027,8,1),SUMPRODUCT(($AZ19&gt;INDEX('Methodology &amp; Sources'!$B$203:$J$206,0,1))*($AZ19-INDEX('Methodology &amp; Sources'!$B$203:$J$206,0,1))*INDEX('Methodology &amp; Sources'!$B$203:$J$206,0,1+2)),SUMPRODUCT(($AZ19&gt;INDEX('Methodology &amp; Sources'!$B$184:$J$198,0,7))*($AZ19-INDEX('Methodology &amp; Sources'!$B$184:$J$198,0,7))*INDEX('Methodology &amp; Sources'!$B$184:$J$198,0,7+2))),IF($AN19="OK",IF($AU19="Married",SUMPRODUCT(($AZ19&gt;INDEX('Methodology &amp; Sources'!$B$203:$J$206,0,7))*($AZ19-INDEX('Methodology &amp; Sources'!$B$203:$J$206,0,7))*INDEX('Methodology &amp; Sources'!$B$203:$J$206,0,7+2)),SUMPRODUCT(($AZ19&gt;INDEX('Methodology &amp; Sources'!$B$203:$J$206,0,4))*($AZ19-INDEX('Methodology &amp; Sources'!$B$203:$J$206,0,4))*INDEX('Methodology &amp; Sources'!$B$203:$J$206,0,4+2))),IF($AN19="RI",SUMPRODUCT(($AZ19&gt;INDEX('Methodology &amp; Sources'!$B$211:$J$214,0,7))*($AZ19-INDEX('Methodology &amp; Sources'!$B$211:$J$214,0,7))*INDEX('Methodology &amp; Sources'!$B$211:$J$214,0,7+2)),IF($AN19="VT",IF($AU19="Married",SUMPRODUCT(($AZ19&gt;INDEX('Methodology &amp; Sources'!$B$228:$J$232,0,1))*($AZ19-INDEX('Methodology &amp; Sources'!$B$228:$J$232,0,1))*INDEX('Methodology &amp; Sources'!$B$228:$J$232,0,1+2)),SUMPRODUCT(($AZ19&gt;INDEX('Methodology &amp; Sources'!$B$219:$J$223,0,7))*($AZ19-INDEX('Methodology &amp; Sources'!$B$219:$J$223,0,7))*INDEX('Methodology &amp; Sources'!$B$219:$J$223,0,7+2))),IF($AN19="WV",IF($AU19="Married",SUMPRODUCT(($AZ19&gt;INDEX('Methodology &amp; Sources'!$B$237:$J$241,0,7))*($AZ19-INDEX('Methodology &amp; Sources'!$B$237:$J$241,0,7))*INDEX('Methodology &amp; Sources'!$B$237:$J$241,0,7+2)),SUMPRODUCT(($AZ19&gt;INDEX('Methodology &amp; Sources'!$B$228:$J$232,0,7))*($AZ19-INDEX('Methodology &amp; Sources'!$B$228:$J$232,0,7))*INDEX('Methodology &amp; Sources'!$B$228:$J$232,0,7+2))),""))))))))))</f>
      </c>
      <c r="BY19" s="7">
        <f>IF($B19="","",IF($AN19="AR",SUMPRODUCT(($AZ19&gt;INDEX('Methodology &amp; Sources'!$B$82:$J$86,0,7))*($AZ19-INDEX('Methodology &amp; Sources'!$B$82:$J$86,0,7))*INDEX('Methodology &amp; Sources'!$B$82:$J$86,0,7+2)),IF($AN19="DE",SUMPRODUCT(($AZ19&gt;INDEX('Methodology &amp; Sources'!$B$91:$J$98,0,1))*($AZ19-INDEX('Methodology &amp; Sources'!$B$91:$J$98,0,1))*INDEX('Methodology &amp; Sources'!$B$91:$J$98,0,1+2)),IF($AN19="HI",IF($AU19="Married",SUMPRODUCT(($AZ19&gt;INDEX('Methodology &amp; Sources'!$B$91:$J$98,0,7))*($AZ19-INDEX('Methodology &amp; Sources'!$B$91:$J$98,0,7))*INDEX('Methodology &amp; Sources'!$B$91:$J$98,0,7+2)),SUMPRODUCT(($AZ19&gt;INDEX('Methodology &amp; Sources'!$B$91:$J$98,0,4))*($AZ19-INDEX('Methodology &amp; Sources'!$B$91:$J$98,0,4))*INDEX('Methodology &amp; Sources'!$B$91:$J$98,0,4+2))),IF($AN19="SC",SUMPRODUCT(($AZ19&gt;INDEX('Methodology &amp; Sources'!$B$219:$J$223,0,1))*($AZ19-INDEX('Methodology &amp; Sources'!$B$219:$J$223,0,1))*INDEX('Methodology &amp; Sources'!$B$219:$J$223,0,1+2)),IF($AN19="VA",SUMPRODUCT(($AZ19&gt;INDEX('Methodology &amp; Sources'!$B$219:$J$223,0,4))*($AZ19-INDEX('Methodology &amp; Sources'!$B$219:$J$223,0,4))*INDEX('Methodology &amp; Sources'!$B$219:$J$223,0,4+2)),IF($AN19="WI",SUMPRODUCT(($AZ19&gt;INDEX('Methodology &amp; Sources'!$B$228:$J$232,0,4))*($AZ19-INDEX('Methodology &amp; Sources'!$B$228:$J$232,0,4))*INDEX('Methodology &amp; Sources'!$B$228:$J$232,0,4+2)),"")))))))</f>
      </c>
      <c r="BZ19" s="24">
        <f>IF($B19="","",IF($AN19="NJ",IF('Inputs 2'!$C$77="B",SUMPRODUCT(($AZ19&gt;=INDEX('Methodology &amp; Sources'!$B$155:$J$162,0,4))*INDEX('Methodology &amp; Sources'!$B$155:$J$162,0,4+2)),IF('Inputs 2'!$C$77="C",SUMPRODUCT(($AZ19&gt;=INDEX('Methodology &amp; Sources'!$B$155:$J$162,0,7))*INDEX('Methodology &amp; Sources'!$B$155:$J$162,0,7+2)),IF('Inputs 2'!$C$77="D",SUMPRODUCT(($AZ19&gt;=INDEX('Methodology &amp; Sources'!$B$167:$J$179,0,1))*INDEX('Methodology &amp; Sources'!$B$167:$J$179,0,1+2)),IF('Inputs 2'!$C$77="E",SUMPRODUCT(($AZ19&gt;=INDEX('Methodology &amp; Sources'!$B$167:$J$179,0,4))*INDEX('Methodology &amp; Sources'!$B$167:$J$179,0,4+2)),SUMPRODUCT(($AZ19&gt;=INDEX('Methodology &amp; Sources'!$B$155:$J$162,0,1))*INDEX('Methodology &amp; Sources'!$B$155:$J$162,0,1+2)))))),IF($AN19="OR",IF(OR($AU19="Married",AND($AU19="Single",$AS19&gt;=3)),SUMPRODUCT((MAX(0,$AY19-MIN(($P19-'Methodology &amp; Sources'!$C$10*$D19)*'Inputs 2'!$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Sources'!$B$211:$J$214,0,4))*INDEX('Methodology &amp; Sources'!$B$211:$J$214,0,4+2)),SUMPRODUCT((MAX(0,$AY19-MIN(($P19-'Methodology &amp; Sources'!$C$10*$D19)*'Inputs 2'!$C$8,IF(OR($AU19="Married",AND($AU19="Single",$AS19&gt;=3)),IF($AY19&lt;250000,8750,IF($AY19&lt;260000,7000,IF($AY19&lt;270000,5250,IF($AY19&lt;280000,3500,IF($AY19&lt;290000,1750,0))))),IF($AY19&lt;125000,8750,IF($AY19&lt;130000,7000,IF($AY19&lt;135000,5250,IF($AY19&lt;140000,3500,IF($AY19&lt;145000,1750,0)))))))-IF(OR($AU19="Married",AND($AU19="Single",$AS19&gt;=3)),5820,2910))&gt;=INDEX('Methodology &amp; Sources'!$B$211:$J$214,0,1))*INDEX('Methodology &amp; Sources'!$B$211:$J$214,0,1+2)))*IF(($P19-'Methodology &amp; Sources'!$C$10*$D19)*'Inputs 2'!$C$8&gt;=IF(OR($AU19="Married",AND($AU19="Single",$AS19&gt;=3)),IF($AY19&lt;250000,8750,IF($AY19&lt;260000,7000,IF($AY19&lt;270000,5250,IF($AY19&lt;280000,3500,IF($AY19&lt;290000,1750,0))))),IF($AY19&lt;125000,8750,IF($AY19&lt;130000,7000,IF($AY19&lt;135000,5250,IF($AY19&lt;140000,3500,IF($AY19&lt;145000,1750,0)))))),1,1-IF('Inputs 2'!$C$13,SUMPRODUCT(($AH19&gt;=INDEX('Methodology &amp; Sources'!$B$29:$J$36,0,IF('Inputs 2'!$C$12="MFJ",1,IF('Inputs 2'!$C$12="HoH",7,4))))*INDEX('Methodology &amp; Sources'!$B$29:$J$36,0,IF('Inputs 2'!$C$12="MFJ",1,IF('Inputs 2'!$C$12="HoH",7,4))+2)),SUMPRODUCT(($AH19&gt;=INDEX('Methodology &amp; Sources'!$B$19:$J$26,0,IF('Inputs 2'!$C$12="MFJ",1,IF('Inputs 2'!$C$12="HoH",7,4))))*INDEX('Methodology &amp; Sources'!$B$19:$J$26,0,IF('Inputs 2'!$C$12="MFJ",1,IF('Inputs 2'!$C$12="HoH",7,4))+2)))),IF($AN19="MI",IF($AY19&gt;5900*$AS19,0.0425,0),""))))</f>
      </c>
      <c r="CA19" s="24">
        <f>IF($B19="","",IF($AN19="AL",IF(OR($AU19="Married",$AU19="Head of household"),SUMPRODUCT(($AZ19&gt;=INDEX('Methodology &amp; Sources'!$B$82:$J$86,0,4))*INDEX('Methodology &amp; Sources'!$B$82:$J$86,0,4+2)),SUMPRODUCT(($AZ19&gt;=INDEX('Methodology &amp; Sources'!$B$82:$J$86,0,1))*INDEX('Methodology &amp; Sources'!$B$82:$J$86,0,1+2)))*(1-IF('Inputs 2'!$C$13,SUMPRODUCT(($AH19&gt;=INDEX('Methodology &amp; Sources'!$B$29:$J$36,0,IF('Inputs 2'!$C$12="MFJ",1,IF('Inputs 2'!$C$12="HoH",7,4))))*INDEX('Methodology &amp; Sources'!$B$29:$J$36,0,IF('Inputs 2'!$C$12="MFJ",1,IF('Inputs 2'!$C$12="HoH",7,4))+2)),SUMPRODUCT(($AH19&gt;=INDEX('Methodology &amp; Sources'!$B$19:$J$26,0,IF('Inputs 2'!$C$12="MFJ",1,IF('Inputs 2'!$C$12="HoH",7,4))))*INDEX('Methodology &amp; Sources'!$B$19:$J$26,0,IF('Inputs 2'!$C$12="MFJ",1,IF('Inputs 2'!$C$12="HoH",7,4))+2)))),IF($AN19="KS",IF($AU19="Married",SUMPRODUCT(($AZ19&gt;=INDEX('Methodology &amp; Sources'!$B$103:$J$109,0,4))*INDEX('Methodology &amp; Sources'!$B$103:$J$109,0,4+2)),SUMPRODUCT(($AZ19&gt;=INDEX('Methodology &amp; Sources'!$B$103:$J$109,0,1))*INDEX('Methodology &amp; Sources'!$B$103:$J$109,0,1+2))),IF($AN19="MD",IF(OR($AU19="Married",$AU19="Head of household"),SUMPRODUCT(($AZ19&gt;=INDEX('Methodology &amp; Sources'!$B$114:$J$120,0,1))*INDEX('Methodology &amp; Sources'!$B$114:$J$120,0,1+2)),SUMPRODUCT(($AZ19&gt;=INDEX('Methodology &amp; Sources'!$B$103:$J$109,0,7))*INDEX('Methodology &amp; Sources'!$B$103:$J$109,0,7+2)))+'Inputs 2'!$C$74,IF($AN19="MT",IF($AU19="Head of household",SUMPRODUCT(($AZ19&gt;=INDEX('Methodology &amp; Sources'!$B$137:$J$139,0,1))*INDEX('Methodology &amp; Sources'!$B$137:$J$139,0,1+2)),IF($AU19="Married",SUMPRODUCT(($AZ19&gt;=INDEX('Methodology &amp; Sources'!$B$125:$J$132,0,7))*INDEX('Methodology &amp; Sources'!$B$125:$J$132,0,7+2)),SUMPRODUCT(($AZ19&gt;=INDEX('Methodology &amp; Sources'!$B$125:$J$132,0,4))*INDEX('Methodology &amp; Sources'!$B$125:$J$132,0,4+2)))),IF($AN19="ND",IF($AU19="Head of household",SUMPRODUCT(($AZ19&gt;=INDEX('Methodology &amp; Sources'!$B$144:$J$150,0,1))*INDEX('Methodology &amp; Sources'!$B$144:$J$150,0,1+2)),IF($AU19="Married",SUMPRODUCT(($AZ19&gt;=INDEX('Methodology &amp; Sources'!$B$137:$J$139,0,7))*INDEX('Methodology &amp; Sources'!$B$137:$J$139,0,7+2)),SUMPRODUCT(($AZ19&gt;=INDEX('Methodology &amp; Sources'!$B$137:$J$139,0,4))*INDEX('Methodology &amp; Sources'!$B$137:$J$139,0,4+2)))),IF($AN19="NY",IF($AU19="Married",IF($AZ19&gt;=2155350,IF($AZ19&gt;25000000,0.117,IF($AZ19&gt;5000000,0.111,0.1045)),SUMPRODUCT(($AZ19&gt;=INDEX('Methodology &amp; Sources'!$B$184:$J$198,0,1))*INDEX('Methodology &amp; Sources'!$B$184:$J$198,0,1+2))),IF($AZ19&gt;=1077550,IF($AZ19&gt;25000000,0.117,IF($AZ19&gt;5000000,0.111,0.1045)),SUMPRODUCT(($AZ19&gt;=INDEX('Methodology &amp; Sources'!$B$167:$J$179,0,7))*INDEX('Methodology &amp; Sources'!$B$167:$J$179,0,7+2)))),"")))))))</f>
      </c>
      <c r="CB19" s="24">
        <f>IF($B19="","",IF($AN19="CA",SUMPRODUCT(($AJ19&gt;=INDEX('Methodology &amp; Sources'!$B$39:$J$48,0,IF($AU19="Married",4,IF($AU19="Head of household",7,1))))*INDEX('Methodology &amp; Sources'!$B$39:$J$48,0,IF($AU19="Married",4,IF($AU19="Head of household",7,1))+2)),IF($AN19="HI",IF($AU19="Married",SUMPRODUCT(($AZ19&gt;=INDEX('Methodology &amp; Sources'!$B$91:$J$98,0,7))*INDEX('Methodology &amp; Sources'!$B$91:$J$98,0,7+2)),SUMPRODUCT(($AZ19&gt;=INDEX('Methodology &amp; Sources'!$B$91:$J$98,0,4))*INDEX('Methodology &amp; Sources'!$B$91:$J$98,0,4+2))),IF($AN19="MN",IF($AU19="Married",SUMPRODUCT(($AZ19&gt;=INDEX('Methodology &amp; Sources'!$B$114:$J$120,0,7))*INDEX('Methodology &amp; Sources'!$B$114:$J$120,0,7+2)),SUMPRODUCT(($AZ19&gt;=INDEX('Methodology &amp; Sources'!$B$114:$J$120,0,4))*INDEX('Methodology &amp; Sources'!$B$114:$J$120,0,4+2))),IF($AN19="MO",SUMPRODUCT(($AZ19&gt;=INDEX('Methodology &amp; Sources'!$B$125:$J$132,0,1))*INDEX('Methodology &amp; Sources'!$B$125:$J$132,0,1+2)),IF($AN19="NE",MAX(IF($AU19="Married",SUMPRODUCT(($AZ19&gt;=INDEX('Methodology &amp; Sources'!$B$144:$J$150,0,7))*INDEX('Methodology &amp; Sources'!$B$144:$J$150,0,7+2)),SUMPRODUCT(($AZ19&gt;=INDEX('Methodology &amp; Sources'!$B$144:$J$150,0,4))*INDEX('Methodology &amp; Sources'!$B$144:$J$150,0,4+2))),0.015),IF($AN19="OH",IF($B19&gt;=DATE(2027,8,1),SUMPRODUCT(($AZ19&gt;=INDEX('Methodology &amp; Sources'!$B$203:$J$206,0,1))*INDEX('Methodology &amp; Sources'!$B$203:$J$206,0,1+2)),SUMPRODUCT(($AZ19&gt;=INDEX('Methodology &amp; Sources'!$B$184:$J$198,0,7))*INDEX('Methodology &amp; Sources'!$B$184:$J$198,0,7+2))),IF($AN19="OK",IF($AU19="Married",SUMPRODUCT(($AZ19&gt;=INDEX('Methodology &amp; Sources'!$B$203:$J$206,0,7))*INDEX('Methodology &amp; Sources'!$B$203:$J$206,0,7+2)),SUMPRODUCT(($AZ19&gt;=INDEX('Methodology &amp; Sources'!$B$203:$J$206,0,4))*INDEX('Methodology &amp; Sources'!$B$203:$J$206,0,4+2))),IF($AN19="RI",SUMPRODUCT(($AZ19&gt;=INDEX('Methodology &amp; Sources'!$B$211:$J$214,0,7))*INDEX('Methodology &amp; Sources'!$B$211:$J$214,0,7+2)),IF($AN19="SC",SUMPRODUCT(($AZ19&gt;=INDEX('Methodology &amp; Sources'!$B$219:$J$223,0,1))*INDEX('Methodology &amp; Sources'!$B$219:$J$223,0,1+2)),IF($AN19="VT",IF($AU19="Married",SUMPRODUCT(($AZ19&gt;=INDEX('Methodology &amp; Sources'!$B$228:$J$232,0,1))*INDEX('Methodology &amp; Sources'!$B$228:$J$232,0,1+2)),SUMPRODUCT(($AZ19&gt;=INDEX('Methodology &amp; Sources'!$B$219:$J$223,0,7))*INDEX('Methodology &amp; Sources'!$B$219:$J$223,0,7+2))),IF($AN19="WV",IF($AU19="Married",SUMPRODUCT(($AZ19&gt;=INDEX('Methodology &amp; Sources'!$B$237:$J$241,0,7))*INDEX('Methodology &amp; Sources'!$B$237:$J$241,0,7+2)),SUMPRODUCT(($AZ19&gt;=INDEX('Methodology &amp; Sources'!$B$228:$J$232,0,7))*INDEX('Methodology &amp; Sources'!$B$228:$J$232,0,7+2))),IF($AN19="IN",(0.0295+'Inputs 2'!$C$76),"")))))))))))))</f>
      </c>
      <c r="CC19" s="24">
        <f>IF($B19="","",IF($AN19="AR",SUMPRODUCT(($AZ19&gt;=INDEX('Methodology &amp; Sources'!$B$82:$J$86,0,7))*INDEX('Methodology &amp; Sources'!$B$82:$J$86,0,7+2)),IF($AN19="DE",SUMPRODUCT(($AZ19&gt;=INDEX('Methodology &amp; Sources'!$B$91:$J$98,0,1))*INDEX('Methodology &amp; Sources'!$B$91:$J$98,0,1+2)),IF($AN19="VA",SUMPRODUCT(($AZ19&gt;=INDEX('Methodology &amp; Sources'!$B$219:$J$223,0,4))*INDEX('Methodology &amp; Sources'!$B$219:$J$223,0,4+2)),IF($AN19="WI",SUMPRODUCT(($AZ19&gt;=INDEX('Methodology &amp; Sources'!$B$228:$J$232,0,4))*INDEX('Methodology &amp; Sources'!$B$228:$J$232,0,4+2)),IF($AN19="AZ",'Inputs 2'!$C$82,IF($AN19="CO",IF($AY19&gt;IF($AU19="Married",10000,5000),0.044,0),IF($AN19="IA",IF($AY19&gt;IF($AU19="Head of household",19500,IF($AU19="Married",26000,13000)),0.038,0),IF($AN19="ID",IF($AY19&gt;IF($AU19="Married",32000,16094),0.053,0),IF($AN19="IL",IF($AY19&gt;(2925*$AS19+1000*$AT19),0.0495,0),IF($AN19="KY",IF($AI19&gt;3360,0.035,0),IF($AN19="LA",0.0309,IF($AN19="MA",IF(MAX(0,$AY19-MIN(($BD18+$Q19+$R19+$S19),2000)-IF($AS19=0,0,IF($AS19=1,4400,1000*$AS19+3400)))&gt;=1107750,0.09,0.05),IF($AN19="MS",IF($AI19-IF($AU19="Head of household",3400,IF($AU19="Married",4600,2300))-'Inputs 2'!$C$85&gt;10000,0.04,0),IF($AN19="PA",0.0307,"")))))))))))))))</f>
      </c>
      <c r="CD19" s="21">
        <f>IF(YEAR(IF('Inputs 2'!$C$7="Weekly",'Inputs 2'!$C$9+7*(($BE18+1)-1),IF('Inputs 2'!$C$7="Biweekly",'Inputs 2'!$C$9+14*(($BE18+1)-1),IF('Inputs 2'!$C$7="Semimonthly",DATE(YEAR('Inputs 2'!$C$9),MONTH('Inputs 2'!$C$9)+INT((($BE18+1)-1)/2),MIN(DAY('Inputs 2'!$C$9),DAY(EOMONTH(DATE(YEAR('Inputs 2'!$C$9),MONTH('Inputs 2'!$C$9)+INT((($BE18+1)-1)/2),1),0))))+IF(MOD(($BE18+1)-1,2)=1,15,0),EDATE('Inputs 2'!$C$9,($BE18+1)-1)))))&lt;&gt;'Inputs 2'!$C$10,"",IF('Inputs 2'!$C$7="Weekly",'Inputs 2'!$C$9+7*(($BE18+1)-1),IF('Inputs 2'!$C$7="Biweekly",'Inputs 2'!$C$9+14*(($BE18+1)-1),IF('Inputs 2'!$C$7="Semimonthly",DATE(YEAR('Inputs 2'!$C$9),MONTH('Inputs 2'!$C$9)+INT((($BE18+1)-1)/2),MIN(DAY('Inputs 2'!$C$9),DAY(EOMONTH(DATE(YEAR('Inputs 2'!$C$9),MONTH('Inputs 2'!$C$9)+INT((($BE18+1)-1)/2),1),0))))+IF(MOD(($BE18+1)-1,2)=1,15,0),EDATE('Inputs 2'!$C$9,($BE18+1)-1)))))</f>
      </c>
      <c r="CE19" s="21">
        <f>IF(SUMPRODUCT(MIN(IF(('Inputs 2'!$C$58:$C$67&gt;MAX($B$6:$B18))*('Inputs 2'!$C$58:$C$67&gt;=DATE('Inputs 2'!$C$10,1,1))*('Inputs 2'!$C$58:$C$67&lt;=DATE('Inputs 2'!$C$10,12,31)),'Inputs 2'!$C$58:$C$67,999999)))=999999,"",SUMPRODUCT(MIN(IF(('Inputs 2'!$C$58:$C$67&gt;MAX($B$6:$B18))*('Inputs 2'!$C$58:$C$67&gt;=DATE('Inputs 2'!$C$10,1,1))*('Inputs 2'!$C$58:$C$67&lt;=DATE('Inputs 2'!$C$10,12,31)),'Inputs 2'!$C$58:$C$67,999999))))</f>
      </c>
    </row>
    <row r="20">
      <c r="A20" t="n">
        <v>15</v>
      </c>
      <c r="B20" s="21">
        <f>IF(AND($CD20="",$CE20=""),"",IF($CE20="",$CD20,IF($CD20="",$CE20,MIN($CD20,$CE20))))</f>
      </c>
      <c r="C20" s="7">
        <f>IF($B20="","",IF($BF20=0,0,IF('Inputs 2'!$C$4="Annual salary",ROUND($AK20/IF(AND('Inputs 2'!$C$88="Actual paydays",MONTH('Inputs 2'!$C$9)=1),MAX(1,MAX($BE$6:$BE$68)),'Inputs 2'!$C$8),2),$AK20)))</f>
      </c>
      <c r="D20" s="7">
        <f>IF($B20="","",SUMIF('Inputs 2'!$C$58:$C$67,$B20,'Inputs 2'!$D$58:$D$67))</f>
      </c>
      <c r="E20" s="7">
        <f>IF($B20="","",ROUND(MAX(0,MIN(IF($AL20="Percent",$AM20*($C20+$D20),$AM20),MAX(0,'Inputs 2'!$C$34-$AC19))),2))</f>
      </c>
      <c r="F20" s="7">
        <f>IF($B20="","",ROUND(MAX(0,MIN(IF('Inputs 2'!$C$32="Percent",'Inputs 2'!$D$32*($C20+$D20),'Inputs 2'!$D$32),MAX(0,'Inputs 2'!$C$34-$AC19-$E20))),2))</f>
      </c>
      <c r="G20" s="7">
        <f>IF($B20="","",IF($BF20=0,0,ROUND(MAX(0,MIN($BL20,'Inputs 2'!$C$37-'Inputs 2'!$C$54-$BI19)),2)))</f>
      </c>
      <c r="H20" s="7">
        <f>IF($B20="","",IF(OR($BF20=0,$BQ20=1),0,ROUND(MAX(0,MIN(IF($BS20=1,ROUND(MAX(0,MIN($BJ20,'Methodology &amp; Sources'!$C$13)-$BG19)/MAX(1,MAX($BE$6:$BE$68)-($BE19)),2),ROUND(MIN($BJ20,'Methodology &amp; Sources'!$C$13)/'Inputs 2'!$C$8,2)),MIN($BJ20,'Methodology &amp; Sources'!$C$13)-$BG19)),2)))</f>
      </c>
      <c r="I20" s="7">
        <f>IF($B20="","",IF(OR($BF20=0,$BR20=1),0,ROUND(MAX(0,MIN(IF($BT20=1,ROUND(MAX(0,MIN($BK20,IF('Inputs 2'!$C$12="MFJ",'Methodology &amp; Sources'!$C$14,'Methodology &amp; Sources'!$C$15))-$BH19)/MAX(1,MAX($BE$6:$BE$68)-($BE19)),2),ROUND(MIN($BK20,IF('Inputs 2'!$C$12="MFJ",'Methodology &amp; Sources'!$C$14,'Methodology &amp; Sources'!$C$15))/'Inputs 2'!$C$8,2)),MIN($BK20,IF('Inputs 2'!$C$12="MFJ",'Methodology &amp; Sources'!$C$14,'Methodology &amp; Sources'!$C$15))-$BH19)),2)))</f>
      </c>
      <c r="J20" s="7">
        <f>IF($B20="","",IF($BF20=0,0,$BM20))</f>
      </c>
      <c r="K20" s="7">
        <f>IF($B20="","",IF($BF20=0,0,$BN20+$BO20))</f>
      </c>
      <c r="L20" s="7">
        <f>IF($B20="","",IF($BF20=0,0,'Inputs 2'!$D$46))</f>
      </c>
      <c r="M20" s="7">
        <f>IF($B20="","",$C20+$D20+$L20-$E20-$G20-$H20-$I20-$J20-$K20)</f>
      </c>
      <c r="N20" s="7">
        <f>IF($B20="","",$C20+$D20+$L20-$G20-$H20-$I20-$J20-$K20)</f>
      </c>
      <c r="O20" s="7">
        <f>IF($B20="","",$C20+$D20+$L20-$E20-$H20-$I20-$J20-$K20-IF(OR($AN20="CA",$AN20="NJ"),0,$G20))</f>
      </c>
      <c r="P20" s="7">
        <f>IF($B20="","",IF('Inputs 2'!$C$18,0,ROUND(MAX(0,IF('Inputs 2'!$C$13,SUMPRODUCT(($AH20&gt;INDEX('Methodology &amp; Sources'!$B$29:$J$36,0,IF('Inputs 2'!$C$12="MFJ",1,IF('Inputs 2'!$C$12="HoH",7,4))))*($AH20-INDEX('Methodology &amp; Sources'!$B$29:$J$36,0,IF('Inputs 2'!$C$12="MFJ",1,IF('Inputs 2'!$C$12="HoH",7,4))))*INDEX('Methodology &amp; Sources'!$B$29:$J$36,0,IF('Inputs 2'!$C$12="MFJ",1,IF('Inputs 2'!$C$12="HoH",7,4))+2)),SUMPRODUCT(($AH20&gt;INDEX('Methodology &amp; Sources'!$B$19:$J$26,0,IF('Inputs 2'!$C$12="MFJ",1,IF('Inputs 2'!$C$12="HoH",7,4))))*($AH20-INDEX('Methodology &amp; Sources'!$B$19:$J$26,0,IF('Inputs 2'!$C$12="MFJ",1,IF('Inputs 2'!$C$12="HoH",7,4))))*INDEX('Methodology &amp; Sources'!$B$19:$J$26,0,IF('Inputs 2'!$C$12="MFJ",1,IF('Inputs 2'!$C$12="HoH",7,4))+2)))/'Inputs 2'!$C$8-$AO20/'Inputs 2'!$C$8)+$AR20+IF('Inputs 2'!$C$89="Aggregate",MAX(0,IF('Inputs 2'!$C$13,SUMPRODUCT((($AH20+$D20)&gt;INDEX('Methodology &amp; Sources'!$B$29:$J$36,0,IF('Inputs 2'!$C$12="MFJ",1,IF('Inputs 2'!$C$12="HoH",7,4))))*(($AH20+$D20)-INDEX('Methodology &amp; Sources'!$B$29:$J$36,0,IF('Inputs 2'!$C$12="MFJ",1,IF('Inputs 2'!$C$12="HoH",7,4))))*INDEX('Methodology &amp; Sources'!$B$29:$J$36,0,IF('Inputs 2'!$C$12="MFJ",1,IF('Inputs 2'!$C$12="HoH",7,4))+2)),SUMPRODUCT((($AH20+$D20)&gt;INDEX('Methodology &amp; Sources'!$B$19:$J$26,0,IF('Inputs 2'!$C$12="MFJ",1,IF('Inputs 2'!$C$12="HoH",7,4))))*(($AH20+$D20)-INDEX('Methodology &amp; Sources'!$B$19:$J$26,0,IF('Inputs 2'!$C$12="MFJ",1,IF('Inputs 2'!$C$12="HoH",7,4))))*INDEX('Methodology &amp; Sources'!$B$19:$J$26,0,IF('Inputs 2'!$C$12="MFJ",1,IF('Inputs 2'!$C$12="HoH",7,4))+2)))-IF('Inputs 2'!$C$13,SUMPRODUCT(($AH20&gt;INDEX('Methodology &amp; Sources'!$B$29:$J$36,0,IF('Inputs 2'!$C$12="MFJ",1,IF('Inputs 2'!$C$12="HoH",7,4))))*($AH20-INDEX('Methodology &amp; Sources'!$B$29:$J$36,0,IF('Inputs 2'!$C$12="MFJ",1,IF('Inputs 2'!$C$12="HoH",7,4))))*INDEX('Methodology &amp; Sources'!$B$29:$J$36,0,IF('Inputs 2'!$C$12="MFJ",1,IF('Inputs 2'!$C$12="HoH",7,4))+2)),SUMPRODUCT(($AH20&gt;INDEX('Methodology &amp; Sources'!$B$19:$J$26,0,IF('Inputs 2'!$C$12="MFJ",1,IF('Inputs 2'!$C$12="HoH",7,4))))*($AH20-INDEX('Methodology &amp; Sources'!$B$19:$J$26,0,IF('Inputs 2'!$C$12="MFJ",1,IF('Inputs 2'!$C$12="HoH",7,4))))*INDEX('Methodology &amp; Sources'!$B$19:$J$26,0,IF('Inputs 2'!$C$12="MFJ",1,IF('Inputs 2'!$C$12="HoH",7,4))+2)))),'Methodology &amp; Sources'!$C$10*$D20),2)))</f>
      </c>
      <c r="Q20" s="7">
        <f>IF($B20="","",ROUND('Methodology &amp; Sources'!$C$4*MIN($N20,MAX(0,'Methodology &amp; Sources'!$C$3-($AX20+$AB19-$AW20))),2))</f>
      </c>
      <c r="R20" s="7">
        <f>IF($B20="","",ROUND('Methodology &amp; Sources'!$C$5*$N20,2))</f>
      </c>
      <c r="S20" s="7">
        <f>IF($B20="","",ROUND('Methodology &amp; Sources'!$C$6*MAX(0,MIN($N20,$AG19+$N20-'Methodology &amp; Sources'!$C$7)),2))</f>
      </c>
      <c r="T20" s="7">
        <f>IF($B20="","",IF('Inputs 2'!$C$26,0,IF($AN20="CA",ROUND(IF($AI20&lt;=IF(($AS20+$AT20)&gt;=2,VLOOKUP($AN20,StateTables!$A$6:$AB$56,10,FALSE),VLOOKUP($AN20,StateTables!$A$6:$AB$56,9,FALSE)),0,MAX(0,SUMPRODUCT(($AJ20&gt;INDEX('Methodology &amp; Sources'!$B$39:$J$48,0,IF($AU20="Married",4,IF($AU20="Head of household",7,1))))*($AJ20-INDEX('Methodology &amp; Sources'!$B$39:$J$48,0,IF($AU20="Married",4,IF($AU20="Head of household",7,1))))*INDEX('Methodology &amp; Sources'!$B$39:$J$48,0,IF($AU20="Married",4,IF($AU20="Head of household",7,1))+2))-VLOOKUP($AN20,StateTables!$A$6:$AB$56,11,FALSE)*$AS20)/'Inputs 2'!$C$8)+'Inputs 2'!$C$25+VLOOKUP($AN20,StateTables!$A$6:$AB$56,13,FALSE)*$D20,2),IF(VLOOKUP($AN20,StateTables!$A$6:$AB$56,4,FALSE)="None",0,IF(ISNUMBER(SEARCH("MANUAL",VLOOKUP($AN20,StateTables!$A$6:$AB$56,5,FALSE))),'Inputs 2'!$C$28,ROUND(MAX(0,$BA20+$BB20)/'Inputs 2'!$C$8+'Inputs 2'!$C$25+$BC20,2))))))</f>
      </c>
      <c r="U20" s="7">
        <f>IF($B20="","",IF(VLOOKUP($AN20,StateTables!$A$6:$AB$56,24,FALSE)="flatq",IF(OR(MONTH($B20)=1,MONTH($B20)=4,MONTH($B20)=7,MONTH($B20)=10),VLOOKUP($AN20,StateTables!$A$6:$AB$56,25,FALSE),0),IF(VLOOKUP($AN20,StateTables!$A$6:$AB$56,24,FALSE)="dbl",MIN(ROUND(0.005*$N20,2),ROUND(0.6*52/'Inputs 2'!$C$8,2)),IF(OR(VLOOKUP($AN20,StateTables!$A$6:$AB$56,15,FALSE)="",VLOOKUP($AN20,StateTables!$A$6:$AB$56,15,FALSE)=0),0,ROUND(VLOOKUP($AN20,StateTables!$A$6:$AB$56,15,FALSE)*IF(OR(VLOOKUP($AN20,StateTables!$A$6:$AB$56,16,FALSE)="",VLOOKUP($AN20,StateTables!$A$6:$AB$56,16,FALSE)=0),$N20,MIN($N20,MAX(0,VLOOKUP($AN20,StateTables!$A$6:$AB$56,16,FALSE)-($AX20+$AB19-$AW20)))),2))))+IF(VLOOKUP($AN20,StateTables!$A$6:$AB$56,27,FALSE)="flatq",IF(OR(MONTH($B20)=1,MONTH($B20)=4,MONTH($B20)=7,MONTH($B20)=10),VLOOKUP($AN20,StateTables!$A$6:$AB$56,28,FALSE),0),IF(VLOOKUP($AN20,StateTables!$A$6:$AB$56,27,FALSE)="dbl",MIN(ROUND(0.005*$N20,2),ROUND(0.6*52/'Inputs 2'!$C$8,2)),IF(OR(VLOOKUP($AN20,StateTables!$A$6:$AB$56,18,FALSE)="",VLOOKUP($AN20,StateTables!$A$6:$AB$56,18,FALSE)=0),0,ROUND(VLOOKUP($AN20,StateTables!$A$6:$AB$56,18,FALSE)*IF(OR(VLOOKUP($AN20,StateTables!$A$6:$AB$56,19,FALSE)="",VLOOKUP($AN20,StateTables!$A$6:$AB$56,19,FALSE)=0),$N20,MIN($N20,MAX(0,VLOOKUP($AN20,StateTables!$A$6:$AB$56,19,FALSE)-($AX20+$AB19-$AW20)))),2)))))</f>
      </c>
      <c r="V20" s="7">
        <f>IF($B20="","",IF($AN20="NY",IF('Inputs 2'!$C$78,ROUND(SUMPRODUCT((MAX(0,($O20-$D20)*'Inputs 2'!$C$8-(IF($AU20="Married",5500,5000)+1000*$AS20))&gt;INDEX('Methodology &amp; Sources'!$B$184:$J$198,0,4))*(MAX(0,($O20-$D20)*'Inputs 2'!$C$8-(IF($AU20="Married",5500,5000)+1000*$AS20))-INDEX('Methodology &amp; Sources'!$B$184:$J$198,0,4))*INDEX('Methodology &amp; Sources'!$B$184:$J$198,0,4+2))/'Inputs 2'!$C$8+0.0425*$D20,2),0)+IF('Inputs 2'!$C$79="Resident",ROUND(0.1675*$T20,2),IF('Inputs 2'!$C$79="Nonresident",ROUND(0.005*MAX(0,($O20-$D20)-(IF($AU20="Married",7950,7400)+1000*$AS20)/'Inputs 2'!$C$8),2),0)),IF($AN20="PA",IF('Inputs 2'!$C$80="None",'Inputs 2'!$C$27+ROUND('Inputs 2'!$C$81*($C20+$D20),2),ROUND(IF('Inputs 2'!$C$80="Resident",IF($B20&lt;DATE(2027,7,1),0.03735,0.03735),IF($B20&lt;DATE(2027,7,1),0.03425,0.03425))*($C20+$D20),2)),IF($BF20=0,ROUND('Inputs 2'!$C$81*($C20+$D20),2),'Inputs 2'!$C$27+ROUND('Inputs 2'!$C$81*($C20+$D20),2)))))</f>
      </c>
      <c r="W20" s="7">
        <f>IF($B20="","",IF($BF20=0,0,$BP20))</f>
      </c>
      <c r="X20" s="7">
        <f>IF($B20="","",SUM($E20:$K20)+$P20+$Q20+$R20+$S20+$T20+$U20+$V20+$W20)</f>
      </c>
      <c r="Y20" s="22">
        <f>IF($B20="","",$C20+$D20-$X20)</f>
      </c>
      <c r="Z20" s="7">
        <f>IF($B20="","",$Z19+$C20+$D20)</f>
      </c>
      <c r="AA20" s="7">
        <f>IF($B20="","",$AA19+$Y20)</f>
      </c>
      <c r="AB20" s="7">
        <f>IF($B20="","",$AB19+MIN($N20,MAX(0,'Methodology &amp; Sources'!$C$3-($AX20+$AB19-$AW20))))</f>
      </c>
      <c r="AC20" s="7">
        <f>IF($B20="","",$AC19+$E20+$F20)</f>
      </c>
      <c r="AD20" s="3">
        <f>IF($B20="","",IF(AND($AB19&lt;'Methodology &amp; Sources'!$C$3,$AB20&gt;='Methodology &amp; Sources'!$C$3),"★ Social Security maxed on this check — from the next check your net rises by about $"&amp;TEXT(ROUND('Methodology &amp; Sources'!$C$4*$N20,2),"#,##0.00")&amp;". ","")&amp;IF(AND($AC19&lt;'Inputs 2'!$C$34,$AC20&gt;='Inputs 2'!$C$34),"★ 401(k) reaches the $"&amp;TEXT('Inputs 2'!$C$34,"#,##0")&amp;" cap on this check — deferrals stop and net pay rises. ","")&amp;IF(AND($AG19&lt;'Methodology &amp; Sources'!$C$7,$AG20&gt;='Methodology &amp; Sources'!$C$7),"★ Wages pass $200,000 — the 0.9% Additional Medicare Tax starts here. ","")&amp;IF(AND($BJ20&gt;0,$H20&gt;0,$BG19&lt;MIN($BJ20,'Methodology &amp; Sources'!$C$13),$BG19+$H20&gt;=MIN($BJ20,'Methodology &amp; Sources'!$C$13)),"★ Health FSA election is now fully deferred for the year. ",""))</f>
      </c>
      <c r="AE20" s="41" t="n"/>
      <c r="AF20" s="7">
        <f>IF(OR($B20="",$AE20=""),"",$AE20-$Y20)</f>
      </c>
      <c r="AG20" s="7">
        <f>IF($B20="","",$AG19+$N20)</f>
      </c>
      <c r="AH20" s="7">
        <f>IF($B20="","",MAX(0,($M20-$D20)*'Inputs 2'!$C$8+$AP20-$AQ20-IF('Inputs 2'!$C$13,0,IF('Inputs 2'!$C$12="MFJ",'Methodology &amp; Sources'!$C$8,'Methodology &amp; Sources'!$C$9))))</f>
      </c>
      <c r="AI20" s="7">
        <f>IF($B20="","",$O20*'Inputs 2'!$C$8)</f>
      </c>
      <c r="AJ20" s="7">
        <f>IF($B20="","",MAX(0,$AI20-VLOOKUP($AN20,StateTables!$A$6:$AB$56,12,FALSE)*$AT20-IF(($AS20+$AT20)&gt;=2,VLOOKUP($AN20,StateTables!$A$6:$AB$56,8,FALSE),VLOOKUP($AN20,StateTables!$A$6:$AB$56,7,FALSE))))</f>
      </c>
      <c r="AK20" s="7">
        <f>IF($B20="","",IFERROR(LOOKUP(2,1/(('Events 2'!$C$6:$C$17="Salary change")*('Events 2'!$B$6:$B$17&lt;=$B20)*('Events 2'!$B$6:$B$17&lt;&gt;"")),'Events 2'!$D$6:$D$17),IF('Inputs 2'!$C$4="Annual salary",'Inputs 2'!$C$5,'Inputs 2'!$C$6)))</f>
      </c>
      <c r="AL20">
        <f>IF($B20="","",IFERROR(LOOKUP(2,1/(('Events 2'!$C$6:$C$17="401(k) change")*('Events 2'!$B$6:$B$17&lt;=$B20)*('Events 2'!$B$6:$B$17&lt;&gt;"")),'Events 2'!$D$6:$D$17),'Inputs 2'!$C$30))</f>
      </c>
      <c r="AM20" s="7">
        <f>IF($B20="","",IFERROR(LOOKUP(2,1/(('Events 2'!$C$6:$C$17="401(k) change")*('Events 2'!$B$6:$B$17&lt;=$B20)*('Events 2'!$B$6:$B$17&lt;&gt;"")),'Events 2'!$E$6:$E$17),'Inputs 2'!$D$30))</f>
      </c>
      <c r="AN20">
        <f>IF($B20="","",IFERROR(LOOKUP(2,1/(('Events 2'!$C$6:$C$17="State move")*('Events 2'!$B$6:$B$17&lt;=$B20)*('Events 2'!$B$6:$B$17&lt;&gt;"")),'Events 2'!$D$6:$D$17),'Inputs 2'!$C$21))</f>
      </c>
      <c r="AO20" s="7">
        <f>IF($B20="","",IFERROR(LOOKUP(2,1/(('Events 2'!$C$6:$C$17="W-4 change")*('Events 2'!$B$6:$B$17&lt;=$B20)*('Events 2'!$B$6:$B$17&lt;&gt;"")),'Events 2'!$D$6:$D$17),'Inputs 2'!$C$14))</f>
      </c>
      <c r="AP20" s="7">
        <f>IF($B20="","",IFERROR(LOOKUP(2,1/(('Events 2'!$C$6:$C$17="W-4 change")*('Events 2'!$B$6:$B$17&lt;=$B20)*('Events 2'!$B$6:$B$17&lt;&gt;"")),'Events 2'!$E$6:$E$17),'Inputs 2'!$C$15))</f>
      </c>
      <c r="AQ20" s="7">
        <f>IF($B20="","",IFERROR(LOOKUP(2,1/(('Events 2'!$C$6:$C$17="W-4 change")*('Events 2'!$B$6:$B$17&lt;=$B20)*('Events 2'!$B$6:$B$17&lt;&gt;"")),'Events 2'!$F$6:$F$17),'Inputs 2'!$C$16))</f>
      </c>
      <c r="AR20" s="7">
        <f>IF($B20="","",IFERROR(LOOKUP(2,1/(('Events 2'!$C$6:$C$17="W-4 change")*('Events 2'!$B$6:$B$17&lt;=$B20)*('Events 2'!$B$6:$B$17&lt;&gt;"")),'Events 2'!$G$6:$G$17),'Inputs 2'!$C$17))</f>
      </c>
      <c r="AS20" s="6">
        <f>IF($B20="","",IFERROR(LOOKUP(2,1/((('Events 2'!$C$6:$C$17="State move")+('Events 2'!$C$6:$C$17="State cert change"))*('Events 2'!$B$6:$B$17&lt;=$B20)*('Events 2'!$B$6:$B$17&lt;&gt;"")),'Events 2'!$F$6:$F$17),'Inputs 2'!$C$23))</f>
      </c>
      <c r="AT20" s="6">
        <f>IF($B20="","",IFERROR(LOOKUP(2,1/((('Events 2'!$C$6:$C$17="State move")+('Events 2'!$C$6:$C$17="State cert change"))*('Events 2'!$B$6:$B$17&lt;=$B20)*('Events 2'!$B$6:$B$17&lt;&gt;"")),'Events 2'!$G$6:$G$17),'Inputs 2'!$C$24))</f>
      </c>
      <c r="AU20">
        <f>IF($B20="","",IFERROR(LOOKUP(2,1/(('Events 2'!$C$6:$C$17="State move")*('Events 2'!$B$6:$B$17&lt;=$B20)*('Events 2'!$B$6:$B$17&lt;&gt;"")),'Events 2'!$E$6:$E$17),'Inputs 2'!$C$22))</f>
      </c>
      <c r="AV20" s="6">
        <f>IF($B20="","",1+COUNTIFS('Events 2'!$C$6:$C$17,"Employer change",'Events 2'!$B$6:$B$17,"&lt;="&amp;$B20,'Events 2'!$B$6:$B$17,"&lt;&gt;"))</f>
      </c>
      <c r="AW20" s="7">
        <f>IF($B20="","",IF($AV20=1,'Inputs 2'!$C$49,IF(IFERROR(MATCH(IFERROR(LOOKUP(2,1/(('Events 2'!$C$6:$C$17="Employer change")*('Events 2'!$B$6:$B$17&lt;=$B20)*('Events 2'!$B$6:$B$17&lt;&gt;"")),'Events 2'!$B$6:$B$17),""),$B$6:$B$68,1),1)&lt;=1,'Inputs 2'!$C$49,INDEX($AB$6:$AB$68,MATCH(IFERROR(LOOKUP(2,1/(('Events 2'!$C$6:$C$17="Employer change")*('Events 2'!$B$6:$B$17&lt;=$B20)*('Events 2'!$B$6:$B$17&lt;&gt;"")),'Events 2'!$B$6:$B$17),""),$B$6:$B$68,1)-1))))</f>
      </c>
      <c r="AX20" s="7">
        <f>IF($B20="","",IF($AV20=1,'Inputs 2'!$C$49,IFERROR(LOOKUP(2,1/(('Events 2'!$C$6:$C$17="Employer change")*('Events 2'!$B$6:$B$17&lt;=$B20)*('Events 2'!$B$6:$B$17&lt;&gt;"")),'Events 2'!$D$6:$D$17),0)))</f>
      </c>
      <c r="AY20" s="7">
        <f>IF($B20="","",($O20-$D20)*'Inputs 2'!$C$8)</f>
      </c>
      <c r="AZ20" s="7">
        <f>IF($B20="","",IF($AN20="AL",MAX(0,$AY20-IF($AU20="Married",IF($AY20&lt;=25999,8500,MAX(5000,8500-175*CEILING(($AY20-25999)/500,1))),IF($AU20="Head of household",IF($AY20&lt;=25999,5200,MAX(2500,5200-135*CEILING(($AY20-25999)/500,1))),IF($AY20&lt;=25999,3000,MAX(2500,3000-25*CEILING(($AY20-25999)/500,1)))))-($P20-'Methodology &amp; Sources'!$C$10*$D20)*'Inputs 2'!$C$8-IF(OR($AU20="Married",$AU20="Head of household"),3000,1500)-$AT20*IF($AY20&lt;=50000,1000,IF($AY20&lt;=100000,500,300))),IF($AN20="AR",IF(MAX(0,$AY20-2470)&lt;97701,INT(MAX(0,$AY20-2470)/100)*100+50,MAX(0,$AY20-2470)),IF($AN20="DE",MAX(0,$AI20-3250),IF($AN20="HI",MAX(0,$AI20-1144*$AS20-4350),IF($AN20="KS",MAX(0,$AI20-(9160*IF($AU20="Married",2,1)+2320*$AT20+IF($AU20="Head of household",2320,0))),IF($AN20="MD",MAX(0,$AI20-3400-3200*$AS20),IF($AN20="MN",MAX(0,$AY20-5300*$AS20),IF($AN20="MO",MAX(0,$AI20-IF($AU20="Head of household",24150,IF($AU20="Married",IF('Inputs 2'!$C$83,16100,32200),16100))),IF($AN20="MT",$AY20,IF($AN20="ND",($C20+$L20)*'Inputs 2'!$C$8,IF($AN20="NE",MAX(0,$AY20-2440*$AS20),IF($AN20="NJ",MAX(0,$AY20-1000*$AS20),IF($AN20="NY",MAX(0,$AY20-(IF($AU20="Married",7950,7400)+1000*$AS20)),IF($AN20="OH",MAX(0,$AY20-650*$AS20),IF($AN20="OK",MAX(0,$AY20-1000*$AS20),IF($AN20="RI",MAX(0,$AI20-1000*$AS20),IF($AN20="SC",MAX(0,$AI20-5000*$AS20-IF($AS20=0,0,MIN(0.1*$AI20,7500))),IF($AN20="VA",MAX(0,$AI20-IF($AU20="Married",17500,8750)-930*$AS20-800*$AT20),IF($AN20="VT",MAX(0,$AI20-5400*$AS20),IF($AN20="WI",MAX(0,$AI20-MAX(0,IF($AU20="Married",9461-0.2*MAX(0,$AI20-25727),6702-0.12*MAX(0,$AI20-17780)))-400*$AS20),IF($AN20="WV",MAX(0,$AI20-2000*$AS20),$AI20))))))))))))))))))))))</f>
      </c>
      <c r="BA20" s="7">
        <f>IF($B20="","",IF($BW20&lt;&gt;"",$BW20,IF($BX20&lt;&gt;"",$BX20,IF($BY20&lt;&gt;"",$BY20,0))))</f>
      </c>
      <c r="BB20" s="7">
        <f>IF($B20="","",IF($AN20="AR",-29*$AS20,IF($AN20="DE",-110*$AS20,IF($AN20="MD",$AZ20*'Inputs 2'!$C$74,IF($AN20="AZ",'Inputs 2'!$C$82*($M20-$D20)*'Inputs 2'!$C$8,IF($AN20="CO",0.044*MAX(0,$AY20-IF($AU20="Married",10000,5000)),IF($AN20="IA",MAX(0,0.038*MAX(0,$AY20-IF($AU20="Head of household",19500,IF($AU20="Married",26000,13000)))-40*$AS20),IF($AN20="ID",0.053*MAX(0,$AY20-IF($AU20="Married",32000,16094)),IF($AN20="IL",0.0495*MAX(0,$AY20-(2925*$AS20+1000*$AT20)),IF($AN20="IN",(0.0295+'Inputs 2'!$C$76)*MAX(0,$AY20-(1000*$AS20+1500*$AT20+3000*'Inputs 2'!$C$86)),IF($AN20="KY",0.035*MAX(0,$AI20-3360),IF($AN20="LA",IF('Inputs 2'!$C$84="0",0.0309*$AI20,0.0309*MAX(0,$AI20-IF('Inputs 2'!$C$84="2",25750,12875))),IF($AN20="MA",0.05*MIN(MAX(0,$AY20-MIN(($BD19+$Q20+$R20+$S20),2000)-IF($AS20=0,0,IF($AS20=1,4400,1000*$AS20+3400))),1107750)+0.09*MAX(0,MAX(0,$AY20-MIN(($BD19+$Q20+$R20+$S20),2000)-IF($AS20=0,0,IF($AS20=1,4400,1000*$AS20+3400)))-1107750)-IF($AU20="Head of household",120,0)-110*'Inputs 2'!$C$75,IF($AN20="MI",0.0425*MAX(0,$AY20-5900*$AS20),IF($AN20="MS",0.04*MAX(0,$AI20-IF($AU20="Head of household",3400,IF($AU20="Married",4600,2300))-'Inputs 2'!$C$85-10000),IF($AN20="OR",IF(OR($AU20="Married",AND($AU20="Single",$AS20&gt;=3)),SUMPRODUCT((MAX(0,$AY20-MIN(($P20-'Methodology &amp; Sources'!$C$10*$D20)*'Inputs 2'!$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Sources'!$B$211:$J$214,0,4))*(MAX(0,$AY20-MIN(($P20-'Methodology &amp; Sources'!$C$10*$D20)*'Inputs 2'!$C$8,IF(OR($AU20="Married",AND($AU20="Single",$AS20&gt;=3)),IF($AY20&lt;250000,8750,IF($AY20&lt;260000,7000,IF($AY20&lt;270000,5250,IF($AY20&lt;280000,3500,IF($AY20&lt;290000,1750,0))))),IF($AY20&lt;125000,8750,IF($AY20&lt;130000,7000,IF($AY20&lt;135000,5250,IF($AY20&lt;140000,3500,IF($AY20&lt;145000,1750,0)))))))-IF(OR($AU20="Married",AND($AU20="Single",$AS20&gt;=3)),5820,2910))-INDEX('Methodology &amp; Sources'!$B$211:$J$214,0,4))*INDEX('Methodology &amp; Sources'!$B$211:$J$214,0,4+2)),SUMPRODUCT((MAX(0,$AY20-MIN(($P20-'Methodology &amp; Sources'!$C$10*$D20)*'Inputs 2'!$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Sources'!$B$211:$J$214,0,1))*(MAX(0,$AY20-MIN(($P20-'Methodology &amp; Sources'!$C$10*$D20)*'Inputs 2'!$C$8,IF(OR($AU20="Married",AND($AU20="Single",$AS20&gt;=3)),IF($AY20&lt;250000,8750,IF($AY20&lt;260000,7000,IF($AY20&lt;270000,5250,IF($AY20&lt;280000,3500,IF($AY20&lt;290000,1750,0))))),IF($AY20&lt;125000,8750,IF($AY20&lt;130000,7000,IF($AY20&lt;135000,5250,IF($AY20&lt;140000,3500,IF($AY20&lt;145000,1750,0)))))))-IF(OR($AU20="Married",AND($AU20="Single",$AS20&gt;=3)),5820,2910))-INDEX('Methodology &amp; Sources'!$B$211:$J$214,0,1))*INDEX('Methodology &amp; Sources'!$B$211:$J$214,0,1+2)))+263-263*IF(IF($AU20="Married",$AY20&gt;200000,$AY20&gt;100000),0,$AS20),IF($AN20="PA",0.0307*(($O20+$E20+$G20)*'Inputs 2'!$C$8),IF($AN20="NY",IF($AU20="Married",IF($AZ20&gt;=2155350,0,IF($AZ20&gt;=1077550,0.48,IF($AZ20&gt;=373200,1.21,IF($AZ20&gt;=323200,0.21,IF($AZ20&gt;=211550,-0.19,IF($AZ20&gt;=157650,-2.8,IF($AZ20&gt;=107650,-0.8,IF($AZ20&gt;=96800,0.05,IF($AZ20&gt;=80650,-0.1,IF($AZ20&gt;=13900,0.4,IF($AZ20&gt;=11700,-0.3,IF($AZ20&gt;=8500,0.5,0)))))))))))),IF($AZ20&gt;=1077550,0,IF($AZ20&gt;=265400,4.29,IF($AZ20&gt;=215400,2.29,IF($AZ20&gt;=157650,2.29,IF($AZ20&gt;=107650,0.29,IF($AZ20&gt;=96800,0.05,IF($AZ20&gt;=80650,-0.1,IF($AZ20&gt;=13900,0.4,IF($AZ20&gt;=11700,-0.3,IF($AZ20&gt;=8500,0.5,0))))))))))),0))))))))))))))))))</f>
      </c>
      <c r="BC20" s="7">
        <f>IF($B20="","",IF($AN20="AL",0.05*$D20,IF($AN20="AR",0.039*$D20,IF($AN20="ID",0.053*$D20,IF($AN20="IN",(0.0295+'Inputs 2'!$C$76)*$D20,IF($AN20="KS",0.05*$D20,IF($AN20="MA",0.09*MIN($D20,MAX(0,MAX(0,$AY20-MIN(($BD19+$Q20+$R20+$S20),2000)-IF($AS20=0,0,IF($AS20=1,4400,1000*$AS20+3400)))+$D20-1107750))+0.05*($D20-MIN($D20,MAX(0,MAX(0,$AY20-MIN(($BD19+$Q20+$R20+$S20),2000)-IF($AS20=0,0,IF($AS20=1,4400,1000*$AS20+3400)))+$D20-1107750))),IF($AN20="MD",(0.065+'Inputs 2'!$C$74)*$D20,IF($AN20="MI",0.0425*$D20,IF($AN20="MN",0.0625*$D20,IF($AN20="MO",0.047*$D20,IF($AN20="MT",0.05*$D20,IF($AN20="ND",0.015*$D20,IF($AN20="NE",0.035*$D20,IF($AN20="NJ",IF('Inputs 2'!$C$77="B",SUMPRODUCT(($D20*'Inputs 2'!$C$8&gt;INDEX('Methodology &amp; Sources'!$B$155:$J$162,0,4))*($D20*'Inputs 2'!$C$8-INDEX('Methodology &amp; Sources'!$B$155:$J$162,0,4))*INDEX('Methodology &amp; Sources'!$B$155:$J$162,0,4+2)),IF('Inputs 2'!$C$77="C",SUMPRODUCT(($D20*'Inputs 2'!$C$8&gt;INDEX('Methodology &amp; Sources'!$B$155:$J$162,0,7))*($D20*'Inputs 2'!$C$8-INDEX('Methodology &amp; Sources'!$B$155:$J$162,0,7))*INDEX('Methodology &amp; Sources'!$B$155:$J$162,0,7+2)),IF('Inputs 2'!$C$77="D",SUMPRODUCT(($D20*'Inputs 2'!$C$8&gt;INDEX('Methodology &amp; Sources'!$B$167:$J$179,0,1))*($D20*'Inputs 2'!$C$8-INDEX('Methodology &amp; Sources'!$B$167:$J$179,0,1))*INDEX('Methodology &amp; Sources'!$B$167:$J$179,0,1+2)),IF('Inputs 2'!$C$77="E",SUMPRODUCT(($D20*'Inputs 2'!$C$8&gt;INDEX('Methodology &amp; Sources'!$B$167:$J$179,0,4))*($D20*'Inputs 2'!$C$8-INDEX('Methodology &amp; Sources'!$B$167:$J$179,0,4))*INDEX('Methodology &amp; Sources'!$B$167:$J$179,0,4+2)),SUMPRODUCT(($D20*'Inputs 2'!$C$8&gt;INDEX('Methodology &amp; Sources'!$B$155:$J$162,0,1))*($D20*'Inputs 2'!$C$8-INDEX('Methodology &amp; Sources'!$B$155:$J$162,0,1))*INDEX('Methodology &amp; Sources'!$B$155:$J$162,0,1+2))))))/'Inputs 2'!$C$8,IF($AN20="NY",0.117*$D20,IF($AN20="OH",0.0275*$D20,IF($AN20="OK",0.045*$D20,IF($AN20="OR",0.08*$D20,IF($AN20="WI",IF($AY20&lt;12760,0.0354,IF($AY20&lt;25520,0.0465,IF($AY20&lt;280950,0.053,0.0765)))*$D20,0))))))))))))))))))))</f>
      </c>
      <c r="BD20" s="7">
        <f>IF($B20="","",$BD19+$Q20+$R20+$S20)</f>
      </c>
      <c r="BE20" s="6">
        <f>IF($B20="",$BE19,$BE19+$BF20)</f>
      </c>
      <c r="BF20" s="6">
        <f>IF($B20="","",IF(AND(IF(YEAR(IF('Inputs 2'!$C$7="Weekly",'Inputs 2'!$C$9+7*(($BE19+1)-1),IF('Inputs 2'!$C$7="Biweekly",'Inputs 2'!$C$9+14*(($BE19+1)-1),IF('Inputs 2'!$C$7="Semimonthly",DATE(YEAR('Inputs 2'!$C$9),MONTH('Inputs 2'!$C$9)+INT((($BE19+1)-1)/2),MIN(DAY('Inputs 2'!$C$9),DAY(EOMONTH(DATE(YEAR('Inputs 2'!$C$9),MONTH('Inputs 2'!$C$9)+INT((($BE19+1)-1)/2),1),0))))+IF(MOD(($BE19+1)-1,2)=1,15,0),EDATE('Inputs 2'!$C$9,($BE19+1)-1)))))&lt;&gt;'Inputs 2'!$C$10,"",IF('Inputs 2'!$C$7="Weekly",'Inputs 2'!$C$9+7*(($BE19+1)-1),IF('Inputs 2'!$C$7="Biweekly",'Inputs 2'!$C$9+14*(($BE19+1)-1),IF('Inputs 2'!$C$7="Semimonthly",DATE(YEAR('Inputs 2'!$C$9),MONTH('Inputs 2'!$C$9)+INT((($BE19+1)-1)/2),MIN(DAY('Inputs 2'!$C$9),DAY(EOMONTH(DATE(YEAR('Inputs 2'!$C$9),MONTH('Inputs 2'!$C$9)+INT((($BE19+1)-1)/2),1),0))))+IF(MOD(($BE19+1)-1,2)=1,15,0),EDATE('Inputs 2'!$C$9,($BE19+1)-1)))))&lt;&gt;"",$B20=IF(YEAR(IF('Inputs 2'!$C$7="Weekly",'Inputs 2'!$C$9+7*(($BE19+1)-1),IF('Inputs 2'!$C$7="Biweekly",'Inputs 2'!$C$9+14*(($BE19+1)-1),IF('Inputs 2'!$C$7="Semimonthly",DATE(YEAR('Inputs 2'!$C$9),MONTH('Inputs 2'!$C$9)+INT((($BE19+1)-1)/2),MIN(DAY('Inputs 2'!$C$9),DAY(EOMONTH(DATE(YEAR('Inputs 2'!$C$9),MONTH('Inputs 2'!$C$9)+INT((($BE19+1)-1)/2),1),0))))+IF(MOD(($BE19+1)-1,2)=1,15,0),EDATE('Inputs 2'!$C$9,($BE19+1)-1)))))&lt;&gt;'Inputs 2'!$C$10,"",IF('Inputs 2'!$C$7="Weekly",'Inputs 2'!$C$9+7*(($BE19+1)-1),IF('Inputs 2'!$C$7="Biweekly",'Inputs 2'!$C$9+14*(($BE19+1)-1),IF('Inputs 2'!$C$7="Semimonthly",DATE(YEAR('Inputs 2'!$C$9),MONTH('Inputs 2'!$C$9)+INT((($BE19+1)-1)/2),MIN(DAY('Inputs 2'!$C$9),DAY(EOMONTH(DATE(YEAR('Inputs 2'!$C$9),MONTH('Inputs 2'!$C$9)+INT((($BE19+1)-1)/2),1),0))))+IF(MOD(($BE19+1)-1,2)=1,15,0),EDATE('Inputs 2'!$C$9,($BE19+1)-1)))))),1,0))</f>
      </c>
      <c r="BG20" s="7">
        <f>IF($B20="","",$BG19+$H20)</f>
      </c>
      <c r="BH20" s="7">
        <f>IF($B20="","",$BH19+$I20)</f>
      </c>
      <c r="BI20" s="7">
        <f>IF($B20="","",$BI19+$G20)</f>
      </c>
      <c r="BJ20" s="7">
        <f>IF($B20="","",IFERROR(LOOKUP(2,1/(((('Events 2'!$C$6:$C$17="Deduction start"))*('Events 2'!$D$6:$D$17="Health FSA"))*('Events 2'!$B$6:$B$17&lt;=$B20)*('Events 2'!$B$6:$B$17&lt;&gt;"")),'Events 2'!$E$6:$E$17),'Inputs 2'!$D$38))</f>
      </c>
      <c r="BK20" s="7">
        <f>IF($B20="","",IFERROR(LOOKUP(2,1/(((('Events 2'!$C$6:$C$17="Deduction start"))*('Events 2'!$D$6:$D$17="Dependent-care FSA"))*('Events 2'!$B$6:$B$17&lt;=$B20)*('Events 2'!$B$6:$B$17&lt;&gt;"")),'Events 2'!$E$6:$E$17),'Inputs 2'!$D$39))</f>
      </c>
      <c r="BL20" s="7">
        <f>IF($B20="","",IFERROR(LOOKUP(2,1/(((('Events 2'!$C$6:$C$17="Deduction start")+('Events 2'!$C$6:$C$17="Deduction stop"))*('Events 2'!$D$6:$D$17="HSA"))*('Events 2'!$B$6:$B$17&lt;=$B20)*('Events 2'!$B$6:$B$17&lt;&gt;"")),'Events 2'!$I$6:$I$17),'Inputs 2'!$D$35))</f>
      </c>
      <c r="BM20" s="7">
        <f>IF($B20="","",IFERROR(LOOKUP(2,1/(((('Events 2'!$C$6:$C$17="Deduction start")+('Events 2'!$C$6:$C$17="Deduction stop"))*('Events 2'!$D$6:$D$17="Premiums"))*('Events 2'!$B$6:$B$17&lt;=$B20)*('Events 2'!$B$6:$B$17&lt;&gt;"")),'Events 2'!$I$6:$I$17),'Inputs 2'!$D$40+'Inputs 2'!$D$41+'Inputs 2'!$D$42))</f>
      </c>
      <c r="BN20" s="7">
        <f>IF($B20="","",IFERROR(LOOKUP(2,1/(((('Events 2'!$C$6:$C$17="Deduction start")+('Events 2'!$C$6:$C$17="Deduction stop"))*('Events 2'!$D$6:$D$17="Commuter"))*('Events 2'!$B$6:$B$17&lt;=$B20)*('Events 2'!$B$6:$B$17&lt;&gt;"")),'Events 2'!$I$6:$I$17),'Inputs 2'!$D$43))</f>
      </c>
      <c r="BO20" s="7">
        <f>IF($B20="","",IFERROR(LOOKUP(2,1/(((('Events 2'!$C$6:$C$17="Deduction start")+('Events 2'!$C$6:$C$17="Deduction stop"))*('Events 2'!$D$6:$D$17="Other pre-tax"))*('Events 2'!$B$6:$B$17&lt;=$B20)*('Events 2'!$B$6:$B$17&lt;&gt;"")),'Events 2'!$I$6:$I$17),'Inputs 2'!$D$44))</f>
      </c>
      <c r="BP20" s="7">
        <f>IF($B20="","",IFERROR(LOOKUP(2,1/(((('Events 2'!$C$6:$C$17="Deduction start")+('Events 2'!$C$6:$C$17="Deduction stop"))*('Events 2'!$D$6:$D$17="Other post-tax"))*('Events 2'!$B$6:$B$17&lt;=$B20)*('Events 2'!$B$6:$B$17&lt;&gt;"")),'Events 2'!$I$6:$I$17),'Inputs 2'!$D$45))</f>
      </c>
      <c r="BQ20" s="6">
        <f>IF($B20="","",IFERROR(LOOKUP(2,1/(((('Events 2'!$C$6:$C$17="Deduction start")+('Events 2'!$C$6:$C$17="Deduction stop"))*('Events 2'!$D$6:$D$17="Health FSA"))*('Events 2'!$B$6:$B$17&lt;=$B20)*('Events 2'!$B$6:$B$17&lt;&gt;"")),'Events 2'!$J$6:$J$17),0))</f>
      </c>
      <c r="BR20" s="6">
        <f>IF($B20="","",IFERROR(LOOKUP(2,1/(((('Events 2'!$C$6:$C$17="Deduction start")+('Events 2'!$C$6:$C$17="Deduction stop"))*('Events 2'!$D$6:$D$17="Dependent-care FSA"))*('Events 2'!$B$6:$B$17&lt;=$B20)*('Events 2'!$B$6:$B$17&lt;&gt;"")),'Events 2'!$J$6:$J$17),0))</f>
      </c>
      <c r="BS20" s="6">
        <f>IF($B20="","",IF(SUMPRODUCT(('Events 2'!$C$6:$C$17="Deduction start")*('Events 2'!$B$6:$B$17&lt;=$B20)*('Events 2'!$B$6:$B$17&lt;&gt;"")*('Events 2'!$D$6:$D$17="Health FSA"))&gt;0,1,0))</f>
      </c>
      <c r="BT20" s="6">
        <f>IF($B20="","",IF(SUMPRODUCT(('Events 2'!$C$6:$C$17="Deduction start")*('Events 2'!$B$6:$B$17&lt;=$B20)*('Events 2'!$B$6:$B$17&lt;&gt;"")*('Events 2'!$D$6:$D$17="Dependent-care FSA"))&gt;0,1,0))</f>
      </c>
      <c r="BU20" s="24">
        <f>IF($B20="","",IF('Inputs 2'!$C$13,SUMPRODUCT(($AH20&gt;=INDEX('Methodology &amp; Sources'!$B$29:$J$36,0,IF('Inputs 2'!$C$12="MFJ",1,IF('Inputs 2'!$C$12="HoH",7,4))))*INDEX('Methodology &amp; Sources'!$B$29:$J$36,0,IF('Inputs 2'!$C$12="MFJ",1,IF('Inputs 2'!$C$12="HoH",7,4))+2)),SUMPRODUCT(($AH20&gt;=INDEX('Methodology &amp; Sources'!$B$19:$J$26,0,IF('Inputs 2'!$C$12="MFJ",1,IF('Inputs 2'!$C$12="HoH",7,4))))*INDEX('Methodology &amp; Sources'!$B$19:$J$26,0,IF('Inputs 2'!$C$12="MFJ",1,IF('Inputs 2'!$C$12="HoH",7,4))+2))))</f>
      </c>
      <c r="BV20" s="24">
        <f>IF($B20="","",IF($BZ20&lt;&gt;"",$BZ20,IF($CA20&lt;&gt;"",$CA20,IF($CB20&lt;&gt;"",$CB20,IF($CC20&lt;&gt;"",$CC20,0)))))</f>
      </c>
      <c r="BW20" s="7">
        <f>IF($B20="","",IF($AN20="MD",IF(OR($AU20="Married",$AU20="Head of household"),SUMPRODUCT(($AZ20&gt;INDEX('Methodology &amp; Sources'!$B$114:$J$120,0,1))*($AZ20-INDEX('Methodology &amp; Sources'!$B$114:$J$120,0,1))*INDEX('Methodology &amp; Sources'!$B$114:$J$120,0,1+2)),SUMPRODUCT(($AZ20&gt;INDEX('Methodology &amp; Sources'!$B$103:$J$109,0,7))*($AZ20-INDEX('Methodology &amp; Sources'!$B$103:$J$109,0,7))*INDEX('Methodology &amp; Sources'!$B$103:$J$109,0,7+2))),IF($AN20="MO",SUMPRODUCT(($AZ20&gt;INDEX('Methodology &amp; Sources'!$B$125:$J$132,0,1))*($AZ20-INDEX('Methodology &amp; Sources'!$B$125:$J$132,0,1))*INDEX('Methodology &amp; Sources'!$B$125:$J$132,0,1+2)),IF($AN20="MT",IF($AU20="Head of household",SUMPRODUCT(($AZ20&gt;INDEX('Methodology &amp; Sources'!$B$137:$J$139,0,1))*($AZ20-INDEX('Methodology &amp; Sources'!$B$137:$J$139,0,1))*INDEX('Methodology &amp; Sources'!$B$137:$J$139,0,1+2)),IF($AU20="Married",SUMPRODUCT(($AZ20&gt;INDEX('Methodology &amp; Sources'!$B$125:$J$132,0,7))*($AZ20-INDEX('Methodology &amp; Sources'!$B$125:$J$132,0,7))*INDEX('Methodology &amp; Sources'!$B$125:$J$132,0,7+2)),SUMPRODUCT(($AZ20&gt;INDEX('Methodology &amp; Sources'!$B$125:$J$132,0,4))*($AZ20-INDEX('Methodology &amp; Sources'!$B$125:$J$132,0,4))*INDEX('Methodology &amp; Sources'!$B$125:$J$132,0,4+2)))),IF($AN20="ND",IF($AU20="Head of household",SUMPRODUCT(($AZ20&gt;INDEX('Methodology &amp; Sources'!$B$144:$J$150,0,1))*($AZ20-INDEX('Methodology &amp; Sources'!$B$144:$J$150,0,1))*INDEX('Methodology &amp; Sources'!$B$144:$J$150,0,1+2)),IF($AU20="Married",SUMPRODUCT(($AZ20&gt;INDEX('Methodology &amp; Sources'!$B$137:$J$139,0,7))*($AZ20-INDEX('Methodology &amp; Sources'!$B$137:$J$139,0,7))*INDEX('Methodology &amp; Sources'!$B$137:$J$139,0,7+2)),SUMPRODUCT(($AZ20&gt;INDEX('Methodology &amp; Sources'!$B$137:$J$139,0,4))*($AZ20-INDEX('Methodology &amp; Sources'!$B$137:$J$139,0,4))*INDEX('Methodology &amp; Sources'!$B$137:$J$139,0,4+2)))),IF($AN20="NJ",IF('Inputs 2'!$C$77="B",SUMPRODUCT(($AZ20&gt;INDEX('Methodology &amp; Sources'!$B$155:$J$162,0,4))*($AZ20-INDEX('Methodology &amp; Sources'!$B$155:$J$162,0,4))*INDEX('Methodology &amp; Sources'!$B$155:$J$162,0,4+2)),IF('Inputs 2'!$C$77="C",SUMPRODUCT(($AZ20&gt;INDEX('Methodology &amp; Sources'!$B$155:$J$162,0,7))*($AZ20-INDEX('Methodology &amp; Sources'!$B$155:$J$162,0,7))*INDEX('Methodology &amp; Sources'!$B$155:$J$162,0,7+2)),IF('Inputs 2'!$C$77="D",SUMPRODUCT(($AZ20&gt;INDEX('Methodology &amp; Sources'!$B$167:$J$179,0,1))*($AZ20-INDEX('Methodology &amp; Sources'!$B$167:$J$179,0,1))*INDEX('Methodology &amp; Sources'!$B$167:$J$179,0,1+2)),IF('Inputs 2'!$C$77="E",SUMPRODUCT(($AZ20&gt;INDEX('Methodology &amp; Sources'!$B$167:$J$179,0,4))*($AZ20-INDEX('Methodology &amp; Sources'!$B$167:$J$179,0,4))*INDEX('Methodology &amp; Sources'!$B$167:$J$179,0,4+2)),SUMPRODUCT(($AZ20&gt;INDEX('Methodology &amp; Sources'!$B$155:$J$162,0,1))*($AZ20-INDEX('Methodology &amp; Sources'!$B$155:$J$162,0,1))*INDEX('Methodology &amp; Sources'!$B$155:$J$162,0,1+2)))))),IF($AN20="NY",IF($AU20="Married",IF($AZ20&gt;=2155350,$AZ20*IF($AZ20&gt;25000000,0.117,IF($AZ20&gt;5000000,0.111,0.1045)),SUMPRODUCT(($AZ20&gt;INDEX('Methodology &amp; Sources'!$B$184:$J$198,0,1))*($AZ20-INDEX('Methodology &amp; Sources'!$B$184:$J$198,0,1))*INDEX('Methodology &amp; Sources'!$B$184:$J$198,0,1+2))),IF($AZ20&gt;=1077550,$AZ20*IF($AZ20&gt;25000000,0.117,IF($AZ20&gt;5000000,0.111,0.1045)),SUMPRODUCT(($AZ20&gt;INDEX('Methodology &amp; Sources'!$B$167:$J$179,0,7))*($AZ20-INDEX('Methodology &amp; Sources'!$B$167:$J$179,0,7))*INDEX('Methodology &amp; Sources'!$B$167:$J$179,0,7+2)))),"")))))))</f>
      </c>
      <c r="BX20" s="7">
        <f>IF($B20="","",IF($AN20="AL",IF(OR($AU20="Married",$AU20="Head of household"),SUMPRODUCT(($AZ20&gt;INDEX('Methodology &amp; Sources'!$B$82:$J$86,0,4))*($AZ20-INDEX('Methodology &amp; Sources'!$B$82:$J$86,0,4))*INDEX('Methodology &amp; Sources'!$B$82:$J$86,0,4+2)),SUMPRODUCT(($AZ20&gt;INDEX('Methodology &amp; Sources'!$B$82:$J$86,0,1))*($AZ20-INDEX('Methodology &amp; Sources'!$B$82:$J$86,0,1))*INDEX('Methodology &amp; Sources'!$B$82:$J$86,0,1+2))),IF($AN20="KS",IF($AU20="Married",SUMPRODUCT(($AZ20&gt;INDEX('Methodology &amp; Sources'!$B$103:$J$109,0,4))*($AZ20-INDEX('Methodology &amp; Sources'!$B$103:$J$109,0,4))*INDEX('Methodology &amp; Sources'!$B$103:$J$109,0,4+2)),SUMPRODUCT(($AZ20&gt;INDEX('Methodology &amp; Sources'!$B$103:$J$109,0,1))*($AZ20-INDEX('Methodology &amp; Sources'!$B$103:$J$109,0,1))*INDEX('Methodology &amp; Sources'!$B$103:$J$109,0,1+2))),IF($AN20="MN",IF($AU20="Married",SUMPRODUCT(($AZ20&gt;INDEX('Methodology &amp; Sources'!$B$114:$J$120,0,7))*($AZ20-INDEX('Methodology &amp; Sources'!$B$114:$J$120,0,7))*INDEX('Methodology &amp; Sources'!$B$114:$J$120,0,7+2)),SUMPRODUCT(($AZ20&gt;INDEX('Methodology &amp; Sources'!$B$114:$J$120,0,4))*($AZ20-INDEX('Methodology &amp; Sources'!$B$114:$J$120,0,4))*INDEX('Methodology &amp; Sources'!$B$114:$J$120,0,4+2))),IF($AN20="NE",MAX(IF($AU20="Married",SUMPRODUCT(($AZ20&gt;INDEX('Methodology &amp; Sources'!$B$144:$J$150,0,7))*($AZ20-INDEX('Methodology &amp; Sources'!$B$144:$J$150,0,7))*INDEX('Methodology &amp; Sources'!$B$144:$J$150,0,7+2)),SUMPRODUCT(($AZ20&gt;INDEX('Methodology &amp; Sources'!$B$144:$J$150,0,4))*($AZ20-INDEX('Methodology &amp; Sources'!$B$144:$J$150,0,4))*INDEX('Methodology &amp; Sources'!$B$144:$J$150,0,4+2))),0.015*$AZ20),IF($AN20="OH",IF($B20&gt;=DATE(2027,8,1),SUMPRODUCT(($AZ20&gt;INDEX('Methodology &amp; Sources'!$B$203:$J$206,0,1))*($AZ20-INDEX('Methodology &amp; Sources'!$B$203:$J$206,0,1))*INDEX('Methodology &amp; Sources'!$B$203:$J$206,0,1+2)),SUMPRODUCT(($AZ20&gt;INDEX('Methodology &amp; Sources'!$B$184:$J$198,0,7))*($AZ20-INDEX('Methodology &amp; Sources'!$B$184:$J$198,0,7))*INDEX('Methodology &amp; Sources'!$B$184:$J$198,0,7+2))),IF($AN20="OK",IF($AU20="Married",SUMPRODUCT(($AZ20&gt;INDEX('Methodology &amp; Sources'!$B$203:$J$206,0,7))*($AZ20-INDEX('Methodology &amp; Sources'!$B$203:$J$206,0,7))*INDEX('Methodology &amp; Sources'!$B$203:$J$206,0,7+2)),SUMPRODUCT(($AZ20&gt;INDEX('Methodology &amp; Sources'!$B$203:$J$206,0,4))*($AZ20-INDEX('Methodology &amp; Sources'!$B$203:$J$206,0,4))*INDEX('Methodology &amp; Sources'!$B$203:$J$206,0,4+2))),IF($AN20="RI",SUMPRODUCT(($AZ20&gt;INDEX('Methodology &amp; Sources'!$B$211:$J$214,0,7))*($AZ20-INDEX('Methodology &amp; Sources'!$B$211:$J$214,0,7))*INDEX('Methodology &amp; Sources'!$B$211:$J$214,0,7+2)),IF($AN20="VT",IF($AU20="Married",SUMPRODUCT(($AZ20&gt;INDEX('Methodology &amp; Sources'!$B$228:$J$232,0,1))*($AZ20-INDEX('Methodology &amp; Sources'!$B$228:$J$232,0,1))*INDEX('Methodology &amp; Sources'!$B$228:$J$232,0,1+2)),SUMPRODUCT(($AZ20&gt;INDEX('Methodology &amp; Sources'!$B$219:$J$223,0,7))*($AZ20-INDEX('Methodology &amp; Sources'!$B$219:$J$223,0,7))*INDEX('Methodology &amp; Sources'!$B$219:$J$223,0,7+2))),IF($AN20="WV",IF($AU20="Married",SUMPRODUCT(($AZ20&gt;INDEX('Methodology &amp; Sources'!$B$237:$J$241,0,7))*($AZ20-INDEX('Methodology &amp; Sources'!$B$237:$J$241,0,7))*INDEX('Methodology &amp; Sources'!$B$237:$J$241,0,7+2)),SUMPRODUCT(($AZ20&gt;INDEX('Methodology &amp; Sources'!$B$228:$J$232,0,7))*($AZ20-INDEX('Methodology &amp; Sources'!$B$228:$J$232,0,7))*INDEX('Methodology &amp; Sources'!$B$228:$J$232,0,7+2))),""))))))))))</f>
      </c>
      <c r="BY20" s="7">
        <f>IF($B20="","",IF($AN20="AR",SUMPRODUCT(($AZ20&gt;INDEX('Methodology &amp; Sources'!$B$82:$J$86,0,7))*($AZ20-INDEX('Methodology &amp; Sources'!$B$82:$J$86,0,7))*INDEX('Methodology &amp; Sources'!$B$82:$J$86,0,7+2)),IF($AN20="DE",SUMPRODUCT(($AZ20&gt;INDEX('Methodology &amp; Sources'!$B$91:$J$98,0,1))*($AZ20-INDEX('Methodology &amp; Sources'!$B$91:$J$98,0,1))*INDEX('Methodology &amp; Sources'!$B$91:$J$98,0,1+2)),IF($AN20="HI",IF($AU20="Married",SUMPRODUCT(($AZ20&gt;INDEX('Methodology &amp; Sources'!$B$91:$J$98,0,7))*($AZ20-INDEX('Methodology &amp; Sources'!$B$91:$J$98,0,7))*INDEX('Methodology &amp; Sources'!$B$91:$J$98,0,7+2)),SUMPRODUCT(($AZ20&gt;INDEX('Methodology &amp; Sources'!$B$91:$J$98,0,4))*($AZ20-INDEX('Methodology &amp; Sources'!$B$91:$J$98,0,4))*INDEX('Methodology &amp; Sources'!$B$91:$J$98,0,4+2))),IF($AN20="SC",SUMPRODUCT(($AZ20&gt;INDEX('Methodology &amp; Sources'!$B$219:$J$223,0,1))*($AZ20-INDEX('Methodology &amp; Sources'!$B$219:$J$223,0,1))*INDEX('Methodology &amp; Sources'!$B$219:$J$223,0,1+2)),IF($AN20="VA",SUMPRODUCT(($AZ20&gt;INDEX('Methodology &amp; Sources'!$B$219:$J$223,0,4))*($AZ20-INDEX('Methodology &amp; Sources'!$B$219:$J$223,0,4))*INDEX('Methodology &amp; Sources'!$B$219:$J$223,0,4+2)),IF($AN20="WI",SUMPRODUCT(($AZ20&gt;INDEX('Methodology &amp; Sources'!$B$228:$J$232,0,4))*($AZ20-INDEX('Methodology &amp; Sources'!$B$228:$J$232,0,4))*INDEX('Methodology &amp; Sources'!$B$228:$J$232,0,4+2)),"")))))))</f>
      </c>
      <c r="BZ20" s="24">
        <f>IF($B20="","",IF($AN20="NJ",IF('Inputs 2'!$C$77="B",SUMPRODUCT(($AZ20&gt;=INDEX('Methodology &amp; Sources'!$B$155:$J$162,0,4))*INDEX('Methodology &amp; Sources'!$B$155:$J$162,0,4+2)),IF('Inputs 2'!$C$77="C",SUMPRODUCT(($AZ20&gt;=INDEX('Methodology &amp; Sources'!$B$155:$J$162,0,7))*INDEX('Methodology &amp; Sources'!$B$155:$J$162,0,7+2)),IF('Inputs 2'!$C$77="D",SUMPRODUCT(($AZ20&gt;=INDEX('Methodology &amp; Sources'!$B$167:$J$179,0,1))*INDEX('Methodology &amp; Sources'!$B$167:$J$179,0,1+2)),IF('Inputs 2'!$C$77="E",SUMPRODUCT(($AZ20&gt;=INDEX('Methodology &amp; Sources'!$B$167:$J$179,0,4))*INDEX('Methodology &amp; Sources'!$B$167:$J$179,0,4+2)),SUMPRODUCT(($AZ20&gt;=INDEX('Methodology &amp; Sources'!$B$155:$J$162,0,1))*INDEX('Methodology &amp; Sources'!$B$155:$J$162,0,1+2)))))),IF($AN20="OR",IF(OR($AU20="Married",AND($AU20="Single",$AS20&gt;=3)),SUMPRODUCT((MAX(0,$AY20-MIN(($P20-'Methodology &amp; Sources'!$C$10*$D20)*'Inputs 2'!$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Sources'!$B$211:$J$214,0,4))*INDEX('Methodology &amp; Sources'!$B$211:$J$214,0,4+2)),SUMPRODUCT((MAX(0,$AY20-MIN(($P20-'Methodology &amp; Sources'!$C$10*$D20)*'Inputs 2'!$C$8,IF(OR($AU20="Married",AND($AU20="Single",$AS20&gt;=3)),IF($AY20&lt;250000,8750,IF($AY20&lt;260000,7000,IF($AY20&lt;270000,5250,IF($AY20&lt;280000,3500,IF($AY20&lt;290000,1750,0))))),IF($AY20&lt;125000,8750,IF($AY20&lt;130000,7000,IF($AY20&lt;135000,5250,IF($AY20&lt;140000,3500,IF($AY20&lt;145000,1750,0)))))))-IF(OR($AU20="Married",AND($AU20="Single",$AS20&gt;=3)),5820,2910))&gt;=INDEX('Methodology &amp; Sources'!$B$211:$J$214,0,1))*INDEX('Methodology &amp; Sources'!$B$211:$J$214,0,1+2)))*IF(($P20-'Methodology &amp; Sources'!$C$10*$D20)*'Inputs 2'!$C$8&gt;=IF(OR($AU20="Married",AND($AU20="Single",$AS20&gt;=3)),IF($AY20&lt;250000,8750,IF($AY20&lt;260000,7000,IF($AY20&lt;270000,5250,IF($AY20&lt;280000,3500,IF($AY20&lt;290000,1750,0))))),IF($AY20&lt;125000,8750,IF($AY20&lt;130000,7000,IF($AY20&lt;135000,5250,IF($AY20&lt;140000,3500,IF($AY20&lt;145000,1750,0)))))),1,1-IF('Inputs 2'!$C$13,SUMPRODUCT(($AH20&gt;=INDEX('Methodology &amp; Sources'!$B$29:$J$36,0,IF('Inputs 2'!$C$12="MFJ",1,IF('Inputs 2'!$C$12="HoH",7,4))))*INDEX('Methodology &amp; Sources'!$B$29:$J$36,0,IF('Inputs 2'!$C$12="MFJ",1,IF('Inputs 2'!$C$12="HoH",7,4))+2)),SUMPRODUCT(($AH20&gt;=INDEX('Methodology &amp; Sources'!$B$19:$J$26,0,IF('Inputs 2'!$C$12="MFJ",1,IF('Inputs 2'!$C$12="HoH",7,4))))*INDEX('Methodology &amp; Sources'!$B$19:$J$26,0,IF('Inputs 2'!$C$12="MFJ",1,IF('Inputs 2'!$C$12="HoH",7,4))+2)))),IF($AN20="MI",IF($AY20&gt;5900*$AS20,0.0425,0),""))))</f>
      </c>
      <c r="CA20" s="24">
        <f>IF($B20="","",IF($AN20="AL",IF(OR($AU20="Married",$AU20="Head of household"),SUMPRODUCT(($AZ20&gt;=INDEX('Methodology &amp; Sources'!$B$82:$J$86,0,4))*INDEX('Methodology &amp; Sources'!$B$82:$J$86,0,4+2)),SUMPRODUCT(($AZ20&gt;=INDEX('Methodology &amp; Sources'!$B$82:$J$86,0,1))*INDEX('Methodology &amp; Sources'!$B$82:$J$86,0,1+2)))*(1-IF('Inputs 2'!$C$13,SUMPRODUCT(($AH20&gt;=INDEX('Methodology &amp; Sources'!$B$29:$J$36,0,IF('Inputs 2'!$C$12="MFJ",1,IF('Inputs 2'!$C$12="HoH",7,4))))*INDEX('Methodology &amp; Sources'!$B$29:$J$36,0,IF('Inputs 2'!$C$12="MFJ",1,IF('Inputs 2'!$C$12="HoH",7,4))+2)),SUMPRODUCT(($AH20&gt;=INDEX('Methodology &amp; Sources'!$B$19:$J$26,0,IF('Inputs 2'!$C$12="MFJ",1,IF('Inputs 2'!$C$12="HoH",7,4))))*INDEX('Methodology &amp; Sources'!$B$19:$J$26,0,IF('Inputs 2'!$C$12="MFJ",1,IF('Inputs 2'!$C$12="HoH",7,4))+2)))),IF($AN20="KS",IF($AU20="Married",SUMPRODUCT(($AZ20&gt;=INDEX('Methodology &amp; Sources'!$B$103:$J$109,0,4))*INDEX('Methodology &amp; Sources'!$B$103:$J$109,0,4+2)),SUMPRODUCT(($AZ20&gt;=INDEX('Methodology &amp; Sources'!$B$103:$J$109,0,1))*INDEX('Methodology &amp; Sources'!$B$103:$J$109,0,1+2))),IF($AN20="MD",IF(OR($AU20="Married",$AU20="Head of household"),SUMPRODUCT(($AZ20&gt;=INDEX('Methodology &amp; Sources'!$B$114:$J$120,0,1))*INDEX('Methodology &amp; Sources'!$B$114:$J$120,0,1+2)),SUMPRODUCT(($AZ20&gt;=INDEX('Methodology &amp; Sources'!$B$103:$J$109,0,7))*INDEX('Methodology &amp; Sources'!$B$103:$J$109,0,7+2)))+'Inputs 2'!$C$74,IF($AN20="MT",IF($AU20="Head of household",SUMPRODUCT(($AZ20&gt;=INDEX('Methodology &amp; Sources'!$B$137:$J$139,0,1))*INDEX('Methodology &amp; Sources'!$B$137:$J$139,0,1+2)),IF($AU20="Married",SUMPRODUCT(($AZ20&gt;=INDEX('Methodology &amp; Sources'!$B$125:$J$132,0,7))*INDEX('Methodology &amp; Sources'!$B$125:$J$132,0,7+2)),SUMPRODUCT(($AZ20&gt;=INDEX('Methodology &amp; Sources'!$B$125:$J$132,0,4))*INDEX('Methodology &amp; Sources'!$B$125:$J$132,0,4+2)))),IF($AN20="ND",IF($AU20="Head of household",SUMPRODUCT(($AZ20&gt;=INDEX('Methodology &amp; Sources'!$B$144:$J$150,0,1))*INDEX('Methodology &amp; Sources'!$B$144:$J$150,0,1+2)),IF($AU20="Married",SUMPRODUCT(($AZ20&gt;=INDEX('Methodology &amp; Sources'!$B$137:$J$139,0,7))*INDEX('Methodology &amp; Sources'!$B$137:$J$139,0,7+2)),SUMPRODUCT(($AZ20&gt;=INDEX('Methodology &amp; Sources'!$B$137:$J$139,0,4))*INDEX('Methodology &amp; Sources'!$B$137:$J$139,0,4+2)))),IF($AN20="NY",IF($AU20="Married",IF($AZ20&gt;=2155350,IF($AZ20&gt;25000000,0.117,IF($AZ20&gt;5000000,0.111,0.1045)),SUMPRODUCT(($AZ20&gt;=INDEX('Methodology &amp; Sources'!$B$184:$J$198,0,1))*INDEX('Methodology &amp; Sources'!$B$184:$J$198,0,1+2))),IF($AZ20&gt;=1077550,IF($AZ20&gt;25000000,0.117,IF($AZ20&gt;5000000,0.111,0.1045)),SUMPRODUCT(($AZ20&gt;=INDEX('Methodology &amp; Sources'!$B$167:$J$179,0,7))*INDEX('Methodology &amp; Sources'!$B$167:$J$179,0,7+2)))),"")))))))</f>
      </c>
      <c r="CB20" s="24">
        <f>IF($B20="","",IF($AN20="CA",SUMPRODUCT(($AJ20&gt;=INDEX('Methodology &amp; Sources'!$B$39:$J$48,0,IF($AU20="Married",4,IF($AU20="Head of household",7,1))))*INDEX('Methodology &amp; Sources'!$B$39:$J$48,0,IF($AU20="Married",4,IF($AU20="Head of household",7,1))+2)),IF($AN20="HI",IF($AU20="Married",SUMPRODUCT(($AZ20&gt;=INDEX('Methodology &amp; Sources'!$B$91:$J$98,0,7))*INDEX('Methodology &amp; Sources'!$B$91:$J$98,0,7+2)),SUMPRODUCT(($AZ20&gt;=INDEX('Methodology &amp; Sources'!$B$91:$J$98,0,4))*INDEX('Methodology &amp; Sources'!$B$91:$J$98,0,4+2))),IF($AN20="MN",IF($AU20="Married",SUMPRODUCT(($AZ20&gt;=INDEX('Methodology &amp; Sources'!$B$114:$J$120,0,7))*INDEX('Methodology &amp; Sources'!$B$114:$J$120,0,7+2)),SUMPRODUCT(($AZ20&gt;=INDEX('Methodology &amp; Sources'!$B$114:$J$120,0,4))*INDEX('Methodology &amp; Sources'!$B$114:$J$120,0,4+2))),IF($AN20="MO",SUMPRODUCT(($AZ20&gt;=INDEX('Methodology &amp; Sources'!$B$125:$J$132,0,1))*INDEX('Methodology &amp; Sources'!$B$125:$J$132,0,1+2)),IF($AN20="NE",MAX(IF($AU20="Married",SUMPRODUCT(($AZ20&gt;=INDEX('Methodology &amp; Sources'!$B$144:$J$150,0,7))*INDEX('Methodology &amp; Sources'!$B$144:$J$150,0,7+2)),SUMPRODUCT(($AZ20&gt;=INDEX('Methodology &amp; Sources'!$B$144:$J$150,0,4))*INDEX('Methodology &amp; Sources'!$B$144:$J$150,0,4+2))),0.015),IF($AN20="OH",IF($B20&gt;=DATE(2027,8,1),SUMPRODUCT(($AZ20&gt;=INDEX('Methodology &amp; Sources'!$B$203:$J$206,0,1))*INDEX('Methodology &amp; Sources'!$B$203:$J$206,0,1+2)),SUMPRODUCT(($AZ20&gt;=INDEX('Methodology &amp; Sources'!$B$184:$J$198,0,7))*INDEX('Methodology &amp; Sources'!$B$184:$J$198,0,7+2))),IF($AN20="OK",IF($AU20="Married",SUMPRODUCT(($AZ20&gt;=INDEX('Methodology &amp; Sources'!$B$203:$J$206,0,7))*INDEX('Methodology &amp; Sources'!$B$203:$J$206,0,7+2)),SUMPRODUCT(($AZ20&gt;=INDEX('Methodology &amp; Sources'!$B$203:$J$206,0,4))*INDEX('Methodology &amp; Sources'!$B$203:$J$206,0,4+2))),IF($AN20="RI",SUMPRODUCT(($AZ20&gt;=INDEX('Methodology &amp; Sources'!$B$211:$J$214,0,7))*INDEX('Methodology &amp; Sources'!$B$211:$J$214,0,7+2)),IF($AN20="SC",SUMPRODUCT(($AZ20&gt;=INDEX('Methodology &amp; Sources'!$B$219:$J$223,0,1))*INDEX('Methodology &amp; Sources'!$B$219:$J$223,0,1+2)),IF($AN20="VT",IF($AU20="Married",SUMPRODUCT(($AZ20&gt;=INDEX('Methodology &amp; Sources'!$B$228:$J$232,0,1))*INDEX('Methodology &amp; Sources'!$B$228:$J$232,0,1+2)),SUMPRODUCT(($AZ20&gt;=INDEX('Methodology &amp; Sources'!$B$219:$J$223,0,7))*INDEX('Methodology &amp; Sources'!$B$219:$J$223,0,7+2))),IF($AN20="WV",IF($AU20="Married",SUMPRODUCT(($AZ20&gt;=INDEX('Methodology &amp; Sources'!$B$237:$J$241,0,7))*INDEX('Methodology &amp; Sources'!$B$237:$J$241,0,7+2)),SUMPRODUCT(($AZ20&gt;=INDEX('Methodology &amp; Sources'!$B$228:$J$232,0,7))*INDEX('Methodology &amp; Sources'!$B$228:$J$232,0,7+2))),IF($AN20="IN",(0.0295+'Inputs 2'!$C$76),"")))))))))))))</f>
      </c>
      <c r="CC20" s="24">
        <f>IF($B20="","",IF($AN20="AR",SUMPRODUCT(($AZ20&gt;=INDEX('Methodology &amp; Sources'!$B$82:$J$86,0,7))*INDEX('Methodology &amp; Sources'!$B$82:$J$86,0,7+2)),IF($AN20="DE",SUMPRODUCT(($AZ20&gt;=INDEX('Methodology &amp; Sources'!$B$91:$J$98,0,1))*INDEX('Methodology &amp; Sources'!$B$91:$J$98,0,1+2)),IF($AN20="VA",SUMPRODUCT(($AZ20&gt;=INDEX('Methodology &amp; Sources'!$B$219:$J$223,0,4))*INDEX('Methodology &amp; Sources'!$B$219:$J$223,0,4+2)),IF($AN20="WI",SUMPRODUCT(($AZ20&gt;=INDEX('Methodology &amp; Sources'!$B$228:$J$232,0,4))*INDEX('Methodology &amp; Sources'!$B$228:$J$232,0,4+2)),IF($AN20="AZ",'Inputs 2'!$C$82,IF($AN20="CO",IF($AY20&gt;IF($AU20="Married",10000,5000),0.044,0),IF($AN20="IA",IF($AY20&gt;IF($AU20="Head of household",19500,IF($AU20="Married",26000,13000)),0.038,0),IF($AN20="ID",IF($AY20&gt;IF($AU20="Married",32000,16094),0.053,0),IF($AN20="IL",IF($AY20&gt;(2925*$AS20+1000*$AT20),0.0495,0),IF($AN20="KY",IF($AI20&gt;3360,0.035,0),IF($AN20="LA",0.0309,IF($AN20="MA",IF(MAX(0,$AY20-MIN(($BD19+$Q20+$R20+$S20),2000)-IF($AS20=0,0,IF($AS20=1,4400,1000*$AS20+3400)))&gt;=1107750,0.09,0.05),IF($AN20="MS",IF($AI20-IF($AU20="Head of household",3400,IF($AU20="Married",4600,2300))-'Inputs 2'!$C$85&gt;10000,0.04,0),IF($AN20="PA",0.0307,"")))))))))))))))</f>
      </c>
      <c r="CD20" s="21">
        <f>IF(YEAR(IF('Inputs 2'!$C$7="Weekly",'Inputs 2'!$C$9+7*(($BE19+1)-1),IF('Inputs 2'!$C$7="Biweekly",'Inputs 2'!$C$9+14*(($BE19+1)-1),IF('Inputs 2'!$C$7="Semimonthly",DATE(YEAR('Inputs 2'!$C$9),MONTH('Inputs 2'!$C$9)+INT((($BE19+1)-1)/2),MIN(DAY('Inputs 2'!$C$9),DAY(EOMONTH(DATE(YEAR('Inputs 2'!$C$9),MONTH('Inputs 2'!$C$9)+INT((($BE19+1)-1)/2),1),0))))+IF(MOD(($BE19+1)-1,2)=1,15,0),EDATE('Inputs 2'!$C$9,($BE19+1)-1)))))&lt;&gt;'Inputs 2'!$C$10,"",IF('Inputs 2'!$C$7="Weekly",'Inputs 2'!$C$9+7*(($BE19+1)-1),IF('Inputs 2'!$C$7="Biweekly",'Inputs 2'!$C$9+14*(($BE19+1)-1),IF('Inputs 2'!$C$7="Semimonthly",DATE(YEAR('Inputs 2'!$C$9),MONTH('Inputs 2'!$C$9)+INT((($BE19+1)-1)/2),MIN(DAY('Inputs 2'!$C$9),DAY(EOMONTH(DATE(YEAR('Inputs 2'!$C$9),MONTH('Inputs 2'!$C$9)+INT((($BE19+1)-1)/2),1),0))))+IF(MOD(($BE19+1)-1,2)=1,15,0),EDATE('Inputs 2'!$C$9,($BE19+1)-1)))))</f>
      </c>
      <c r="CE20" s="21">
        <f>IF(SUMPRODUCT(MIN(IF(('Inputs 2'!$C$58:$C$67&gt;MAX($B$6:$B19))*('Inputs 2'!$C$58:$C$67&gt;=DATE('Inputs 2'!$C$10,1,1))*('Inputs 2'!$C$58:$C$67&lt;=DATE('Inputs 2'!$C$10,12,31)),'Inputs 2'!$C$58:$C$67,999999)))=999999,"",SUMPRODUCT(MIN(IF(('Inputs 2'!$C$58:$C$67&gt;MAX($B$6:$B19))*('Inputs 2'!$C$58:$C$67&gt;=DATE('Inputs 2'!$C$10,1,1))*('Inputs 2'!$C$58:$C$67&lt;=DATE('Inputs 2'!$C$10,12,31)),'Inputs 2'!$C$58:$C$67,999999))))</f>
      </c>
    </row>
    <row r="21">
      <c r="A21" t="n">
        <v>16</v>
      </c>
      <c r="B21" s="21">
        <f>IF(AND($CD21="",$CE21=""),"",IF($CE21="",$CD21,IF($CD21="",$CE21,MIN($CD21,$CE21))))</f>
      </c>
      <c r="C21" s="7">
        <f>IF($B21="","",IF($BF21=0,0,IF('Inputs 2'!$C$4="Annual salary",ROUND($AK21/IF(AND('Inputs 2'!$C$88="Actual paydays",MONTH('Inputs 2'!$C$9)=1),MAX(1,MAX($BE$6:$BE$68)),'Inputs 2'!$C$8),2),$AK21)))</f>
      </c>
      <c r="D21" s="7">
        <f>IF($B21="","",SUMIF('Inputs 2'!$C$58:$C$67,$B21,'Inputs 2'!$D$58:$D$67))</f>
      </c>
      <c r="E21" s="7">
        <f>IF($B21="","",ROUND(MAX(0,MIN(IF($AL21="Percent",$AM21*($C21+$D21),$AM21),MAX(0,'Inputs 2'!$C$34-$AC20))),2))</f>
      </c>
      <c r="F21" s="7">
        <f>IF($B21="","",ROUND(MAX(0,MIN(IF('Inputs 2'!$C$32="Percent",'Inputs 2'!$D$32*($C21+$D21),'Inputs 2'!$D$32),MAX(0,'Inputs 2'!$C$34-$AC20-$E21))),2))</f>
      </c>
      <c r="G21" s="7">
        <f>IF($B21="","",IF($BF21=0,0,ROUND(MAX(0,MIN($BL21,'Inputs 2'!$C$37-'Inputs 2'!$C$54-$BI20)),2)))</f>
      </c>
      <c r="H21" s="7">
        <f>IF($B21="","",IF(OR($BF21=0,$BQ21=1),0,ROUND(MAX(0,MIN(IF($BS21=1,ROUND(MAX(0,MIN($BJ21,'Methodology &amp; Sources'!$C$13)-$BG20)/MAX(1,MAX($BE$6:$BE$68)-($BE20)),2),ROUND(MIN($BJ21,'Methodology &amp; Sources'!$C$13)/'Inputs 2'!$C$8,2)),MIN($BJ21,'Methodology &amp; Sources'!$C$13)-$BG20)),2)))</f>
      </c>
      <c r="I21" s="7">
        <f>IF($B21="","",IF(OR($BF21=0,$BR21=1),0,ROUND(MAX(0,MIN(IF($BT21=1,ROUND(MAX(0,MIN($BK21,IF('Inputs 2'!$C$12="MFJ",'Methodology &amp; Sources'!$C$14,'Methodology &amp; Sources'!$C$15))-$BH20)/MAX(1,MAX($BE$6:$BE$68)-($BE20)),2),ROUND(MIN($BK21,IF('Inputs 2'!$C$12="MFJ",'Methodology &amp; Sources'!$C$14,'Methodology &amp; Sources'!$C$15))/'Inputs 2'!$C$8,2)),MIN($BK21,IF('Inputs 2'!$C$12="MFJ",'Methodology &amp; Sources'!$C$14,'Methodology &amp; Sources'!$C$15))-$BH20)),2)))</f>
      </c>
      <c r="J21" s="7">
        <f>IF($B21="","",IF($BF21=0,0,$BM21))</f>
      </c>
      <c r="K21" s="7">
        <f>IF($B21="","",IF($BF21=0,0,$BN21+$BO21))</f>
      </c>
      <c r="L21" s="7">
        <f>IF($B21="","",IF($BF21=0,0,'Inputs 2'!$D$46))</f>
      </c>
      <c r="M21" s="7">
        <f>IF($B21="","",$C21+$D21+$L21-$E21-$G21-$H21-$I21-$J21-$K21)</f>
      </c>
      <c r="N21" s="7">
        <f>IF($B21="","",$C21+$D21+$L21-$G21-$H21-$I21-$J21-$K21)</f>
      </c>
      <c r="O21" s="7">
        <f>IF($B21="","",$C21+$D21+$L21-$E21-$H21-$I21-$J21-$K21-IF(OR($AN21="CA",$AN21="NJ"),0,$G21))</f>
      </c>
      <c r="P21" s="7">
        <f>IF($B21="","",IF('Inputs 2'!$C$18,0,ROUND(MAX(0,IF('Inputs 2'!$C$13,SUMPRODUCT(($AH21&gt;INDEX('Methodology &amp; Sources'!$B$29:$J$36,0,IF('Inputs 2'!$C$12="MFJ",1,IF('Inputs 2'!$C$12="HoH",7,4))))*($AH21-INDEX('Methodology &amp; Sources'!$B$29:$J$36,0,IF('Inputs 2'!$C$12="MFJ",1,IF('Inputs 2'!$C$12="HoH",7,4))))*INDEX('Methodology &amp; Sources'!$B$29:$J$36,0,IF('Inputs 2'!$C$12="MFJ",1,IF('Inputs 2'!$C$12="HoH",7,4))+2)),SUMPRODUCT(($AH21&gt;INDEX('Methodology &amp; Sources'!$B$19:$J$26,0,IF('Inputs 2'!$C$12="MFJ",1,IF('Inputs 2'!$C$12="HoH",7,4))))*($AH21-INDEX('Methodology &amp; Sources'!$B$19:$J$26,0,IF('Inputs 2'!$C$12="MFJ",1,IF('Inputs 2'!$C$12="HoH",7,4))))*INDEX('Methodology &amp; Sources'!$B$19:$J$26,0,IF('Inputs 2'!$C$12="MFJ",1,IF('Inputs 2'!$C$12="HoH",7,4))+2)))/'Inputs 2'!$C$8-$AO21/'Inputs 2'!$C$8)+$AR21+IF('Inputs 2'!$C$89="Aggregate",MAX(0,IF('Inputs 2'!$C$13,SUMPRODUCT((($AH21+$D21)&gt;INDEX('Methodology &amp; Sources'!$B$29:$J$36,0,IF('Inputs 2'!$C$12="MFJ",1,IF('Inputs 2'!$C$12="HoH",7,4))))*(($AH21+$D21)-INDEX('Methodology &amp; Sources'!$B$29:$J$36,0,IF('Inputs 2'!$C$12="MFJ",1,IF('Inputs 2'!$C$12="HoH",7,4))))*INDEX('Methodology &amp; Sources'!$B$29:$J$36,0,IF('Inputs 2'!$C$12="MFJ",1,IF('Inputs 2'!$C$12="HoH",7,4))+2)),SUMPRODUCT((($AH21+$D21)&gt;INDEX('Methodology &amp; Sources'!$B$19:$J$26,0,IF('Inputs 2'!$C$12="MFJ",1,IF('Inputs 2'!$C$12="HoH",7,4))))*(($AH21+$D21)-INDEX('Methodology &amp; Sources'!$B$19:$J$26,0,IF('Inputs 2'!$C$12="MFJ",1,IF('Inputs 2'!$C$12="HoH",7,4))))*INDEX('Methodology &amp; Sources'!$B$19:$J$26,0,IF('Inputs 2'!$C$12="MFJ",1,IF('Inputs 2'!$C$12="HoH",7,4))+2)))-IF('Inputs 2'!$C$13,SUMPRODUCT(($AH21&gt;INDEX('Methodology &amp; Sources'!$B$29:$J$36,0,IF('Inputs 2'!$C$12="MFJ",1,IF('Inputs 2'!$C$12="HoH",7,4))))*($AH21-INDEX('Methodology &amp; Sources'!$B$29:$J$36,0,IF('Inputs 2'!$C$12="MFJ",1,IF('Inputs 2'!$C$12="HoH",7,4))))*INDEX('Methodology &amp; Sources'!$B$29:$J$36,0,IF('Inputs 2'!$C$12="MFJ",1,IF('Inputs 2'!$C$12="HoH",7,4))+2)),SUMPRODUCT(($AH21&gt;INDEX('Methodology &amp; Sources'!$B$19:$J$26,0,IF('Inputs 2'!$C$12="MFJ",1,IF('Inputs 2'!$C$12="HoH",7,4))))*($AH21-INDEX('Methodology &amp; Sources'!$B$19:$J$26,0,IF('Inputs 2'!$C$12="MFJ",1,IF('Inputs 2'!$C$12="HoH",7,4))))*INDEX('Methodology &amp; Sources'!$B$19:$J$26,0,IF('Inputs 2'!$C$12="MFJ",1,IF('Inputs 2'!$C$12="HoH",7,4))+2)))),'Methodology &amp; Sources'!$C$10*$D21),2)))</f>
      </c>
      <c r="Q21" s="7">
        <f>IF($B21="","",ROUND('Methodology &amp; Sources'!$C$4*MIN($N21,MAX(0,'Methodology &amp; Sources'!$C$3-($AX21+$AB20-$AW21))),2))</f>
      </c>
      <c r="R21" s="7">
        <f>IF($B21="","",ROUND('Methodology &amp; Sources'!$C$5*$N21,2))</f>
      </c>
      <c r="S21" s="7">
        <f>IF($B21="","",ROUND('Methodology &amp; Sources'!$C$6*MAX(0,MIN($N21,$AG20+$N21-'Methodology &amp; Sources'!$C$7)),2))</f>
      </c>
      <c r="T21" s="7">
        <f>IF($B21="","",IF('Inputs 2'!$C$26,0,IF($AN21="CA",ROUND(IF($AI21&lt;=IF(($AS21+$AT21)&gt;=2,VLOOKUP($AN21,StateTables!$A$6:$AB$56,10,FALSE),VLOOKUP($AN21,StateTables!$A$6:$AB$56,9,FALSE)),0,MAX(0,SUMPRODUCT(($AJ21&gt;INDEX('Methodology &amp; Sources'!$B$39:$J$48,0,IF($AU21="Married",4,IF($AU21="Head of household",7,1))))*($AJ21-INDEX('Methodology &amp; Sources'!$B$39:$J$48,0,IF($AU21="Married",4,IF($AU21="Head of household",7,1))))*INDEX('Methodology &amp; Sources'!$B$39:$J$48,0,IF($AU21="Married",4,IF($AU21="Head of household",7,1))+2))-VLOOKUP($AN21,StateTables!$A$6:$AB$56,11,FALSE)*$AS21)/'Inputs 2'!$C$8)+'Inputs 2'!$C$25+VLOOKUP($AN21,StateTables!$A$6:$AB$56,13,FALSE)*$D21,2),IF(VLOOKUP($AN21,StateTables!$A$6:$AB$56,4,FALSE)="None",0,IF(ISNUMBER(SEARCH("MANUAL",VLOOKUP($AN21,StateTables!$A$6:$AB$56,5,FALSE))),'Inputs 2'!$C$28,ROUND(MAX(0,$BA21+$BB21)/'Inputs 2'!$C$8+'Inputs 2'!$C$25+$BC21,2))))))</f>
      </c>
      <c r="U21" s="7">
        <f>IF($B21="","",IF(VLOOKUP($AN21,StateTables!$A$6:$AB$56,24,FALSE)="flatq",IF(OR(MONTH($B21)=1,MONTH($B21)=4,MONTH($B21)=7,MONTH($B21)=10),VLOOKUP($AN21,StateTables!$A$6:$AB$56,25,FALSE),0),IF(VLOOKUP($AN21,StateTables!$A$6:$AB$56,24,FALSE)="dbl",MIN(ROUND(0.005*$N21,2),ROUND(0.6*52/'Inputs 2'!$C$8,2)),IF(OR(VLOOKUP($AN21,StateTables!$A$6:$AB$56,15,FALSE)="",VLOOKUP($AN21,StateTables!$A$6:$AB$56,15,FALSE)=0),0,ROUND(VLOOKUP($AN21,StateTables!$A$6:$AB$56,15,FALSE)*IF(OR(VLOOKUP($AN21,StateTables!$A$6:$AB$56,16,FALSE)="",VLOOKUP($AN21,StateTables!$A$6:$AB$56,16,FALSE)=0),$N21,MIN($N21,MAX(0,VLOOKUP($AN21,StateTables!$A$6:$AB$56,16,FALSE)-($AX21+$AB20-$AW21)))),2))))+IF(VLOOKUP($AN21,StateTables!$A$6:$AB$56,27,FALSE)="flatq",IF(OR(MONTH($B21)=1,MONTH($B21)=4,MONTH($B21)=7,MONTH($B21)=10),VLOOKUP($AN21,StateTables!$A$6:$AB$56,28,FALSE),0),IF(VLOOKUP($AN21,StateTables!$A$6:$AB$56,27,FALSE)="dbl",MIN(ROUND(0.005*$N21,2),ROUND(0.6*52/'Inputs 2'!$C$8,2)),IF(OR(VLOOKUP($AN21,StateTables!$A$6:$AB$56,18,FALSE)="",VLOOKUP($AN21,StateTables!$A$6:$AB$56,18,FALSE)=0),0,ROUND(VLOOKUP($AN21,StateTables!$A$6:$AB$56,18,FALSE)*IF(OR(VLOOKUP($AN21,StateTables!$A$6:$AB$56,19,FALSE)="",VLOOKUP($AN21,StateTables!$A$6:$AB$56,19,FALSE)=0),$N21,MIN($N21,MAX(0,VLOOKUP($AN21,StateTables!$A$6:$AB$56,19,FALSE)-($AX21+$AB20-$AW21)))),2)))))</f>
      </c>
      <c r="V21" s="7">
        <f>IF($B21="","",IF($AN21="NY",IF('Inputs 2'!$C$78,ROUND(SUMPRODUCT((MAX(0,($O21-$D21)*'Inputs 2'!$C$8-(IF($AU21="Married",5500,5000)+1000*$AS21))&gt;INDEX('Methodology &amp; Sources'!$B$184:$J$198,0,4))*(MAX(0,($O21-$D21)*'Inputs 2'!$C$8-(IF($AU21="Married",5500,5000)+1000*$AS21))-INDEX('Methodology &amp; Sources'!$B$184:$J$198,0,4))*INDEX('Methodology &amp; Sources'!$B$184:$J$198,0,4+2))/'Inputs 2'!$C$8+0.0425*$D21,2),0)+IF('Inputs 2'!$C$79="Resident",ROUND(0.1675*$T21,2),IF('Inputs 2'!$C$79="Nonresident",ROUND(0.005*MAX(0,($O21-$D21)-(IF($AU21="Married",7950,7400)+1000*$AS21)/'Inputs 2'!$C$8),2),0)),IF($AN21="PA",IF('Inputs 2'!$C$80="None",'Inputs 2'!$C$27+ROUND('Inputs 2'!$C$81*($C21+$D21),2),ROUND(IF('Inputs 2'!$C$80="Resident",IF($B21&lt;DATE(2027,7,1),0.03735,0.03735),IF($B21&lt;DATE(2027,7,1),0.03425,0.03425))*($C21+$D21),2)),IF($BF21=0,ROUND('Inputs 2'!$C$81*($C21+$D21),2),'Inputs 2'!$C$27+ROUND('Inputs 2'!$C$81*($C21+$D21),2)))))</f>
      </c>
      <c r="W21" s="7">
        <f>IF($B21="","",IF($BF21=0,0,$BP21))</f>
      </c>
      <c r="X21" s="7">
        <f>IF($B21="","",SUM($E21:$K21)+$P21+$Q21+$R21+$S21+$T21+$U21+$V21+$W21)</f>
      </c>
      <c r="Y21" s="22">
        <f>IF($B21="","",$C21+$D21-$X21)</f>
      </c>
      <c r="Z21" s="7">
        <f>IF($B21="","",$Z20+$C21+$D21)</f>
      </c>
      <c r="AA21" s="7">
        <f>IF($B21="","",$AA20+$Y21)</f>
      </c>
      <c r="AB21" s="7">
        <f>IF($B21="","",$AB20+MIN($N21,MAX(0,'Methodology &amp; Sources'!$C$3-($AX21+$AB20-$AW21))))</f>
      </c>
      <c r="AC21" s="7">
        <f>IF($B21="","",$AC20+$E21+$F21)</f>
      </c>
      <c r="AD21" s="3">
        <f>IF($B21="","",IF(AND($AB20&lt;'Methodology &amp; Sources'!$C$3,$AB21&gt;='Methodology &amp; Sources'!$C$3),"★ Social Security maxed on this check — from the next check your net rises by about $"&amp;TEXT(ROUND('Methodology &amp; Sources'!$C$4*$N21,2),"#,##0.00")&amp;". ","")&amp;IF(AND($AC20&lt;'Inputs 2'!$C$34,$AC21&gt;='Inputs 2'!$C$34),"★ 401(k) reaches the $"&amp;TEXT('Inputs 2'!$C$34,"#,##0")&amp;" cap on this check — deferrals stop and net pay rises. ","")&amp;IF(AND($AG20&lt;'Methodology &amp; Sources'!$C$7,$AG21&gt;='Methodology &amp; Sources'!$C$7),"★ Wages pass $200,000 — the 0.9% Additional Medicare Tax starts here. ","")&amp;IF(AND($BJ21&gt;0,$H21&gt;0,$BG20&lt;MIN($BJ21,'Methodology &amp; Sources'!$C$13),$BG20+$H21&gt;=MIN($BJ21,'Methodology &amp; Sources'!$C$13)),"★ Health FSA election is now fully deferred for the year. ",""))</f>
      </c>
      <c r="AE21" s="41" t="n"/>
      <c r="AF21" s="7">
        <f>IF(OR($B21="",$AE21=""),"",$AE21-$Y21)</f>
      </c>
      <c r="AG21" s="7">
        <f>IF($B21="","",$AG20+$N21)</f>
      </c>
      <c r="AH21" s="7">
        <f>IF($B21="","",MAX(0,($M21-$D21)*'Inputs 2'!$C$8+$AP21-$AQ21-IF('Inputs 2'!$C$13,0,IF('Inputs 2'!$C$12="MFJ",'Methodology &amp; Sources'!$C$8,'Methodology &amp; Sources'!$C$9))))</f>
      </c>
      <c r="AI21" s="7">
        <f>IF($B21="","",$O21*'Inputs 2'!$C$8)</f>
      </c>
      <c r="AJ21" s="7">
        <f>IF($B21="","",MAX(0,$AI21-VLOOKUP($AN21,StateTables!$A$6:$AB$56,12,FALSE)*$AT21-IF(($AS21+$AT21)&gt;=2,VLOOKUP($AN21,StateTables!$A$6:$AB$56,8,FALSE),VLOOKUP($AN21,StateTables!$A$6:$AB$56,7,FALSE))))</f>
      </c>
      <c r="AK21" s="7">
        <f>IF($B21="","",IFERROR(LOOKUP(2,1/(('Events 2'!$C$6:$C$17="Salary change")*('Events 2'!$B$6:$B$17&lt;=$B21)*('Events 2'!$B$6:$B$17&lt;&gt;"")),'Events 2'!$D$6:$D$17),IF('Inputs 2'!$C$4="Annual salary",'Inputs 2'!$C$5,'Inputs 2'!$C$6)))</f>
      </c>
      <c r="AL21">
        <f>IF($B21="","",IFERROR(LOOKUP(2,1/(('Events 2'!$C$6:$C$17="401(k) change")*('Events 2'!$B$6:$B$17&lt;=$B21)*('Events 2'!$B$6:$B$17&lt;&gt;"")),'Events 2'!$D$6:$D$17),'Inputs 2'!$C$30))</f>
      </c>
      <c r="AM21" s="7">
        <f>IF($B21="","",IFERROR(LOOKUP(2,1/(('Events 2'!$C$6:$C$17="401(k) change")*('Events 2'!$B$6:$B$17&lt;=$B21)*('Events 2'!$B$6:$B$17&lt;&gt;"")),'Events 2'!$E$6:$E$17),'Inputs 2'!$D$30))</f>
      </c>
      <c r="AN21">
        <f>IF($B21="","",IFERROR(LOOKUP(2,1/(('Events 2'!$C$6:$C$17="State move")*('Events 2'!$B$6:$B$17&lt;=$B21)*('Events 2'!$B$6:$B$17&lt;&gt;"")),'Events 2'!$D$6:$D$17),'Inputs 2'!$C$21))</f>
      </c>
      <c r="AO21" s="7">
        <f>IF($B21="","",IFERROR(LOOKUP(2,1/(('Events 2'!$C$6:$C$17="W-4 change")*('Events 2'!$B$6:$B$17&lt;=$B21)*('Events 2'!$B$6:$B$17&lt;&gt;"")),'Events 2'!$D$6:$D$17),'Inputs 2'!$C$14))</f>
      </c>
      <c r="AP21" s="7">
        <f>IF($B21="","",IFERROR(LOOKUP(2,1/(('Events 2'!$C$6:$C$17="W-4 change")*('Events 2'!$B$6:$B$17&lt;=$B21)*('Events 2'!$B$6:$B$17&lt;&gt;"")),'Events 2'!$E$6:$E$17),'Inputs 2'!$C$15))</f>
      </c>
      <c r="AQ21" s="7">
        <f>IF($B21="","",IFERROR(LOOKUP(2,1/(('Events 2'!$C$6:$C$17="W-4 change")*('Events 2'!$B$6:$B$17&lt;=$B21)*('Events 2'!$B$6:$B$17&lt;&gt;"")),'Events 2'!$F$6:$F$17),'Inputs 2'!$C$16))</f>
      </c>
      <c r="AR21" s="7">
        <f>IF($B21="","",IFERROR(LOOKUP(2,1/(('Events 2'!$C$6:$C$17="W-4 change")*('Events 2'!$B$6:$B$17&lt;=$B21)*('Events 2'!$B$6:$B$17&lt;&gt;"")),'Events 2'!$G$6:$G$17),'Inputs 2'!$C$17))</f>
      </c>
      <c r="AS21" s="6">
        <f>IF($B21="","",IFERROR(LOOKUP(2,1/((('Events 2'!$C$6:$C$17="State move")+('Events 2'!$C$6:$C$17="State cert change"))*('Events 2'!$B$6:$B$17&lt;=$B21)*('Events 2'!$B$6:$B$17&lt;&gt;"")),'Events 2'!$F$6:$F$17),'Inputs 2'!$C$23))</f>
      </c>
      <c r="AT21" s="6">
        <f>IF($B21="","",IFERROR(LOOKUP(2,1/((('Events 2'!$C$6:$C$17="State move")+('Events 2'!$C$6:$C$17="State cert change"))*('Events 2'!$B$6:$B$17&lt;=$B21)*('Events 2'!$B$6:$B$17&lt;&gt;"")),'Events 2'!$G$6:$G$17),'Inputs 2'!$C$24))</f>
      </c>
      <c r="AU21">
        <f>IF($B21="","",IFERROR(LOOKUP(2,1/(('Events 2'!$C$6:$C$17="State move")*('Events 2'!$B$6:$B$17&lt;=$B21)*('Events 2'!$B$6:$B$17&lt;&gt;"")),'Events 2'!$E$6:$E$17),'Inputs 2'!$C$22))</f>
      </c>
      <c r="AV21" s="6">
        <f>IF($B21="","",1+COUNTIFS('Events 2'!$C$6:$C$17,"Employer change",'Events 2'!$B$6:$B$17,"&lt;="&amp;$B21,'Events 2'!$B$6:$B$17,"&lt;&gt;"))</f>
      </c>
      <c r="AW21" s="7">
        <f>IF($B21="","",IF($AV21=1,'Inputs 2'!$C$49,IF(IFERROR(MATCH(IFERROR(LOOKUP(2,1/(('Events 2'!$C$6:$C$17="Employer change")*('Events 2'!$B$6:$B$17&lt;=$B21)*('Events 2'!$B$6:$B$17&lt;&gt;"")),'Events 2'!$B$6:$B$17),""),$B$6:$B$68,1),1)&lt;=1,'Inputs 2'!$C$49,INDEX($AB$6:$AB$68,MATCH(IFERROR(LOOKUP(2,1/(('Events 2'!$C$6:$C$17="Employer change")*('Events 2'!$B$6:$B$17&lt;=$B21)*('Events 2'!$B$6:$B$17&lt;&gt;"")),'Events 2'!$B$6:$B$17),""),$B$6:$B$68,1)-1))))</f>
      </c>
      <c r="AX21" s="7">
        <f>IF($B21="","",IF($AV21=1,'Inputs 2'!$C$49,IFERROR(LOOKUP(2,1/(('Events 2'!$C$6:$C$17="Employer change")*('Events 2'!$B$6:$B$17&lt;=$B21)*('Events 2'!$B$6:$B$17&lt;&gt;"")),'Events 2'!$D$6:$D$17),0)))</f>
      </c>
      <c r="AY21" s="7">
        <f>IF($B21="","",($O21-$D21)*'Inputs 2'!$C$8)</f>
      </c>
      <c r="AZ21" s="7">
        <f>IF($B21="","",IF($AN21="AL",MAX(0,$AY21-IF($AU21="Married",IF($AY21&lt;=25999,8500,MAX(5000,8500-175*CEILING(($AY21-25999)/500,1))),IF($AU21="Head of household",IF($AY21&lt;=25999,5200,MAX(2500,5200-135*CEILING(($AY21-25999)/500,1))),IF($AY21&lt;=25999,3000,MAX(2500,3000-25*CEILING(($AY21-25999)/500,1)))))-($P21-'Methodology &amp; Sources'!$C$10*$D21)*'Inputs 2'!$C$8-IF(OR($AU21="Married",$AU21="Head of household"),3000,1500)-$AT21*IF($AY21&lt;=50000,1000,IF($AY21&lt;=100000,500,300))),IF($AN21="AR",IF(MAX(0,$AY21-2470)&lt;97701,INT(MAX(0,$AY21-2470)/100)*100+50,MAX(0,$AY21-2470)),IF($AN21="DE",MAX(0,$AI21-3250),IF($AN21="HI",MAX(0,$AI21-1144*$AS21-4350),IF($AN21="KS",MAX(0,$AI21-(9160*IF($AU21="Married",2,1)+2320*$AT21+IF($AU21="Head of household",2320,0))),IF($AN21="MD",MAX(0,$AI21-3400-3200*$AS21),IF($AN21="MN",MAX(0,$AY21-5300*$AS21),IF($AN21="MO",MAX(0,$AI21-IF($AU21="Head of household",24150,IF($AU21="Married",IF('Inputs 2'!$C$83,16100,32200),16100))),IF($AN21="MT",$AY21,IF($AN21="ND",($C21+$L21)*'Inputs 2'!$C$8,IF($AN21="NE",MAX(0,$AY21-2440*$AS21),IF($AN21="NJ",MAX(0,$AY21-1000*$AS21),IF($AN21="NY",MAX(0,$AY21-(IF($AU21="Married",7950,7400)+1000*$AS21)),IF($AN21="OH",MAX(0,$AY21-650*$AS21),IF($AN21="OK",MAX(0,$AY21-1000*$AS21),IF($AN21="RI",MAX(0,$AI21-1000*$AS21),IF($AN21="SC",MAX(0,$AI21-5000*$AS21-IF($AS21=0,0,MIN(0.1*$AI21,7500))),IF($AN21="VA",MAX(0,$AI21-IF($AU21="Married",17500,8750)-930*$AS21-800*$AT21),IF($AN21="VT",MAX(0,$AI21-5400*$AS21),IF($AN21="WI",MAX(0,$AI21-MAX(0,IF($AU21="Married",9461-0.2*MAX(0,$AI21-25727),6702-0.12*MAX(0,$AI21-17780)))-400*$AS21),IF($AN21="WV",MAX(0,$AI21-2000*$AS21),$AI21))))))))))))))))))))))</f>
      </c>
      <c r="BA21" s="7">
        <f>IF($B21="","",IF($BW21&lt;&gt;"",$BW21,IF($BX21&lt;&gt;"",$BX21,IF($BY21&lt;&gt;"",$BY21,0))))</f>
      </c>
      <c r="BB21" s="7">
        <f>IF($B21="","",IF($AN21="AR",-29*$AS21,IF($AN21="DE",-110*$AS21,IF($AN21="MD",$AZ21*'Inputs 2'!$C$74,IF($AN21="AZ",'Inputs 2'!$C$82*($M21-$D21)*'Inputs 2'!$C$8,IF($AN21="CO",0.044*MAX(0,$AY21-IF($AU21="Married",10000,5000)),IF($AN21="IA",MAX(0,0.038*MAX(0,$AY21-IF($AU21="Head of household",19500,IF($AU21="Married",26000,13000)))-40*$AS21),IF($AN21="ID",0.053*MAX(0,$AY21-IF($AU21="Married",32000,16094)),IF($AN21="IL",0.0495*MAX(0,$AY21-(2925*$AS21+1000*$AT21)),IF($AN21="IN",(0.0295+'Inputs 2'!$C$76)*MAX(0,$AY21-(1000*$AS21+1500*$AT21+3000*'Inputs 2'!$C$86)),IF($AN21="KY",0.035*MAX(0,$AI21-3360),IF($AN21="LA",IF('Inputs 2'!$C$84="0",0.0309*$AI21,0.0309*MAX(0,$AI21-IF('Inputs 2'!$C$84="2",25750,12875))),IF($AN21="MA",0.05*MIN(MAX(0,$AY21-MIN(($BD20+$Q21+$R21+$S21),2000)-IF($AS21=0,0,IF($AS21=1,4400,1000*$AS21+3400))),1107750)+0.09*MAX(0,MAX(0,$AY21-MIN(($BD20+$Q21+$R21+$S21),2000)-IF($AS21=0,0,IF($AS21=1,4400,1000*$AS21+3400)))-1107750)-IF($AU21="Head of household",120,0)-110*'Inputs 2'!$C$75,IF($AN21="MI",0.0425*MAX(0,$AY21-5900*$AS21),IF($AN21="MS",0.04*MAX(0,$AI21-IF($AU21="Head of household",3400,IF($AU21="Married",4600,2300))-'Inputs 2'!$C$85-10000),IF($AN21="OR",IF(OR($AU21="Married",AND($AU21="Single",$AS21&gt;=3)),SUMPRODUCT((MAX(0,$AY21-MIN(($P21-'Methodology &amp; Sources'!$C$10*$D21)*'Inputs 2'!$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Sources'!$B$211:$J$214,0,4))*(MAX(0,$AY21-MIN(($P21-'Methodology &amp; Sources'!$C$10*$D21)*'Inputs 2'!$C$8,IF(OR($AU21="Married",AND($AU21="Single",$AS21&gt;=3)),IF($AY21&lt;250000,8750,IF($AY21&lt;260000,7000,IF($AY21&lt;270000,5250,IF($AY21&lt;280000,3500,IF($AY21&lt;290000,1750,0))))),IF($AY21&lt;125000,8750,IF($AY21&lt;130000,7000,IF($AY21&lt;135000,5250,IF($AY21&lt;140000,3500,IF($AY21&lt;145000,1750,0)))))))-IF(OR($AU21="Married",AND($AU21="Single",$AS21&gt;=3)),5820,2910))-INDEX('Methodology &amp; Sources'!$B$211:$J$214,0,4))*INDEX('Methodology &amp; Sources'!$B$211:$J$214,0,4+2)),SUMPRODUCT((MAX(0,$AY21-MIN(($P21-'Methodology &amp; Sources'!$C$10*$D21)*'Inputs 2'!$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Sources'!$B$211:$J$214,0,1))*(MAX(0,$AY21-MIN(($P21-'Methodology &amp; Sources'!$C$10*$D21)*'Inputs 2'!$C$8,IF(OR($AU21="Married",AND($AU21="Single",$AS21&gt;=3)),IF($AY21&lt;250000,8750,IF($AY21&lt;260000,7000,IF($AY21&lt;270000,5250,IF($AY21&lt;280000,3500,IF($AY21&lt;290000,1750,0))))),IF($AY21&lt;125000,8750,IF($AY21&lt;130000,7000,IF($AY21&lt;135000,5250,IF($AY21&lt;140000,3500,IF($AY21&lt;145000,1750,0)))))))-IF(OR($AU21="Married",AND($AU21="Single",$AS21&gt;=3)),5820,2910))-INDEX('Methodology &amp; Sources'!$B$211:$J$214,0,1))*INDEX('Methodology &amp; Sources'!$B$211:$J$214,0,1+2)))+263-263*IF(IF($AU21="Married",$AY21&gt;200000,$AY21&gt;100000),0,$AS21),IF($AN21="PA",0.0307*(($O21+$E21+$G21)*'Inputs 2'!$C$8),IF($AN21="NY",IF($AU21="Married",IF($AZ21&gt;=2155350,0,IF($AZ21&gt;=1077550,0.48,IF($AZ21&gt;=373200,1.21,IF($AZ21&gt;=323200,0.21,IF($AZ21&gt;=211550,-0.19,IF($AZ21&gt;=157650,-2.8,IF($AZ21&gt;=107650,-0.8,IF($AZ21&gt;=96800,0.05,IF($AZ21&gt;=80650,-0.1,IF($AZ21&gt;=13900,0.4,IF($AZ21&gt;=11700,-0.3,IF($AZ21&gt;=8500,0.5,0)))))))))))),IF($AZ21&gt;=1077550,0,IF($AZ21&gt;=265400,4.29,IF($AZ21&gt;=215400,2.29,IF($AZ21&gt;=157650,2.29,IF($AZ21&gt;=107650,0.29,IF($AZ21&gt;=96800,0.05,IF($AZ21&gt;=80650,-0.1,IF($AZ21&gt;=13900,0.4,IF($AZ21&gt;=11700,-0.3,IF($AZ21&gt;=8500,0.5,0))))))))))),0))))))))))))))))))</f>
      </c>
      <c r="BC21" s="7">
        <f>IF($B21="","",IF($AN21="AL",0.05*$D21,IF($AN21="AR",0.039*$D21,IF($AN21="ID",0.053*$D21,IF($AN21="IN",(0.0295+'Inputs 2'!$C$76)*$D21,IF($AN21="KS",0.05*$D21,IF($AN21="MA",0.09*MIN($D21,MAX(0,MAX(0,$AY21-MIN(($BD20+$Q21+$R21+$S21),2000)-IF($AS21=0,0,IF($AS21=1,4400,1000*$AS21+3400)))+$D21-1107750))+0.05*($D21-MIN($D21,MAX(0,MAX(0,$AY21-MIN(($BD20+$Q21+$R21+$S21),2000)-IF($AS21=0,0,IF($AS21=1,4400,1000*$AS21+3400)))+$D21-1107750))),IF($AN21="MD",(0.065+'Inputs 2'!$C$74)*$D21,IF($AN21="MI",0.0425*$D21,IF($AN21="MN",0.0625*$D21,IF($AN21="MO",0.047*$D21,IF($AN21="MT",0.05*$D21,IF($AN21="ND",0.015*$D21,IF($AN21="NE",0.035*$D21,IF($AN21="NJ",IF('Inputs 2'!$C$77="B",SUMPRODUCT(($D21*'Inputs 2'!$C$8&gt;INDEX('Methodology &amp; Sources'!$B$155:$J$162,0,4))*($D21*'Inputs 2'!$C$8-INDEX('Methodology &amp; Sources'!$B$155:$J$162,0,4))*INDEX('Methodology &amp; Sources'!$B$155:$J$162,0,4+2)),IF('Inputs 2'!$C$77="C",SUMPRODUCT(($D21*'Inputs 2'!$C$8&gt;INDEX('Methodology &amp; Sources'!$B$155:$J$162,0,7))*($D21*'Inputs 2'!$C$8-INDEX('Methodology &amp; Sources'!$B$155:$J$162,0,7))*INDEX('Methodology &amp; Sources'!$B$155:$J$162,0,7+2)),IF('Inputs 2'!$C$77="D",SUMPRODUCT(($D21*'Inputs 2'!$C$8&gt;INDEX('Methodology &amp; Sources'!$B$167:$J$179,0,1))*($D21*'Inputs 2'!$C$8-INDEX('Methodology &amp; Sources'!$B$167:$J$179,0,1))*INDEX('Methodology &amp; Sources'!$B$167:$J$179,0,1+2)),IF('Inputs 2'!$C$77="E",SUMPRODUCT(($D21*'Inputs 2'!$C$8&gt;INDEX('Methodology &amp; Sources'!$B$167:$J$179,0,4))*($D21*'Inputs 2'!$C$8-INDEX('Methodology &amp; Sources'!$B$167:$J$179,0,4))*INDEX('Methodology &amp; Sources'!$B$167:$J$179,0,4+2)),SUMPRODUCT(($D21*'Inputs 2'!$C$8&gt;INDEX('Methodology &amp; Sources'!$B$155:$J$162,0,1))*($D21*'Inputs 2'!$C$8-INDEX('Methodology &amp; Sources'!$B$155:$J$162,0,1))*INDEX('Methodology &amp; Sources'!$B$155:$J$162,0,1+2))))))/'Inputs 2'!$C$8,IF($AN21="NY",0.117*$D21,IF($AN21="OH",0.0275*$D21,IF($AN21="OK",0.045*$D21,IF($AN21="OR",0.08*$D21,IF($AN21="WI",IF($AY21&lt;12760,0.0354,IF($AY21&lt;25520,0.0465,IF($AY21&lt;280950,0.053,0.0765)))*$D21,0))))))))))))))))))))</f>
      </c>
      <c r="BD21" s="7">
        <f>IF($B21="","",$BD20+$Q21+$R21+$S21)</f>
      </c>
      <c r="BE21" s="6">
        <f>IF($B21="",$BE20,$BE20+$BF21)</f>
      </c>
      <c r="BF21" s="6">
        <f>IF($B21="","",IF(AND(IF(YEAR(IF('Inputs 2'!$C$7="Weekly",'Inputs 2'!$C$9+7*(($BE20+1)-1),IF('Inputs 2'!$C$7="Biweekly",'Inputs 2'!$C$9+14*(($BE20+1)-1),IF('Inputs 2'!$C$7="Semimonthly",DATE(YEAR('Inputs 2'!$C$9),MONTH('Inputs 2'!$C$9)+INT((($BE20+1)-1)/2),MIN(DAY('Inputs 2'!$C$9),DAY(EOMONTH(DATE(YEAR('Inputs 2'!$C$9),MONTH('Inputs 2'!$C$9)+INT((($BE20+1)-1)/2),1),0))))+IF(MOD(($BE20+1)-1,2)=1,15,0),EDATE('Inputs 2'!$C$9,($BE20+1)-1)))))&lt;&gt;'Inputs 2'!$C$10,"",IF('Inputs 2'!$C$7="Weekly",'Inputs 2'!$C$9+7*(($BE20+1)-1),IF('Inputs 2'!$C$7="Biweekly",'Inputs 2'!$C$9+14*(($BE20+1)-1),IF('Inputs 2'!$C$7="Semimonthly",DATE(YEAR('Inputs 2'!$C$9),MONTH('Inputs 2'!$C$9)+INT((($BE20+1)-1)/2),MIN(DAY('Inputs 2'!$C$9),DAY(EOMONTH(DATE(YEAR('Inputs 2'!$C$9),MONTH('Inputs 2'!$C$9)+INT((($BE20+1)-1)/2),1),0))))+IF(MOD(($BE20+1)-1,2)=1,15,0),EDATE('Inputs 2'!$C$9,($BE20+1)-1)))))&lt;&gt;"",$B21=IF(YEAR(IF('Inputs 2'!$C$7="Weekly",'Inputs 2'!$C$9+7*(($BE20+1)-1),IF('Inputs 2'!$C$7="Biweekly",'Inputs 2'!$C$9+14*(($BE20+1)-1),IF('Inputs 2'!$C$7="Semimonthly",DATE(YEAR('Inputs 2'!$C$9),MONTH('Inputs 2'!$C$9)+INT((($BE20+1)-1)/2),MIN(DAY('Inputs 2'!$C$9),DAY(EOMONTH(DATE(YEAR('Inputs 2'!$C$9),MONTH('Inputs 2'!$C$9)+INT((($BE20+1)-1)/2),1),0))))+IF(MOD(($BE20+1)-1,2)=1,15,0),EDATE('Inputs 2'!$C$9,($BE20+1)-1)))))&lt;&gt;'Inputs 2'!$C$10,"",IF('Inputs 2'!$C$7="Weekly",'Inputs 2'!$C$9+7*(($BE20+1)-1),IF('Inputs 2'!$C$7="Biweekly",'Inputs 2'!$C$9+14*(($BE20+1)-1),IF('Inputs 2'!$C$7="Semimonthly",DATE(YEAR('Inputs 2'!$C$9),MONTH('Inputs 2'!$C$9)+INT((($BE20+1)-1)/2),MIN(DAY('Inputs 2'!$C$9),DAY(EOMONTH(DATE(YEAR('Inputs 2'!$C$9),MONTH('Inputs 2'!$C$9)+INT((($BE20+1)-1)/2),1),0))))+IF(MOD(($BE20+1)-1,2)=1,15,0),EDATE('Inputs 2'!$C$9,($BE20+1)-1)))))),1,0))</f>
      </c>
      <c r="BG21" s="7">
        <f>IF($B21="","",$BG20+$H21)</f>
      </c>
      <c r="BH21" s="7">
        <f>IF($B21="","",$BH20+$I21)</f>
      </c>
      <c r="BI21" s="7">
        <f>IF($B21="","",$BI20+$G21)</f>
      </c>
      <c r="BJ21" s="7">
        <f>IF($B21="","",IFERROR(LOOKUP(2,1/(((('Events 2'!$C$6:$C$17="Deduction start"))*('Events 2'!$D$6:$D$17="Health FSA"))*('Events 2'!$B$6:$B$17&lt;=$B21)*('Events 2'!$B$6:$B$17&lt;&gt;"")),'Events 2'!$E$6:$E$17),'Inputs 2'!$D$38))</f>
      </c>
      <c r="BK21" s="7">
        <f>IF($B21="","",IFERROR(LOOKUP(2,1/(((('Events 2'!$C$6:$C$17="Deduction start"))*('Events 2'!$D$6:$D$17="Dependent-care FSA"))*('Events 2'!$B$6:$B$17&lt;=$B21)*('Events 2'!$B$6:$B$17&lt;&gt;"")),'Events 2'!$E$6:$E$17),'Inputs 2'!$D$39))</f>
      </c>
      <c r="BL21" s="7">
        <f>IF($B21="","",IFERROR(LOOKUP(2,1/(((('Events 2'!$C$6:$C$17="Deduction start")+('Events 2'!$C$6:$C$17="Deduction stop"))*('Events 2'!$D$6:$D$17="HSA"))*('Events 2'!$B$6:$B$17&lt;=$B21)*('Events 2'!$B$6:$B$17&lt;&gt;"")),'Events 2'!$I$6:$I$17),'Inputs 2'!$D$35))</f>
      </c>
      <c r="BM21" s="7">
        <f>IF($B21="","",IFERROR(LOOKUP(2,1/(((('Events 2'!$C$6:$C$17="Deduction start")+('Events 2'!$C$6:$C$17="Deduction stop"))*('Events 2'!$D$6:$D$17="Premiums"))*('Events 2'!$B$6:$B$17&lt;=$B21)*('Events 2'!$B$6:$B$17&lt;&gt;"")),'Events 2'!$I$6:$I$17),'Inputs 2'!$D$40+'Inputs 2'!$D$41+'Inputs 2'!$D$42))</f>
      </c>
      <c r="BN21" s="7">
        <f>IF($B21="","",IFERROR(LOOKUP(2,1/(((('Events 2'!$C$6:$C$17="Deduction start")+('Events 2'!$C$6:$C$17="Deduction stop"))*('Events 2'!$D$6:$D$17="Commuter"))*('Events 2'!$B$6:$B$17&lt;=$B21)*('Events 2'!$B$6:$B$17&lt;&gt;"")),'Events 2'!$I$6:$I$17),'Inputs 2'!$D$43))</f>
      </c>
      <c r="BO21" s="7">
        <f>IF($B21="","",IFERROR(LOOKUP(2,1/(((('Events 2'!$C$6:$C$17="Deduction start")+('Events 2'!$C$6:$C$17="Deduction stop"))*('Events 2'!$D$6:$D$17="Other pre-tax"))*('Events 2'!$B$6:$B$17&lt;=$B21)*('Events 2'!$B$6:$B$17&lt;&gt;"")),'Events 2'!$I$6:$I$17),'Inputs 2'!$D$44))</f>
      </c>
      <c r="BP21" s="7">
        <f>IF($B21="","",IFERROR(LOOKUP(2,1/(((('Events 2'!$C$6:$C$17="Deduction start")+('Events 2'!$C$6:$C$17="Deduction stop"))*('Events 2'!$D$6:$D$17="Other post-tax"))*('Events 2'!$B$6:$B$17&lt;=$B21)*('Events 2'!$B$6:$B$17&lt;&gt;"")),'Events 2'!$I$6:$I$17),'Inputs 2'!$D$45))</f>
      </c>
      <c r="BQ21" s="6">
        <f>IF($B21="","",IFERROR(LOOKUP(2,1/(((('Events 2'!$C$6:$C$17="Deduction start")+('Events 2'!$C$6:$C$17="Deduction stop"))*('Events 2'!$D$6:$D$17="Health FSA"))*('Events 2'!$B$6:$B$17&lt;=$B21)*('Events 2'!$B$6:$B$17&lt;&gt;"")),'Events 2'!$J$6:$J$17),0))</f>
      </c>
      <c r="BR21" s="6">
        <f>IF($B21="","",IFERROR(LOOKUP(2,1/(((('Events 2'!$C$6:$C$17="Deduction start")+('Events 2'!$C$6:$C$17="Deduction stop"))*('Events 2'!$D$6:$D$17="Dependent-care FSA"))*('Events 2'!$B$6:$B$17&lt;=$B21)*('Events 2'!$B$6:$B$17&lt;&gt;"")),'Events 2'!$J$6:$J$17),0))</f>
      </c>
      <c r="BS21" s="6">
        <f>IF($B21="","",IF(SUMPRODUCT(('Events 2'!$C$6:$C$17="Deduction start")*('Events 2'!$B$6:$B$17&lt;=$B21)*('Events 2'!$B$6:$B$17&lt;&gt;"")*('Events 2'!$D$6:$D$17="Health FSA"))&gt;0,1,0))</f>
      </c>
      <c r="BT21" s="6">
        <f>IF($B21="","",IF(SUMPRODUCT(('Events 2'!$C$6:$C$17="Deduction start")*('Events 2'!$B$6:$B$17&lt;=$B21)*('Events 2'!$B$6:$B$17&lt;&gt;"")*('Events 2'!$D$6:$D$17="Dependent-care FSA"))&gt;0,1,0))</f>
      </c>
      <c r="BU21" s="24">
        <f>IF($B21="","",IF('Inputs 2'!$C$13,SUMPRODUCT(($AH21&gt;=INDEX('Methodology &amp; Sources'!$B$29:$J$36,0,IF('Inputs 2'!$C$12="MFJ",1,IF('Inputs 2'!$C$12="HoH",7,4))))*INDEX('Methodology &amp; Sources'!$B$29:$J$36,0,IF('Inputs 2'!$C$12="MFJ",1,IF('Inputs 2'!$C$12="HoH",7,4))+2)),SUMPRODUCT(($AH21&gt;=INDEX('Methodology &amp; Sources'!$B$19:$J$26,0,IF('Inputs 2'!$C$12="MFJ",1,IF('Inputs 2'!$C$12="HoH",7,4))))*INDEX('Methodology &amp; Sources'!$B$19:$J$26,0,IF('Inputs 2'!$C$12="MFJ",1,IF('Inputs 2'!$C$12="HoH",7,4))+2))))</f>
      </c>
      <c r="BV21" s="24">
        <f>IF($B21="","",IF($BZ21&lt;&gt;"",$BZ21,IF($CA21&lt;&gt;"",$CA21,IF($CB21&lt;&gt;"",$CB21,IF($CC21&lt;&gt;"",$CC21,0)))))</f>
      </c>
      <c r="BW21" s="7">
        <f>IF($B21="","",IF($AN21="MD",IF(OR($AU21="Married",$AU21="Head of household"),SUMPRODUCT(($AZ21&gt;INDEX('Methodology &amp; Sources'!$B$114:$J$120,0,1))*($AZ21-INDEX('Methodology &amp; Sources'!$B$114:$J$120,0,1))*INDEX('Methodology &amp; Sources'!$B$114:$J$120,0,1+2)),SUMPRODUCT(($AZ21&gt;INDEX('Methodology &amp; Sources'!$B$103:$J$109,0,7))*($AZ21-INDEX('Methodology &amp; Sources'!$B$103:$J$109,0,7))*INDEX('Methodology &amp; Sources'!$B$103:$J$109,0,7+2))),IF($AN21="MO",SUMPRODUCT(($AZ21&gt;INDEX('Methodology &amp; Sources'!$B$125:$J$132,0,1))*($AZ21-INDEX('Methodology &amp; Sources'!$B$125:$J$132,0,1))*INDEX('Methodology &amp; Sources'!$B$125:$J$132,0,1+2)),IF($AN21="MT",IF($AU21="Head of household",SUMPRODUCT(($AZ21&gt;INDEX('Methodology &amp; Sources'!$B$137:$J$139,0,1))*($AZ21-INDEX('Methodology &amp; Sources'!$B$137:$J$139,0,1))*INDEX('Methodology &amp; Sources'!$B$137:$J$139,0,1+2)),IF($AU21="Married",SUMPRODUCT(($AZ21&gt;INDEX('Methodology &amp; Sources'!$B$125:$J$132,0,7))*($AZ21-INDEX('Methodology &amp; Sources'!$B$125:$J$132,0,7))*INDEX('Methodology &amp; Sources'!$B$125:$J$132,0,7+2)),SUMPRODUCT(($AZ21&gt;INDEX('Methodology &amp; Sources'!$B$125:$J$132,0,4))*($AZ21-INDEX('Methodology &amp; Sources'!$B$125:$J$132,0,4))*INDEX('Methodology &amp; Sources'!$B$125:$J$132,0,4+2)))),IF($AN21="ND",IF($AU21="Head of household",SUMPRODUCT(($AZ21&gt;INDEX('Methodology &amp; Sources'!$B$144:$J$150,0,1))*($AZ21-INDEX('Methodology &amp; Sources'!$B$144:$J$150,0,1))*INDEX('Methodology &amp; Sources'!$B$144:$J$150,0,1+2)),IF($AU21="Married",SUMPRODUCT(($AZ21&gt;INDEX('Methodology &amp; Sources'!$B$137:$J$139,0,7))*($AZ21-INDEX('Methodology &amp; Sources'!$B$137:$J$139,0,7))*INDEX('Methodology &amp; Sources'!$B$137:$J$139,0,7+2)),SUMPRODUCT(($AZ21&gt;INDEX('Methodology &amp; Sources'!$B$137:$J$139,0,4))*($AZ21-INDEX('Methodology &amp; Sources'!$B$137:$J$139,0,4))*INDEX('Methodology &amp; Sources'!$B$137:$J$139,0,4+2)))),IF($AN21="NJ",IF('Inputs 2'!$C$77="B",SUMPRODUCT(($AZ21&gt;INDEX('Methodology &amp; Sources'!$B$155:$J$162,0,4))*($AZ21-INDEX('Methodology &amp; Sources'!$B$155:$J$162,0,4))*INDEX('Methodology &amp; Sources'!$B$155:$J$162,0,4+2)),IF('Inputs 2'!$C$77="C",SUMPRODUCT(($AZ21&gt;INDEX('Methodology &amp; Sources'!$B$155:$J$162,0,7))*($AZ21-INDEX('Methodology &amp; Sources'!$B$155:$J$162,0,7))*INDEX('Methodology &amp; Sources'!$B$155:$J$162,0,7+2)),IF('Inputs 2'!$C$77="D",SUMPRODUCT(($AZ21&gt;INDEX('Methodology &amp; Sources'!$B$167:$J$179,0,1))*($AZ21-INDEX('Methodology &amp; Sources'!$B$167:$J$179,0,1))*INDEX('Methodology &amp; Sources'!$B$167:$J$179,0,1+2)),IF('Inputs 2'!$C$77="E",SUMPRODUCT(($AZ21&gt;INDEX('Methodology &amp; Sources'!$B$167:$J$179,0,4))*($AZ21-INDEX('Methodology &amp; Sources'!$B$167:$J$179,0,4))*INDEX('Methodology &amp; Sources'!$B$167:$J$179,0,4+2)),SUMPRODUCT(($AZ21&gt;INDEX('Methodology &amp; Sources'!$B$155:$J$162,0,1))*($AZ21-INDEX('Methodology &amp; Sources'!$B$155:$J$162,0,1))*INDEX('Methodology &amp; Sources'!$B$155:$J$162,0,1+2)))))),IF($AN21="NY",IF($AU21="Married",IF($AZ21&gt;=2155350,$AZ21*IF($AZ21&gt;25000000,0.117,IF($AZ21&gt;5000000,0.111,0.1045)),SUMPRODUCT(($AZ21&gt;INDEX('Methodology &amp; Sources'!$B$184:$J$198,0,1))*($AZ21-INDEX('Methodology &amp; Sources'!$B$184:$J$198,0,1))*INDEX('Methodology &amp; Sources'!$B$184:$J$198,0,1+2))),IF($AZ21&gt;=1077550,$AZ21*IF($AZ21&gt;25000000,0.117,IF($AZ21&gt;5000000,0.111,0.1045)),SUMPRODUCT(($AZ21&gt;INDEX('Methodology &amp; Sources'!$B$167:$J$179,0,7))*($AZ21-INDEX('Methodology &amp; Sources'!$B$167:$J$179,0,7))*INDEX('Methodology &amp; Sources'!$B$167:$J$179,0,7+2)))),"")))))))</f>
      </c>
      <c r="BX21" s="7">
        <f>IF($B21="","",IF($AN21="AL",IF(OR($AU21="Married",$AU21="Head of household"),SUMPRODUCT(($AZ21&gt;INDEX('Methodology &amp; Sources'!$B$82:$J$86,0,4))*($AZ21-INDEX('Methodology &amp; Sources'!$B$82:$J$86,0,4))*INDEX('Methodology &amp; Sources'!$B$82:$J$86,0,4+2)),SUMPRODUCT(($AZ21&gt;INDEX('Methodology &amp; Sources'!$B$82:$J$86,0,1))*($AZ21-INDEX('Methodology &amp; Sources'!$B$82:$J$86,0,1))*INDEX('Methodology &amp; Sources'!$B$82:$J$86,0,1+2))),IF($AN21="KS",IF($AU21="Married",SUMPRODUCT(($AZ21&gt;INDEX('Methodology &amp; Sources'!$B$103:$J$109,0,4))*($AZ21-INDEX('Methodology &amp; Sources'!$B$103:$J$109,0,4))*INDEX('Methodology &amp; Sources'!$B$103:$J$109,0,4+2)),SUMPRODUCT(($AZ21&gt;INDEX('Methodology &amp; Sources'!$B$103:$J$109,0,1))*($AZ21-INDEX('Methodology &amp; Sources'!$B$103:$J$109,0,1))*INDEX('Methodology &amp; Sources'!$B$103:$J$109,0,1+2))),IF($AN21="MN",IF($AU21="Married",SUMPRODUCT(($AZ21&gt;INDEX('Methodology &amp; Sources'!$B$114:$J$120,0,7))*($AZ21-INDEX('Methodology &amp; Sources'!$B$114:$J$120,0,7))*INDEX('Methodology &amp; Sources'!$B$114:$J$120,0,7+2)),SUMPRODUCT(($AZ21&gt;INDEX('Methodology &amp; Sources'!$B$114:$J$120,0,4))*($AZ21-INDEX('Methodology &amp; Sources'!$B$114:$J$120,0,4))*INDEX('Methodology &amp; Sources'!$B$114:$J$120,0,4+2))),IF($AN21="NE",MAX(IF($AU21="Married",SUMPRODUCT(($AZ21&gt;INDEX('Methodology &amp; Sources'!$B$144:$J$150,0,7))*($AZ21-INDEX('Methodology &amp; Sources'!$B$144:$J$150,0,7))*INDEX('Methodology &amp; Sources'!$B$144:$J$150,0,7+2)),SUMPRODUCT(($AZ21&gt;INDEX('Methodology &amp; Sources'!$B$144:$J$150,0,4))*($AZ21-INDEX('Methodology &amp; Sources'!$B$144:$J$150,0,4))*INDEX('Methodology &amp; Sources'!$B$144:$J$150,0,4+2))),0.015*$AZ21),IF($AN21="OH",IF($B21&gt;=DATE(2027,8,1),SUMPRODUCT(($AZ21&gt;INDEX('Methodology &amp; Sources'!$B$203:$J$206,0,1))*($AZ21-INDEX('Methodology &amp; Sources'!$B$203:$J$206,0,1))*INDEX('Methodology &amp; Sources'!$B$203:$J$206,0,1+2)),SUMPRODUCT(($AZ21&gt;INDEX('Methodology &amp; Sources'!$B$184:$J$198,0,7))*($AZ21-INDEX('Methodology &amp; Sources'!$B$184:$J$198,0,7))*INDEX('Methodology &amp; Sources'!$B$184:$J$198,0,7+2))),IF($AN21="OK",IF($AU21="Married",SUMPRODUCT(($AZ21&gt;INDEX('Methodology &amp; Sources'!$B$203:$J$206,0,7))*($AZ21-INDEX('Methodology &amp; Sources'!$B$203:$J$206,0,7))*INDEX('Methodology &amp; Sources'!$B$203:$J$206,0,7+2)),SUMPRODUCT(($AZ21&gt;INDEX('Methodology &amp; Sources'!$B$203:$J$206,0,4))*($AZ21-INDEX('Methodology &amp; Sources'!$B$203:$J$206,0,4))*INDEX('Methodology &amp; Sources'!$B$203:$J$206,0,4+2))),IF($AN21="RI",SUMPRODUCT(($AZ21&gt;INDEX('Methodology &amp; Sources'!$B$211:$J$214,0,7))*($AZ21-INDEX('Methodology &amp; Sources'!$B$211:$J$214,0,7))*INDEX('Methodology &amp; Sources'!$B$211:$J$214,0,7+2)),IF($AN21="VT",IF($AU21="Married",SUMPRODUCT(($AZ21&gt;INDEX('Methodology &amp; Sources'!$B$228:$J$232,0,1))*($AZ21-INDEX('Methodology &amp; Sources'!$B$228:$J$232,0,1))*INDEX('Methodology &amp; Sources'!$B$228:$J$232,0,1+2)),SUMPRODUCT(($AZ21&gt;INDEX('Methodology &amp; Sources'!$B$219:$J$223,0,7))*($AZ21-INDEX('Methodology &amp; Sources'!$B$219:$J$223,0,7))*INDEX('Methodology &amp; Sources'!$B$219:$J$223,0,7+2))),IF($AN21="WV",IF($AU21="Married",SUMPRODUCT(($AZ21&gt;INDEX('Methodology &amp; Sources'!$B$237:$J$241,0,7))*($AZ21-INDEX('Methodology &amp; Sources'!$B$237:$J$241,0,7))*INDEX('Methodology &amp; Sources'!$B$237:$J$241,0,7+2)),SUMPRODUCT(($AZ21&gt;INDEX('Methodology &amp; Sources'!$B$228:$J$232,0,7))*($AZ21-INDEX('Methodology &amp; Sources'!$B$228:$J$232,0,7))*INDEX('Methodology &amp; Sources'!$B$228:$J$232,0,7+2))),""))))))))))</f>
      </c>
      <c r="BY21" s="7">
        <f>IF($B21="","",IF($AN21="AR",SUMPRODUCT(($AZ21&gt;INDEX('Methodology &amp; Sources'!$B$82:$J$86,0,7))*($AZ21-INDEX('Methodology &amp; Sources'!$B$82:$J$86,0,7))*INDEX('Methodology &amp; Sources'!$B$82:$J$86,0,7+2)),IF($AN21="DE",SUMPRODUCT(($AZ21&gt;INDEX('Methodology &amp; Sources'!$B$91:$J$98,0,1))*($AZ21-INDEX('Methodology &amp; Sources'!$B$91:$J$98,0,1))*INDEX('Methodology &amp; Sources'!$B$91:$J$98,0,1+2)),IF($AN21="HI",IF($AU21="Married",SUMPRODUCT(($AZ21&gt;INDEX('Methodology &amp; Sources'!$B$91:$J$98,0,7))*($AZ21-INDEX('Methodology &amp; Sources'!$B$91:$J$98,0,7))*INDEX('Methodology &amp; Sources'!$B$91:$J$98,0,7+2)),SUMPRODUCT(($AZ21&gt;INDEX('Methodology &amp; Sources'!$B$91:$J$98,0,4))*($AZ21-INDEX('Methodology &amp; Sources'!$B$91:$J$98,0,4))*INDEX('Methodology &amp; Sources'!$B$91:$J$98,0,4+2))),IF($AN21="SC",SUMPRODUCT(($AZ21&gt;INDEX('Methodology &amp; Sources'!$B$219:$J$223,0,1))*($AZ21-INDEX('Methodology &amp; Sources'!$B$219:$J$223,0,1))*INDEX('Methodology &amp; Sources'!$B$219:$J$223,0,1+2)),IF($AN21="VA",SUMPRODUCT(($AZ21&gt;INDEX('Methodology &amp; Sources'!$B$219:$J$223,0,4))*($AZ21-INDEX('Methodology &amp; Sources'!$B$219:$J$223,0,4))*INDEX('Methodology &amp; Sources'!$B$219:$J$223,0,4+2)),IF($AN21="WI",SUMPRODUCT(($AZ21&gt;INDEX('Methodology &amp; Sources'!$B$228:$J$232,0,4))*($AZ21-INDEX('Methodology &amp; Sources'!$B$228:$J$232,0,4))*INDEX('Methodology &amp; Sources'!$B$228:$J$232,0,4+2)),"")))))))</f>
      </c>
      <c r="BZ21" s="24">
        <f>IF($B21="","",IF($AN21="NJ",IF('Inputs 2'!$C$77="B",SUMPRODUCT(($AZ21&gt;=INDEX('Methodology &amp; Sources'!$B$155:$J$162,0,4))*INDEX('Methodology &amp; Sources'!$B$155:$J$162,0,4+2)),IF('Inputs 2'!$C$77="C",SUMPRODUCT(($AZ21&gt;=INDEX('Methodology &amp; Sources'!$B$155:$J$162,0,7))*INDEX('Methodology &amp; Sources'!$B$155:$J$162,0,7+2)),IF('Inputs 2'!$C$77="D",SUMPRODUCT(($AZ21&gt;=INDEX('Methodology &amp; Sources'!$B$167:$J$179,0,1))*INDEX('Methodology &amp; Sources'!$B$167:$J$179,0,1+2)),IF('Inputs 2'!$C$77="E",SUMPRODUCT(($AZ21&gt;=INDEX('Methodology &amp; Sources'!$B$167:$J$179,0,4))*INDEX('Methodology &amp; Sources'!$B$167:$J$179,0,4+2)),SUMPRODUCT(($AZ21&gt;=INDEX('Methodology &amp; Sources'!$B$155:$J$162,0,1))*INDEX('Methodology &amp; Sources'!$B$155:$J$162,0,1+2)))))),IF($AN21="OR",IF(OR($AU21="Married",AND($AU21="Single",$AS21&gt;=3)),SUMPRODUCT((MAX(0,$AY21-MIN(($P21-'Methodology &amp; Sources'!$C$10*$D21)*'Inputs 2'!$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Sources'!$B$211:$J$214,0,4))*INDEX('Methodology &amp; Sources'!$B$211:$J$214,0,4+2)),SUMPRODUCT((MAX(0,$AY21-MIN(($P21-'Methodology &amp; Sources'!$C$10*$D21)*'Inputs 2'!$C$8,IF(OR($AU21="Married",AND($AU21="Single",$AS21&gt;=3)),IF($AY21&lt;250000,8750,IF($AY21&lt;260000,7000,IF($AY21&lt;270000,5250,IF($AY21&lt;280000,3500,IF($AY21&lt;290000,1750,0))))),IF($AY21&lt;125000,8750,IF($AY21&lt;130000,7000,IF($AY21&lt;135000,5250,IF($AY21&lt;140000,3500,IF($AY21&lt;145000,1750,0)))))))-IF(OR($AU21="Married",AND($AU21="Single",$AS21&gt;=3)),5820,2910))&gt;=INDEX('Methodology &amp; Sources'!$B$211:$J$214,0,1))*INDEX('Methodology &amp; Sources'!$B$211:$J$214,0,1+2)))*IF(($P21-'Methodology &amp; Sources'!$C$10*$D21)*'Inputs 2'!$C$8&gt;=IF(OR($AU21="Married",AND($AU21="Single",$AS21&gt;=3)),IF($AY21&lt;250000,8750,IF($AY21&lt;260000,7000,IF($AY21&lt;270000,5250,IF($AY21&lt;280000,3500,IF($AY21&lt;290000,1750,0))))),IF($AY21&lt;125000,8750,IF($AY21&lt;130000,7000,IF($AY21&lt;135000,5250,IF($AY21&lt;140000,3500,IF($AY21&lt;145000,1750,0)))))),1,1-IF('Inputs 2'!$C$13,SUMPRODUCT(($AH21&gt;=INDEX('Methodology &amp; Sources'!$B$29:$J$36,0,IF('Inputs 2'!$C$12="MFJ",1,IF('Inputs 2'!$C$12="HoH",7,4))))*INDEX('Methodology &amp; Sources'!$B$29:$J$36,0,IF('Inputs 2'!$C$12="MFJ",1,IF('Inputs 2'!$C$12="HoH",7,4))+2)),SUMPRODUCT(($AH21&gt;=INDEX('Methodology &amp; Sources'!$B$19:$J$26,0,IF('Inputs 2'!$C$12="MFJ",1,IF('Inputs 2'!$C$12="HoH",7,4))))*INDEX('Methodology &amp; Sources'!$B$19:$J$26,0,IF('Inputs 2'!$C$12="MFJ",1,IF('Inputs 2'!$C$12="HoH",7,4))+2)))),IF($AN21="MI",IF($AY21&gt;5900*$AS21,0.0425,0),""))))</f>
      </c>
      <c r="CA21" s="24">
        <f>IF($B21="","",IF($AN21="AL",IF(OR($AU21="Married",$AU21="Head of household"),SUMPRODUCT(($AZ21&gt;=INDEX('Methodology &amp; Sources'!$B$82:$J$86,0,4))*INDEX('Methodology &amp; Sources'!$B$82:$J$86,0,4+2)),SUMPRODUCT(($AZ21&gt;=INDEX('Methodology &amp; Sources'!$B$82:$J$86,0,1))*INDEX('Methodology &amp; Sources'!$B$82:$J$86,0,1+2)))*(1-IF('Inputs 2'!$C$13,SUMPRODUCT(($AH21&gt;=INDEX('Methodology &amp; Sources'!$B$29:$J$36,0,IF('Inputs 2'!$C$12="MFJ",1,IF('Inputs 2'!$C$12="HoH",7,4))))*INDEX('Methodology &amp; Sources'!$B$29:$J$36,0,IF('Inputs 2'!$C$12="MFJ",1,IF('Inputs 2'!$C$12="HoH",7,4))+2)),SUMPRODUCT(($AH21&gt;=INDEX('Methodology &amp; Sources'!$B$19:$J$26,0,IF('Inputs 2'!$C$12="MFJ",1,IF('Inputs 2'!$C$12="HoH",7,4))))*INDEX('Methodology &amp; Sources'!$B$19:$J$26,0,IF('Inputs 2'!$C$12="MFJ",1,IF('Inputs 2'!$C$12="HoH",7,4))+2)))),IF($AN21="KS",IF($AU21="Married",SUMPRODUCT(($AZ21&gt;=INDEX('Methodology &amp; Sources'!$B$103:$J$109,0,4))*INDEX('Methodology &amp; Sources'!$B$103:$J$109,0,4+2)),SUMPRODUCT(($AZ21&gt;=INDEX('Methodology &amp; Sources'!$B$103:$J$109,0,1))*INDEX('Methodology &amp; Sources'!$B$103:$J$109,0,1+2))),IF($AN21="MD",IF(OR($AU21="Married",$AU21="Head of household"),SUMPRODUCT(($AZ21&gt;=INDEX('Methodology &amp; Sources'!$B$114:$J$120,0,1))*INDEX('Methodology &amp; Sources'!$B$114:$J$120,0,1+2)),SUMPRODUCT(($AZ21&gt;=INDEX('Methodology &amp; Sources'!$B$103:$J$109,0,7))*INDEX('Methodology &amp; Sources'!$B$103:$J$109,0,7+2)))+'Inputs 2'!$C$74,IF($AN21="MT",IF($AU21="Head of household",SUMPRODUCT(($AZ21&gt;=INDEX('Methodology &amp; Sources'!$B$137:$J$139,0,1))*INDEX('Methodology &amp; Sources'!$B$137:$J$139,0,1+2)),IF($AU21="Married",SUMPRODUCT(($AZ21&gt;=INDEX('Methodology &amp; Sources'!$B$125:$J$132,0,7))*INDEX('Methodology &amp; Sources'!$B$125:$J$132,0,7+2)),SUMPRODUCT(($AZ21&gt;=INDEX('Methodology &amp; Sources'!$B$125:$J$132,0,4))*INDEX('Methodology &amp; Sources'!$B$125:$J$132,0,4+2)))),IF($AN21="ND",IF($AU21="Head of household",SUMPRODUCT(($AZ21&gt;=INDEX('Methodology &amp; Sources'!$B$144:$J$150,0,1))*INDEX('Methodology &amp; Sources'!$B$144:$J$150,0,1+2)),IF($AU21="Married",SUMPRODUCT(($AZ21&gt;=INDEX('Methodology &amp; Sources'!$B$137:$J$139,0,7))*INDEX('Methodology &amp; Sources'!$B$137:$J$139,0,7+2)),SUMPRODUCT(($AZ21&gt;=INDEX('Methodology &amp; Sources'!$B$137:$J$139,0,4))*INDEX('Methodology &amp; Sources'!$B$137:$J$139,0,4+2)))),IF($AN21="NY",IF($AU21="Married",IF($AZ21&gt;=2155350,IF($AZ21&gt;25000000,0.117,IF($AZ21&gt;5000000,0.111,0.1045)),SUMPRODUCT(($AZ21&gt;=INDEX('Methodology &amp; Sources'!$B$184:$J$198,0,1))*INDEX('Methodology &amp; Sources'!$B$184:$J$198,0,1+2))),IF($AZ21&gt;=1077550,IF($AZ21&gt;25000000,0.117,IF($AZ21&gt;5000000,0.111,0.1045)),SUMPRODUCT(($AZ21&gt;=INDEX('Methodology &amp; Sources'!$B$167:$J$179,0,7))*INDEX('Methodology &amp; Sources'!$B$167:$J$179,0,7+2)))),"")))))))</f>
      </c>
      <c r="CB21" s="24">
        <f>IF($B21="","",IF($AN21="CA",SUMPRODUCT(($AJ21&gt;=INDEX('Methodology &amp; Sources'!$B$39:$J$48,0,IF($AU21="Married",4,IF($AU21="Head of household",7,1))))*INDEX('Methodology &amp; Sources'!$B$39:$J$48,0,IF($AU21="Married",4,IF($AU21="Head of household",7,1))+2)),IF($AN21="HI",IF($AU21="Married",SUMPRODUCT(($AZ21&gt;=INDEX('Methodology &amp; Sources'!$B$91:$J$98,0,7))*INDEX('Methodology &amp; Sources'!$B$91:$J$98,0,7+2)),SUMPRODUCT(($AZ21&gt;=INDEX('Methodology &amp; Sources'!$B$91:$J$98,0,4))*INDEX('Methodology &amp; Sources'!$B$91:$J$98,0,4+2))),IF($AN21="MN",IF($AU21="Married",SUMPRODUCT(($AZ21&gt;=INDEX('Methodology &amp; Sources'!$B$114:$J$120,0,7))*INDEX('Methodology &amp; Sources'!$B$114:$J$120,0,7+2)),SUMPRODUCT(($AZ21&gt;=INDEX('Methodology &amp; Sources'!$B$114:$J$120,0,4))*INDEX('Methodology &amp; Sources'!$B$114:$J$120,0,4+2))),IF($AN21="MO",SUMPRODUCT(($AZ21&gt;=INDEX('Methodology &amp; Sources'!$B$125:$J$132,0,1))*INDEX('Methodology &amp; Sources'!$B$125:$J$132,0,1+2)),IF($AN21="NE",MAX(IF($AU21="Married",SUMPRODUCT(($AZ21&gt;=INDEX('Methodology &amp; Sources'!$B$144:$J$150,0,7))*INDEX('Methodology &amp; Sources'!$B$144:$J$150,0,7+2)),SUMPRODUCT(($AZ21&gt;=INDEX('Methodology &amp; Sources'!$B$144:$J$150,0,4))*INDEX('Methodology &amp; Sources'!$B$144:$J$150,0,4+2))),0.015),IF($AN21="OH",IF($B21&gt;=DATE(2027,8,1),SUMPRODUCT(($AZ21&gt;=INDEX('Methodology &amp; Sources'!$B$203:$J$206,0,1))*INDEX('Methodology &amp; Sources'!$B$203:$J$206,0,1+2)),SUMPRODUCT(($AZ21&gt;=INDEX('Methodology &amp; Sources'!$B$184:$J$198,0,7))*INDEX('Methodology &amp; Sources'!$B$184:$J$198,0,7+2))),IF($AN21="OK",IF($AU21="Married",SUMPRODUCT(($AZ21&gt;=INDEX('Methodology &amp; Sources'!$B$203:$J$206,0,7))*INDEX('Methodology &amp; Sources'!$B$203:$J$206,0,7+2)),SUMPRODUCT(($AZ21&gt;=INDEX('Methodology &amp; Sources'!$B$203:$J$206,0,4))*INDEX('Methodology &amp; Sources'!$B$203:$J$206,0,4+2))),IF($AN21="RI",SUMPRODUCT(($AZ21&gt;=INDEX('Methodology &amp; Sources'!$B$211:$J$214,0,7))*INDEX('Methodology &amp; Sources'!$B$211:$J$214,0,7+2)),IF($AN21="SC",SUMPRODUCT(($AZ21&gt;=INDEX('Methodology &amp; Sources'!$B$219:$J$223,0,1))*INDEX('Methodology &amp; Sources'!$B$219:$J$223,0,1+2)),IF($AN21="VT",IF($AU21="Married",SUMPRODUCT(($AZ21&gt;=INDEX('Methodology &amp; Sources'!$B$228:$J$232,0,1))*INDEX('Methodology &amp; Sources'!$B$228:$J$232,0,1+2)),SUMPRODUCT(($AZ21&gt;=INDEX('Methodology &amp; Sources'!$B$219:$J$223,0,7))*INDEX('Methodology &amp; Sources'!$B$219:$J$223,0,7+2))),IF($AN21="WV",IF($AU21="Married",SUMPRODUCT(($AZ21&gt;=INDEX('Methodology &amp; Sources'!$B$237:$J$241,0,7))*INDEX('Methodology &amp; Sources'!$B$237:$J$241,0,7+2)),SUMPRODUCT(($AZ21&gt;=INDEX('Methodology &amp; Sources'!$B$228:$J$232,0,7))*INDEX('Methodology &amp; Sources'!$B$228:$J$232,0,7+2))),IF($AN21="IN",(0.0295+'Inputs 2'!$C$76),"")))))))))))))</f>
      </c>
      <c r="CC21" s="24">
        <f>IF($B21="","",IF($AN21="AR",SUMPRODUCT(($AZ21&gt;=INDEX('Methodology &amp; Sources'!$B$82:$J$86,0,7))*INDEX('Methodology &amp; Sources'!$B$82:$J$86,0,7+2)),IF($AN21="DE",SUMPRODUCT(($AZ21&gt;=INDEX('Methodology &amp; Sources'!$B$91:$J$98,0,1))*INDEX('Methodology &amp; Sources'!$B$91:$J$98,0,1+2)),IF($AN21="VA",SUMPRODUCT(($AZ21&gt;=INDEX('Methodology &amp; Sources'!$B$219:$J$223,0,4))*INDEX('Methodology &amp; Sources'!$B$219:$J$223,0,4+2)),IF($AN21="WI",SUMPRODUCT(($AZ21&gt;=INDEX('Methodology &amp; Sources'!$B$228:$J$232,0,4))*INDEX('Methodology &amp; Sources'!$B$228:$J$232,0,4+2)),IF($AN21="AZ",'Inputs 2'!$C$82,IF($AN21="CO",IF($AY21&gt;IF($AU21="Married",10000,5000),0.044,0),IF($AN21="IA",IF($AY21&gt;IF($AU21="Head of household",19500,IF($AU21="Married",26000,13000)),0.038,0),IF($AN21="ID",IF($AY21&gt;IF($AU21="Married",32000,16094),0.053,0),IF($AN21="IL",IF($AY21&gt;(2925*$AS21+1000*$AT21),0.0495,0),IF($AN21="KY",IF($AI21&gt;3360,0.035,0),IF($AN21="LA",0.0309,IF($AN21="MA",IF(MAX(0,$AY21-MIN(($BD20+$Q21+$R21+$S21),2000)-IF($AS21=0,0,IF($AS21=1,4400,1000*$AS21+3400)))&gt;=1107750,0.09,0.05),IF($AN21="MS",IF($AI21-IF($AU21="Head of household",3400,IF($AU21="Married",4600,2300))-'Inputs 2'!$C$85&gt;10000,0.04,0),IF($AN21="PA",0.0307,"")))))))))))))))</f>
      </c>
      <c r="CD21" s="21">
        <f>IF(YEAR(IF('Inputs 2'!$C$7="Weekly",'Inputs 2'!$C$9+7*(($BE20+1)-1),IF('Inputs 2'!$C$7="Biweekly",'Inputs 2'!$C$9+14*(($BE20+1)-1),IF('Inputs 2'!$C$7="Semimonthly",DATE(YEAR('Inputs 2'!$C$9),MONTH('Inputs 2'!$C$9)+INT((($BE20+1)-1)/2),MIN(DAY('Inputs 2'!$C$9),DAY(EOMONTH(DATE(YEAR('Inputs 2'!$C$9),MONTH('Inputs 2'!$C$9)+INT((($BE20+1)-1)/2),1),0))))+IF(MOD(($BE20+1)-1,2)=1,15,0),EDATE('Inputs 2'!$C$9,($BE20+1)-1)))))&lt;&gt;'Inputs 2'!$C$10,"",IF('Inputs 2'!$C$7="Weekly",'Inputs 2'!$C$9+7*(($BE20+1)-1),IF('Inputs 2'!$C$7="Biweekly",'Inputs 2'!$C$9+14*(($BE20+1)-1),IF('Inputs 2'!$C$7="Semimonthly",DATE(YEAR('Inputs 2'!$C$9),MONTH('Inputs 2'!$C$9)+INT((($BE20+1)-1)/2),MIN(DAY('Inputs 2'!$C$9),DAY(EOMONTH(DATE(YEAR('Inputs 2'!$C$9),MONTH('Inputs 2'!$C$9)+INT((($BE20+1)-1)/2),1),0))))+IF(MOD(($BE20+1)-1,2)=1,15,0),EDATE('Inputs 2'!$C$9,($BE20+1)-1)))))</f>
      </c>
      <c r="CE21" s="21">
        <f>IF(SUMPRODUCT(MIN(IF(('Inputs 2'!$C$58:$C$67&gt;MAX($B$6:$B20))*('Inputs 2'!$C$58:$C$67&gt;=DATE('Inputs 2'!$C$10,1,1))*('Inputs 2'!$C$58:$C$67&lt;=DATE('Inputs 2'!$C$10,12,31)),'Inputs 2'!$C$58:$C$67,999999)))=999999,"",SUMPRODUCT(MIN(IF(('Inputs 2'!$C$58:$C$67&gt;MAX($B$6:$B20))*('Inputs 2'!$C$58:$C$67&gt;=DATE('Inputs 2'!$C$10,1,1))*('Inputs 2'!$C$58:$C$67&lt;=DATE('Inputs 2'!$C$10,12,31)),'Inputs 2'!$C$58:$C$67,999999))))</f>
      </c>
    </row>
    <row r="22">
      <c r="A22" t="n">
        <v>17</v>
      </c>
      <c r="B22" s="21">
        <f>IF(AND($CD22="",$CE22=""),"",IF($CE22="",$CD22,IF($CD22="",$CE22,MIN($CD22,$CE22))))</f>
      </c>
      <c r="C22" s="7">
        <f>IF($B22="","",IF($BF22=0,0,IF('Inputs 2'!$C$4="Annual salary",ROUND($AK22/IF(AND('Inputs 2'!$C$88="Actual paydays",MONTH('Inputs 2'!$C$9)=1),MAX(1,MAX($BE$6:$BE$68)),'Inputs 2'!$C$8),2),$AK22)))</f>
      </c>
      <c r="D22" s="7">
        <f>IF($B22="","",SUMIF('Inputs 2'!$C$58:$C$67,$B22,'Inputs 2'!$D$58:$D$67))</f>
      </c>
      <c r="E22" s="7">
        <f>IF($B22="","",ROUND(MAX(0,MIN(IF($AL22="Percent",$AM22*($C22+$D22),$AM22),MAX(0,'Inputs 2'!$C$34-$AC21))),2))</f>
      </c>
      <c r="F22" s="7">
        <f>IF($B22="","",ROUND(MAX(0,MIN(IF('Inputs 2'!$C$32="Percent",'Inputs 2'!$D$32*($C22+$D22),'Inputs 2'!$D$32),MAX(0,'Inputs 2'!$C$34-$AC21-$E22))),2))</f>
      </c>
      <c r="G22" s="7">
        <f>IF($B22="","",IF($BF22=0,0,ROUND(MAX(0,MIN($BL22,'Inputs 2'!$C$37-'Inputs 2'!$C$54-$BI21)),2)))</f>
      </c>
      <c r="H22" s="7">
        <f>IF($B22="","",IF(OR($BF22=0,$BQ22=1),0,ROUND(MAX(0,MIN(IF($BS22=1,ROUND(MAX(0,MIN($BJ22,'Methodology &amp; Sources'!$C$13)-$BG21)/MAX(1,MAX($BE$6:$BE$68)-($BE21)),2),ROUND(MIN($BJ22,'Methodology &amp; Sources'!$C$13)/'Inputs 2'!$C$8,2)),MIN($BJ22,'Methodology &amp; Sources'!$C$13)-$BG21)),2)))</f>
      </c>
      <c r="I22" s="7">
        <f>IF($B22="","",IF(OR($BF22=0,$BR22=1),0,ROUND(MAX(0,MIN(IF($BT22=1,ROUND(MAX(0,MIN($BK22,IF('Inputs 2'!$C$12="MFJ",'Methodology &amp; Sources'!$C$14,'Methodology &amp; Sources'!$C$15))-$BH21)/MAX(1,MAX($BE$6:$BE$68)-($BE21)),2),ROUND(MIN($BK22,IF('Inputs 2'!$C$12="MFJ",'Methodology &amp; Sources'!$C$14,'Methodology &amp; Sources'!$C$15))/'Inputs 2'!$C$8,2)),MIN($BK22,IF('Inputs 2'!$C$12="MFJ",'Methodology &amp; Sources'!$C$14,'Methodology &amp; Sources'!$C$15))-$BH21)),2)))</f>
      </c>
      <c r="J22" s="7">
        <f>IF($B22="","",IF($BF22=0,0,$BM22))</f>
      </c>
      <c r="K22" s="7">
        <f>IF($B22="","",IF($BF22=0,0,$BN22+$BO22))</f>
      </c>
      <c r="L22" s="7">
        <f>IF($B22="","",IF($BF22=0,0,'Inputs 2'!$D$46))</f>
      </c>
      <c r="M22" s="7">
        <f>IF($B22="","",$C22+$D22+$L22-$E22-$G22-$H22-$I22-$J22-$K22)</f>
      </c>
      <c r="N22" s="7">
        <f>IF($B22="","",$C22+$D22+$L22-$G22-$H22-$I22-$J22-$K22)</f>
      </c>
      <c r="O22" s="7">
        <f>IF($B22="","",$C22+$D22+$L22-$E22-$H22-$I22-$J22-$K22-IF(OR($AN22="CA",$AN22="NJ"),0,$G22))</f>
      </c>
      <c r="P22" s="7">
        <f>IF($B22="","",IF('Inputs 2'!$C$18,0,ROUND(MAX(0,IF('Inputs 2'!$C$13,SUMPRODUCT(($AH22&gt;INDEX('Methodology &amp; Sources'!$B$29:$J$36,0,IF('Inputs 2'!$C$12="MFJ",1,IF('Inputs 2'!$C$12="HoH",7,4))))*($AH22-INDEX('Methodology &amp; Sources'!$B$29:$J$36,0,IF('Inputs 2'!$C$12="MFJ",1,IF('Inputs 2'!$C$12="HoH",7,4))))*INDEX('Methodology &amp; Sources'!$B$29:$J$36,0,IF('Inputs 2'!$C$12="MFJ",1,IF('Inputs 2'!$C$12="HoH",7,4))+2)),SUMPRODUCT(($AH22&gt;INDEX('Methodology &amp; Sources'!$B$19:$J$26,0,IF('Inputs 2'!$C$12="MFJ",1,IF('Inputs 2'!$C$12="HoH",7,4))))*($AH22-INDEX('Methodology &amp; Sources'!$B$19:$J$26,0,IF('Inputs 2'!$C$12="MFJ",1,IF('Inputs 2'!$C$12="HoH",7,4))))*INDEX('Methodology &amp; Sources'!$B$19:$J$26,0,IF('Inputs 2'!$C$12="MFJ",1,IF('Inputs 2'!$C$12="HoH",7,4))+2)))/'Inputs 2'!$C$8-$AO22/'Inputs 2'!$C$8)+$AR22+IF('Inputs 2'!$C$89="Aggregate",MAX(0,IF('Inputs 2'!$C$13,SUMPRODUCT((($AH22+$D22)&gt;INDEX('Methodology &amp; Sources'!$B$29:$J$36,0,IF('Inputs 2'!$C$12="MFJ",1,IF('Inputs 2'!$C$12="HoH",7,4))))*(($AH22+$D22)-INDEX('Methodology &amp; Sources'!$B$29:$J$36,0,IF('Inputs 2'!$C$12="MFJ",1,IF('Inputs 2'!$C$12="HoH",7,4))))*INDEX('Methodology &amp; Sources'!$B$29:$J$36,0,IF('Inputs 2'!$C$12="MFJ",1,IF('Inputs 2'!$C$12="HoH",7,4))+2)),SUMPRODUCT((($AH22+$D22)&gt;INDEX('Methodology &amp; Sources'!$B$19:$J$26,0,IF('Inputs 2'!$C$12="MFJ",1,IF('Inputs 2'!$C$12="HoH",7,4))))*(($AH22+$D22)-INDEX('Methodology &amp; Sources'!$B$19:$J$26,0,IF('Inputs 2'!$C$12="MFJ",1,IF('Inputs 2'!$C$12="HoH",7,4))))*INDEX('Methodology &amp; Sources'!$B$19:$J$26,0,IF('Inputs 2'!$C$12="MFJ",1,IF('Inputs 2'!$C$12="HoH",7,4))+2)))-IF('Inputs 2'!$C$13,SUMPRODUCT(($AH22&gt;INDEX('Methodology &amp; Sources'!$B$29:$J$36,0,IF('Inputs 2'!$C$12="MFJ",1,IF('Inputs 2'!$C$12="HoH",7,4))))*($AH22-INDEX('Methodology &amp; Sources'!$B$29:$J$36,0,IF('Inputs 2'!$C$12="MFJ",1,IF('Inputs 2'!$C$12="HoH",7,4))))*INDEX('Methodology &amp; Sources'!$B$29:$J$36,0,IF('Inputs 2'!$C$12="MFJ",1,IF('Inputs 2'!$C$12="HoH",7,4))+2)),SUMPRODUCT(($AH22&gt;INDEX('Methodology &amp; Sources'!$B$19:$J$26,0,IF('Inputs 2'!$C$12="MFJ",1,IF('Inputs 2'!$C$12="HoH",7,4))))*($AH22-INDEX('Methodology &amp; Sources'!$B$19:$J$26,0,IF('Inputs 2'!$C$12="MFJ",1,IF('Inputs 2'!$C$12="HoH",7,4))))*INDEX('Methodology &amp; Sources'!$B$19:$J$26,0,IF('Inputs 2'!$C$12="MFJ",1,IF('Inputs 2'!$C$12="HoH",7,4))+2)))),'Methodology &amp; Sources'!$C$10*$D22),2)))</f>
      </c>
      <c r="Q22" s="7">
        <f>IF($B22="","",ROUND('Methodology &amp; Sources'!$C$4*MIN($N22,MAX(0,'Methodology &amp; Sources'!$C$3-($AX22+$AB21-$AW22))),2))</f>
      </c>
      <c r="R22" s="7">
        <f>IF($B22="","",ROUND('Methodology &amp; Sources'!$C$5*$N22,2))</f>
      </c>
      <c r="S22" s="7">
        <f>IF($B22="","",ROUND('Methodology &amp; Sources'!$C$6*MAX(0,MIN($N22,$AG21+$N22-'Methodology &amp; Sources'!$C$7)),2))</f>
      </c>
      <c r="T22" s="7">
        <f>IF($B22="","",IF('Inputs 2'!$C$26,0,IF($AN22="CA",ROUND(IF($AI22&lt;=IF(($AS22+$AT22)&gt;=2,VLOOKUP($AN22,StateTables!$A$6:$AB$56,10,FALSE),VLOOKUP($AN22,StateTables!$A$6:$AB$56,9,FALSE)),0,MAX(0,SUMPRODUCT(($AJ22&gt;INDEX('Methodology &amp; Sources'!$B$39:$J$48,0,IF($AU22="Married",4,IF($AU22="Head of household",7,1))))*($AJ22-INDEX('Methodology &amp; Sources'!$B$39:$J$48,0,IF($AU22="Married",4,IF($AU22="Head of household",7,1))))*INDEX('Methodology &amp; Sources'!$B$39:$J$48,0,IF($AU22="Married",4,IF($AU22="Head of household",7,1))+2))-VLOOKUP($AN22,StateTables!$A$6:$AB$56,11,FALSE)*$AS22)/'Inputs 2'!$C$8)+'Inputs 2'!$C$25+VLOOKUP($AN22,StateTables!$A$6:$AB$56,13,FALSE)*$D22,2),IF(VLOOKUP($AN22,StateTables!$A$6:$AB$56,4,FALSE)="None",0,IF(ISNUMBER(SEARCH("MANUAL",VLOOKUP($AN22,StateTables!$A$6:$AB$56,5,FALSE))),'Inputs 2'!$C$28,ROUND(MAX(0,$BA22+$BB22)/'Inputs 2'!$C$8+'Inputs 2'!$C$25+$BC22,2))))))</f>
      </c>
      <c r="U22" s="7">
        <f>IF($B22="","",IF(VLOOKUP($AN22,StateTables!$A$6:$AB$56,24,FALSE)="flatq",IF(OR(MONTH($B22)=1,MONTH($B22)=4,MONTH($B22)=7,MONTH($B22)=10),VLOOKUP($AN22,StateTables!$A$6:$AB$56,25,FALSE),0),IF(VLOOKUP($AN22,StateTables!$A$6:$AB$56,24,FALSE)="dbl",MIN(ROUND(0.005*$N22,2),ROUND(0.6*52/'Inputs 2'!$C$8,2)),IF(OR(VLOOKUP($AN22,StateTables!$A$6:$AB$56,15,FALSE)="",VLOOKUP($AN22,StateTables!$A$6:$AB$56,15,FALSE)=0),0,ROUND(VLOOKUP($AN22,StateTables!$A$6:$AB$56,15,FALSE)*IF(OR(VLOOKUP($AN22,StateTables!$A$6:$AB$56,16,FALSE)="",VLOOKUP($AN22,StateTables!$A$6:$AB$56,16,FALSE)=0),$N22,MIN($N22,MAX(0,VLOOKUP($AN22,StateTables!$A$6:$AB$56,16,FALSE)-($AX22+$AB21-$AW22)))),2))))+IF(VLOOKUP($AN22,StateTables!$A$6:$AB$56,27,FALSE)="flatq",IF(OR(MONTH($B22)=1,MONTH($B22)=4,MONTH($B22)=7,MONTH($B22)=10),VLOOKUP($AN22,StateTables!$A$6:$AB$56,28,FALSE),0),IF(VLOOKUP($AN22,StateTables!$A$6:$AB$56,27,FALSE)="dbl",MIN(ROUND(0.005*$N22,2),ROUND(0.6*52/'Inputs 2'!$C$8,2)),IF(OR(VLOOKUP($AN22,StateTables!$A$6:$AB$56,18,FALSE)="",VLOOKUP($AN22,StateTables!$A$6:$AB$56,18,FALSE)=0),0,ROUND(VLOOKUP($AN22,StateTables!$A$6:$AB$56,18,FALSE)*IF(OR(VLOOKUP($AN22,StateTables!$A$6:$AB$56,19,FALSE)="",VLOOKUP($AN22,StateTables!$A$6:$AB$56,19,FALSE)=0),$N22,MIN($N22,MAX(0,VLOOKUP($AN22,StateTables!$A$6:$AB$56,19,FALSE)-($AX22+$AB21-$AW22)))),2)))))</f>
      </c>
      <c r="V22" s="7">
        <f>IF($B22="","",IF($AN22="NY",IF('Inputs 2'!$C$78,ROUND(SUMPRODUCT((MAX(0,($O22-$D22)*'Inputs 2'!$C$8-(IF($AU22="Married",5500,5000)+1000*$AS22))&gt;INDEX('Methodology &amp; Sources'!$B$184:$J$198,0,4))*(MAX(0,($O22-$D22)*'Inputs 2'!$C$8-(IF($AU22="Married",5500,5000)+1000*$AS22))-INDEX('Methodology &amp; Sources'!$B$184:$J$198,0,4))*INDEX('Methodology &amp; Sources'!$B$184:$J$198,0,4+2))/'Inputs 2'!$C$8+0.0425*$D22,2),0)+IF('Inputs 2'!$C$79="Resident",ROUND(0.1675*$T22,2),IF('Inputs 2'!$C$79="Nonresident",ROUND(0.005*MAX(0,($O22-$D22)-(IF($AU22="Married",7950,7400)+1000*$AS22)/'Inputs 2'!$C$8),2),0)),IF($AN22="PA",IF('Inputs 2'!$C$80="None",'Inputs 2'!$C$27+ROUND('Inputs 2'!$C$81*($C22+$D22),2),ROUND(IF('Inputs 2'!$C$80="Resident",IF($B22&lt;DATE(2027,7,1),0.03735,0.03735),IF($B22&lt;DATE(2027,7,1),0.03425,0.03425))*($C22+$D22),2)),IF($BF22=0,ROUND('Inputs 2'!$C$81*($C22+$D22),2),'Inputs 2'!$C$27+ROUND('Inputs 2'!$C$81*($C22+$D22),2)))))</f>
      </c>
      <c r="W22" s="7">
        <f>IF($B22="","",IF($BF22=0,0,$BP22))</f>
      </c>
      <c r="X22" s="7">
        <f>IF($B22="","",SUM($E22:$K22)+$P22+$Q22+$R22+$S22+$T22+$U22+$V22+$W22)</f>
      </c>
      <c r="Y22" s="22">
        <f>IF($B22="","",$C22+$D22-$X22)</f>
      </c>
      <c r="Z22" s="7">
        <f>IF($B22="","",$Z21+$C22+$D22)</f>
      </c>
      <c r="AA22" s="7">
        <f>IF($B22="","",$AA21+$Y22)</f>
      </c>
      <c r="AB22" s="7">
        <f>IF($B22="","",$AB21+MIN($N22,MAX(0,'Methodology &amp; Sources'!$C$3-($AX22+$AB21-$AW22))))</f>
      </c>
      <c r="AC22" s="7">
        <f>IF($B22="","",$AC21+$E22+$F22)</f>
      </c>
      <c r="AD22" s="3">
        <f>IF($B22="","",IF(AND($AB21&lt;'Methodology &amp; Sources'!$C$3,$AB22&gt;='Methodology &amp; Sources'!$C$3),"★ Social Security maxed on this check — from the next check your net rises by about $"&amp;TEXT(ROUND('Methodology &amp; Sources'!$C$4*$N22,2),"#,##0.00")&amp;". ","")&amp;IF(AND($AC21&lt;'Inputs 2'!$C$34,$AC22&gt;='Inputs 2'!$C$34),"★ 401(k) reaches the $"&amp;TEXT('Inputs 2'!$C$34,"#,##0")&amp;" cap on this check — deferrals stop and net pay rises. ","")&amp;IF(AND($AG21&lt;'Methodology &amp; Sources'!$C$7,$AG22&gt;='Methodology &amp; Sources'!$C$7),"★ Wages pass $200,000 — the 0.9% Additional Medicare Tax starts here. ","")&amp;IF(AND($BJ22&gt;0,$H22&gt;0,$BG21&lt;MIN($BJ22,'Methodology &amp; Sources'!$C$13),$BG21+$H22&gt;=MIN($BJ22,'Methodology &amp; Sources'!$C$13)),"★ Health FSA election is now fully deferred for the year. ",""))</f>
      </c>
      <c r="AE22" s="41" t="n"/>
      <c r="AF22" s="7">
        <f>IF(OR($B22="",$AE22=""),"",$AE22-$Y22)</f>
      </c>
      <c r="AG22" s="7">
        <f>IF($B22="","",$AG21+$N22)</f>
      </c>
      <c r="AH22" s="7">
        <f>IF($B22="","",MAX(0,($M22-$D22)*'Inputs 2'!$C$8+$AP22-$AQ22-IF('Inputs 2'!$C$13,0,IF('Inputs 2'!$C$12="MFJ",'Methodology &amp; Sources'!$C$8,'Methodology &amp; Sources'!$C$9))))</f>
      </c>
      <c r="AI22" s="7">
        <f>IF($B22="","",$O22*'Inputs 2'!$C$8)</f>
      </c>
      <c r="AJ22" s="7">
        <f>IF($B22="","",MAX(0,$AI22-VLOOKUP($AN22,StateTables!$A$6:$AB$56,12,FALSE)*$AT22-IF(($AS22+$AT22)&gt;=2,VLOOKUP($AN22,StateTables!$A$6:$AB$56,8,FALSE),VLOOKUP($AN22,StateTables!$A$6:$AB$56,7,FALSE))))</f>
      </c>
      <c r="AK22" s="7">
        <f>IF($B22="","",IFERROR(LOOKUP(2,1/(('Events 2'!$C$6:$C$17="Salary change")*('Events 2'!$B$6:$B$17&lt;=$B22)*('Events 2'!$B$6:$B$17&lt;&gt;"")),'Events 2'!$D$6:$D$17),IF('Inputs 2'!$C$4="Annual salary",'Inputs 2'!$C$5,'Inputs 2'!$C$6)))</f>
      </c>
      <c r="AL22">
        <f>IF($B22="","",IFERROR(LOOKUP(2,1/(('Events 2'!$C$6:$C$17="401(k) change")*('Events 2'!$B$6:$B$17&lt;=$B22)*('Events 2'!$B$6:$B$17&lt;&gt;"")),'Events 2'!$D$6:$D$17),'Inputs 2'!$C$30))</f>
      </c>
      <c r="AM22" s="7">
        <f>IF($B22="","",IFERROR(LOOKUP(2,1/(('Events 2'!$C$6:$C$17="401(k) change")*('Events 2'!$B$6:$B$17&lt;=$B22)*('Events 2'!$B$6:$B$17&lt;&gt;"")),'Events 2'!$E$6:$E$17),'Inputs 2'!$D$30))</f>
      </c>
      <c r="AN22">
        <f>IF($B22="","",IFERROR(LOOKUP(2,1/(('Events 2'!$C$6:$C$17="State move")*('Events 2'!$B$6:$B$17&lt;=$B22)*('Events 2'!$B$6:$B$17&lt;&gt;"")),'Events 2'!$D$6:$D$17),'Inputs 2'!$C$21))</f>
      </c>
      <c r="AO22" s="7">
        <f>IF($B22="","",IFERROR(LOOKUP(2,1/(('Events 2'!$C$6:$C$17="W-4 change")*('Events 2'!$B$6:$B$17&lt;=$B22)*('Events 2'!$B$6:$B$17&lt;&gt;"")),'Events 2'!$D$6:$D$17),'Inputs 2'!$C$14))</f>
      </c>
      <c r="AP22" s="7">
        <f>IF($B22="","",IFERROR(LOOKUP(2,1/(('Events 2'!$C$6:$C$17="W-4 change")*('Events 2'!$B$6:$B$17&lt;=$B22)*('Events 2'!$B$6:$B$17&lt;&gt;"")),'Events 2'!$E$6:$E$17),'Inputs 2'!$C$15))</f>
      </c>
      <c r="AQ22" s="7">
        <f>IF($B22="","",IFERROR(LOOKUP(2,1/(('Events 2'!$C$6:$C$17="W-4 change")*('Events 2'!$B$6:$B$17&lt;=$B22)*('Events 2'!$B$6:$B$17&lt;&gt;"")),'Events 2'!$F$6:$F$17),'Inputs 2'!$C$16))</f>
      </c>
      <c r="AR22" s="7">
        <f>IF($B22="","",IFERROR(LOOKUP(2,1/(('Events 2'!$C$6:$C$17="W-4 change")*('Events 2'!$B$6:$B$17&lt;=$B22)*('Events 2'!$B$6:$B$17&lt;&gt;"")),'Events 2'!$G$6:$G$17),'Inputs 2'!$C$17))</f>
      </c>
      <c r="AS22" s="6">
        <f>IF($B22="","",IFERROR(LOOKUP(2,1/((('Events 2'!$C$6:$C$17="State move")+('Events 2'!$C$6:$C$17="State cert change"))*('Events 2'!$B$6:$B$17&lt;=$B22)*('Events 2'!$B$6:$B$17&lt;&gt;"")),'Events 2'!$F$6:$F$17),'Inputs 2'!$C$23))</f>
      </c>
      <c r="AT22" s="6">
        <f>IF($B22="","",IFERROR(LOOKUP(2,1/((('Events 2'!$C$6:$C$17="State move")+('Events 2'!$C$6:$C$17="State cert change"))*('Events 2'!$B$6:$B$17&lt;=$B22)*('Events 2'!$B$6:$B$17&lt;&gt;"")),'Events 2'!$G$6:$G$17),'Inputs 2'!$C$24))</f>
      </c>
      <c r="AU22">
        <f>IF($B22="","",IFERROR(LOOKUP(2,1/(('Events 2'!$C$6:$C$17="State move")*('Events 2'!$B$6:$B$17&lt;=$B22)*('Events 2'!$B$6:$B$17&lt;&gt;"")),'Events 2'!$E$6:$E$17),'Inputs 2'!$C$22))</f>
      </c>
      <c r="AV22" s="6">
        <f>IF($B22="","",1+COUNTIFS('Events 2'!$C$6:$C$17,"Employer change",'Events 2'!$B$6:$B$17,"&lt;="&amp;$B22,'Events 2'!$B$6:$B$17,"&lt;&gt;"))</f>
      </c>
      <c r="AW22" s="7">
        <f>IF($B22="","",IF($AV22=1,'Inputs 2'!$C$49,IF(IFERROR(MATCH(IFERROR(LOOKUP(2,1/(('Events 2'!$C$6:$C$17="Employer change")*('Events 2'!$B$6:$B$17&lt;=$B22)*('Events 2'!$B$6:$B$17&lt;&gt;"")),'Events 2'!$B$6:$B$17),""),$B$6:$B$68,1),1)&lt;=1,'Inputs 2'!$C$49,INDEX($AB$6:$AB$68,MATCH(IFERROR(LOOKUP(2,1/(('Events 2'!$C$6:$C$17="Employer change")*('Events 2'!$B$6:$B$17&lt;=$B22)*('Events 2'!$B$6:$B$17&lt;&gt;"")),'Events 2'!$B$6:$B$17),""),$B$6:$B$68,1)-1))))</f>
      </c>
      <c r="AX22" s="7">
        <f>IF($B22="","",IF($AV22=1,'Inputs 2'!$C$49,IFERROR(LOOKUP(2,1/(('Events 2'!$C$6:$C$17="Employer change")*('Events 2'!$B$6:$B$17&lt;=$B22)*('Events 2'!$B$6:$B$17&lt;&gt;"")),'Events 2'!$D$6:$D$17),0)))</f>
      </c>
      <c r="AY22" s="7">
        <f>IF($B22="","",($O22-$D22)*'Inputs 2'!$C$8)</f>
      </c>
      <c r="AZ22" s="7">
        <f>IF($B22="","",IF($AN22="AL",MAX(0,$AY22-IF($AU22="Married",IF($AY22&lt;=25999,8500,MAX(5000,8500-175*CEILING(($AY22-25999)/500,1))),IF($AU22="Head of household",IF($AY22&lt;=25999,5200,MAX(2500,5200-135*CEILING(($AY22-25999)/500,1))),IF($AY22&lt;=25999,3000,MAX(2500,3000-25*CEILING(($AY22-25999)/500,1)))))-($P22-'Methodology &amp; Sources'!$C$10*$D22)*'Inputs 2'!$C$8-IF(OR($AU22="Married",$AU22="Head of household"),3000,1500)-$AT22*IF($AY22&lt;=50000,1000,IF($AY22&lt;=100000,500,300))),IF($AN22="AR",IF(MAX(0,$AY22-2470)&lt;97701,INT(MAX(0,$AY22-2470)/100)*100+50,MAX(0,$AY22-2470)),IF($AN22="DE",MAX(0,$AI22-3250),IF($AN22="HI",MAX(0,$AI22-1144*$AS22-4350),IF($AN22="KS",MAX(0,$AI22-(9160*IF($AU22="Married",2,1)+2320*$AT22+IF($AU22="Head of household",2320,0))),IF($AN22="MD",MAX(0,$AI22-3400-3200*$AS22),IF($AN22="MN",MAX(0,$AY22-5300*$AS22),IF($AN22="MO",MAX(0,$AI22-IF($AU22="Head of household",24150,IF($AU22="Married",IF('Inputs 2'!$C$83,16100,32200),16100))),IF($AN22="MT",$AY22,IF($AN22="ND",($C22+$L22)*'Inputs 2'!$C$8,IF($AN22="NE",MAX(0,$AY22-2440*$AS22),IF($AN22="NJ",MAX(0,$AY22-1000*$AS22),IF($AN22="NY",MAX(0,$AY22-(IF($AU22="Married",7950,7400)+1000*$AS22)),IF($AN22="OH",MAX(0,$AY22-650*$AS22),IF($AN22="OK",MAX(0,$AY22-1000*$AS22),IF($AN22="RI",MAX(0,$AI22-1000*$AS22),IF($AN22="SC",MAX(0,$AI22-5000*$AS22-IF($AS22=0,0,MIN(0.1*$AI22,7500))),IF($AN22="VA",MAX(0,$AI22-IF($AU22="Married",17500,8750)-930*$AS22-800*$AT22),IF($AN22="VT",MAX(0,$AI22-5400*$AS22),IF($AN22="WI",MAX(0,$AI22-MAX(0,IF($AU22="Married",9461-0.2*MAX(0,$AI22-25727),6702-0.12*MAX(0,$AI22-17780)))-400*$AS22),IF($AN22="WV",MAX(0,$AI22-2000*$AS22),$AI22))))))))))))))))))))))</f>
      </c>
      <c r="BA22" s="7">
        <f>IF($B22="","",IF($BW22&lt;&gt;"",$BW22,IF($BX22&lt;&gt;"",$BX22,IF($BY22&lt;&gt;"",$BY22,0))))</f>
      </c>
      <c r="BB22" s="7">
        <f>IF($B22="","",IF($AN22="AR",-29*$AS22,IF($AN22="DE",-110*$AS22,IF($AN22="MD",$AZ22*'Inputs 2'!$C$74,IF($AN22="AZ",'Inputs 2'!$C$82*($M22-$D22)*'Inputs 2'!$C$8,IF($AN22="CO",0.044*MAX(0,$AY22-IF($AU22="Married",10000,5000)),IF($AN22="IA",MAX(0,0.038*MAX(0,$AY22-IF($AU22="Head of household",19500,IF($AU22="Married",26000,13000)))-40*$AS22),IF($AN22="ID",0.053*MAX(0,$AY22-IF($AU22="Married",32000,16094)),IF($AN22="IL",0.0495*MAX(0,$AY22-(2925*$AS22+1000*$AT22)),IF($AN22="IN",(0.0295+'Inputs 2'!$C$76)*MAX(0,$AY22-(1000*$AS22+1500*$AT22+3000*'Inputs 2'!$C$86)),IF($AN22="KY",0.035*MAX(0,$AI22-3360),IF($AN22="LA",IF('Inputs 2'!$C$84="0",0.0309*$AI22,0.0309*MAX(0,$AI22-IF('Inputs 2'!$C$84="2",25750,12875))),IF($AN22="MA",0.05*MIN(MAX(0,$AY22-MIN(($BD21+$Q22+$R22+$S22),2000)-IF($AS22=0,0,IF($AS22=1,4400,1000*$AS22+3400))),1107750)+0.09*MAX(0,MAX(0,$AY22-MIN(($BD21+$Q22+$R22+$S22),2000)-IF($AS22=0,0,IF($AS22=1,4400,1000*$AS22+3400)))-1107750)-IF($AU22="Head of household",120,0)-110*'Inputs 2'!$C$75,IF($AN22="MI",0.0425*MAX(0,$AY22-5900*$AS22),IF($AN22="MS",0.04*MAX(0,$AI22-IF($AU22="Head of household",3400,IF($AU22="Married",4600,2300))-'Inputs 2'!$C$85-10000),IF($AN22="OR",IF(OR($AU22="Married",AND($AU22="Single",$AS22&gt;=3)),SUMPRODUCT((MAX(0,$AY22-MIN(($P22-'Methodology &amp; Sources'!$C$10*$D22)*'Inputs 2'!$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Sources'!$B$211:$J$214,0,4))*(MAX(0,$AY22-MIN(($P22-'Methodology &amp; Sources'!$C$10*$D22)*'Inputs 2'!$C$8,IF(OR($AU22="Married",AND($AU22="Single",$AS22&gt;=3)),IF($AY22&lt;250000,8750,IF($AY22&lt;260000,7000,IF($AY22&lt;270000,5250,IF($AY22&lt;280000,3500,IF($AY22&lt;290000,1750,0))))),IF($AY22&lt;125000,8750,IF($AY22&lt;130000,7000,IF($AY22&lt;135000,5250,IF($AY22&lt;140000,3500,IF($AY22&lt;145000,1750,0)))))))-IF(OR($AU22="Married",AND($AU22="Single",$AS22&gt;=3)),5820,2910))-INDEX('Methodology &amp; Sources'!$B$211:$J$214,0,4))*INDEX('Methodology &amp; Sources'!$B$211:$J$214,0,4+2)),SUMPRODUCT((MAX(0,$AY22-MIN(($P22-'Methodology &amp; Sources'!$C$10*$D22)*'Inputs 2'!$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Sources'!$B$211:$J$214,0,1))*(MAX(0,$AY22-MIN(($P22-'Methodology &amp; Sources'!$C$10*$D22)*'Inputs 2'!$C$8,IF(OR($AU22="Married",AND($AU22="Single",$AS22&gt;=3)),IF($AY22&lt;250000,8750,IF($AY22&lt;260000,7000,IF($AY22&lt;270000,5250,IF($AY22&lt;280000,3500,IF($AY22&lt;290000,1750,0))))),IF($AY22&lt;125000,8750,IF($AY22&lt;130000,7000,IF($AY22&lt;135000,5250,IF($AY22&lt;140000,3500,IF($AY22&lt;145000,1750,0)))))))-IF(OR($AU22="Married",AND($AU22="Single",$AS22&gt;=3)),5820,2910))-INDEX('Methodology &amp; Sources'!$B$211:$J$214,0,1))*INDEX('Methodology &amp; Sources'!$B$211:$J$214,0,1+2)))+263-263*IF(IF($AU22="Married",$AY22&gt;200000,$AY22&gt;100000),0,$AS22),IF($AN22="PA",0.0307*(($O22+$E22+$G22)*'Inputs 2'!$C$8),IF($AN22="NY",IF($AU22="Married",IF($AZ22&gt;=2155350,0,IF($AZ22&gt;=1077550,0.48,IF($AZ22&gt;=373200,1.21,IF($AZ22&gt;=323200,0.21,IF($AZ22&gt;=211550,-0.19,IF($AZ22&gt;=157650,-2.8,IF($AZ22&gt;=107650,-0.8,IF($AZ22&gt;=96800,0.05,IF($AZ22&gt;=80650,-0.1,IF($AZ22&gt;=13900,0.4,IF($AZ22&gt;=11700,-0.3,IF($AZ22&gt;=8500,0.5,0)))))))))))),IF($AZ22&gt;=1077550,0,IF($AZ22&gt;=265400,4.29,IF($AZ22&gt;=215400,2.29,IF($AZ22&gt;=157650,2.29,IF($AZ22&gt;=107650,0.29,IF($AZ22&gt;=96800,0.05,IF($AZ22&gt;=80650,-0.1,IF($AZ22&gt;=13900,0.4,IF($AZ22&gt;=11700,-0.3,IF($AZ22&gt;=8500,0.5,0))))))))))),0))))))))))))))))))</f>
      </c>
      <c r="BC22" s="7">
        <f>IF($B22="","",IF($AN22="AL",0.05*$D22,IF($AN22="AR",0.039*$D22,IF($AN22="ID",0.053*$D22,IF($AN22="IN",(0.0295+'Inputs 2'!$C$76)*$D22,IF($AN22="KS",0.05*$D22,IF($AN22="MA",0.09*MIN($D22,MAX(0,MAX(0,$AY22-MIN(($BD21+$Q22+$R22+$S22),2000)-IF($AS22=0,0,IF($AS22=1,4400,1000*$AS22+3400)))+$D22-1107750))+0.05*($D22-MIN($D22,MAX(0,MAX(0,$AY22-MIN(($BD21+$Q22+$R22+$S22),2000)-IF($AS22=0,0,IF($AS22=1,4400,1000*$AS22+3400)))+$D22-1107750))),IF($AN22="MD",(0.065+'Inputs 2'!$C$74)*$D22,IF($AN22="MI",0.0425*$D22,IF($AN22="MN",0.0625*$D22,IF($AN22="MO",0.047*$D22,IF($AN22="MT",0.05*$D22,IF($AN22="ND",0.015*$D22,IF($AN22="NE",0.035*$D22,IF($AN22="NJ",IF('Inputs 2'!$C$77="B",SUMPRODUCT(($D22*'Inputs 2'!$C$8&gt;INDEX('Methodology &amp; Sources'!$B$155:$J$162,0,4))*($D22*'Inputs 2'!$C$8-INDEX('Methodology &amp; Sources'!$B$155:$J$162,0,4))*INDEX('Methodology &amp; Sources'!$B$155:$J$162,0,4+2)),IF('Inputs 2'!$C$77="C",SUMPRODUCT(($D22*'Inputs 2'!$C$8&gt;INDEX('Methodology &amp; Sources'!$B$155:$J$162,0,7))*($D22*'Inputs 2'!$C$8-INDEX('Methodology &amp; Sources'!$B$155:$J$162,0,7))*INDEX('Methodology &amp; Sources'!$B$155:$J$162,0,7+2)),IF('Inputs 2'!$C$77="D",SUMPRODUCT(($D22*'Inputs 2'!$C$8&gt;INDEX('Methodology &amp; Sources'!$B$167:$J$179,0,1))*($D22*'Inputs 2'!$C$8-INDEX('Methodology &amp; Sources'!$B$167:$J$179,0,1))*INDEX('Methodology &amp; Sources'!$B$167:$J$179,0,1+2)),IF('Inputs 2'!$C$77="E",SUMPRODUCT(($D22*'Inputs 2'!$C$8&gt;INDEX('Methodology &amp; Sources'!$B$167:$J$179,0,4))*($D22*'Inputs 2'!$C$8-INDEX('Methodology &amp; Sources'!$B$167:$J$179,0,4))*INDEX('Methodology &amp; Sources'!$B$167:$J$179,0,4+2)),SUMPRODUCT(($D22*'Inputs 2'!$C$8&gt;INDEX('Methodology &amp; Sources'!$B$155:$J$162,0,1))*($D22*'Inputs 2'!$C$8-INDEX('Methodology &amp; Sources'!$B$155:$J$162,0,1))*INDEX('Methodology &amp; Sources'!$B$155:$J$162,0,1+2))))))/'Inputs 2'!$C$8,IF($AN22="NY",0.117*$D22,IF($AN22="OH",0.0275*$D22,IF($AN22="OK",0.045*$D22,IF($AN22="OR",0.08*$D22,IF($AN22="WI",IF($AY22&lt;12760,0.0354,IF($AY22&lt;25520,0.0465,IF($AY22&lt;280950,0.053,0.0765)))*$D22,0))))))))))))))))))))</f>
      </c>
      <c r="BD22" s="7">
        <f>IF($B22="","",$BD21+$Q22+$R22+$S22)</f>
      </c>
      <c r="BE22" s="6">
        <f>IF($B22="",$BE21,$BE21+$BF22)</f>
      </c>
      <c r="BF22" s="6">
        <f>IF($B22="","",IF(AND(IF(YEAR(IF('Inputs 2'!$C$7="Weekly",'Inputs 2'!$C$9+7*(($BE21+1)-1),IF('Inputs 2'!$C$7="Biweekly",'Inputs 2'!$C$9+14*(($BE21+1)-1),IF('Inputs 2'!$C$7="Semimonthly",DATE(YEAR('Inputs 2'!$C$9),MONTH('Inputs 2'!$C$9)+INT((($BE21+1)-1)/2),MIN(DAY('Inputs 2'!$C$9),DAY(EOMONTH(DATE(YEAR('Inputs 2'!$C$9),MONTH('Inputs 2'!$C$9)+INT((($BE21+1)-1)/2),1),0))))+IF(MOD(($BE21+1)-1,2)=1,15,0),EDATE('Inputs 2'!$C$9,($BE21+1)-1)))))&lt;&gt;'Inputs 2'!$C$10,"",IF('Inputs 2'!$C$7="Weekly",'Inputs 2'!$C$9+7*(($BE21+1)-1),IF('Inputs 2'!$C$7="Biweekly",'Inputs 2'!$C$9+14*(($BE21+1)-1),IF('Inputs 2'!$C$7="Semimonthly",DATE(YEAR('Inputs 2'!$C$9),MONTH('Inputs 2'!$C$9)+INT((($BE21+1)-1)/2),MIN(DAY('Inputs 2'!$C$9),DAY(EOMONTH(DATE(YEAR('Inputs 2'!$C$9),MONTH('Inputs 2'!$C$9)+INT((($BE21+1)-1)/2),1),0))))+IF(MOD(($BE21+1)-1,2)=1,15,0),EDATE('Inputs 2'!$C$9,($BE21+1)-1)))))&lt;&gt;"",$B22=IF(YEAR(IF('Inputs 2'!$C$7="Weekly",'Inputs 2'!$C$9+7*(($BE21+1)-1),IF('Inputs 2'!$C$7="Biweekly",'Inputs 2'!$C$9+14*(($BE21+1)-1),IF('Inputs 2'!$C$7="Semimonthly",DATE(YEAR('Inputs 2'!$C$9),MONTH('Inputs 2'!$C$9)+INT((($BE21+1)-1)/2),MIN(DAY('Inputs 2'!$C$9),DAY(EOMONTH(DATE(YEAR('Inputs 2'!$C$9),MONTH('Inputs 2'!$C$9)+INT((($BE21+1)-1)/2),1),0))))+IF(MOD(($BE21+1)-1,2)=1,15,0),EDATE('Inputs 2'!$C$9,($BE21+1)-1)))))&lt;&gt;'Inputs 2'!$C$10,"",IF('Inputs 2'!$C$7="Weekly",'Inputs 2'!$C$9+7*(($BE21+1)-1),IF('Inputs 2'!$C$7="Biweekly",'Inputs 2'!$C$9+14*(($BE21+1)-1),IF('Inputs 2'!$C$7="Semimonthly",DATE(YEAR('Inputs 2'!$C$9),MONTH('Inputs 2'!$C$9)+INT((($BE21+1)-1)/2),MIN(DAY('Inputs 2'!$C$9),DAY(EOMONTH(DATE(YEAR('Inputs 2'!$C$9),MONTH('Inputs 2'!$C$9)+INT((($BE21+1)-1)/2),1),0))))+IF(MOD(($BE21+1)-1,2)=1,15,0),EDATE('Inputs 2'!$C$9,($BE21+1)-1)))))),1,0))</f>
      </c>
      <c r="BG22" s="7">
        <f>IF($B22="","",$BG21+$H22)</f>
      </c>
      <c r="BH22" s="7">
        <f>IF($B22="","",$BH21+$I22)</f>
      </c>
      <c r="BI22" s="7">
        <f>IF($B22="","",$BI21+$G22)</f>
      </c>
      <c r="BJ22" s="7">
        <f>IF($B22="","",IFERROR(LOOKUP(2,1/(((('Events 2'!$C$6:$C$17="Deduction start"))*('Events 2'!$D$6:$D$17="Health FSA"))*('Events 2'!$B$6:$B$17&lt;=$B22)*('Events 2'!$B$6:$B$17&lt;&gt;"")),'Events 2'!$E$6:$E$17),'Inputs 2'!$D$38))</f>
      </c>
      <c r="BK22" s="7">
        <f>IF($B22="","",IFERROR(LOOKUP(2,1/(((('Events 2'!$C$6:$C$17="Deduction start"))*('Events 2'!$D$6:$D$17="Dependent-care FSA"))*('Events 2'!$B$6:$B$17&lt;=$B22)*('Events 2'!$B$6:$B$17&lt;&gt;"")),'Events 2'!$E$6:$E$17),'Inputs 2'!$D$39))</f>
      </c>
      <c r="BL22" s="7">
        <f>IF($B22="","",IFERROR(LOOKUP(2,1/(((('Events 2'!$C$6:$C$17="Deduction start")+('Events 2'!$C$6:$C$17="Deduction stop"))*('Events 2'!$D$6:$D$17="HSA"))*('Events 2'!$B$6:$B$17&lt;=$B22)*('Events 2'!$B$6:$B$17&lt;&gt;"")),'Events 2'!$I$6:$I$17),'Inputs 2'!$D$35))</f>
      </c>
      <c r="BM22" s="7">
        <f>IF($B22="","",IFERROR(LOOKUP(2,1/(((('Events 2'!$C$6:$C$17="Deduction start")+('Events 2'!$C$6:$C$17="Deduction stop"))*('Events 2'!$D$6:$D$17="Premiums"))*('Events 2'!$B$6:$B$17&lt;=$B22)*('Events 2'!$B$6:$B$17&lt;&gt;"")),'Events 2'!$I$6:$I$17),'Inputs 2'!$D$40+'Inputs 2'!$D$41+'Inputs 2'!$D$42))</f>
      </c>
      <c r="BN22" s="7">
        <f>IF($B22="","",IFERROR(LOOKUP(2,1/(((('Events 2'!$C$6:$C$17="Deduction start")+('Events 2'!$C$6:$C$17="Deduction stop"))*('Events 2'!$D$6:$D$17="Commuter"))*('Events 2'!$B$6:$B$17&lt;=$B22)*('Events 2'!$B$6:$B$17&lt;&gt;"")),'Events 2'!$I$6:$I$17),'Inputs 2'!$D$43))</f>
      </c>
      <c r="BO22" s="7">
        <f>IF($B22="","",IFERROR(LOOKUP(2,1/(((('Events 2'!$C$6:$C$17="Deduction start")+('Events 2'!$C$6:$C$17="Deduction stop"))*('Events 2'!$D$6:$D$17="Other pre-tax"))*('Events 2'!$B$6:$B$17&lt;=$B22)*('Events 2'!$B$6:$B$17&lt;&gt;"")),'Events 2'!$I$6:$I$17),'Inputs 2'!$D$44))</f>
      </c>
      <c r="BP22" s="7">
        <f>IF($B22="","",IFERROR(LOOKUP(2,1/(((('Events 2'!$C$6:$C$17="Deduction start")+('Events 2'!$C$6:$C$17="Deduction stop"))*('Events 2'!$D$6:$D$17="Other post-tax"))*('Events 2'!$B$6:$B$17&lt;=$B22)*('Events 2'!$B$6:$B$17&lt;&gt;"")),'Events 2'!$I$6:$I$17),'Inputs 2'!$D$45))</f>
      </c>
      <c r="BQ22" s="6">
        <f>IF($B22="","",IFERROR(LOOKUP(2,1/(((('Events 2'!$C$6:$C$17="Deduction start")+('Events 2'!$C$6:$C$17="Deduction stop"))*('Events 2'!$D$6:$D$17="Health FSA"))*('Events 2'!$B$6:$B$17&lt;=$B22)*('Events 2'!$B$6:$B$17&lt;&gt;"")),'Events 2'!$J$6:$J$17),0))</f>
      </c>
      <c r="BR22" s="6">
        <f>IF($B22="","",IFERROR(LOOKUP(2,1/(((('Events 2'!$C$6:$C$17="Deduction start")+('Events 2'!$C$6:$C$17="Deduction stop"))*('Events 2'!$D$6:$D$17="Dependent-care FSA"))*('Events 2'!$B$6:$B$17&lt;=$B22)*('Events 2'!$B$6:$B$17&lt;&gt;"")),'Events 2'!$J$6:$J$17),0))</f>
      </c>
      <c r="BS22" s="6">
        <f>IF($B22="","",IF(SUMPRODUCT(('Events 2'!$C$6:$C$17="Deduction start")*('Events 2'!$B$6:$B$17&lt;=$B22)*('Events 2'!$B$6:$B$17&lt;&gt;"")*('Events 2'!$D$6:$D$17="Health FSA"))&gt;0,1,0))</f>
      </c>
      <c r="BT22" s="6">
        <f>IF($B22="","",IF(SUMPRODUCT(('Events 2'!$C$6:$C$17="Deduction start")*('Events 2'!$B$6:$B$17&lt;=$B22)*('Events 2'!$B$6:$B$17&lt;&gt;"")*('Events 2'!$D$6:$D$17="Dependent-care FSA"))&gt;0,1,0))</f>
      </c>
      <c r="BU22" s="24">
        <f>IF($B22="","",IF('Inputs 2'!$C$13,SUMPRODUCT(($AH22&gt;=INDEX('Methodology &amp; Sources'!$B$29:$J$36,0,IF('Inputs 2'!$C$12="MFJ",1,IF('Inputs 2'!$C$12="HoH",7,4))))*INDEX('Methodology &amp; Sources'!$B$29:$J$36,0,IF('Inputs 2'!$C$12="MFJ",1,IF('Inputs 2'!$C$12="HoH",7,4))+2)),SUMPRODUCT(($AH22&gt;=INDEX('Methodology &amp; Sources'!$B$19:$J$26,0,IF('Inputs 2'!$C$12="MFJ",1,IF('Inputs 2'!$C$12="HoH",7,4))))*INDEX('Methodology &amp; Sources'!$B$19:$J$26,0,IF('Inputs 2'!$C$12="MFJ",1,IF('Inputs 2'!$C$12="HoH",7,4))+2))))</f>
      </c>
      <c r="BV22" s="24">
        <f>IF($B22="","",IF($BZ22&lt;&gt;"",$BZ22,IF($CA22&lt;&gt;"",$CA22,IF($CB22&lt;&gt;"",$CB22,IF($CC22&lt;&gt;"",$CC22,0)))))</f>
      </c>
      <c r="BW22" s="7">
        <f>IF($B22="","",IF($AN22="MD",IF(OR($AU22="Married",$AU22="Head of household"),SUMPRODUCT(($AZ22&gt;INDEX('Methodology &amp; Sources'!$B$114:$J$120,0,1))*($AZ22-INDEX('Methodology &amp; Sources'!$B$114:$J$120,0,1))*INDEX('Methodology &amp; Sources'!$B$114:$J$120,0,1+2)),SUMPRODUCT(($AZ22&gt;INDEX('Methodology &amp; Sources'!$B$103:$J$109,0,7))*($AZ22-INDEX('Methodology &amp; Sources'!$B$103:$J$109,0,7))*INDEX('Methodology &amp; Sources'!$B$103:$J$109,0,7+2))),IF($AN22="MO",SUMPRODUCT(($AZ22&gt;INDEX('Methodology &amp; Sources'!$B$125:$J$132,0,1))*($AZ22-INDEX('Methodology &amp; Sources'!$B$125:$J$132,0,1))*INDEX('Methodology &amp; Sources'!$B$125:$J$132,0,1+2)),IF($AN22="MT",IF($AU22="Head of household",SUMPRODUCT(($AZ22&gt;INDEX('Methodology &amp; Sources'!$B$137:$J$139,0,1))*($AZ22-INDEX('Methodology &amp; Sources'!$B$137:$J$139,0,1))*INDEX('Methodology &amp; Sources'!$B$137:$J$139,0,1+2)),IF($AU22="Married",SUMPRODUCT(($AZ22&gt;INDEX('Methodology &amp; Sources'!$B$125:$J$132,0,7))*($AZ22-INDEX('Methodology &amp; Sources'!$B$125:$J$132,0,7))*INDEX('Methodology &amp; Sources'!$B$125:$J$132,0,7+2)),SUMPRODUCT(($AZ22&gt;INDEX('Methodology &amp; Sources'!$B$125:$J$132,0,4))*($AZ22-INDEX('Methodology &amp; Sources'!$B$125:$J$132,0,4))*INDEX('Methodology &amp; Sources'!$B$125:$J$132,0,4+2)))),IF($AN22="ND",IF($AU22="Head of household",SUMPRODUCT(($AZ22&gt;INDEX('Methodology &amp; Sources'!$B$144:$J$150,0,1))*($AZ22-INDEX('Methodology &amp; Sources'!$B$144:$J$150,0,1))*INDEX('Methodology &amp; Sources'!$B$144:$J$150,0,1+2)),IF($AU22="Married",SUMPRODUCT(($AZ22&gt;INDEX('Methodology &amp; Sources'!$B$137:$J$139,0,7))*($AZ22-INDEX('Methodology &amp; Sources'!$B$137:$J$139,0,7))*INDEX('Methodology &amp; Sources'!$B$137:$J$139,0,7+2)),SUMPRODUCT(($AZ22&gt;INDEX('Methodology &amp; Sources'!$B$137:$J$139,0,4))*($AZ22-INDEX('Methodology &amp; Sources'!$B$137:$J$139,0,4))*INDEX('Methodology &amp; Sources'!$B$137:$J$139,0,4+2)))),IF($AN22="NJ",IF('Inputs 2'!$C$77="B",SUMPRODUCT(($AZ22&gt;INDEX('Methodology &amp; Sources'!$B$155:$J$162,0,4))*($AZ22-INDEX('Methodology &amp; Sources'!$B$155:$J$162,0,4))*INDEX('Methodology &amp; Sources'!$B$155:$J$162,0,4+2)),IF('Inputs 2'!$C$77="C",SUMPRODUCT(($AZ22&gt;INDEX('Methodology &amp; Sources'!$B$155:$J$162,0,7))*($AZ22-INDEX('Methodology &amp; Sources'!$B$155:$J$162,0,7))*INDEX('Methodology &amp; Sources'!$B$155:$J$162,0,7+2)),IF('Inputs 2'!$C$77="D",SUMPRODUCT(($AZ22&gt;INDEX('Methodology &amp; Sources'!$B$167:$J$179,0,1))*($AZ22-INDEX('Methodology &amp; Sources'!$B$167:$J$179,0,1))*INDEX('Methodology &amp; Sources'!$B$167:$J$179,0,1+2)),IF('Inputs 2'!$C$77="E",SUMPRODUCT(($AZ22&gt;INDEX('Methodology &amp; Sources'!$B$167:$J$179,0,4))*($AZ22-INDEX('Methodology &amp; Sources'!$B$167:$J$179,0,4))*INDEX('Methodology &amp; Sources'!$B$167:$J$179,0,4+2)),SUMPRODUCT(($AZ22&gt;INDEX('Methodology &amp; Sources'!$B$155:$J$162,0,1))*($AZ22-INDEX('Methodology &amp; Sources'!$B$155:$J$162,0,1))*INDEX('Methodology &amp; Sources'!$B$155:$J$162,0,1+2)))))),IF($AN22="NY",IF($AU22="Married",IF($AZ22&gt;=2155350,$AZ22*IF($AZ22&gt;25000000,0.117,IF($AZ22&gt;5000000,0.111,0.1045)),SUMPRODUCT(($AZ22&gt;INDEX('Methodology &amp; Sources'!$B$184:$J$198,0,1))*($AZ22-INDEX('Methodology &amp; Sources'!$B$184:$J$198,0,1))*INDEX('Methodology &amp; Sources'!$B$184:$J$198,0,1+2))),IF($AZ22&gt;=1077550,$AZ22*IF($AZ22&gt;25000000,0.117,IF($AZ22&gt;5000000,0.111,0.1045)),SUMPRODUCT(($AZ22&gt;INDEX('Methodology &amp; Sources'!$B$167:$J$179,0,7))*($AZ22-INDEX('Methodology &amp; Sources'!$B$167:$J$179,0,7))*INDEX('Methodology &amp; Sources'!$B$167:$J$179,0,7+2)))),"")))))))</f>
      </c>
      <c r="BX22" s="7">
        <f>IF($B22="","",IF($AN22="AL",IF(OR($AU22="Married",$AU22="Head of household"),SUMPRODUCT(($AZ22&gt;INDEX('Methodology &amp; Sources'!$B$82:$J$86,0,4))*($AZ22-INDEX('Methodology &amp; Sources'!$B$82:$J$86,0,4))*INDEX('Methodology &amp; Sources'!$B$82:$J$86,0,4+2)),SUMPRODUCT(($AZ22&gt;INDEX('Methodology &amp; Sources'!$B$82:$J$86,0,1))*($AZ22-INDEX('Methodology &amp; Sources'!$B$82:$J$86,0,1))*INDEX('Methodology &amp; Sources'!$B$82:$J$86,0,1+2))),IF($AN22="KS",IF($AU22="Married",SUMPRODUCT(($AZ22&gt;INDEX('Methodology &amp; Sources'!$B$103:$J$109,0,4))*($AZ22-INDEX('Methodology &amp; Sources'!$B$103:$J$109,0,4))*INDEX('Methodology &amp; Sources'!$B$103:$J$109,0,4+2)),SUMPRODUCT(($AZ22&gt;INDEX('Methodology &amp; Sources'!$B$103:$J$109,0,1))*($AZ22-INDEX('Methodology &amp; Sources'!$B$103:$J$109,0,1))*INDEX('Methodology &amp; Sources'!$B$103:$J$109,0,1+2))),IF($AN22="MN",IF($AU22="Married",SUMPRODUCT(($AZ22&gt;INDEX('Methodology &amp; Sources'!$B$114:$J$120,0,7))*($AZ22-INDEX('Methodology &amp; Sources'!$B$114:$J$120,0,7))*INDEX('Methodology &amp; Sources'!$B$114:$J$120,0,7+2)),SUMPRODUCT(($AZ22&gt;INDEX('Methodology &amp; Sources'!$B$114:$J$120,0,4))*($AZ22-INDEX('Methodology &amp; Sources'!$B$114:$J$120,0,4))*INDEX('Methodology &amp; Sources'!$B$114:$J$120,0,4+2))),IF($AN22="NE",MAX(IF($AU22="Married",SUMPRODUCT(($AZ22&gt;INDEX('Methodology &amp; Sources'!$B$144:$J$150,0,7))*($AZ22-INDEX('Methodology &amp; Sources'!$B$144:$J$150,0,7))*INDEX('Methodology &amp; Sources'!$B$144:$J$150,0,7+2)),SUMPRODUCT(($AZ22&gt;INDEX('Methodology &amp; Sources'!$B$144:$J$150,0,4))*($AZ22-INDEX('Methodology &amp; Sources'!$B$144:$J$150,0,4))*INDEX('Methodology &amp; Sources'!$B$144:$J$150,0,4+2))),0.015*$AZ22),IF($AN22="OH",IF($B22&gt;=DATE(2027,8,1),SUMPRODUCT(($AZ22&gt;INDEX('Methodology &amp; Sources'!$B$203:$J$206,0,1))*($AZ22-INDEX('Methodology &amp; Sources'!$B$203:$J$206,0,1))*INDEX('Methodology &amp; Sources'!$B$203:$J$206,0,1+2)),SUMPRODUCT(($AZ22&gt;INDEX('Methodology &amp; Sources'!$B$184:$J$198,0,7))*($AZ22-INDEX('Methodology &amp; Sources'!$B$184:$J$198,0,7))*INDEX('Methodology &amp; Sources'!$B$184:$J$198,0,7+2))),IF($AN22="OK",IF($AU22="Married",SUMPRODUCT(($AZ22&gt;INDEX('Methodology &amp; Sources'!$B$203:$J$206,0,7))*($AZ22-INDEX('Methodology &amp; Sources'!$B$203:$J$206,0,7))*INDEX('Methodology &amp; Sources'!$B$203:$J$206,0,7+2)),SUMPRODUCT(($AZ22&gt;INDEX('Methodology &amp; Sources'!$B$203:$J$206,0,4))*($AZ22-INDEX('Methodology &amp; Sources'!$B$203:$J$206,0,4))*INDEX('Methodology &amp; Sources'!$B$203:$J$206,0,4+2))),IF($AN22="RI",SUMPRODUCT(($AZ22&gt;INDEX('Methodology &amp; Sources'!$B$211:$J$214,0,7))*($AZ22-INDEX('Methodology &amp; Sources'!$B$211:$J$214,0,7))*INDEX('Methodology &amp; Sources'!$B$211:$J$214,0,7+2)),IF($AN22="VT",IF($AU22="Married",SUMPRODUCT(($AZ22&gt;INDEX('Methodology &amp; Sources'!$B$228:$J$232,0,1))*($AZ22-INDEX('Methodology &amp; Sources'!$B$228:$J$232,0,1))*INDEX('Methodology &amp; Sources'!$B$228:$J$232,0,1+2)),SUMPRODUCT(($AZ22&gt;INDEX('Methodology &amp; Sources'!$B$219:$J$223,0,7))*($AZ22-INDEX('Methodology &amp; Sources'!$B$219:$J$223,0,7))*INDEX('Methodology &amp; Sources'!$B$219:$J$223,0,7+2))),IF($AN22="WV",IF($AU22="Married",SUMPRODUCT(($AZ22&gt;INDEX('Methodology &amp; Sources'!$B$237:$J$241,0,7))*($AZ22-INDEX('Methodology &amp; Sources'!$B$237:$J$241,0,7))*INDEX('Methodology &amp; Sources'!$B$237:$J$241,0,7+2)),SUMPRODUCT(($AZ22&gt;INDEX('Methodology &amp; Sources'!$B$228:$J$232,0,7))*($AZ22-INDEX('Methodology &amp; Sources'!$B$228:$J$232,0,7))*INDEX('Methodology &amp; Sources'!$B$228:$J$232,0,7+2))),""))))))))))</f>
      </c>
      <c r="BY22" s="7">
        <f>IF($B22="","",IF($AN22="AR",SUMPRODUCT(($AZ22&gt;INDEX('Methodology &amp; Sources'!$B$82:$J$86,0,7))*($AZ22-INDEX('Methodology &amp; Sources'!$B$82:$J$86,0,7))*INDEX('Methodology &amp; Sources'!$B$82:$J$86,0,7+2)),IF($AN22="DE",SUMPRODUCT(($AZ22&gt;INDEX('Methodology &amp; Sources'!$B$91:$J$98,0,1))*($AZ22-INDEX('Methodology &amp; Sources'!$B$91:$J$98,0,1))*INDEX('Methodology &amp; Sources'!$B$91:$J$98,0,1+2)),IF($AN22="HI",IF($AU22="Married",SUMPRODUCT(($AZ22&gt;INDEX('Methodology &amp; Sources'!$B$91:$J$98,0,7))*($AZ22-INDEX('Methodology &amp; Sources'!$B$91:$J$98,0,7))*INDEX('Methodology &amp; Sources'!$B$91:$J$98,0,7+2)),SUMPRODUCT(($AZ22&gt;INDEX('Methodology &amp; Sources'!$B$91:$J$98,0,4))*($AZ22-INDEX('Methodology &amp; Sources'!$B$91:$J$98,0,4))*INDEX('Methodology &amp; Sources'!$B$91:$J$98,0,4+2))),IF($AN22="SC",SUMPRODUCT(($AZ22&gt;INDEX('Methodology &amp; Sources'!$B$219:$J$223,0,1))*($AZ22-INDEX('Methodology &amp; Sources'!$B$219:$J$223,0,1))*INDEX('Methodology &amp; Sources'!$B$219:$J$223,0,1+2)),IF($AN22="VA",SUMPRODUCT(($AZ22&gt;INDEX('Methodology &amp; Sources'!$B$219:$J$223,0,4))*($AZ22-INDEX('Methodology &amp; Sources'!$B$219:$J$223,0,4))*INDEX('Methodology &amp; Sources'!$B$219:$J$223,0,4+2)),IF($AN22="WI",SUMPRODUCT(($AZ22&gt;INDEX('Methodology &amp; Sources'!$B$228:$J$232,0,4))*($AZ22-INDEX('Methodology &amp; Sources'!$B$228:$J$232,0,4))*INDEX('Methodology &amp; Sources'!$B$228:$J$232,0,4+2)),"")))))))</f>
      </c>
      <c r="BZ22" s="24">
        <f>IF($B22="","",IF($AN22="NJ",IF('Inputs 2'!$C$77="B",SUMPRODUCT(($AZ22&gt;=INDEX('Methodology &amp; Sources'!$B$155:$J$162,0,4))*INDEX('Methodology &amp; Sources'!$B$155:$J$162,0,4+2)),IF('Inputs 2'!$C$77="C",SUMPRODUCT(($AZ22&gt;=INDEX('Methodology &amp; Sources'!$B$155:$J$162,0,7))*INDEX('Methodology &amp; Sources'!$B$155:$J$162,0,7+2)),IF('Inputs 2'!$C$77="D",SUMPRODUCT(($AZ22&gt;=INDEX('Methodology &amp; Sources'!$B$167:$J$179,0,1))*INDEX('Methodology &amp; Sources'!$B$167:$J$179,0,1+2)),IF('Inputs 2'!$C$77="E",SUMPRODUCT(($AZ22&gt;=INDEX('Methodology &amp; Sources'!$B$167:$J$179,0,4))*INDEX('Methodology &amp; Sources'!$B$167:$J$179,0,4+2)),SUMPRODUCT(($AZ22&gt;=INDEX('Methodology &amp; Sources'!$B$155:$J$162,0,1))*INDEX('Methodology &amp; Sources'!$B$155:$J$162,0,1+2)))))),IF($AN22="OR",IF(OR($AU22="Married",AND($AU22="Single",$AS22&gt;=3)),SUMPRODUCT((MAX(0,$AY22-MIN(($P22-'Methodology &amp; Sources'!$C$10*$D22)*'Inputs 2'!$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Sources'!$B$211:$J$214,0,4))*INDEX('Methodology &amp; Sources'!$B$211:$J$214,0,4+2)),SUMPRODUCT((MAX(0,$AY22-MIN(($P22-'Methodology &amp; Sources'!$C$10*$D22)*'Inputs 2'!$C$8,IF(OR($AU22="Married",AND($AU22="Single",$AS22&gt;=3)),IF($AY22&lt;250000,8750,IF($AY22&lt;260000,7000,IF($AY22&lt;270000,5250,IF($AY22&lt;280000,3500,IF($AY22&lt;290000,1750,0))))),IF($AY22&lt;125000,8750,IF($AY22&lt;130000,7000,IF($AY22&lt;135000,5250,IF($AY22&lt;140000,3500,IF($AY22&lt;145000,1750,0)))))))-IF(OR($AU22="Married",AND($AU22="Single",$AS22&gt;=3)),5820,2910))&gt;=INDEX('Methodology &amp; Sources'!$B$211:$J$214,0,1))*INDEX('Methodology &amp; Sources'!$B$211:$J$214,0,1+2)))*IF(($P22-'Methodology &amp; Sources'!$C$10*$D22)*'Inputs 2'!$C$8&gt;=IF(OR($AU22="Married",AND($AU22="Single",$AS22&gt;=3)),IF($AY22&lt;250000,8750,IF($AY22&lt;260000,7000,IF($AY22&lt;270000,5250,IF($AY22&lt;280000,3500,IF($AY22&lt;290000,1750,0))))),IF($AY22&lt;125000,8750,IF($AY22&lt;130000,7000,IF($AY22&lt;135000,5250,IF($AY22&lt;140000,3500,IF($AY22&lt;145000,1750,0)))))),1,1-IF('Inputs 2'!$C$13,SUMPRODUCT(($AH22&gt;=INDEX('Methodology &amp; Sources'!$B$29:$J$36,0,IF('Inputs 2'!$C$12="MFJ",1,IF('Inputs 2'!$C$12="HoH",7,4))))*INDEX('Methodology &amp; Sources'!$B$29:$J$36,0,IF('Inputs 2'!$C$12="MFJ",1,IF('Inputs 2'!$C$12="HoH",7,4))+2)),SUMPRODUCT(($AH22&gt;=INDEX('Methodology &amp; Sources'!$B$19:$J$26,0,IF('Inputs 2'!$C$12="MFJ",1,IF('Inputs 2'!$C$12="HoH",7,4))))*INDEX('Methodology &amp; Sources'!$B$19:$J$26,0,IF('Inputs 2'!$C$12="MFJ",1,IF('Inputs 2'!$C$12="HoH",7,4))+2)))),IF($AN22="MI",IF($AY22&gt;5900*$AS22,0.0425,0),""))))</f>
      </c>
      <c r="CA22" s="24">
        <f>IF($B22="","",IF($AN22="AL",IF(OR($AU22="Married",$AU22="Head of household"),SUMPRODUCT(($AZ22&gt;=INDEX('Methodology &amp; Sources'!$B$82:$J$86,0,4))*INDEX('Methodology &amp; Sources'!$B$82:$J$86,0,4+2)),SUMPRODUCT(($AZ22&gt;=INDEX('Methodology &amp; Sources'!$B$82:$J$86,0,1))*INDEX('Methodology &amp; Sources'!$B$82:$J$86,0,1+2)))*(1-IF('Inputs 2'!$C$13,SUMPRODUCT(($AH22&gt;=INDEX('Methodology &amp; Sources'!$B$29:$J$36,0,IF('Inputs 2'!$C$12="MFJ",1,IF('Inputs 2'!$C$12="HoH",7,4))))*INDEX('Methodology &amp; Sources'!$B$29:$J$36,0,IF('Inputs 2'!$C$12="MFJ",1,IF('Inputs 2'!$C$12="HoH",7,4))+2)),SUMPRODUCT(($AH22&gt;=INDEX('Methodology &amp; Sources'!$B$19:$J$26,0,IF('Inputs 2'!$C$12="MFJ",1,IF('Inputs 2'!$C$12="HoH",7,4))))*INDEX('Methodology &amp; Sources'!$B$19:$J$26,0,IF('Inputs 2'!$C$12="MFJ",1,IF('Inputs 2'!$C$12="HoH",7,4))+2)))),IF($AN22="KS",IF($AU22="Married",SUMPRODUCT(($AZ22&gt;=INDEX('Methodology &amp; Sources'!$B$103:$J$109,0,4))*INDEX('Methodology &amp; Sources'!$B$103:$J$109,0,4+2)),SUMPRODUCT(($AZ22&gt;=INDEX('Methodology &amp; Sources'!$B$103:$J$109,0,1))*INDEX('Methodology &amp; Sources'!$B$103:$J$109,0,1+2))),IF($AN22="MD",IF(OR($AU22="Married",$AU22="Head of household"),SUMPRODUCT(($AZ22&gt;=INDEX('Methodology &amp; Sources'!$B$114:$J$120,0,1))*INDEX('Methodology &amp; Sources'!$B$114:$J$120,0,1+2)),SUMPRODUCT(($AZ22&gt;=INDEX('Methodology &amp; Sources'!$B$103:$J$109,0,7))*INDEX('Methodology &amp; Sources'!$B$103:$J$109,0,7+2)))+'Inputs 2'!$C$74,IF($AN22="MT",IF($AU22="Head of household",SUMPRODUCT(($AZ22&gt;=INDEX('Methodology &amp; Sources'!$B$137:$J$139,0,1))*INDEX('Methodology &amp; Sources'!$B$137:$J$139,0,1+2)),IF($AU22="Married",SUMPRODUCT(($AZ22&gt;=INDEX('Methodology &amp; Sources'!$B$125:$J$132,0,7))*INDEX('Methodology &amp; Sources'!$B$125:$J$132,0,7+2)),SUMPRODUCT(($AZ22&gt;=INDEX('Methodology &amp; Sources'!$B$125:$J$132,0,4))*INDEX('Methodology &amp; Sources'!$B$125:$J$132,0,4+2)))),IF($AN22="ND",IF($AU22="Head of household",SUMPRODUCT(($AZ22&gt;=INDEX('Methodology &amp; Sources'!$B$144:$J$150,0,1))*INDEX('Methodology &amp; Sources'!$B$144:$J$150,0,1+2)),IF($AU22="Married",SUMPRODUCT(($AZ22&gt;=INDEX('Methodology &amp; Sources'!$B$137:$J$139,0,7))*INDEX('Methodology &amp; Sources'!$B$137:$J$139,0,7+2)),SUMPRODUCT(($AZ22&gt;=INDEX('Methodology &amp; Sources'!$B$137:$J$139,0,4))*INDEX('Methodology &amp; Sources'!$B$137:$J$139,0,4+2)))),IF($AN22="NY",IF($AU22="Married",IF($AZ22&gt;=2155350,IF($AZ22&gt;25000000,0.117,IF($AZ22&gt;5000000,0.111,0.1045)),SUMPRODUCT(($AZ22&gt;=INDEX('Methodology &amp; Sources'!$B$184:$J$198,0,1))*INDEX('Methodology &amp; Sources'!$B$184:$J$198,0,1+2))),IF($AZ22&gt;=1077550,IF($AZ22&gt;25000000,0.117,IF($AZ22&gt;5000000,0.111,0.1045)),SUMPRODUCT(($AZ22&gt;=INDEX('Methodology &amp; Sources'!$B$167:$J$179,0,7))*INDEX('Methodology &amp; Sources'!$B$167:$J$179,0,7+2)))),"")))))))</f>
      </c>
      <c r="CB22" s="24">
        <f>IF($B22="","",IF($AN22="CA",SUMPRODUCT(($AJ22&gt;=INDEX('Methodology &amp; Sources'!$B$39:$J$48,0,IF($AU22="Married",4,IF($AU22="Head of household",7,1))))*INDEX('Methodology &amp; Sources'!$B$39:$J$48,0,IF($AU22="Married",4,IF($AU22="Head of household",7,1))+2)),IF($AN22="HI",IF($AU22="Married",SUMPRODUCT(($AZ22&gt;=INDEX('Methodology &amp; Sources'!$B$91:$J$98,0,7))*INDEX('Methodology &amp; Sources'!$B$91:$J$98,0,7+2)),SUMPRODUCT(($AZ22&gt;=INDEX('Methodology &amp; Sources'!$B$91:$J$98,0,4))*INDEX('Methodology &amp; Sources'!$B$91:$J$98,0,4+2))),IF($AN22="MN",IF($AU22="Married",SUMPRODUCT(($AZ22&gt;=INDEX('Methodology &amp; Sources'!$B$114:$J$120,0,7))*INDEX('Methodology &amp; Sources'!$B$114:$J$120,0,7+2)),SUMPRODUCT(($AZ22&gt;=INDEX('Methodology &amp; Sources'!$B$114:$J$120,0,4))*INDEX('Methodology &amp; Sources'!$B$114:$J$120,0,4+2))),IF($AN22="MO",SUMPRODUCT(($AZ22&gt;=INDEX('Methodology &amp; Sources'!$B$125:$J$132,0,1))*INDEX('Methodology &amp; Sources'!$B$125:$J$132,0,1+2)),IF($AN22="NE",MAX(IF($AU22="Married",SUMPRODUCT(($AZ22&gt;=INDEX('Methodology &amp; Sources'!$B$144:$J$150,0,7))*INDEX('Methodology &amp; Sources'!$B$144:$J$150,0,7+2)),SUMPRODUCT(($AZ22&gt;=INDEX('Methodology &amp; Sources'!$B$144:$J$150,0,4))*INDEX('Methodology &amp; Sources'!$B$144:$J$150,0,4+2))),0.015),IF($AN22="OH",IF($B22&gt;=DATE(2027,8,1),SUMPRODUCT(($AZ22&gt;=INDEX('Methodology &amp; Sources'!$B$203:$J$206,0,1))*INDEX('Methodology &amp; Sources'!$B$203:$J$206,0,1+2)),SUMPRODUCT(($AZ22&gt;=INDEX('Methodology &amp; Sources'!$B$184:$J$198,0,7))*INDEX('Methodology &amp; Sources'!$B$184:$J$198,0,7+2))),IF($AN22="OK",IF($AU22="Married",SUMPRODUCT(($AZ22&gt;=INDEX('Methodology &amp; Sources'!$B$203:$J$206,0,7))*INDEX('Methodology &amp; Sources'!$B$203:$J$206,0,7+2)),SUMPRODUCT(($AZ22&gt;=INDEX('Methodology &amp; Sources'!$B$203:$J$206,0,4))*INDEX('Methodology &amp; Sources'!$B$203:$J$206,0,4+2))),IF($AN22="RI",SUMPRODUCT(($AZ22&gt;=INDEX('Methodology &amp; Sources'!$B$211:$J$214,0,7))*INDEX('Methodology &amp; Sources'!$B$211:$J$214,0,7+2)),IF($AN22="SC",SUMPRODUCT(($AZ22&gt;=INDEX('Methodology &amp; Sources'!$B$219:$J$223,0,1))*INDEX('Methodology &amp; Sources'!$B$219:$J$223,0,1+2)),IF($AN22="VT",IF($AU22="Married",SUMPRODUCT(($AZ22&gt;=INDEX('Methodology &amp; Sources'!$B$228:$J$232,0,1))*INDEX('Methodology &amp; Sources'!$B$228:$J$232,0,1+2)),SUMPRODUCT(($AZ22&gt;=INDEX('Methodology &amp; Sources'!$B$219:$J$223,0,7))*INDEX('Methodology &amp; Sources'!$B$219:$J$223,0,7+2))),IF($AN22="WV",IF($AU22="Married",SUMPRODUCT(($AZ22&gt;=INDEX('Methodology &amp; Sources'!$B$237:$J$241,0,7))*INDEX('Methodology &amp; Sources'!$B$237:$J$241,0,7+2)),SUMPRODUCT(($AZ22&gt;=INDEX('Methodology &amp; Sources'!$B$228:$J$232,0,7))*INDEX('Methodology &amp; Sources'!$B$228:$J$232,0,7+2))),IF($AN22="IN",(0.0295+'Inputs 2'!$C$76),"")))))))))))))</f>
      </c>
      <c r="CC22" s="24">
        <f>IF($B22="","",IF($AN22="AR",SUMPRODUCT(($AZ22&gt;=INDEX('Methodology &amp; Sources'!$B$82:$J$86,0,7))*INDEX('Methodology &amp; Sources'!$B$82:$J$86,0,7+2)),IF($AN22="DE",SUMPRODUCT(($AZ22&gt;=INDEX('Methodology &amp; Sources'!$B$91:$J$98,0,1))*INDEX('Methodology &amp; Sources'!$B$91:$J$98,0,1+2)),IF($AN22="VA",SUMPRODUCT(($AZ22&gt;=INDEX('Methodology &amp; Sources'!$B$219:$J$223,0,4))*INDEX('Methodology &amp; Sources'!$B$219:$J$223,0,4+2)),IF($AN22="WI",SUMPRODUCT(($AZ22&gt;=INDEX('Methodology &amp; Sources'!$B$228:$J$232,0,4))*INDEX('Methodology &amp; Sources'!$B$228:$J$232,0,4+2)),IF($AN22="AZ",'Inputs 2'!$C$82,IF($AN22="CO",IF($AY22&gt;IF($AU22="Married",10000,5000),0.044,0),IF($AN22="IA",IF($AY22&gt;IF($AU22="Head of household",19500,IF($AU22="Married",26000,13000)),0.038,0),IF($AN22="ID",IF($AY22&gt;IF($AU22="Married",32000,16094),0.053,0),IF($AN22="IL",IF($AY22&gt;(2925*$AS22+1000*$AT22),0.0495,0),IF($AN22="KY",IF($AI22&gt;3360,0.035,0),IF($AN22="LA",0.0309,IF($AN22="MA",IF(MAX(0,$AY22-MIN(($BD21+$Q22+$R22+$S22),2000)-IF($AS22=0,0,IF($AS22=1,4400,1000*$AS22+3400)))&gt;=1107750,0.09,0.05),IF($AN22="MS",IF($AI22-IF($AU22="Head of household",3400,IF($AU22="Married",4600,2300))-'Inputs 2'!$C$85&gt;10000,0.04,0),IF($AN22="PA",0.0307,"")))))))))))))))</f>
      </c>
      <c r="CD22" s="21">
        <f>IF(YEAR(IF('Inputs 2'!$C$7="Weekly",'Inputs 2'!$C$9+7*(($BE21+1)-1),IF('Inputs 2'!$C$7="Biweekly",'Inputs 2'!$C$9+14*(($BE21+1)-1),IF('Inputs 2'!$C$7="Semimonthly",DATE(YEAR('Inputs 2'!$C$9),MONTH('Inputs 2'!$C$9)+INT((($BE21+1)-1)/2),MIN(DAY('Inputs 2'!$C$9),DAY(EOMONTH(DATE(YEAR('Inputs 2'!$C$9),MONTH('Inputs 2'!$C$9)+INT((($BE21+1)-1)/2),1),0))))+IF(MOD(($BE21+1)-1,2)=1,15,0),EDATE('Inputs 2'!$C$9,($BE21+1)-1)))))&lt;&gt;'Inputs 2'!$C$10,"",IF('Inputs 2'!$C$7="Weekly",'Inputs 2'!$C$9+7*(($BE21+1)-1),IF('Inputs 2'!$C$7="Biweekly",'Inputs 2'!$C$9+14*(($BE21+1)-1),IF('Inputs 2'!$C$7="Semimonthly",DATE(YEAR('Inputs 2'!$C$9),MONTH('Inputs 2'!$C$9)+INT((($BE21+1)-1)/2),MIN(DAY('Inputs 2'!$C$9),DAY(EOMONTH(DATE(YEAR('Inputs 2'!$C$9),MONTH('Inputs 2'!$C$9)+INT((($BE21+1)-1)/2),1),0))))+IF(MOD(($BE21+1)-1,2)=1,15,0),EDATE('Inputs 2'!$C$9,($BE21+1)-1)))))</f>
      </c>
      <c r="CE22" s="21">
        <f>IF(SUMPRODUCT(MIN(IF(('Inputs 2'!$C$58:$C$67&gt;MAX($B$6:$B21))*('Inputs 2'!$C$58:$C$67&gt;=DATE('Inputs 2'!$C$10,1,1))*('Inputs 2'!$C$58:$C$67&lt;=DATE('Inputs 2'!$C$10,12,31)),'Inputs 2'!$C$58:$C$67,999999)))=999999,"",SUMPRODUCT(MIN(IF(('Inputs 2'!$C$58:$C$67&gt;MAX($B$6:$B21))*('Inputs 2'!$C$58:$C$67&gt;=DATE('Inputs 2'!$C$10,1,1))*('Inputs 2'!$C$58:$C$67&lt;=DATE('Inputs 2'!$C$10,12,31)),'Inputs 2'!$C$58:$C$67,999999))))</f>
      </c>
    </row>
    <row r="23">
      <c r="A23" t="n">
        <v>18</v>
      </c>
      <c r="B23" s="21">
        <f>IF(AND($CD23="",$CE23=""),"",IF($CE23="",$CD23,IF($CD23="",$CE23,MIN($CD23,$CE23))))</f>
      </c>
      <c r="C23" s="7">
        <f>IF($B23="","",IF($BF23=0,0,IF('Inputs 2'!$C$4="Annual salary",ROUND($AK23/IF(AND('Inputs 2'!$C$88="Actual paydays",MONTH('Inputs 2'!$C$9)=1),MAX(1,MAX($BE$6:$BE$68)),'Inputs 2'!$C$8),2),$AK23)))</f>
      </c>
      <c r="D23" s="7">
        <f>IF($B23="","",SUMIF('Inputs 2'!$C$58:$C$67,$B23,'Inputs 2'!$D$58:$D$67))</f>
      </c>
      <c r="E23" s="7">
        <f>IF($B23="","",ROUND(MAX(0,MIN(IF($AL23="Percent",$AM23*($C23+$D23),$AM23),MAX(0,'Inputs 2'!$C$34-$AC22))),2))</f>
      </c>
      <c r="F23" s="7">
        <f>IF($B23="","",ROUND(MAX(0,MIN(IF('Inputs 2'!$C$32="Percent",'Inputs 2'!$D$32*($C23+$D23),'Inputs 2'!$D$32),MAX(0,'Inputs 2'!$C$34-$AC22-$E23))),2))</f>
      </c>
      <c r="G23" s="7">
        <f>IF($B23="","",IF($BF23=0,0,ROUND(MAX(0,MIN($BL23,'Inputs 2'!$C$37-'Inputs 2'!$C$54-$BI22)),2)))</f>
      </c>
      <c r="H23" s="7">
        <f>IF($B23="","",IF(OR($BF23=0,$BQ23=1),0,ROUND(MAX(0,MIN(IF($BS23=1,ROUND(MAX(0,MIN($BJ23,'Methodology &amp; Sources'!$C$13)-$BG22)/MAX(1,MAX($BE$6:$BE$68)-($BE22)),2),ROUND(MIN($BJ23,'Methodology &amp; Sources'!$C$13)/'Inputs 2'!$C$8,2)),MIN($BJ23,'Methodology &amp; Sources'!$C$13)-$BG22)),2)))</f>
      </c>
      <c r="I23" s="7">
        <f>IF($B23="","",IF(OR($BF23=0,$BR23=1),0,ROUND(MAX(0,MIN(IF($BT23=1,ROUND(MAX(0,MIN($BK23,IF('Inputs 2'!$C$12="MFJ",'Methodology &amp; Sources'!$C$14,'Methodology &amp; Sources'!$C$15))-$BH22)/MAX(1,MAX($BE$6:$BE$68)-($BE22)),2),ROUND(MIN($BK23,IF('Inputs 2'!$C$12="MFJ",'Methodology &amp; Sources'!$C$14,'Methodology &amp; Sources'!$C$15))/'Inputs 2'!$C$8,2)),MIN($BK23,IF('Inputs 2'!$C$12="MFJ",'Methodology &amp; Sources'!$C$14,'Methodology &amp; Sources'!$C$15))-$BH22)),2)))</f>
      </c>
      <c r="J23" s="7">
        <f>IF($B23="","",IF($BF23=0,0,$BM23))</f>
      </c>
      <c r="K23" s="7">
        <f>IF($B23="","",IF($BF23=0,0,$BN23+$BO23))</f>
      </c>
      <c r="L23" s="7">
        <f>IF($B23="","",IF($BF23=0,0,'Inputs 2'!$D$46))</f>
      </c>
      <c r="M23" s="7">
        <f>IF($B23="","",$C23+$D23+$L23-$E23-$G23-$H23-$I23-$J23-$K23)</f>
      </c>
      <c r="N23" s="7">
        <f>IF($B23="","",$C23+$D23+$L23-$G23-$H23-$I23-$J23-$K23)</f>
      </c>
      <c r="O23" s="7">
        <f>IF($B23="","",$C23+$D23+$L23-$E23-$H23-$I23-$J23-$K23-IF(OR($AN23="CA",$AN23="NJ"),0,$G23))</f>
      </c>
      <c r="P23" s="7">
        <f>IF($B23="","",IF('Inputs 2'!$C$18,0,ROUND(MAX(0,IF('Inputs 2'!$C$13,SUMPRODUCT(($AH23&gt;INDEX('Methodology &amp; Sources'!$B$29:$J$36,0,IF('Inputs 2'!$C$12="MFJ",1,IF('Inputs 2'!$C$12="HoH",7,4))))*($AH23-INDEX('Methodology &amp; Sources'!$B$29:$J$36,0,IF('Inputs 2'!$C$12="MFJ",1,IF('Inputs 2'!$C$12="HoH",7,4))))*INDEX('Methodology &amp; Sources'!$B$29:$J$36,0,IF('Inputs 2'!$C$12="MFJ",1,IF('Inputs 2'!$C$12="HoH",7,4))+2)),SUMPRODUCT(($AH23&gt;INDEX('Methodology &amp; Sources'!$B$19:$J$26,0,IF('Inputs 2'!$C$12="MFJ",1,IF('Inputs 2'!$C$12="HoH",7,4))))*($AH23-INDEX('Methodology &amp; Sources'!$B$19:$J$26,0,IF('Inputs 2'!$C$12="MFJ",1,IF('Inputs 2'!$C$12="HoH",7,4))))*INDEX('Methodology &amp; Sources'!$B$19:$J$26,0,IF('Inputs 2'!$C$12="MFJ",1,IF('Inputs 2'!$C$12="HoH",7,4))+2)))/'Inputs 2'!$C$8-$AO23/'Inputs 2'!$C$8)+$AR23+IF('Inputs 2'!$C$89="Aggregate",MAX(0,IF('Inputs 2'!$C$13,SUMPRODUCT((($AH23+$D23)&gt;INDEX('Methodology &amp; Sources'!$B$29:$J$36,0,IF('Inputs 2'!$C$12="MFJ",1,IF('Inputs 2'!$C$12="HoH",7,4))))*(($AH23+$D23)-INDEX('Methodology &amp; Sources'!$B$29:$J$36,0,IF('Inputs 2'!$C$12="MFJ",1,IF('Inputs 2'!$C$12="HoH",7,4))))*INDEX('Methodology &amp; Sources'!$B$29:$J$36,0,IF('Inputs 2'!$C$12="MFJ",1,IF('Inputs 2'!$C$12="HoH",7,4))+2)),SUMPRODUCT((($AH23+$D23)&gt;INDEX('Methodology &amp; Sources'!$B$19:$J$26,0,IF('Inputs 2'!$C$12="MFJ",1,IF('Inputs 2'!$C$12="HoH",7,4))))*(($AH23+$D23)-INDEX('Methodology &amp; Sources'!$B$19:$J$26,0,IF('Inputs 2'!$C$12="MFJ",1,IF('Inputs 2'!$C$12="HoH",7,4))))*INDEX('Methodology &amp; Sources'!$B$19:$J$26,0,IF('Inputs 2'!$C$12="MFJ",1,IF('Inputs 2'!$C$12="HoH",7,4))+2)))-IF('Inputs 2'!$C$13,SUMPRODUCT(($AH23&gt;INDEX('Methodology &amp; Sources'!$B$29:$J$36,0,IF('Inputs 2'!$C$12="MFJ",1,IF('Inputs 2'!$C$12="HoH",7,4))))*($AH23-INDEX('Methodology &amp; Sources'!$B$29:$J$36,0,IF('Inputs 2'!$C$12="MFJ",1,IF('Inputs 2'!$C$12="HoH",7,4))))*INDEX('Methodology &amp; Sources'!$B$29:$J$36,0,IF('Inputs 2'!$C$12="MFJ",1,IF('Inputs 2'!$C$12="HoH",7,4))+2)),SUMPRODUCT(($AH23&gt;INDEX('Methodology &amp; Sources'!$B$19:$J$26,0,IF('Inputs 2'!$C$12="MFJ",1,IF('Inputs 2'!$C$12="HoH",7,4))))*($AH23-INDEX('Methodology &amp; Sources'!$B$19:$J$26,0,IF('Inputs 2'!$C$12="MFJ",1,IF('Inputs 2'!$C$12="HoH",7,4))))*INDEX('Methodology &amp; Sources'!$B$19:$J$26,0,IF('Inputs 2'!$C$12="MFJ",1,IF('Inputs 2'!$C$12="HoH",7,4))+2)))),'Methodology &amp; Sources'!$C$10*$D23),2)))</f>
      </c>
      <c r="Q23" s="7">
        <f>IF($B23="","",ROUND('Methodology &amp; Sources'!$C$4*MIN($N23,MAX(0,'Methodology &amp; Sources'!$C$3-($AX23+$AB22-$AW23))),2))</f>
      </c>
      <c r="R23" s="7">
        <f>IF($B23="","",ROUND('Methodology &amp; Sources'!$C$5*$N23,2))</f>
      </c>
      <c r="S23" s="7">
        <f>IF($B23="","",ROUND('Methodology &amp; Sources'!$C$6*MAX(0,MIN($N23,$AG22+$N23-'Methodology &amp; Sources'!$C$7)),2))</f>
      </c>
      <c r="T23" s="7">
        <f>IF($B23="","",IF('Inputs 2'!$C$26,0,IF($AN23="CA",ROUND(IF($AI23&lt;=IF(($AS23+$AT23)&gt;=2,VLOOKUP($AN23,StateTables!$A$6:$AB$56,10,FALSE),VLOOKUP($AN23,StateTables!$A$6:$AB$56,9,FALSE)),0,MAX(0,SUMPRODUCT(($AJ23&gt;INDEX('Methodology &amp; Sources'!$B$39:$J$48,0,IF($AU23="Married",4,IF($AU23="Head of household",7,1))))*($AJ23-INDEX('Methodology &amp; Sources'!$B$39:$J$48,0,IF($AU23="Married",4,IF($AU23="Head of household",7,1))))*INDEX('Methodology &amp; Sources'!$B$39:$J$48,0,IF($AU23="Married",4,IF($AU23="Head of household",7,1))+2))-VLOOKUP($AN23,StateTables!$A$6:$AB$56,11,FALSE)*$AS23)/'Inputs 2'!$C$8)+'Inputs 2'!$C$25+VLOOKUP($AN23,StateTables!$A$6:$AB$56,13,FALSE)*$D23,2),IF(VLOOKUP($AN23,StateTables!$A$6:$AB$56,4,FALSE)="None",0,IF(ISNUMBER(SEARCH("MANUAL",VLOOKUP($AN23,StateTables!$A$6:$AB$56,5,FALSE))),'Inputs 2'!$C$28,ROUND(MAX(0,$BA23+$BB23)/'Inputs 2'!$C$8+'Inputs 2'!$C$25+$BC23,2))))))</f>
      </c>
      <c r="U23" s="7">
        <f>IF($B23="","",IF(VLOOKUP($AN23,StateTables!$A$6:$AB$56,24,FALSE)="flatq",IF(OR(MONTH($B23)=1,MONTH($B23)=4,MONTH($B23)=7,MONTH($B23)=10),VLOOKUP($AN23,StateTables!$A$6:$AB$56,25,FALSE),0),IF(VLOOKUP($AN23,StateTables!$A$6:$AB$56,24,FALSE)="dbl",MIN(ROUND(0.005*$N23,2),ROUND(0.6*52/'Inputs 2'!$C$8,2)),IF(OR(VLOOKUP($AN23,StateTables!$A$6:$AB$56,15,FALSE)="",VLOOKUP($AN23,StateTables!$A$6:$AB$56,15,FALSE)=0),0,ROUND(VLOOKUP($AN23,StateTables!$A$6:$AB$56,15,FALSE)*IF(OR(VLOOKUP($AN23,StateTables!$A$6:$AB$56,16,FALSE)="",VLOOKUP($AN23,StateTables!$A$6:$AB$56,16,FALSE)=0),$N23,MIN($N23,MAX(0,VLOOKUP($AN23,StateTables!$A$6:$AB$56,16,FALSE)-($AX23+$AB22-$AW23)))),2))))+IF(VLOOKUP($AN23,StateTables!$A$6:$AB$56,27,FALSE)="flatq",IF(OR(MONTH($B23)=1,MONTH($B23)=4,MONTH($B23)=7,MONTH($B23)=10),VLOOKUP($AN23,StateTables!$A$6:$AB$56,28,FALSE),0),IF(VLOOKUP($AN23,StateTables!$A$6:$AB$56,27,FALSE)="dbl",MIN(ROUND(0.005*$N23,2),ROUND(0.6*52/'Inputs 2'!$C$8,2)),IF(OR(VLOOKUP($AN23,StateTables!$A$6:$AB$56,18,FALSE)="",VLOOKUP($AN23,StateTables!$A$6:$AB$56,18,FALSE)=0),0,ROUND(VLOOKUP($AN23,StateTables!$A$6:$AB$56,18,FALSE)*IF(OR(VLOOKUP($AN23,StateTables!$A$6:$AB$56,19,FALSE)="",VLOOKUP($AN23,StateTables!$A$6:$AB$56,19,FALSE)=0),$N23,MIN($N23,MAX(0,VLOOKUP($AN23,StateTables!$A$6:$AB$56,19,FALSE)-($AX23+$AB22-$AW23)))),2)))))</f>
      </c>
      <c r="V23" s="7">
        <f>IF($B23="","",IF($AN23="NY",IF('Inputs 2'!$C$78,ROUND(SUMPRODUCT((MAX(0,($O23-$D23)*'Inputs 2'!$C$8-(IF($AU23="Married",5500,5000)+1000*$AS23))&gt;INDEX('Methodology &amp; Sources'!$B$184:$J$198,0,4))*(MAX(0,($O23-$D23)*'Inputs 2'!$C$8-(IF($AU23="Married",5500,5000)+1000*$AS23))-INDEX('Methodology &amp; Sources'!$B$184:$J$198,0,4))*INDEX('Methodology &amp; Sources'!$B$184:$J$198,0,4+2))/'Inputs 2'!$C$8+0.0425*$D23,2),0)+IF('Inputs 2'!$C$79="Resident",ROUND(0.1675*$T23,2),IF('Inputs 2'!$C$79="Nonresident",ROUND(0.005*MAX(0,($O23-$D23)-(IF($AU23="Married",7950,7400)+1000*$AS23)/'Inputs 2'!$C$8),2),0)),IF($AN23="PA",IF('Inputs 2'!$C$80="None",'Inputs 2'!$C$27+ROUND('Inputs 2'!$C$81*($C23+$D23),2),ROUND(IF('Inputs 2'!$C$80="Resident",IF($B23&lt;DATE(2027,7,1),0.03735,0.03735),IF($B23&lt;DATE(2027,7,1),0.03425,0.03425))*($C23+$D23),2)),IF($BF23=0,ROUND('Inputs 2'!$C$81*($C23+$D23),2),'Inputs 2'!$C$27+ROUND('Inputs 2'!$C$81*($C23+$D23),2)))))</f>
      </c>
      <c r="W23" s="7">
        <f>IF($B23="","",IF($BF23=0,0,$BP23))</f>
      </c>
      <c r="X23" s="7">
        <f>IF($B23="","",SUM($E23:$K23)+$P23+$Q23+$R23+$S23+$T23+$U23+$V23+$W23)</f>
      </c>
      <c r="Y23" s="22">
        <f>IF($B23="","",$C23+$D23-$X23)</f>
      </c>
      <c r="Z23" s="7">
        <f>IF($B23="","",$Z22+$C23+$D23)</f>
      </c>
      <c r="AA23" s="7">
        <f>IF($B23="","",$AA22+$Y23)</f>
      </c>
      <c r="AB23" s="7">
        <f>IF($B23="","",$AB22+MIN($N23,MAX(0,'Methodology &amp; Sources'!$C$3-($AX23+$AB22-$AW23))))</f>
      </c>
      <c r="AC23" s="7">
        <f>IF($B23="","",$AC22+$E23+$F23)</f>
      </c>
      <c r="AD23" s="3">
        <f>IF($B23="","",IF(AND($AB22&lt;'Methodology &amp; Sources'!$C$3,$AB23&gt;='Methodology &amp; Sources'!$C$3),"★ Social Security maxed on this check — from the next check your net rises by about $"&amp;TEXT(ROUND('Methodology &amp; Sources'!$C$4*$N23,2),"#,##0.00")&amp;". ","")&amp;IF(AND($AC22&lt;'Inputs 2'!$C$34,$AC23&gt;='Inputs 2'!$C$34),"★ 401(k) reaches the $"&amp;TEXT('Inputs 2'!$C$34,"#,##0")&amp;" cap on this check — deferrals stop and net pay rises. ","")&amp;IF(AND($AG22&lt;'Methodology &amp; Sources'!$C$7,$AG23&gt;='Methodology &amp; Sources'!$C$7),"★ Wages pass $200,000 — the 0.9% Additional Medicare Tax starts here. ","")&amp;IF(AND($BJ23&gt;0,$H23&gt;0,$BG22&lt;MIN($BJ23,'Methodology &amp; Sources'!$C$13),$BG22+$H23&gt;=MIN($BJ23,'Methodology &amp; Sources'!$C$13)),"★ Health FSA election is now fully deferred for the year. ",""))</f>
      </c>
      <c r="AE23" s="41" t="n"/>
      <c r="AF23" s="7">
        <f>IF(OR($B23="",$AE23=""),"",$AE23-$Y23)</f>
      </c>
      <c r="AG23" s="7">
        <f>IF($B23="","",$AG22+$N23)</f>
      </c>
      <c r="AH23" s="7">
        <f>IF($B23="","",MAX(0,($M23-$D23)*'Inputs 2'!$C$8+$AP23-$AQ23-IF('Inputs 2'!$C$13,0,IF('Inputs 2'!$C$12="MFJ",'Methodology &amp; Sources'!$C$8,'Methodology &amp; Sources'!$C$9))))</f>
      </c>
      <c r="AI23" s="7">
        <f>IF($B23="","",$O23*'Inputs 2'!$C$8)</f>
      </c>
      <c r="AJ23" s="7">
        <f>IF($B23="","",MAX(0,$AI23-VLOOKUP($AN23,StateTables!$A$6:$AB$56,12,FALSE)*$AT23-IF(($AS23+$AT23)&gt;=2,VLOOKUP($AN23,StateTables!$A$6:$AB$56,8,FALSE),VLOOKUP($AN23,StateTables!$A$6:$AB$56,7,FALSE))))</f>
      </c>
      <c r="AK23" s="7">
        <f>IF($B23="","",IFERROR(LOOKUP(2,1/(('Events 2'!$C$6:$C$17="Salary change")*('Events 2'!$B$6:$B$17&lt;=$B23)*('Events 2'!$B$6:$B$17&lt;&gt;"")),'Events 2'!$D$6:$D$17),IF('Inputs 2'!$C$4="Annual salary",'Inputs 2'!$C$5,'Inputs 2'!$C$6)))</f>
      </c>
      <c r="AL23">
        <f>IF($B23="","",IFERROR(LOOKUP(2,1/(('Events 2'!$C$6:$C$17="401(k) change")*('Events 2'!$B$6:$B$17&lt;=$B23)*('Events 2'!$B$6:$B$17&lt;&gt;"")),'Events 2'!$D$6:$D$17),'Inputs 2'!$C$30))</f>
      </c>
      <c r="AM23" s="7">
        <f>IF($B23="","",IFERROR(LOOKUP(2,1/(('Events 2'!$C$6:$C$17="401(k) change")*('Events 2'!$B$6:$B$17&lt;=$B23)*('Events 2'!$B$6:$B$17&lt;&gt;"")),'Events 2'!$E$6:$E$17),'Inputs 2'!$D$30))</f>
      </c>
      <c r="AN23">
        <f>IF($B23="","",IFERROR(LOOKUP(2,1/(('Events 2'!$C$6:$C$17="State move")*('Events 2'!$B$6:$B$17&lt;=$B23)*('Events 2'!$B$6:$B$17&lt;&gt;"")),'Events 2'!$D$6:$D$17),'Inputs 2'!$C$21))</f>
      </c>
      <c r="AO23" s="7">
        <f>IF($B23="","",IFERROR(LOOKUP(2,1/(('Events 2'!$C$6:$C$17="W-4 change")*('Events 2'!$B$6:$B$17&lt;=$B23)*('Events 2'!$B$6:$B$17&lt;&gt;"")),'Events 2'!$D$6:$D$17),'Inputs 2'!$C$14))</f>
      </c>
      <c r="AP23" s="7">
        <f>IF($B23="","",IFERROR(LOOKUP(2,1/(('Events 2'!$C$6:$C$17="W-4 change")*('Events 2'!$B$6:$B$17&lt;=$B23)*('Events 2'!$B$6:$B$17&lt;&gt;"")),'Events 2'!$E$6:$E$17),'Inputs 2'!$C$15))</f>
      </c>
      <c r="AQ23" s="7">
        <f>IF($B23="","",IFERROR(LOOKUP(2,1/(('Events 2'!$C$6:$C$17="W-4 change")*('Events 2'!$B$6:$B$17&lt;=$B23)*('Events 2'!$B$6:$B$17&lt;&gt;"")),'Events 2'!$F$6:$F$17),'Inputs 2'!$C$16))</f>
      </c>
      <c r="AR23" s="7">
        <f>IF($B23="","",IFERROR(LOOKUP(2,1/(('Events 2'!$C$6:$C$17="W-4 change")*('Events 2'!$B$6:$B$17&lt;=$B23)*('Events 2'!$B$6:$B$17&lt;&gt;"")),'Events 2'!$G$6:$G$17),'Inputs 2'!$C$17))</f>
      </c>
      <c r="AS23" s="6">
        <f>IF($B23="","",IFERROR(LOOKUP(2,1/((('Events 2'!$C$6:$C$17="State move")+('Events 2'!$C$6:$C$17="State cert change"))*('Events 2'!$B$6:$B$17&lt;=$B23)*('Events 2'!$B$6:$B$17&lt;&gt;"")),'Events 2'!$F$6:$F$17),'Inputs 2'!$C$23))</f>
      </c>
      <c r="AT23" s="6">
        <f>IF($B23="","",IFERROR(LOOKUP(2,1/((('Events 2'!$C$6:$C$17="State move")+('Events 2'!$C$6:$C$17="State cert change"))*('Events 2'!$B$6:$B$17&lt;=$B23)*('Events 2'!$B$6:$B$17&lt;&gt;"")),'Events 2'!$G$6:$G$17),'Inputs 2'!$C$24))</f>
      </c>
      <c r="AU23">
        <f>IF($B23="","",IFERROR(LOOKUP(2,1/(('Events 2'!$C$6:$C$17="State move")*('Events 2'!$B$6:$B$17&lt;=$B23)*('Events 2'!$B$6:$B$17&lt;&gt;"")),'Events 2'!$E$6:$E$17),'Inputs 2'!$C$22))</f>
      </c>
      <c r="AV23" s="6">
        <f>IF($B23="","",1+COUNTIFS('Events 2'!$C$6:$C$17,"Employer change",'Events 2'!$B$6:$B$17,"&lt;="&amp;$B23,'Events 2'!$B$6:$B$17,"&lt;&gt;"))</f>
      </c>
      <c r="AW23" s="7">
        <f>IF($B23="","",IF($AV23=1,'Inputs 2'!$C$49,IF(IFERROR(MATCH(IFERROR(LOOKUP(2,1/(('Events 2'!$C$6:$C$17="Employer change")*('Events 2'!$B$6:$B$17&lt;=$B23)*('Events 2'!$B$6:$B$17&lt;&gt;"")),'Events 2'!$B$6:$B$17),""),$B$6:$B$68,1),1)&lt;=1,'Inputs 2'!$C$49,INDEX($AB$6:$AB$68,MATCH(IFERROR(LOOKUP(2,1/(('Events 2'!$C$6:$C$17="Employer change")*('Events 2'!$B$6:$B$17&lt;=$B23)*('Events 2'!$B$6:$B$17&lt;&gt;"")),'Events 2'!$B$6:$B$17),""),$B$6:$B$68,1)-1))))</f>
      </c>
      <c r="AX23" s="7">
        <f>IF($B23="","",IF($AV23=1,'Inputs 2'!$C$49,IFERROR(LOOKUP(2,1/(('Events 2'!$C$6:$C$17="Employer change")*('Events 2'!$B$6:$B$17&lt;=$B23)*('Events 2'!$B$6:$B$17&lt;&gt;"")),'Events 2'!$D$6:$D$17),0)))</f>
      </c>
      <c r="AY23" s="7">
        <f>IF($B23="","",($O23-$D23)*'Inputs 2'!$C$8)</f>
      </c>
      <c r="AZ23" s="7">
        <f>IF($B23="","",IF($AN23="AL",MAX(0,$AY23-IF($AU23="Married",IF($AY23&lt;=25999,8500,MAX(5000,8500-175*CEILING(($AY23-25999)/500,1))),IF($AU23="Head of household",IF($AY23&lt;=25999,5200,MAX(2500,5200-135*CEILING(($AY23-25999)/500,1))),IF($AY23&lt;=25999,3000,MAX(2500,3000-25*CEILING(($AY23-25999)/500,1)))))-($P23-'Methodology &amp; Sources'!$C$10*$D23)*'Inputs 2'!$C$8-IF(OR($AU23="Married",$AU23="Head of household"),3000,1500)-$AT23*IF($AY23&lt;=50000,1000,IF($AY23&lt;=100000,500,300))),IF($AN23="AR",IF(MAX(0,$AY23-2470)&lt;97701,INT(MAX(0,$AY23-2470)/100)*100+50,MAX(0,$AY23-2470)),IF($AN23="DE",MAX(0,$AI23-3250),IF($AN23="HI",MAX(0,$AI23-1144*$AS23-4350),IF($AN23="KS",MAX(0,$AI23-(9160*IF($AU23="Married",2,1)+2320*$AT23+IF($AU23="Head of household",2320,0))),IF($AN23="MD",MAX(0,$AI23-3400-3200*$AS23),IF($AN23="MN",MAX(0,$AY23-5300*$AS23),IF($AN23="MO",MAX(0,$AI23-IF($AU23="Head of household",24150,IF($AU23="Married",IF('Inputs 2'!$C$83,16100,32200),16100))),IF($AN23="MT",$AY23,IF($AN23="ND",($C23+$L23)*'Inputs 2'!$C$8,IF($AN23="NE",MAX(0,$AY23-2440*$AS23),IF($AN23="NJ",MAX(0,$AY23-1000*$AS23),IF($AN23="NY",MAX(0,$AY23-(IF($AU23="Married",7950,7400)+1000*$AS23)),IF($AN23="OH",MAX(0,$AY23-650*$AS23),IF($AN23="OK",MAX(0,$AY23-1000*$AS23),IF($AN23="RI",MAX(0,$AI23-1000*$AS23),IF($AN23="SC",MAX(0,$AI23-5000*$AS23-IF($AS23=0,0,MIN(0.1*$AI23,7500))),IF($AN23="VA",MAX(0,$AI23-IF($AU23="Married",17500,8750)-930*$AS23-800*$AT23),IF($AN23="VT",MAX(0,$AI23-5400*$AS23),IF($AN23="WI",MAX(0,$AI23-MAX(0,IF($AU23="Married",9461-0.2*MAX(0,$AI23-25727),6702-0.12*MAX(0,$AI23-17780)))-400*$AS23),IF($AN23="WV",MAX(0,$AI23-2000*$AS23),$AI23))))))))))))))))))))))</f>
      </c>
      <c r="BA23" s="7">
        <f>IF($B23="","",IF($BW23&lt;&gt;"",$BW23,IF($BX23&lt;&gt;"",$BX23,IF($BY23&lt;&gt;"",$BY23,0))))</f>
      </c>
      <c r="BB23" s="7">
        <f>IF($B23="","",IF($AN23="AR",-29*$AS23,IF($AN23="DE",-110*$AS23,IF($AN23="MD",$AZ23*'Inputs 2'!$C$74,IF($AN23="AZ",'Inputs 2'!$C$82*($M23-$D23)*'Inputs 2'!$C$8,IF($AN23="CO",0.044*MAX(0,$AY23-IF($AU23="Married",10000,5000)),IF($AN23="IA",MAX(0,0.038*MAX(0,$AY23-IF($AU23="Head of household",19500,IF($AU23="Married",26000,13000)))-40*$AS23),IF($AN23="ID",0.053*MAX(0,$AY23-IF($AU23="Married",32000,16094)),IF($AN23="IL",0.0495*MAX(0,$AY23-(2925*$AS23+1000*$AT23)),IF($AN23="IN",(0.0295+'Inputs 2'!$C$76)*MAX(0,$AY23-(1000*$AS23+1500*$AT23+3000*'Inputs 2'!$C$86)),IF($AN23="KY",0.035*MAX(0,$AI23-3360),IF($AN23="LA",IF('Inputs 2'!$C$84="0",0.0309*$AI23,0.0309*MAX(0,$AI23-IF('Inputs 2'!$C$84="2",25750,12875))),IF($AN23="MA",0.05*MIN(MAX(0,$AY23-MIN(($BD22+$Q23+$R23+$S23),2000)-IF($AS23=0,0,IF($AS23=1,4400,1000*$AS23+3400))),1107750)+0.09*MAX(0,MAX(0,$AY23-MIN(($BD22+$Q23+$R23+$S23),2000)-IF($AS23=0,0,IF($AS23=1,4400,1000*$AS23+3400)))-1107750)-IF($AU23="Head of household",120,0)-110*'Inputs 2'!$C$75,IF($AN23="MI",0.0425*MAX(0,$AY23-5900*$AS23),IF($AN23="MS",0.04*MAX(0,$AI23-IF($AU23="Head of household",3400,IF($AU23="Married",4600,2300))-'Inputs 2'!$C$85-10000),IF($AN23="OR",IF(OR($AU23="Married",AND($AU23="Single",$AS23&gt;=3)),SUMPRODUCT((MAX(0,$AY23-MIN(($P23-'Methodology &amp; Sources'!$C$10*$D23)*'Inputs 2'!$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Sources'!$B$211:$J$214,0,4))*(MAX(0,$AY23-MIN(($P23-'Methodology &amp; Sources'!$C$10*$D23)*'Inputs 2'!$C$8,IF(OR($AU23="Married",AND($AU23="Single",$AS23&gt;=3)),IF($AY23&lt;250000,8750,IF($AY23&lt;260000,7000,IF($AY23&lt;270000,5250,IF($AY23&lt;280000,3500,IF($AY23&lt;290000,1750,0))))),IF($AY23&lt;125000,8750,IF($AY23&lt;130000,7000,IF($AY23&lt;135000,5250,IF($AY23&lt;140000,3500,IF($AY23&lt;145000,1750,0)))))))-IF(OR($AU23="Married",AND($AU23="Single",$AS23&gt;=3)),5820,2910))-INDEX('Methodology &amp; Sources'!$B$211:$J$214,0,4))*INDEX('Methodology &amp; Sources'!$B$211:$J$214,0,4+2)),SUMPRODUCT((MAX(0,$AY23-MIN(($P23-'Methodology &amp; Sources'!$C$10*$D23)*'Inputs 2'!$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Sources'!$B$211:$J$214,0,1))*(MAX(0,$AY23-MIN(($P23-'Methodology &amp; Sources'!$C$10*$D23)*'Inputs 2'!$C$8,IF(OR($AU23="Married",AND($AU23="Single",$AS23&gt;=3)),IF($AY23&lt;250000,8750,IF($AY23&lt;260000,7000,IF($AY23&lt;270000,5250,IF($AY23&lt;280000,3500,IF($AY23&lt;290000,1750,0))))),IF($AY23&lt;125000,8750,IF($AY23&lt;130000,7000,IF($AY23&lt;135000,5250,IF($AY23&lt;140000,3500,IF($AY23&lt;145000,1750,0)))))))-IF(OR($AU23="Married",AND($AU23="Single",$AS23&gt;=3)),5820,2910))-INDEX('Methodology &amp; Sources'!$B$211:$J$214,0,1))*INDEX('Methodology &amp; Sources'!$B$211:$J$214,0,1+2)))+263-263*IF(IF($AU23="Married",$AY23&gt;200000,$AY23&gt;100000),0,$AS23),IF($AN23="PA",0.0307*(($O23+$E23+$G23)*'Inputs 2'!$C$8),IF($AN23="NY",IF($AU23="Married",IF($AZ23&gt;=2155350,0,IF($AZ23&gt;=1077550,0.48,IF($AZ23&gt;=373200,1.21,IF($AZ23&gt;=323200,0.21,IF($AZ23&gt;=211550,-0.19,IF($AZ23&gt;=157650,-2.8,IF($AZ23&gt;=107650,-0.8,IF($AZ23&gt;=96800,0.05,IF($AZ23&gt;=80650,-0.1,IF($AZ23&gt;=13900,0.4,IF($AZ23&gt;=11700,-0.3,IF($AZ23&gt;=8500,0.5,0)))))))))))),IF($AZ23&gt;=1077550,0,IF($AZ23&gt;=265400,4.29,IF($AZ23&gt;=215400,2.29,IF($AZ23&gt;=157650,2.29,IF($AZ23&gt;=107650,0.29,IF($AZ23&gt;=96800,0.05,IF($AZ23&gt;=80650,-0.1,IF($AZ23&gt;=13900,0.4,IF($AZ23&gt;=11700,-0.3,IF($AZ23&gt;=8500,0.5,0))))))))))),0))))))))))))))))))</f>
      </c>
      <c r="BC23" s="7">
        <f>IF($B23="","",IF($AN23="AL",0.05*$D23,IF($AN23="AR",0.039*$D23,IF($AN23="ID",0.053*$D23,IF($AN23="IN",(0.0295+'Inputs 2'!$C$76)*$D23,IF($AN23="KS",0.05*$D23,IF($AN23="MA",0.09*MIN($D23,MAX(0,MAX(0,$AY23-MIN(($BD22+$Q23+$R23+$S23),2000)-IF($AS23=0,0,IF($AS23=1,4400,1000*$AS23+3400)))+$D23-1107750))+0.05*($D23-MIN($D23,MAX(0,MAX(0,$AY23-MIN(($BD22+$Q23+$R23+$S23),2000)-IF($AS23=0,0,IF($AS23=1,4400,1000*$AS23+3400)))+$D23-1107750))),IF($AN23="MD",(0.065+'Inputs 2'!$C$74)*$D23,IF($AN23="MI",0.0425*$D23,IF($AN23="MN",0.0625*$D23,IF($AN23="MO",0.047*$D23,IF($AN23="MT",0.05*$D23,IF($AN23="ND",0.015*$D23,IF($AN23="NE",0.035*$D23,IF($AN23="NJ",IF('Inputs 2'!$C$77="B",SUMPRODUCT(($D23*'Inputs 2'!$C$8&gt;INDEX('Methodology &amp; Sources'!$B$155:$J$162,0,4))*($D23*'Inputs 2'!$C$8-INDEX('Methodology &amp; Sources'!$B$155:$J$162,0,4))*INDEX('Methodology &amp; Sources'!$B$155:$J$162,0,4+2)),IF('Inputs 2'!$C$77="C",SUMPRODUCT(($D23*'Inputs 2'!$C$8&gt;INDEX('Methodology &amp; Sources'!$B$155:$J$162,0,7))*($D23*'Inputs 2'!$C$8-INDEX('Methodology &amp; Sources'!$B$155:$J$162,0,7))*INDEX('Methodology &amp; Sources'!$B$155:$J$162,0,7+2)),IF('Inputs 2'!$C$77="D",SUMPRODUCT(($D23*'Inputs 2'!$C$8&gt;INDEX('Methodology &amp; Sources'!$B$167:$J$179,0,1))*($D23*'Inputs 2'!$C$8-INDEX('Methodology &amp; Sources'!$B$167:$J$179,0,1))*INDEX('Methodology &amp; Sources'!$B$167:$J$179,0,1+2)),IF('Inputs 2'!$C$77="E",SUMPRODUCT(($D23*'Inputs 2'!$C$8&gt;INDEX('Methodology &amp; Sources'!$B$167:$J$179,0,4))*($D23*'Inputs 2'!$C$8-INDEX('Methodology &amp; Sources'!$B$167:$J$179,0,4))*INDEX('Methodology &amp; Sources'!$B$167:$J$179,0,4+2)),SUMPRODUCT(($D23*'Inputs 2'!$C$8&gt;INDEX('Methodology &amp; Sources'!$B$155:$J$162,0,1))*($D23*'Inputs 2'!$C$8-INDEX('Methodology &amp; Sources'!$B$155:$J$162,0,1))*INDEX('Methodology &amp; Sources'!$B$155:$J$162,0,1+2))))))/'Inputs 2'!$C$8,IF($AN23="NY",0.117*$D23,IF($AN23="OH",0.0275*$D23,IF($AN23="OK",0.045*$D23,IF($AN23="OR",0.08*$D23,IF($AN23="WI",IF($AY23&lt;12760,0.0354,IF($AY23&lt;25520,0.0465,IF($AY23&lt;280950,0.053,0.0765)))*$D23,0))))))))))))))))))))</f>
      </c>
      <c r="BD23" s="7">
        <f>IF($B23="","",$BD22+$Q23+$R23+$S23)</f>
      </c>
      <c r="BE23" s="6">
        <f>IF($B23="",$BE22,$BE22+$BF23)</f>
      </c>
      <c r="BF23" s="6">
        <f>IF($B23="","",IF(AND(IF(YEAR(IF('Inputs 2'!$C$7="Weekly",'Inputs 2'!$C$9+7*(($BE22+1)-1),IF('Inputs 2'!$C$7="Biweekly",'Inputs 2'!$C$9+14*(($BE22+1)-1),IF('Inputs 2'!$C$7="Semimonthly",DATE(YEAR('Inputs 2'!$C$9),MONTH('Inputs 2'!$C$9)+INT((($BE22+1)-1)/2),MIN(DAY('Inputs 2'!$C$9),DAY(EOMONTH(DATE(YEAR('Inputs 2'!$C$9),MONTH('Inputs 2'!$C$9)+INT((($BE22+1)-1)/2),1),0))))+IF(MOD(($BE22+1)-1,2)=1,15,0),EDATE('Inputs 2'!$C$9,($BE22+1)-1)))))&lt;&gt;'Inputs 2'!$C$10,"",IF('Inputs 2'!$C$7="Weekly",'Inputs 2'!$C$9+7*(($BE22+1)-1),IF('Inputs 2'!$C$7="Biweekly",'Inputs 2'!$C$9+14*(($BE22+1)-1),IF('Inputs 2'!$C$7="Semimonthly",DATE(YEAR('Inputs 2'!$C$9),MONTH('Inputs 2'!$C$9)+INT((($BE22+1)-1)/2),MIN(DAY('Inputs 2'!$C$9),DAY(EOMONTH(DATE(YEAR('Inputs 2'!$C$9),MONTH('Inputs 2'!$C$9)+INT((($BE22+1)-1)/2),1),0))))+IF(MOD(($BE22+1)-1,2)=1,15,0),EDATE('Inputs 2'!$C$9,($BE22+1)-1)))))&lt;&gt;"",$B23=IF(YEAR(IF('Inputs 2'!$C$7="Weekly",'Inputs 2'!$C$9+7*(($BE22+1)-1),IF('Inputs 2'!$C$7="Biweekly",'Inputs 2'!$C$9+14*(($BE22+1)-1),IF('Inputs 2'!$C$7="Semimonthly",DATE(YEAR('Inputs 2'!$C$9),MONTH('Inputs 2'!$C$9)+INT((($BE22+1)-1)/2),MIN(DAY('Inputs 2'!$C$9),DAY(EOMONTH(DATE(YEAR('Inputs 2'!$C$9),MONTH('Inputs 2'!$C$9)+INT((($BE22+1)-1)/2),1),0))))+IF(MOD(($BE22+1)-1,2)=1,15,0),EDATE('Inputs 2'!$C$9,($BE22+1)-1)))))&lt;&gt;'Inputs 2'!$C$10,"",IF('Inputs 2'!$C$7="Weekly",'Inputs 2'!$C$9+7*(($BE22+1)-1),IF('Inputs 2'!$C$7="Biweekly",'Inputs 2'!$C$9+14*(($BE22+1)-1),IF('Inputs 2'!$C$7="Semimonthly",DATE(YEAR('Inputs 2'!$C$9),MONTH('Inputs 2'!$C$9)+INT((($BE22+1)-1)/2),MIN(DAY('Inputs 2'!$C$9),DAY(EOMONTH(DATE(YEAR('Inputs 2'!$C$9),MONTH('Inputs 2'!$C$9)+INT((($BE22+1)-1)/2),1),0))))+IF(MOD(($BE22+1)-1,2)=1,15,0),EDATE('Inputs 2'!$C$9,($BE22+1)-1)))))),1,0))</f>
      </c>
      <c r="BG23" s="7">
        <f>IF($B23="","",$BG22+$H23)</f>
      </c>
      <c r="BH23" s="7">
        <f>IF($B23="","",$BH22+$I23)</f>
      </c>
      <c r="BI23" s="7">
        <f>IF($B23="","",$BI22+$G23)</f>
      </c>
      <c r="BJ23" s="7">
        <f>IF($B23="","",IFERROR(LOOKUP(2,1/(((('Events 2'!$C$6:$C$17="Deduction start"))*('Events 2'!$D$6:$D$17="Health FSA"))*('Events 2'!$B$6:$B$17&lt;=$B23)*('Events 2'!$B$6:$B$17&lt;&gt;"")),'Events 2'!$E$6:$E$17),'Inputs 2'!$D$38))</f>
      </c>
      <c r="BK23" s="7">
        <f>IF($B23="","",IFERROR(LOOKUP(2,1/(((('Events 2'!$C$6:$C$17="Deduction start"))*('Events 2'!$D$6:$D$17="Dependent-care FSA"))*('Events 2'!$B$6:$B$17&lt;=$B23)*('Events 2'!$B$6:$B$17&lt;&gt;"")),'Events 2'!$E$6:$E$17),'Inputs 2'!$D$39))</f>
      </c>
      <c r="BL23" s="7">
        <f>IF($B23="","",IFERROR(LOOKUP(2,1/(((('Events 2'!$C$6:$C$17="Deduction start")+('Events 2'!$C$6:$C$17="Deduction stop"))*('Events 2'!$D$6:$D$17="HSA"))*('Events 2'!$B$6:$B$17&lt;=$B23)*('Events 2'!$B$6:$B$17&lt;&gt;"")),'Events 2'!$I$6:$I$17),'Inputs 2'!$D$35))</f>
      </c>
      <c r="BM23" s="7">
        <f>IF($B23="","",IFERROR(LOOKUP(2,1/(((('Events 2'!$C$6:$C$17="Deduction start")+('Events 2'!$C$6:$C$17="Deduction stop"))*('Events 2'!$D$6:$D$17="Premiums"))*('Events 2'!$B$6:$B$17&lt;=$B23)*('Events 2'!$B$6:$B$17&lt;&gt;"")),'Events 2'!$I$6:$I$17),'Inputs 2'!$D$40+'Inputs 2'!$D$41+'Inputs 2'!$D$42))</f>
      </c>
      <c r="BN23" s="7">
        <f>IF($B23="","",IFERROR(LOOKUP(2,1/(((('Events 2'!$C$6:$C$17="Deduction start")+('Events 2'!$C$6:$C$17="Deduction stop"))*('Events 2'!$D$6:$D$17="Commuter"))*('Events 2'!$B$6:$B$17&lt;=$B23)*('Events 2'!$B$6:$B$17&lt;&gt;"")),'Events 2'!$I$6:$I$17),'Inputs 2'!$D$43))</f>
      </c>
      <c r="BO23" s="7">
        <f>IF($B23="","",IFERROR(LOOKUP(2,1/(((('Events 2'!$C$6:$C$17="Deduction start")+('Events 2'!$C$6:$C$17="Deduction stop"))*('Events 2'!$D$6:$D$17="Other pre-tax"))*('Events 2'!$B$6:$B$17&lt;=$B23)*('Events 2'!$B$6:$B$17&lt;&gt;"")),'Events 2'!$I$6:$I$17),'Inputs 2'!$D$44))</f>
      </c>
      <c r="BP23" s="7">
        <f>IF($B23="","",IFERROR(LOOKUP(2,1/(((('Events 2'!$C$6:$C$17="Deduction start")+('Events 2'!$C$6:$C$17="Deduction stop"))*('Events 2'!$D$6:$D$17="Other post-tax"))*('Events 2'!$B$6:$B$17&lt;=$B23)*('Events 2'!$B$6:$B$17&lt;&gt;"")),'Events 2'!$I$6:$I$17),'Inputs 2'!$D$45))</f>
      </c>
      <c r="BQ23" s="6">
        <f>IF($B23="","",IFERROR(LOOKUP(2,1/(((('Events 2'!$C$6:$C$17="Deduction start")+('Events 2'!$C$6:$C$17="Deduction stop"))*('Events 2'!$D$6:$D$17="Health FSA"))*('Events 2'!$B$6:$B$17&lt;=$B23)*('Events 2'!$B$6:$B$17&lt;&gt;"")),'Events 2'!$J$6:$J$17),0))</f>
      </c>
      <c r="BR23" s="6">
        <f>IF($B23="","",IFERROR(LOOKUP(2,1/(((('Events 2'!$C$6:$C$17="Deduction start")+('Events 2'!$C$6:$C$17="Deduction stop"))*('Events 2'!$D$6:$D$17="Dependent-care FSA"))*('Events 2'!$B$6:$B$17&lt;=$B23)*('Events 2'!$B$6:$B$17&lt;&gt;"")),'Events 2'!$J$6:$J$17),0))</f>
      </c>
      <c r="BS23" s="6">
        <f>IF($B23="","",IF(SUMPRODUCT(('Events 2'!$C$6:$C$17="Deduction start")*('Events 2'!$B$6:$B$17&lt;=$B23)*('Events 2'!$B$6:$B$17&lt;&gt;"")*('Events 2'!$D$6:$D$17="Health FSA"))&gt;0,1,0))</f>
      </c>
      <c r="BT23" s="6">
        <f>IF($B23="","",IF(SUMPRODUCT(('Events 2'!$C$6:$C$17="Deduction start")*('Events 2'!$B$6:$B$17&lt;=$B23)*('Events 2'!$B$6:$B$17&lt;&gt;"")*('Events 2'!$D$6:$D$17="Dependent-care FSA"))&gt;0,1,0))</f>
      </c>
      <c r="BU23" s="24">
        <f>IF($B23="","",IF('Inputs 2'!$C$13,SUMPRODUCT(($AH23&gt;=INDEX('Methodology &amp; Sources'!$B$29:$J$36,0,IF('Inputs 2'!$C$12="MFJ",1,IF('Inputs 2'!$C$12="HoH",7,4))))*INDEX('Methodology &amp; Sources'!$B$29:$J$36,0,IF('Inputs 2'!$C$12="MFJ",1,IF('Inputs 2'!$C$12="HoH",7,4))+2)),SUMPRODUCT(($AH23&gt;=INDEX('Methodology &amp; Sources'!$B$19:$J$26,0,IF('Inputs 2'!$C$12="MFJ",1,IF('Inputs 2'!$C$12="HoH",7,4))))*INDEX('Methodology &amp; Sources'!$B$19:$J$26,0,IF('Inputs 2'!$C$12="MFJ",1,IF('Inputs 2'!$C$12="HoH",7,4))+2))))</f>
      </c>
      <c r="BV23" s="24">
        <f>IF($B23="","",IF($BZ23&lt;&gt;"",$BZ23,IF($CA23&lt;&gt;"",$CA23,IF($CB23&lt;&gt;"",$CB23,IF($CC23&lt;&gt;"",$CC23,0)))))</f>
      </c>
      <c r="BW23" s="7">
        <f>IF($B23="","",IF($AN23="MD",IF(OR($AU23="Married",$AU23="Head of household"),SUMPRODUCT(($AZ23&gt;INDEX('Methodology &amp; Sources'!$B$114:$J$120,0,1))*($AZ23-INDEX('Methodology &amp; Sources'!$B$114:$J$120,0,1))*INDEX('Methodology &amp; Sources'!$B$114:$J$120,0,1+2)),SUMPRODUCT(($AZ23&gt;INDEX('Methodology &amp; Sources'!$B$103:$J$109,0,7))*($AZ23-INDEX('Methodology &amp; Sources'!$B$103:$J$109,0,7))*INDEX('Methodology &amp; Sources'!$B$103:$J$109,0,7+2))),IF($AN23="MO",SUMPRODUCT(($AZ23&gt;INDEX('Methodology &amp; Sources'!$B$125:$J$132,0,1))*($AZ23-INDEX('Methodology &amp; Sources'!$B$125:$J$132,0,1))*INDEX('Methodology &amp; Sources'!$B$125:$J$132,0,1+2)),IF($AN23="MT",IF($AU23="Head of household",SUMPRODUCT(($AZ23&gt;INDEX('Methodology &amp; Sources'!$B$137:$J$139,0,1))*($AZ23-INDEX('Methodology &amp; Sources'!$B$137:$J$139,0,1))*INDEX('Methodology &amp; Sources'!$B$137:$J$139,0,1+2)),IF($AU23="Married",SUMPRODUCT(($AZ23&gt;INDEX('Methodology &amp; Sources'!$B$125:$J$132,0,7))*($AZ23-INDEX('Methodology &amp; Sources'!$B$125:$J$132,0,7))*INDEX('Methodology &amp; Sources'!$B$125:$J$132,0,7+2)),SUMPRODUCT(($AZ23&gt;INDEX('Methodology &amp; Sources'!$B$125:$J$132,0,4))*($AZ23-INDEX('Methodology &amp; Sources'!$B$125:$J$132,0,4))*INDEX('Methodology &amp; Sources'!$B$125:$J$132,0,4+2)))),IF($AN23="ND",IF($AU23="Head of household",SUMPRODUCT(($AZ23&gt;INDEX('Methodology &amp; Sources'!$B$144:$J$150,0,1))*($AZ23-INDEX('Methodology &amp; Sources'!$B$144:$J$150,0,1))*INDEX('Methodology &amp; Sources'!$B$144:$J$150,0,1+2)),IF($AU23="Married",SUMPRODUCT(($AZ23&gt;INDEX('Methodology &amp; Sources'!$B$137:$J$139,0,7))*($AZ23-INDEX('Methodology &amp; Sources'!$B$137:$J$139,0,7))*INDEX('Methodology &amp; Sources'!$B$137:$J$139,0,7+2)),SUMPRODUCT(($AZ23&gt;INDEX('Methodology &amp; Sources'!$B$137:$J$139,0,4))*($AZ23-INDEX('Methodology &amp; Sources'!$B$137:$J$139,0,4))*INDEX('Methodology &amp; Sources'!$B$137:$J$139,0,4+2)))),IF($AN23="NJ",IF('Inputs 2'!$C$77="B",SUMPRODUCT(($AZ23&gt;INDEX('Methodology &amp; Sources'!$B$155:$J$162,0,4))*($AZ23-INDEX('Methodology &amp; Sources'!$B$155:$J$162,0,4))*INDEX('Methodology &amp; Sources'!$B$155:$J$162,0,4+2)),IF('Inputs 2'!$C$77="C",SUMPRODUCT(($AZ23&gt;INDEX('Methodology &amp; Sources'!$B$155:$J$162,0,7))*($AZ23-INDEX('Methodology &amp; Sources'!$B$155:$J$162,0,7))*INDEX('Methodology &amp; Sources'!$B$155:$J$162,0,7+2)),IF('Inputs 2'!$C$77="D",SUMPRODUCT(($AZ23&gt;INDEX('Methodology &amp; Sources'!$B$167:$J$179,0,1))*($AZ23-INDEX('Methodology &amp; Sources'!$B$167:$J$179,0,1))*INDEX('Methodology &amp; Sources'!$B$167:$J$179,0,1+2)),IF('Inputs 2'!$C$77="E",SUMPRODUCT(($AZ23&gt;INDEX('Methodology &amp; Sources'!$B$167:$J$179,0,4))*($AZ23-INDEX('Methodology &amp; Sources'!$B$167:$J$179,0,4))*INDEX('Methodology &amp; Sources'!$B$167:$J$179,0,4+2)),SUMPRODUCT(($AZ23&gt;INDEX('Methodology &amp; Sources'!$B$155:$J$162,0,1))*($AZ23-INDEX('Methodology &amp; Sources'!$B$155:$J$162,0,1))*INDEX('Methodology &amp; Sources'!$B$155:$J$162,0,1+2)))))),IF($AN23="NY",IF($AU23="Married",IF($AZ23&gt;=2155350,$AZ23*IF($AZ23&gt;25000000,0.117,IF($AZ23&gt;5000000,0.111,0.1045)),SUMPRODUCT(($AZ23&gt;INDEX('Methodology &amp; Sources'!$B$184:$J$198,0,1))*($AZ23-INDEX('Methodology &amp; Sources'!$B$184:$J$198,0,1))*INDEX('Methodology &amp; Sources'!$B$184:$J$198,0,1+2))),IF($AZ23&gt;=1077550,$AZ23*IF($AZ23&gt;25000000,0.117,IF($AZ23&gt;5000000,0.111,0.1045)),SUMPRODUCT(($AZ23&gt;INDEX('Methodology &amp; Sources'!$B$167:$J$179,0,7))*($AZ23-INDEX('Methodology &amp; Sources'!$B$167:$J$179,0,7))*INDEX('Methodology &amp; Sources'!$B$167:$J$179,0,7+2)))),"")))))))</f>
      </c>
      <c r="BX23" s="7">
        <f>IF($B23="","",IF($AN23="AL",IF(OR($AU23="Married",$AU23="Head of household"),SUMPRODUCT(($AZ23&gt;INDEX('Methodology &amp; Sources'!$B$82:$J$86,0,4))*($AZ23-INDEX('Methodology &amp; Sources'!$B$82:$J$86,0,4))*INDEX('Methodology &amp; Sources'!$B$82:$J$86,0,4+2)),SUMPRODUCT(($AZ23&gt;INDEX('Methodology &amp; Sources'!$B$82:$J$86,0,1))*($AZ23-INDEX('Methodology &amp; Sources'!$B$82:$J$86,0,1))*INDEX('Methodology &amp; Sources'!$B$82:$J$86,0,1+2))),IF($AN23="KS",IF($AU23="Married",SUMPRODUCT(($AZ23&gt;INDEX('Methodology &amp; Sources'!$B$103:$J$109,0,4))*($AZ23-INDEX('Methodology &amp; Sources'!$B$103:$J$109,0,4))*INDEX('Methodology &amp; Sources'!$B$103:$J$109,0,4+2)),SUMPRODUCT(($AZ23&gt;INDEX('Methodology &amp; Sources'!$B$103:$J$109,0,1))*($AZ23-INDEX('Methodology &amp; Sources'!$B$103:$J$109,0,1))*INDEX('Methodology &amp; Sources'!$B$103:$J$109,0,1+2))),IF($AN23="MN",IF($AU23="Married",SUMPRODUCT(($AZ23&gt;INDEX('Methodology &amp; Sources'!$B$114:$J$120,0,7))*($AZ23-INDEX('Methodology &amp; Sources'!$B$114:$J$120,0,7))*INDEX('Methodology &amp; Sources'!$B$114:$J$120,0,7+2)),SUMPRODUCT(($AZ23&gt;INDEX('Methodology &amp; Sources'!$B$114:$J$120,0,4))*($AZ23-INDEX('Methodology &amp; Sources'!$B$114:$J$120,0,4))*INDEX('Methodology &amp; Sources'!$B$114:$J$120,0,4+2))),IF($AN23="NE",MAX(IF($AU23="Married",SUMPRODUCT(($AZ23&gt;INDEX('Methodology &amp; Sources'!$B$144:$J$150,0,7))*($AZ23-INDEX('Methodology &amp; Sources'!$B$144:$J$150,0,7))*INDEX('Methodology &amp; Sources'!$B$144:$J$150,0,7+2)),SUMPRODUCT(($AZ23&gt;INDEX('Methodology &amp; Sources'!$B$144:$J$150,0,4))*($AZ23-INDEX('Methodology &amp; Sources'!$B$144:$J$150,0,4))*INDEX('Methodology &amp; Sources'!$B$144:$J$150,0,4+2))),0.015*$AZ23),IF($AN23="OH",IF($B23&gt;=DATE(2027,8,1),SUMPRODUCT(($AZ23&gt;INDEX('Methodology &amp; Sources'!$B$203:$J$206,0,1))*($AZ23-INDEX('Methodology &amp; Sources'!$B$203:$J$206,0,1))*INDEX('Methodology &amp; Sources'!$B$203:$J$206,0,1+2)),SUMPRODUCT(($AZ23&gt;INDEX('Methodology &amp; Sources'!$B$184:$J$198,0,7))*($AZ23-INDEX('Methodology &amp; Sources'!$B$184:$J$198,0,7))*INDEX('Methodology &amp; Sources'!$B$184:$J$198,0,7+2))),IF($AN23="OK",IF($AU23="Married",SUMPRODUCT(($AZ23&gt;INDEX('Methodology &amp; Sources'!$B$203:$J$206,0,7))*($AZ23-INDEX('Methodology &amp; Sources'!$B$203:$J$206,0,7))*INDEX('Methodology &amp; Sources'!$B$203:$J$206,0,7+2)),SUMPRODUCT(($AZ23&gt;INDEX('Methodology &amp; Sources'!$B$203:$J$206,0,4))*($AZ23-INDEX('Methodology &amp; Sources'!$B$203:$J$206,0,4))*INDEX('Methodology &amp; Sources'!$B$203:$J$206,0,4+2))),IF($AN23="RI",SUMPRODUCT(($AZ23&gt;INDEX('Methodology &amp; Sources'!$B$211:$J$214,0,7))*($AZ23-INDEX('Methodology &amp; Sources'!$B$211:$J$214,0,7))*INDEX('Methodology &amp; Sources'!$B$211:$J$214,0,7+2)),IF($AN23="VT",IF($AU23="Married",SUMPRODUCT(($AZ23&gt;INDEX('Methodology &amp; Sources'!$B$228:$J$232,0,1))*($AZ23-INDEX('Methodology &amp; Sources'!$B$228:$J$232,0,1))*INDEX('Methodology &amp; Sources'!$B$228:$J$232,0,1+2)),SUMPRODUCT(($AZ23&gt;INDEX('Methodology &amp; Sources'!$B$219:$J$223,0,7))*($AZ23-INDEX('Methodology &amp; Sources'!$B$219:$J$223,0,7))*INDEX('Methodology &amp; Sources'!$B$219:$J$223,0,7+2))),IF($AN23="WV",IF($AU23="Married",SUMPRODUCT(($AZ23&gt;INDEX('Methodology &amp; Sources'!$B$237:$J$241,0,7))*($AZ23-INDEX('Methodology &amp; Sources'!$B$237:$J$241,0,7))*INDEX('Methodology &amp; Sources'!$B$237:$J$241,0,7+2)),SUMPRODUCT(($AZ23&gt;INDEX('Methodology &amp; Sources'!$B$228:$J$232,0,7))*($AZ23-INDEX('Methodology &amp; Sources'!$B$228:$J$232,0,7))*INDEX('Methodology &amp; Sources'!$B$228:$J$232,0,7+2))),""))))))))))</f>
      </c>
      <c r="BY23" s="7">
        <f>IF($B23="","",IF($AN23="AR",SUMPRODUCT(($AZ23&gt;INDEX('Methodology &amp; Sources'!$B$82:$J$86,0,7))*($AZ23-INDEX('Methodology &amp; Sources'!$B$82:$J$86,0,7))*INDEX('Methodology &amp; Sources'!$B$82:$J$86,0,7+2)),IF($AN23="DE",SUMPRODUCT(($AZ23&gt;INDEX('Methodology &amp; Sources'!$B$91:$J$98,0,1))*($AZ23-INDEX('Methodology &amp; Sources'!$B$91:$J$98,0,1))*INDEX('Methodology &amp; Sources'!$B$91:$J$98,0,1+2)),IF($AN23="HI",IF($AU23="Married",SUMPRODUCT(($AZ23&gt;INDEX('Methodology &amp; Sources'!$B$91:$J$98,0,7))*($AZ23-INDEX('Methodology &amp; Sources'!$B$91:$J$98,0,7))*INDEX('Methodology &amp; Sources'!$B$91:$J$98,0,7+2)),SUMPRODUCT(($AZ23&gt;INDEX('Methodology &amp; Sources'!$B$91:$J$98,0,4))*($AZ23-INDEX('Methodology &amp; Sources'!$B$91:$J$98,0,4))*INDEX('Methodology &amp; Sources'!$B$91:$J$98,0,4+2))),IF($AN23="SC",SUMPRODUCT(($AZ23&gt;INDEX('Methodology &amp; Sources'!$B$219:$J$223,0,1))*($AZ23-INDEX('Methodology &amp; Sources'!$B$219:$J$223,0,1))*INDEX('Methodology &amp; Sources'!$B$219:$J$223,0,1+2)),IF($AN23="VA",SUMPRODUCT(($AZ23&gt;INDEX('Methodology &amp; Sources'!$B$219:$J$223,0,4))*($AZ23-INDEX('Methodology &amp; Sources'!$B$219:$J$223,0,4))*INDEX('Methodology &amp; Sources'!$B$219:$J$223,0,4+2)),IF($AN23="WI",SUMPRODUCT(($AZ23&gt;INDEX('Methodology &amp; Sources'!$B$228:$J$232,0,4))*($AZ23-INDEX('Methodology &amp; Sources'!$B$228:$J$232,0,4))*INDEX('Methodology &amp; Sources'!$B$228:$J$232,0,4+2)),"")))))))</f>
      </c>
      <c r="BZ23" s="24">
        <f>IF($B23="","",IF($AN23="NJ",IF('Inputs 2'!$C$77="B",SUMPRODUCT(($AZ23&gt;=INDEX('Methodology &amp; Sources'!$B$155:$J$162,0,4))*INDEX('Methodology &amp; Sources'!$B$155:$J$162,0,4+2)),IF('Inputs 2'!$C$77="C",SUMPRODUCT(($AZ23&gt;=INDEX('Methodology &amp; Sources'!$B$155:$J$162,0,7))*INDEX('Methodology &amp; Sources'!$B$155:$J$162,0,7+2)),IF('Inputs 2'!$C$77="D",SUMPRODUCT(($AZ23&gt;=INDEX('Methodology &amp; Sources'!$B$167:$J$179,0,1))*INDEX('Methodology &amp; Sources'!$B$167:$J$179,0,1+2)),IF('Inputs 2'!$C$77="E",SUMPRODUCT(($AZ23&gt;=INDEX('Methodology &amp; Sources'!$B$167:$J$179,0,4))*INDEX('Methodology &amp; Sources'!$B$167:$J$179,0,4+2)),SUMPRODUCT(($AZ23&gt;=INDEX('Methodology &amp; Sources'!$B$155:$J$162,0,1))*INDEX('Methodology &amp; Sources'!$B$155:$J$162,0,1+2)))))),IF($AN23="OR",IF(OR($AU23="Married",AND($AU23="Single",$AS23&gt;=3)),SUMPRODUCT((MAX(0,$AY23-MIN(($P23-'Methodology &amp; Sources'!$C$10*$D23)*'Inputs 2'!$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Sources'!$B$211:$J$214,0,4))*INDEX('Methodology &amp; Sources'!$B$211:$J$214,0,4+2)),SUMPRODUCT((MAX(0,$AY23-MIN(($P23-'Methodology &amp; Sources'!$C$10*$D23)*'Inputs 2'!$C$8,IF(OR($AU23="Married",AND($AU23="Single",$AS23&gt;=3)),IF($AY23&lt;250000,8750,IF($AY23&lt;260000,7000,IF($AY23&lt;270000,5250,IF($AY23&lt;280000,3500,IF($AY23&lt;290000,1750,0))))),IF($AY23&lt;125000,8750,IF($AY23&lt;130000,7000,IF($AY23&lt;135000,5250,IF($AY23&lt;140000,3500,IF($AY23&lt;145000,1750,0)))))))-IF(OR($AU23="Married",AND($AU23="Single",$AS23&gt;=3)),5820,2910))&gt;=INDEX('Methodology &amp; Sources'!$B$211:$J$214,0,1))*INDEX('Methodology &amp; Sources'!$B$211:$J$214,0,1+2)))*IF(($P23-'Methodology &amp; Sources'!$C$10*$D23)*'Inputs 2'!$C$8&gt;=IF(OR($AU23="Married",AND($AU23="Single",$AS23&gt;=3)),IF($AY23&lt;250000,8750,IF($AY23&lt;260000,7000,IF($AY23&lt;270000,5250,IF($AY23&lt;280000,3500,IF($AY23&lt;290000,1750,0))))),IF($AY23&lt;125000,8750,IF($AY23&lt;130000,7000,IF($AY23&lt;135000,5250,IF($AY23&lt;140000,3500,IF($AY23&lt;145000,1750,0)))))),1,1-IF('Inputs 2'!$C$13,SUMPRODUCT(($AH23&gt;=INDEX('Methodology &amp; Sources'!$B$29:$J$36,0,IF('Inputs 2'!$C$12="MFJ",1,IF('Inputs 2'!$C$12="HoH",7,4))))*INDEX('Methodology &amp; Sources'!$B$29:$J$36,0,IF('Inputs 2'!$C$12="MFJ",1,IF('Inputs 2'!$C$12="HoH",7,4))+2)),SUMPRODUCT(($AH23&gt;=INDEX('Methodology &amp; Sources'!$B$19:$J$26,0,IF('Inputs 2'!$C$12="MFJ",1,IF('Inputs 2'!$C$12="HoH",7,4))))*INDEX('Methodology &amp; Sources'!$B$19:$J$26,0,IF('Inputs 2'!$C$12="MFJ",1,IF('Inputs 2'!$C$12="HoH",7,4))+2)))),IF($AN23="MI",IF($AY23&gt;5900*$AS23,0.0425,0),""))))</f>
      </c>
      <c r="CA23" s="24">
        <f>IF($B23="","",IF($AN23="AL",IF(OR($AU23="Married",$AU23="Head of household"),SUMPRODUCT(($AZ23&gt;=INDEX('Methodology &amp; Sources'!$B$82:$J$86,0,4))*INDEX('Methodology &amp; Sources'!$B$82:$J$86,0,4+2)),SUMPRODUCT(($AZ23&gt;=INDEX('Methodology &amp; Sources'!$B$82:$J$86,0,1))*INDEX('Methodology &amp; Sources'!$B$82:$J$86,0,1+2)))*(1-IF('Inputs 2'!$C$13,SUMPRODUCT(($AH23&gt;=INDEX('Methodology &amp; Sources'!$B$29:$J$36,0,IF('Inputs 2'!$C$12="MFJ",1,IF('Inputs 2'!$C$12="HoH",7,4))))*INDEX('Methodology &amp; Sources'!$B$29:$J$36,0,IF('Inputs 2'!$C$12="MFJ",1,IF('Inputs 2'!$C$12="HoH",7,4))+2)),SUMPRODUCT(($AH23&gt;=INDEX('Methodology &amp; Sources'!$B$19:$J$26,0,IF('Inputs 2'!$C$12="MFJ",1,IF('Inputs 2'!$C$12="HoH",7,4))))*INDEX('Methodology &amp; Sources'!$B$19:$J$26,0,IF('Inputs 2'!$C$12="MFJ",1,IF('Inputs 2'!$C$12="HoH",7,4))+2)))),IF($AN23="KS",IF($AU23="Married",SUMPRODUCT(($AZ23&gt;=INDEX('Methodology &amp; Sources'!$B$103:$J$109,0,4))*INDEX('Methodology &amp; Sources'!$B$103:$J$109,0,4+2)),SUMPRODUCT(($AZ23&gt;=INDEX('Methodology &amp; Sources'!$B$103:$J$109,0,1))*INDEX('Methodology &amp; Sources'!$B$103:$J$109,0,1+2))),IF($AN23="MD",IF(OR($AU23="Married",$AU23="Head of household"),SUMPRODUCT(($AZ23&gt;=INDEX('Methodology &amp; Sources'!$B$114:$J$120,0,1))*INDEX('Methodology &amp; Sources'!$B$114:$J$120,0,1+2)),SUMPRODUCT(($AZ23&gt;=INDEX('Methodology &amp; Sources'!$B$103:$J$109,0,7))*INDEX('Methodology &amp; Sources'!$B$103:$J$109,0,7+2)))+'Inputs 2'!$C$74,IF($AN23="MT",IF($AU23="Head of household",SUMPRODUCT(($AZ23&gt;=INDEX('Methodology &amp; Sources'!$B$137:$J$139,0,1))*INDEX('Methodology &amp; Sources'!$B$137:$J$139,0,1+2)),IF($AU23="Married",SUMPRODUCT(($AZ23&gt;=INDEX('Methodology &amp; Sources'!$B$125:$J$132,0,7))*INDEX('Methodology &amp; Sources'!$B$125:$J$132,0,7+2)),SUMPRODUCT(($AZ23&gt;=INDEX('Methodology &amp; Sources'!$B$125:$J$132,0,4))*INDEX('Methodology &amp; Sources'!$B$125:$J$132,0,4+2)))),IF($AN23="ND",IF($AU23="Head of household",SUMPRODUCT(($AZ23&gt;=INDEX('Methodology &amp; Sources'!$B$144:$J$150,0,1))*INDEX('Methodology &amp; Sources'!$B$144:$J$150,0,1+2)),IF($AU23="Married",SUMPRODUCT(($AZ23&gt;=INDEX('Methodology &amp; Sources'!$B$137:$J$139,0,7))*INDEX('Methodology &amp; Sources'!$B$137:$J$139,0,7+2)),SUMPRODUCT(($AZ23&gt;=INDEX('Methodology &amp; Sources'!$B$137:$J$139,0,4))*INDEX('Methodology &amp; Sources'!$B$137:$J$139,0,4+2)))),IF($AN23="NY",IF($AU23="Married",IF($AZ23&gt;=2155350,IF($AZ23&gt;25000000,0.117,IF($AZ23&gt;5000000,0.111,0.1045)),SUMPRODUCT(($AZ23&gt;=INDEX('Methodology &amp; Sources'!$B$184:$J$198,0,1))*INDEX('Methodology &amp; Sources'!$B$184:$J$198,0,1+2))),IF($AZ23&gt;=1077550,IF($AZ23&gt;25000000,0.117,IF($AZ23&gt;5000000,0.111,0.1045)),SUMPRODUCT(($AZ23&gt;=INDEX('Methodology &amp; Sources'!$B$167:$J$179,0,7))*INDEX('Methodology &amp; Sources'!$B$167:$J$179,0,7+2)))),"")))))))</f>
      </c>
      <c r="CB23" s="24">
        <f>IF($B23="","",IF($AN23="CA",SUMPRODUCT(($AJ23&gt;=INDEX('Methodology &amp; Sources'!$B$39:$J$48,0,IF($AU23="Married",4,IF($AU23="Head of household",7,1))))*INDEX('Methodology &amp; Sources'!$B$39:$J$48,0,IF($AU23="Married",4,IF($AU23="Head of household",7,1))+2)),IF($AN23="HI",IF($AU23="Married",SUMPRODUCT(($AZ23&gt;=INDEX('Methodology &amp; Sources'!$B$91:$J$98,0,7))*INDEX('Methodology &amp; Sources'!$B$91:$J$98,0,7+2)),SUMPRODUCT(($AZ23&gt;=INDEX('Methodology &amp; Sources'!$B$91:$J$98,0,4))*INDEX('Methodology &amp; Sources'!$B$91:$J$98,0,4+2))),IF($AN23="MN",IF($AU23="Married",SUMPRODUCT(($AZ23&gt;=INDEX('Methodology &amp; Sources'!$B$114:$J$120,0,7))*INDEX('Methodology &amp; Sources'!$B$114:$J$120,0,7+2)),SUMPRODUCT(($AZ23&gt;=INDEX('Methodology &amp; Sources'!$B$114:$J$120,0,4))*INDEX('Methodology &amp; Sources'!$B$114:$J$120,0,4+2))),IF($AN23="MO",SUMPRODUCT(($AZ23&gt;=INDEX('Methodology &amp; Sources'!$B$125:$J$132,0,1))*INDEX('Methodology &amp; Sources'!$B$125:$J$132,0,1+2)),IF($AN23="NE",MAX(IF($AU23="Married",SUMPRODUCT(($AZ23&gt;=INDEX('Methodology &amp; Sources'!$B$144:$J$150,0,7))*INDEX('Methodology &amp; Sources'!$B$144:$J$150,0,7+2)),SUMPRODUCT(($AZ23&gt;=INDEX('Methodology &amp; Sources'!$B$144:$J$150,0,4))*INDEX('Methodology &amp; Sources'!$B$144:$J$150,0,4+2))),0.015),IF($AN23="OH",IF($B23&gt;=DATE(2027,8,1),SUMPRODUCT(($AZ23&gt;=INDEX('Methodology &amp; Sources'!$B$203:$J$206,0,1))*INDEX('Methodology &amp; Sources'!$B$203:$J$206,0,1+2)),SUMPRODUCT(($AZ23&gt;=INDEX('Methodology &amp; Sources'!$B$184:$J$198,0,7))*INDEX('Methodology &amp; Sources'!$B$184:$J$198,0,7+2))),IF($AN23="OK",IF($AU23="Married",SUMPRODUCT(($AZ23&gt;=INDEX('Methodology &amp; Sources'!$B$203:$J$206,0,7))*INDEX('Methodology &amp; Sources'!$B$203:$J$206,0,7+2)),SUMPRODUCT(($AZ23&gt;=INDEX('Methodology &amp; Sources'!$B$203:$J$206,0,4))*INDEX('Methodology &amp; Sources'!$B$203:$J$206,0,4+2))),IF($AN23="RI",SUMPRODUCT(($AZ23&gt;=INDEX('Methodology &amp; Sources'!$B$211:$J$214,0,7))*INDEX('Methodology &amp; Sources'!$B$211:$J$214,0,7+2)),IF($AN23="SC",SUMPRODUCT(($AZ23&gt;=INDEX('Methodology &amp; Sources'!$B$219:$J$223,0,1))*INDEX('Methodology &amp; Sources'!$B$219:$J$223,0,1+2)),IF($AN23="VT",IF($AU23="Married",SUMPRODUCT(($AZ23&gt;=INDEX('Methodology &amp; Sources'!$B$228:$J$232,0,1))*INDEX('Methodology &amp; Sources'!$B$228:$J$232,0,1+2)),SUMPRODUCT(($AZ23&gt;=INDEX('Methodology &amp; Sources'!$B$219:$J$223,0,7))*INDEX('Methodology &amp; Sources'!$B$219:$J$223,0,7+2))),IF($AN23="WV",IF($AU23="Married",SUMPRODUCT(($AZ23&gt;=INDEX('Methodology &amp; Sources'!$B$237:$J$241,0,7))*INDEX('Methodology &amp; Sources'!$B$237:$J$241,0,7+2)),SUMPRODUCT(($AZ23&gt;=INDEX('Methodology &amp; Sources'!$B$228:$J$232,0,7))*INDEX('Methodology &amp; Sources'!$B$228:$J$232,0,7+2))),IF($AN23="IN",(0.0295+'Inputs 2'!$C$76),"")))))))))))))</f>
      </c>
      <c r="CC23" s="24">
        <f>IF($B23="","",IF($AN23="AR",SUMPRODUCT(($AZ23&gt;=INDEX('Methodology &amp; Sources'!$B$82:$J$86,0,7))*INDEX('Methodology &amp; Sources'!$B$82:$J$86,0,7+2)),IF($AN23="DE",SUMPRODUCT(($AZ23&gt;=INDEX('Methodology &amp; Sources'!$B$91:$J$98,0,1))*INDEX('Methodology &amp; Sources'!$B$91:$J$98,0,1+2)),IF($AN23="VA",SUMPRODUCT(($AZ23&gt;=INDEX('Methodology &amp; Sources'!$B$219:$J$223,0,4))*INDEX('Methodology &amp; Sources'!$B$219:$J$223,0,4+2)),IF($AN23="WI",SUMPRODUCT(($AZ23&gt;=INDEX('Methodology &amp; Sources'!$B$228:$J$232,0,4))*INDEX('Methodology &amp; Sources'!$B$228:$J$232,0,4+2)),IF($AN23="AZ",'Inputs 2'!$C$82,IF($AN23="CO",IF($AY23&gt;IF($AU23="Married",10000,5000),0.044,0),IF($AN23="IA",IF($AY23&gt;IF($AU23="Head of household",19500,IF($AU23="Married",26000,13000)),0.038,0),IF($AN23="ID",IF($AY23&gt;IF($AU23="Married",32000,16094),0.053,0),IF($AN23="IL",IF($AY23&gt;(2925*$AS23+1000*$AT23),0.0495,0),IF($AN23="KY",IF($AI23&gt;3360,0.035,0),IF($AN23="LA",0.0309,IF($AN23="MA",IF(MAX(0,$AY23-MIN(($BD22+$Q23+$R23+$S23),2000)-IF($AS23=0,0,IF($AS23=1,4400,1000*$AS23+3400)))&gt;=1107750,0.09,0.05),IF($AN23="MS",IF($AI23-IF($AU23="Head of household",3400,IF($AU23="Married",4600,2300))-'Inputs 2'!$C$85&gt;10000,0.04,0),IF($AN23="PA",0.0307,"")))))))))))))))</f>
      </c>
      <c r="CD23" s="21">
        <f>IF(YEAR(IF('Inputs 2'!$C$7="Weekly",'Inputs 2'!$C$9+7*(($BE22+1)-1),IF('Inputs 2'!$C$7="Biweekly",'Inputs 2'!$C$9+14*(($BE22+1)-1),IF('Inputs 2'!$C$7="Semimonthly",DATE(YEAR('Inputs 2'!$C$9),MONTH('Inputs 2'!$C$9)+INT((($BE22+1)-1)/2),MIN(DAY('Inputs 2'!$C$9),DAY(EOMONTH(DATE(YEAR('Inputs 2'!$C$9),MONTH('Inputs 2'!$C$9)+INT((($BE22+1)-1)/2),1),0))))+IF(MOD(($BE22+1)-1,2)=1,15,0),EDATE('Inputs 2'!$C$9,($BE22+1)-1)))))&lt;&gt;'Inputs 2'!$C$10,"",IF('Inputs 2'!$C$7="Weekly",'Inputs 2'!$C$9+7*(($BE22+1)-1),IF('Inputs 2'!$C$7="Biweekly",'Inputs 2'!$C$9+14*(($BE22+1)-1),IF('Inputs 2'!$C$7="Semimonthly",DATE(YEAR('Inputs 2'!$C$9),MONTH('Inputs 2'!$C$9)+INT((($BE22+1)-1)/2),MIN(DAY('Inputs 2'!$C$9),DAY(EOMONTH(DATE(YEAR('Inputs 2'!$C$9),MONTH('Inputs 2'!$C$9)+INT((($BE22+1)-1)/2),1),0))))+IF(MOD(($BE22+1)-1,2)=1,15,0),EDATE('Inputs 2'!$C$9,($BE22+1)-1)))))</f>
      </c>
      <c r="CE23" s="21">
        <f>IF(SUMPRODUCT(MIN(IF(('Inputs 2'!$C$58:$C$67&gt;MAX($B$6:$B22))*('Inputs 2'!$C$58:$C$67&gt;=DATE('Inputs 2'!$C$10,1,1))*('Inputs 2'!$C$58:$C$67&lt;=DATE('Inputs 2'!$C$10,12,31)),'Inputs 2'!$C$58:$C$67,999999)))=999999,"",SUMPRODUCT(MIN(IF(('Inputs 2'!$C$58:$C$67&gt;MAX($B$6:$B22))*('Inputs 2'!$C$58:$C$67&gt;=DATE('Inputs 2'!$C$10,1,1))*('Inputs 2'!$C$58:$C$67&lt;=DATE('Inputs 2'!$C$10,12,31)),'Inputs 2'!$C$58:$C$67,999999))))</f>
      </c>
    </row>
    <row r="24">
      <c r="A24" t="n">
        <v>19</v>
      </c>
      <c r="B24" s="21">
        <f>IF(AND($CD24="",$CE24=""),"",IF($CE24="",$CD24,IF($CD24="",$CE24,MIN($CD24,$CE24))))</f>
      </c>
      <c r="C24" s="7">
        <f>IF($B24="","",IF($BF24=0,0,IF('Inputs 2'!$C$4="Annual salary",ROUND($AK24/IF(AND('Inputs 2'!$C$88="Actual paydays",MONTH('Inputs 2'!$C$9)=1),MAX(1,MAX($BE$6:$BE$68)),'Inputs 2'!$C$8),2),$AK24)))</f>
      </c>
      <c r="D24" s="7">
        <f>IF($B24="","",SUMIF('Inputs 2'!$C$58:$C$67,$B24,'Inputs 2'!$D$58:$D$67))</f>
      </c>
      <c r="E24" s="7">
        <f>IF($B24="","",ROUND(MAX(0,MIN(IF($AL24="Percent",$AM24*($C24+$D24),$AM24),MAX(0,'Inputs 2'!$C$34-$AC23))),2))</f>
      </c>
      <c r="F24" s="7">
        <f>IF($B24="","",ROUND(MAX(0,MIN(IF('Inputs 2'!$C$32="Percent",'Inputs 2'!$D$32*($C24+$D24),'Inputs 2'!$D$32),MAX(0,'Inputs 2'!$C$34-$AC23-$E24))),2))</f>
      </c>
      <c r="G24" s="7">
        <f>IF($B24="","",IF($BF24=0,0,ROUND(MAX(0,MIN($BL24,'Inputs 2'!$C$37-'Inputs 2'!$C$54-$BI23)),2)))</f>
      </c>
      <c r="H24" s="7">
        <f>IF($B24="","",IF(OR($BF24=0,$BQ24=1),0,ROUND(MAX(0,MIN(IF($BS24=1,ROUND(MAX(0,MIN($BJ24,'Methodology &amp; Sources'!$C$13)-$BG23)/MAX(1,MAX($BE$6:$BE$68)-($BE23)),2),ROUND(MIN($BJ24,'Methodology &amp; Sources'!$C$13)/'Inputs 2'!$C$8,2)),MIN($BJ24,'Methodology &amp; Sources'!$C$13)-$BG23)),2)))</f>
      </c>
      <c r="I24" s="7">
        <f>IF($B24="","",IF(OR($BF24=0,$BR24=1),0,ROUND(MAX(0,MIN(IF($BT24=1,ROUND(MAX(0,MIN($BK24,IF('Inputs 2'!$C$12="MFJ",'Methodology &amp; Sources'!$C$14,'Methodology &amp; Sources'!$C$15))-$BH23)/MAX(1,MAX($BE$6:$BE$68)-($BE23)),2),ROUND(MIN($BK24,IF('Inputs 2'!$C$12="MFJ",'Methodology &amp; Sources'!$C$14,'Methodology &amp; Sources'!$C$15))/'Inputs 2'!$C$8,2)),MIN($BK24,IF('Inputs 2'!$C$12="MFJ",'Methodology &amp; Sources'!$C$14,'Methodology &amp; Sources'!$C$15))-$BH23)),2)))</f>
      </c>
      <c r="J24" s="7">
        <f>IF($B24="","",IF($BF24=0,0,$BM24))</f>
      </c>
      <c r="K24" s="7">
        <f>IF($B24="","",IF($BF24=0,0,$BN24+$BO24))</f>
      </c>
      <c r="L24" s="7">
        <f>IF($B24="","",IF($BF24=0,0,'Inputs 2'!$D$46))</f>
      </c>
      <c r="M24" s="7">
        <f>IF($B24="","",$C24+$D24+$L24-$E24-$G24-$H24-$I24-$J24-$K24)</f>
      </c>
      <c r="N24" s="7">
        <f>IF($B24="","",$C24+$D24+$L24-$G24-$H24-$I24-$J24-$K24)</f>
      </c>
      <c r="O24" s="7">
        <f>IF($B24="","",$C24+$D24+$L24-$E24-$H24-$I24-$J24-$K24-IF(OR($AN24="CA",$AN24="NJ"),0,$G24))</f>
      </c>
      <c r="P24" s="7">
        <f>IF($B24="","",IF('Inputs 2'!$C$18,0,ROUND(MAX(0,IF('Inputs 2'!$C$13,SUMPRODUCT(($AH24&gt;INDEX('Methodology &amp; Sources'!$B$29:$J$36,0,IF('Inputs 2'!$C$12="MFJ",1,IF('Inputs 2'!$C$12="HoH",7,4))))*($AH24-INDEX('Methodology &amp; Sources'!$B$29:$J$36,0,IF('Inputs 2'!$C$12="MFJ",1,IF('Inputs 2'!$C$12="HoH",7,4))))*INDEX('Methodology &amp; Sources'!$B$29:$J$36,0,IF('Inputs 2'!$C$12="MFJ",1,IF('Inputs 2'!$C$12="HoH",7,4))+2)),SUMPRODUCT(($AH24&gt;INDEX('Methodology &amp; Sources'!$B$19:$J$26,0,IF('Inputs 2'!$C$12="MFJ",1,IF('Inputs 2'!$C$12="HoH",7,4))))*($AH24-INDEX('Methodology &amp; Sources'!$B$19:$J$26,0,IF('Inputs 2'!$C$12="MFJ",1,IF('Inputs 2'!$C$12="HoH",7,4))))*INDEX('Methodology &amp; Sources'!$B$19:$J$26,0,IF('Inputs 2'!$C$12="MFJ",1,IF('Inputs 2'!$C$12="HoH",7,4))+2)))/'Inputs 2'!$C$8-$AO24/'Inputs 2'!$C$8)+$AR24+IF('Inputs 2'!$C$89="Aggregate",MAX(0,IF('Inputs 2'!$C$13,SUMPRODUCT((($AH24+$D24)&gt;INDEX('Methodology &amp; Sources'!$B$29:$J$36,0,IF('Inputs 2'!$C$12="MFJ",1,IF('Inputs 2'!$C$12="HoH",7,4))))*(($AH24+$D24)-INDEX('Methodology &amp; Sources'!$B$29:$J$36,0,IF('Inputs 2'!$C$12="MFJ",1,IF('Inputs 2'!$C$12="HoH",7,4))))*INDEX('Methodology &amp; Sources'!$B$29:$J$36,0,IF('Inputs 2'!$C$12="MFJ",1,IF('Inputs 2'!$C$12="HoH",7,4))+2)),SUMPRODUCT((($AH24+$D24)&gt;INDEX('Methodology &amp; Sources'!$B$19:$J$26,0,IF('Inputs 2'!$C$12="MFJ",1,IF('Inputs 2'!$C$12="HoH",7,4))))*(($AH24+$D24)-INDEX('Methodology &amp; Sources'!$B$19:$J$26,0,IF('Inputs 2'!$C$12="MFJ",1,IF('Inputs 2'!$C$12="HoH",7,4))))*INDEX('Methodology &amp; Sources'!$B$19:$J$26,0,IF('Inputs 2'!$C$12="MFJ",1,IF('Inputs 2'!$C$12="HoH",7,4))+2)))-IF('Inputs 2'!$C$13,SUMPRODUCT(($AH24&gt;INDEX('Methodology &amp; Sources'!$B$29:$J$36,0,IF('Inputs 2'!$C$12="MFJ",1,IF('Inputs 2'!$C$12="HoH",7,4))))*($AH24-INDEX('Methodology &amp; Sources'!$B$29:$J$36,0,IF('Inputs 2'!$C$12="MFJ",1,IF('Inputs 2'!$C$12="HoH",7,4))))*INDEX('Methodology &amp; Sources'!$B$29:$J$36,0,IF('Inputs 2'!$C$12="MFJ",1,IF('Inputs 2'!$C$12="HoH",7,4))+2)),SUMPRODUCT(($AH24&gt;INDEX('Methodology &amp; Sources'!$B$19:$J$26,0,IF('Inputs 2'!$C$12="MFJ",1,IF('Inputs 2'!$C$12="HoH",7,4))))*($AH24-INDEX('Methodology &amp; Sources'!$B$19:$J$26,0,IF('Inputs 2'!$C$12="MFJ",1,IF('Inputs 2'!$C$12="HoH",7,4))))*INDEX('Methodology &amp; Sources'!$B$19:$J$26,0,IF('Inputs 2'!$C$12="MFJ",1,IF('Inputs 2'!$C$12="HoH",7,4))+2)))),'Methodology &amp; Sources'!$C$10*$D24),2)))</f>
      </c>
      <c r="Q24" s="7">
        <f>IF($B24="","",ROUND('Methodology &amp; Sources'!$C$4*MIN($N24,MAX(0,'Methodology &amp; Sources'!$C$3-($AX24+$AB23-$AW24))),2))</f>
      </c>
      <c r="R24" s="7">
        <f>IF($B24="","",ROUND('Methodology &amp; Sources'!$C$5*$N24,2))</f>
      </c>
      <c r="S24" s="7">
        <f>IF($B24="","",ROUND('Methodology &amp; Sources'!$C$6*MAX(0,MIN($N24,$AG23+$N24-'Methodology &amp; Sources'!$C$7)),2))</f>
      </c>
      <c r="T24" s="7">
        <f>IF($B24="","",IF('Inputs 2'!$C$26,0,IF($AN24="CA",ROUND(IF($AI24&lt;=IF(($AS24+$AT24)&gt;=2,VLOOKUP($AN24,StateTables!$A$6:$AB$56,10,FALSE),VLOOKUP($AN24,StateTables!$A$6:$AB$56,9,FALSE)),0,MAX(0,SUMPRODUCT(($AJ24&gt;INDEX('Methodology &amp; Sources'!$B$39:$J$48,0,IF($AU24="Married",4,IF($AU24="Head of household",7,1))))*($AJ24-INDEX('Methodology &amp; Sources'!$B$39:$J$48,0,IF($AU24="Married",4,IF($AU24="Head of household",7,1))))*INDEX('Methodology &amp; Sources'!$B$39:$J$48,0,IF($AU24="Married",4,IF($AU24="Head of household",7,1))+2))-VLOOKUP($AN24,StateTables!$A$6:$AB$56,11,FALSE)*$AS24)/'Inputs 2'!$C$8)+'Inputs 2'!$C$25+VLOOKUP($AN24,StateTables!$A$6:$AB$56,13,FALSE)*$D24,2),IF(VLOOKUP($AN24,StateTables!$A$6:$AB$56,4,FALSE)="None",0,IF(ISNUMBER(SEARCH("MANUAL",VLOOKUP($AN24,StateTables!$A$6:$AB$56,5,FALSE))),'Inputs 2'!$C$28,ROUND(MAX(0,$BA24+$BB24)/'Inputs 2'!$C$8+'Inputs 2'!$C$25+$BC24,2))))))</f>
      </c>
      <c r="U24" s="7">
        <f>IF($B24="","",IF(VLOOKUP($AN24,StateTables!$A$6:$AB$56,24,FALSE)="flatq",IF(OR(MONTH($B24)=1,MONTH($B24)=4,MONTH($B24)=7,MONTH($B24)=10),VLOOKUP($AN24,StateTables!$A$6:$AB$56,25,FALSE),0),IF(VLOOKUP($AN24,StateTables!$A$6:$AB$56,24,FALSE)="dbl",MIN(ROUND(0.005*$N24,2),ROUND(0.6*52/'Inputs 2'!$C$8,2)),IF(OR(VLOOKUP($AN24,StateTables!$A$6:$AB$56,15,FALSE)="",VLOOKUP($AN24,StateTables!$A$6:$AB$56,15,FALSE)=0),0,ROUND(VLOOKUP($AN24,StateTables!$A$6:$AB$56,15,FALSE)*IF(OR(VLOOKUP($AN24,StateTables!$A$6:$AB$56,16,FALSE)="",VLOOKUP($AN24,StateTables!$A$6:$AB$56,16,FALSE)=0),$N24,MIN($N24,MAX(0,VLOOKUP($AN24,StateTables!$A$6:$AB$56,16,FALSE)-($AX24+$AB23-$AW24)))),2))))+IF(VLOOKUP($AN24,StateTables!$A$6:$AB$56,27,FALSE)="flatq",IF(OR(MONTH($B24)=1,MONTH($B24)=4,MONTH($B24)=7,MONTH($B24)=10),VLOOKUP($AN24,StateTables!$A$6:$AB$56,28,FALSE),0),IF(VLOOKUP($AN24,StateTables!$A$6:$AB$56,27,FALSE)="dbl",MIN(ROUND(0.005*$N24,2),ROUND(0.6*52/'Inputs 2'!$C$8,2)),IF(OR(VLOOKUP($AN24,StateTables!$A$6:$AB$56,18,FALSE)="",VLOOKUP($AN24,StateTables!$A$6:$AB$56,18,FALSE)=0),0,ROUND(VLOOKUP($AN24,StateTables!$A$6:$AB$56,18,FALSE)*IF(OR(VLOOKUP($AN24,StateTables!$A$6:$AB$56,19,FALSE)="",VLOOKUP($AN24,StateTables!$A$6:$AB$56,19,FALSE)=0),$N24,MIN($N24,MAX(0,VLOOKUP($AN24,StateTables!$A$6:$AB$56,19,FALSE)-($AX24+$AB23-$AW24)))),2)))))</f>
      </c>
      <c r="V24" s="7">
        <f>IF($B24="","",IF($AN24="NY",IF('Inputs 2'!$C$78,ROUND(SUMPRODUCT((MAX(0,($O24-$D24)*'Inputs 2'!$C$8-(IF($AU24="Married",5500,5000)+1000*$AS24))&gt;INDEX('Methodology &amp; Sources'!$B$184:$J$198,0,4))*(MAX(0,($O24-$D24)*'Inputs 2'!$C$8-(IF($AU24="Married",5500,5000)+1000*$AS24))-INDEX('Methodology &amp; Sources'!$B$184:$J$198,0,4))*INDEX('Methodology &amp; Sources'!$B$184:$J$198,0,4+2))/'Inputs 2'!$C$8+0.0425*$D24,2),0)+IF('Inputs 2'!$C$79="Resident",ROUND(0.1675*$T24,2),IF('Inputs 2'!$C$79="Nonresident",ROUND(0.005*MAX(0,($O24-$D24)-(IF($AU24="Married",7950,7400)+1000*$AS24)/'Inputs 2'!$C$8),2),0)),IF($AN24="PA",IF('Inputs 2'!$C$80="None",'Inputs 2'!$C$27+ROUND('Inputs 2'!$C$81*($C24+$D24),2),ROUND(IF('Inputs 2'!$C$80="Resident",IF($B24&lt;DATE(2027,7,1),0.03735,0.03735),IF($B24&lt;DATE(2027,7,1),0.03425,0.03425))*($C24+$D24),2)),IF($BF24=0,ROUND('Inputs 2'!$C$81*($C24+$D24),2),'Inputs 2'!$C$27+ROUND('Inputs 2'!$C$81*($C24+$D24),2)))))</f>
      </c>
      <c r="W24" s="7">
        <f>IF($B24="","",IF($BF24=0,0,$BP24))</f>
      </c>
      <c r="X24" s="7">
        <f>IF($B24="","",SUM($E24:$K24)+$P24+$Q24+$R24+$S24+$T24+$U24+$V24+$W24)</f>
      </c>
      <c r="Y24" s="22">
        <f>IF($B24="","",$C24+$D24-$X24)</f>
      </c>
      <c r="Z24" s="7">
        <f>IF($B24="","",$Z23+$C24+$D24)</f>
      </c>
      <c r="AA24" s="7">
        <f>IF($B24="","",$AA23+$Y24)</f>
      </c>
      <c r="AB24" s="7">
        <f>IF($B24="","",$AB23+MIN($N24,MAX(0,'Methodology &amp; Sources'!$C$3-($AX24+$AB23-$AW24))))</f>
      </c>
      <c r="AC24" s="7">
        <f>IF($B24="","",$AC23+$E24+$F24)</f>
      </c>
      <c r="AD24" s="3">
        <f>IF($B24="","",IF(AND($AB23&lt;'Methodology &amp; Sources'!$C$3,$AB24&gt;='Methodology &amp; Sources'!$C$3),"★ Social Security maxed on this check — from the next check your net rises by about $"&amp;TEXT(ROUND('Methodology &amp; Sources'!$C$4*$N24,2),"#,##0.00")&amp;". ","")&amp;IF(AND($AC23&lt;'Inputs 2'!$C$34,$AC24&gt;='Inputs 2'!$C$34),"★ 401(k) reaches the $"&amp;TEXT('Inputs 2'!$C$34,"#,##0")&amp;" cap on this check — deferrals stop and net pay rises. ","")&amp;IF(AND($AG23&lt;'Methodology &amp; Sources'!$C$7,$AG24&gt;='Methodology &amp; Sources'!$C$7),"★ Wages pass $200,000 — the 0.9% Additional Medicare Tax starts here. ","")&amp;IF(AND($BJ24&gt;0,$H24&gt;0,$BG23&lt;MIN($BJ24,'Methodology &amp; Sources'!$C$13),$BG23+$H24&gt;=MIN($BJ24,'Methodology &amp; Sources'!$C$13)),"★ Health FSA election is now fully deferred for the year. ",""))</f>
      </c>
      <c r="AE24" s="41" t="n"/>
      <c r="AF24" s="7">
        <f>IF(OR($B24="",$AE24=""),"",$AE24-$Y24)</f>
      </c>
      <c r="AG24" s="7">
        <f>IF($B24="","",$AG23+$N24)</f>
      </c>
      <c r="AH24" s="7">
        <f>IF($B24="","",MAX(0,($M24-$D24)*'Inputs 2'!$C$8+$AP24-$AQ24-IF('Inputs 2'!$C$13,0,IF('Inputs 2'!$C$12="MFJ",'Methodology &amp; Sources'!$C$8,'Methodology &amp; Sources'!$C$9))))</f>
      </c>
      <c r="AI24" s="7">
        <f>IF($B24="","",$O24*'Inputs 2'!$C$8)</f>
      </c>
      <c r="AJ24" s="7">
        <f>IF($B24="","",MAX(0,$AI24-VLOOKUP($AN24,StateTables!$A$6:$AB$56,12,FALSE)*$AT24-IF(($AS24+$AT24)&gt;=2,VLOOKUP($AN24,StateTables!$A$6:$AB$56,8,FALSE),VLOOKUP($AN24,StateTables!$A$6:$AB$56,7,FALSE))))</f>
      </c>
      <c r="AK24" s="7">
        <f>IF($B24="","",IFERROR(LOOKUP(2,1/(('Events 2'!$C$6:$C$17="Salary change")*('Events 2'!$B$6:$B$17&lt;=$B24)*('Events 2'!$B$6:$B$17&lt;&gt;"")),'Events 2'!$D$6:$D$17),IF('Inputs 2'!$C$4="Annual salary",'Inputs 2'!$C$5,'Inputs 2'!$C$6)))</f>
      </c>
      <c r="AL24">
        <f>IF($B24="","",IFERROR(LOOKUP(2,1/(('Events 2'!$C$6:$C$17="401(k) change")*('Events 2'!$B$6:$B$17&lt;=$B24)*('Events 2'!$B$6:$B$17&lt;&gt;"")),'Events 2'!$D$6:$D$17),'Inputs 2'!$C$30))</f>
      </c>
      <c r="AM24" s="7">
        <f>IF($B24="","",IFERROR(LOOKUP(2,1/(('Events 2'!$C$6:$C$17="401(k) change")*('Events 2'!$B$6:$B$17&lt;=$B24)*('Events 2'!$B$6:$B$17&lt;&gt;"")),'Events 2'!$E$6:$E$17),'Inputs 2'!$D$30))</f>
      </c>
      <c r="AN24">
        <f>IF($B24="","",IFERROR(LOOKUP(2,1/(('Events 2'!$C$6:$C$17="State move")*('Events 2'!$B$6:$B$17&lt;=$B24)*('Events 2'!$B$6:$B$17&lt;&gt;"")),'Events 2'!$D$6:$D$17),'Inputs 2'!$C$21))</f>
      </c>
      <c r="AO24" s="7">
        <f>IF($B24="","",IFERROR(LOOKUP(2,1/(('Events 2'!$C$6:$C$17="W-4 change")*('Events 2'!$B$6:$B$17&lt;=$B24)*('Events 2'!$B$6:$B$17&lt;&gt;"")),'Events 2'!$D$6:$D$17),'Inputs 2'!$C$14))</f>
      </c>
      <c r="AP24" s="7">
        <f>IF($B24="","",IFERROR(LOOKUP(2,1/(('Events 2'!$C$6:$C$17="W-4 change")*('Events 2'!$B$6:$B$17&lt;=$B24)*('Events 2'!$B$6:$B$17&lt;&gt;"")),'Events 2'!$E$6:$E$17),'Inputs 2'!$C$15))</f>
      </c>
      <c r="AQ24" s="7">
        <f>IF($B24="","",IFERROR(LOOKUP(2,1/(('Events 2'!$C$6:$C$17="W-4 change")*('Events 2'!$B$6:$B$17&lt;=$B24)*('Events 2'!$B$6:$B$17&lt;&gt;"")),'Events 2'!$F$6:$F$17),'Inputs 2'!$C$16))</f>
      </c>
      <c r="AR24" s="7">
        <f>IF($B24="","",IFERROR(LOOKUP(2,1/(('Events 2'!$C$6:$C$17="W-4 change")*('Events 2'!$B$6:$B$17&lt;=$B24)*('Events 2'!$B$6:$B$17&lt;&gt;"")),'Events 2'!$G$6:$G$17),'Inputs 2'!$C$17))</f>
      </c>
      <c r="AS24" s="6">
        <f>IF($B24="","",IFERROR(LOOKUP(2,1/((('Events 2'!$C$6:$C$17="State move")+('Events 2'!$C$6:$C$17="State cert change"))*('Events 2'!$B$6:$B$17&lt;=$B24)*('Events 2'!$B$6:$B$17&lt;&gt;"")),'Events 2'!$F$6:$F$17),'Inputs 2'!$C$23))</f>
      </c>
      <c r="AT24" s="6">
        <f>IF($B24="","",IFERROR(LOOKUP(2,1/((('Events 2'!$C$6:$C$17="State move")+('Events 2'!$C$6:$C$17="State cert change"))*('Events 2'!$B$6:$B$17&lt;=$B24)*('Events 2'!$B$6:$B$17&lt;&gt;"")),'Events 2'!$G$6:$G$17),'Inputs 2'!$C$24))</f>
      </c>
      <c r="AU24">
        <f>IF($B24="","",IFERROR(LOOKUP(2,1/(('Events 2'!$C$6:$C$17="State move")*('Events 2'!$B$6:$B$17&lt;=$B24)*('Events 2'!$B$6:$B$17&lt;&gt;"")),'Events 2'!$E$6:$E$17),'Inputs 2'!$C$22))</f>
      </c>
      <c r="AV24" s="6">
        <f>IF($B24="","",1+COUNTIFS('Events 2'!$C$6:$C$17,"Employer change",'Events 2'!$B$6:$B$17,"&lt;="&amp;$B24,'Events 2'!$B$6:$B$17,"&lt;&gt;"))</f>
      </c>
      <c r="AW24" s="7">
        <f>IF($B24="","",IF($AV24=1,'Inputs 2'!$C$49,IF(IFERROR(MATCH(IFERROR(LOOKUP(2,1/(('Events 2'!$C$6:$C$17="Employer change")*('Events 2'!$B$6:$B$17&lt;=$B24)*('Events 2'!$B$6:$B$17&lt;&gt;"")),'Events 2'!$B$6:$B$17),""),$B$6:$B$68,1),1)&lt;=1,'Inputs 2'!$C$49,INDEX($AB$6:$AB$68,MATCH(IFERROR(LOOKUP(2,1/(('Events 2'!$C$6:$C$17="Employer change")*('Events 2'!$B$6:$B$17&lt;=$B24)*('Events 2'!$B$6:$B$17&lt;&gt;"")),'Events 2'!$B$6:$B$17),""),$B$6:$B$68,1)-1))))</f>
      </c>
      <c r="AX24" s="7">
        <f>IF($B24="","",IF($AV24=1,'Inputs 2'!$C$49,IFERROR(LOOKUP(2,1/(('Events 2'!$C$6:$C$17="Employer change")*('Events 2'!$B$6:$B$17&lt;=$B24)*('Events 2'!$B$6:$B$17&lt;&gt;"")),'Events 2'!$D$6:$D$17),0)))</f>
      </c>
      <c r="AY24" s="7">
        <f>IF($B24="","",($O24-$D24)*'Inputs 2'!$C$8)</f>
      </c>
      <c r="AZ24" s="7">
        <f>IF($B24="","",IF($AN24="AL",MAX(0,$AY24-IF($AU24="Married",IF($AY24&lt;=25999,8500,MAX(5000,8500-175*CEILING(($AY24-25999)/500,1))),IF($AU24="Head of household",IF($AY24&lt;=25999,5200,MAX(2500,5200-135*CEILING(($AY24-25999)/500,1))),IF($AY24&lt;=25999,3000,MAX(2500,3000-25*CEILING(($AY24-25999)/500,1)))))-($P24-'Methodology &amp; Sources'!$C$10*$D24)*'Inputs 2'!$C$8-IF(OR($AU24="Married",$AU24="Head of household"),3000,1500)-$AT24*IF($AY24&lt;=50000,1000,IF($AY24&lt;=100000,500,300))),IF($AN24="AR",IF(MAX(0,$AY24-2470)&lt;97701,INT(MAX(0,$AY24-2470)/100)*100+50,MAX(0,$AY24-2470)),IF($AN24="DE",MAX(0,$AI24-3250),IF($AN24="HI",MAX(0,$AI24-1144*$AS24-4350),IF($AN24="KS",MAX(0,$AI24-(9160*IF($AU24="Married",2,1)+2320*$AT24+IF($AU24="Head of household",2320,0))),IF($AN24="MD",MAX(0,$AI24-3400-3200*$AS24),IF($AN24="MN",MAX(0,$AY24-5300*$AS24),IF($AN24="MO",MAX(0,$AI24-IF($AU24="Head of household",24150,IF($AU24="Married",IF('Inputs 2'!$C$83,16100,32200),16100))),IF($AN24="MT",$AY24,IF($AN24="ND",($C24+$L24)*'Inputs 2'!$C$8,IF($AN24="NE",MAX(0,$AY24-2440*$AS24),IF($AN24="NJ",MAX(0,$AY24-1000*$AS24),IF($AN24="NY",MAX(0,$AY24-(IF($AU24="Married",7950,7400)+1000*$AS24)),IF($AN24="OH",MAX(0,$AY24-650*$AS24),IF($AN24="OK",MAX(0,$AY24-1000*$AS24),IF($AN24="RI",MAX(0,$AI24-1000*$AS24),IF($AN24="SC",MAX(0,$AI24-5000*$AS24-IF($AS24=0,0,MIN(0.1*$AI24,7500))),IF($AN24="VA",MAX(0,$AI24-IF($AU24="Married",17500,8750)-930*$AS24-800*$AT24),IF($AN24="VT",MAX(0,$AI24-5400*$AS24),IF($AN24="WI",MAX(0,$AI24-MAX(0,IF($AU24="Married",9461-0.2*MAX(0,$AI24-25727),6702-0.12*MAX(0,$AI24-17780)))-400*$AS24),IF($AN24="WV",MAX(0,$AI24-2000*$AS24),$AI24))))))))))))))))))))))</f>
      </c>
      <c r="BA24" s="7">
        <f>IF($B24="","",IF($BW24&lt;&gt;"",$BW24,IF($BX24&lt;&gt;"",$BX24,IF($BY24&lt;&gt;"",$BY24,0))))</f>
      </c>
      <c r="BB24" s="7">
        <f>IF($B24="","",IF($AN24="AR",-29*$AS24,IF($AN24="DE",-110*$AS24,IF($AN24="MD",$AZ24*'Inputs 2'!$C$74,IF($AN24="AZ",'Inputs 2'!$C$82*($M24-$D24)*'Inputs 2'!$C$8,IF($AN24="CO",0.044*MAX(0,$AY24-IF($AU24="Married",10000,5000)),IF($AN24="IA",MAX(0,0.038*MAX(0,$AY24-IF($AU24="Head of household",19500,IF($AU24="Married",26000,13000)))-40*$AS24),IF($AN24="ID",0.053*MAX(0,$AY24-IF($AU24="Married",32000,16094)),IF($AN24="IL",0.0495*MAX(0,$AY24-(2925*$AS24+1000*$AT24)),IF($AN24="IN",(0.0295+'Inputs 2'!$C$76)*MAX(0,$AY24-(1000*$AS24+1500*$AT24+3000*'Inputs 2'!$C$86)),IF($AN24="KY",0.035*MAX(0,$AI24-3360),IF($AN24="LA",IF('Inputs 2'!$C$84="0",0.0309*$AI24,0.0309*MAX(0,$AI24-IF('Inputs 2'!$C$84="2",25750,12875))),IF($AN24="MA",0.05*MIN(MAX(0,$AY24-MIN(($BD23+$Q24+$R24+$S24),2000)-IF($AS24=0,0,IF($AS24=1,4400,1000*$AS24+3400))),1107750)+0.09*MAX(0,MAX(0,$AY24-MIN(($BD23+$Q24+$R24+$S24),2000)-IF($AS24=0,0,IF($AS24=1,4400,1000*$AS24+3400)))-1107750)-IF($AU24="Head of household",120,0)-110*'Inputs 2'!$C$75,IF($AN24="MI",0.0425*MAX(0,$AY24-5900*$AS24),IF($AN24="MS",0.04*MAX(0,$AI24-IF($AU24="Head of household",3400,IF($AU24="Married",4600,2300))-'Inputs 2'!$C$85-10000),IF($AN24="OR",IF(OR($AU24="Married",AND($AU24="Single",$AS24&gt;=3)),SUMPRODUCT((MAX(0,$AY24-MIN(($P24-'Methodology &amp; Sources'!$C$10*$D24)*'Inputs 2'!$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Sources'!$B$211:$J$214,0,4))*(MAX(0,$AY24-MIN(($P24-'Methodology &amp; Sources'!$C$10*$D24)*'Inputs 2'!$C$8,IF(OR($AU24="Married",AND($AU24="Single",$AS24&gt;=3)),IF($AY24&lt;250000,8750,IF($AY24&lt;260000,7000,IF($AY24&lt;270000,5250,IF($AY24&lt;280000,3500,IF($AY24&lt;290000,1750,0))))),IF($AY24&lt;125000,8750,IF($AY24&lt;130000,7000,IF($AY24&lt;135000,5250,IF($AY24&lt;140000,3500,IF($AY24&lt;145000,1750,0)))))))-IF(OR($AU24="Married",AND($AU24="Single",$AS24&gt;=3)),5820,2910))-INDEX('Methodology &amp; Sources'!$B$211:$J$214,0,4))*INDEX('Methodology &amp; Sources'!$B$211:$J$214,0,4+2)),SUMPRODUCT((MAX(0,$AY24-MIN(($P24-'Methodology &amp; Sources'!$C$10*$D24)*'Inputs 2'!$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Sources'!$B$211:$J$214,0,1))*(MAX(0,$AY24-MIN(($P24-'Methodology &amp; Sources'!$C$10*$D24)*'Inputs 2'!$C$8,IF(OR($AU24="Married",AND($AU24="Single",$AS24&gt;=3)),IF($AY24&lt;250000,8750,IF($AY24&lt;260000,7000,IF($AY24&lt;270000,5250,IF($AY24&lt;280000,3500,IF($AY24&lt;290000,1750,0))))),IF($AY24&lt;125000,8750,IF($AY24&lt;130000,7000,IF($AY24&lt;135000,5250,IF($AY24&lt;140000,3500,IF($AY24&lt;145000,1750,0)))))))-IF(OR($AU24="Married",AND($AU24="Single",$AS24&gt;=3)),5820,2910))-INDEX('Methodology &amp; Sources'!$B$211:$J$214,0,1))*INDEX('Methodology &amp; Sources'!$B$211:$J$214,0,1+2)))+263-263*IF(IF($AU24="Married",$AY24&gt;200000,$AY24&gt;100000),0,$AS24),IF($AN24="PA",0.0307*(($O24+$E24+$G24)*'Inputs 2'!$C$8),IF($AN24="NY",IF($AU24="Married",IF($AZ24&gt;=2155350,0,IF($AZ24&gt;=1077550,0.48,IF($AZ24&gt;=373200,1.21,IF($AZ24&gt;=323200,0.21,IF($AZ24&gt;=211550,-0.19,IF($AZ24&gt;=157650,-2.8,IF($AZ24&gt;=107650,-0.8,IF($AZ24&gt;=96800,0.05,IF($AZ24&gt;=80650,-0.1,IF($AZ24&gt;=13900,0.4,IF($AZ24&gt;=11700,-0.3,IF($AZ24&gt;=8500,0.5,0)))))))))))),IF($AZ24&gt;=1077550,0,IF($AZ24&gt;=265400,4.29,IF($AZ24&gt;=215400,2.29,IF($AZ24&gt;=157650,2.29,IF($AZ24&gt;=107650,0.29,IF($AZ24&gt;=96800,0.05,IF($AZ24&gt;=80650,-0.1,IF($AZ24&gt;=13900,0.4,IF($AZ24&gt;=11700,-0.3,IF($AZ24&gt;=8500,0.5,0))))))))))),0))))))))))))))))))</f>
      </c>
      <c r="BC24" s="7">
        <f>IF($B24="","",IF($AN24="AL",0.05*$D24,IF($AN24="AR",0.039*$D24,IF($AN24="ID",0.053*$D24,IF($AN24="IN",(0.0295+'Inputs 2'!$C$76)*$D24,IF($AN24="KS",0.05*$D24,IF($AN24="MA",0.09*MIN($D24,MAX(0,MAX(0,$AY24-MIN(($BD23+$Q24+$R24+$S24),2000)-IF($AS24=0,0,IF($AS24=1,4400,1000*$AS24+3400)))+$D24-1107750))+0.05*($D24-MIN($D24,MAX(0,MAX(0,$AY24-MIN(($BD23+$Q24+$R24+$S24),2000)-IF($AS24=0,0,IF($AS24=1,4400,1000*$AS24+3400)))+$D24-1107750))),IF($AN24="MD",(0.065+'Inputs 2'!$C$74)*$D24,IF($AN24="MI",0.0425*$D24,IF($AN24="MN",0.0625*$D24,IF($AN24="MO",0.047*$D24,IF($AN24="MT",0.05*$D24,IF($AN24="ND",0.015*$D24,IF($AN24="NE",0.035*$D24,IF($AN24="NJ",IF('Inputs 2'!$C$77="B",SUMPRODUCT(($D24*'Inputs 2'!$C$8&gt;INDEX('Methodology &amp; Sources'!$B$155:$J$162,0,4))*($D24*'Inputs 2'!$C$8-INDEX('Methodology &amp; Sources'!$B$155:$J$162,0,4))*INDEX('Methodology &amp; Sources'!$B$155:$J$162,0,4+2)),IF('Inputs 2'!$C$77="C",SUMPRODUCT(($D24*'Inputs 2'!$C$8&gt;INDEX('Methodology &amp; Sources'!$B$155:$J$162,0,7))*($D24*'Inputs 2'!$C$8-INDEX('Methodology &amp; Sources'!$B$155:$J$162,0,7))*INDEX('Methodology &amp; Sources'!$B$155:$J$162,0,7+2)),IF('Inputs 2'!$C$77="D",SUMPRODUCT(($D24*'Inputs 2'!$C$8&gt;INDEX('Methodology &amp; Sources'!$B$167:$J$179,0,1))*($D24*'Inputs 2'!$C$8-INDEX('Methodology &amp; Sources'!$B$167:$J$179,0,1))*INDEX('Methodology &amp; Sources'!$B$167:$J$179,0,1+2)),IF('Inputs 2'!$C$77="E",SUMPRODUCT(($D24*'Inputs 2'!$C$8&gt;INDEX('Methodology &amp; Sources'!$B$167:$J$179,0,4))*($D24*'Inputs 2'!$C$8-INDEX('Methodology &amp; Sources'!$B$167:$J$179,0,4))*INDEX('Methodology &amp; Sources'!$B$167:$J$179,0,4+2)),SUMPRODUCT(($D24*'Inputs 2'!$C$8&gt;INDEX('Methodology &amp; Sources'!$B$155:$J$162,0,1))*($D24*'Inputs 2'!$C$8-INDEX('Methodology &amp; Sources'!$B$155:$J$162,0,1))*INDEX('Methodology &amp; Sources'!$B$155:$J$162,0,1+2))))))/'Inputs 2'!$C$8,IF($AN24="NY",0.117*$D24,IF($AN24="OH",0.0275*$D24,IF($AN24="OK",0.045*$D24,IF($AN24="OR",0.08*$D24,IF($AN24="WI",IF($AY24&lt;12760,0.0354,IF($AY24&lt;25520,0.0465,IF($AY24&lt;280950,0.053,0.0765)))*$D24,0))))))))))))))))))))</f>
      </c>
      <c r="BD24" s="7">
        <f>IF($B24="","",$BD23+$Q24+$R24+$S24)</f>
      </c>
      <c r="BE24" s="6">
        <f>IF($B24="",$BE23,$BE23+$BF24)</f>
      </c>
      <c r="BF24" s="6">
        <f>IF($B24="","",IF(AND(IF(YEAR(IF('Inputs 2'!$C$7="Weekly",'Inputs 2'!$C$9+7*(($BE23+1)-1),IF('Inputs 2'!$C$7="Biweekly",'Inputs 2'!$C$9+14*(($BE23+1)-1),IF('Inputs 2'!$C$7="Semimonthly",DATE(YEAR('Inputs 2'!$C$9),MONTH('Inputs 2'!$C$9)+INT((($BE23+1)-1)/2),MIN(DAY('Inputs 2'!$C$9),DAY(EOMONTH(DATE(YEAR('Inputs 2'!$C$9),MONTH('Inputs 2'!$C$9)+INT((($BE23+1)-1)/2),1),0))))+IF(MOD(($BE23+1)-1,2)=1,15,0),EDATE('Inputs 2'!$C$9,($BE23+1)-1)))))&lt;&gt;'Inputs 2'!$C$10,"",IF('Inputs 2'!$C$7="Weekly",'Inputs 2'!$C$9+7*(($BE23+1)-1),IF('Inputs 2'!$C$7="Biweekly",'Inputs 2'!$C$9+14*(($BE23+1)-1),IF('Inputs 2'!$C$7="Semimonthly",DATE(YEAR('Inputs 2'!$C$9),MONTH('Inputs 2'!$C$9)+INT((($BE23+1)-1)/2),MIN(DAY('Inputs 2'!$C$9),DAY(EOMONTH(DATE(YEAR('Inputs 2'!$C$9),MONTH('Inputs 2'!$C$9)+INT((($BE23+1)-1)/2),1),0))))+IF(MOD(($BE23+1)-1,2)=1,15,0),EDATE('Inputs 2'!$C$9,($BE23+1)-1)))))&lt;&gt;"",$B24=IF(YEAR(IF('Inputs 2'!$C$7="Weekly",'Inputs 2'!$C$9+7*(($BE23+1)-1),IF('Inputs 2'!$C$7="Biweekly",'Inputs 2'!$C$9+14*(($BE23+1)-1),IF('Inputs 2'!$C$7="Semimonthly",DATE(YEAR('Inputs 2'!$C$9),MONTH('Inputs 2'!$C$9)+INT((($BE23+1)-1)/2),MIN(DAY('Inputs 2'!$C$9),DAY(EOMONTH(DATE(YEAR('Inputs 2'!$C$9),MONTH('Inputs 2'!$C$9)+INT((($BE23+1)-1)/2),1),0))))+IF(MOD(($BE23+1)-1,2)=1,15,0),EDATE('Inputs 2'!$C$9,($BE23+1)-1)))))&lt;&gt;'Inputs 2'!$C$10,"",IF('Inputs 2'!$C$7="Weekly",'Inputs 2'!$C$9+7*(($BE23+1)-1),IF('Inputs 2'!$C$7="Biweekly",'Inputs 2'!$C$9+14*(($BE23+1)-1),IF('Inputs 2'!$C$7="Semimonthly",DATE(YEAR('Inputs 2'!$C$9),MONTH('Inputs 2'!$C$9)+INT((($BE23+1)-1)/2),MIN(DAY('Inputs 2'!$C$9),DAY(EOMONTH(DATE(YEAR('Inputs 2'!$C$9),MONTH('Inputs 2'!$C$9)+INT((($BE23+1)-1)/2),1),0))))+IF(MOD(($BE23+1)-1,2)=1,15,0),EDATE('Inputs 2'!$C$9,($BE23+1)-1)))))),1,0))</f>
      </c>
      <c r="BG24" s="7">
        <f>IF($B24="","",$BG23+$H24)</f>
      </c>
      <c r="BH24" s="7">
        <f>IF($B24="","",$BH23+$I24)</f>
      </c>
      <c r="BI24" s="7">
        <f>IF($B24="","",$BI23+$G24)</f>
      </c>
      <c r="BJ24" s="7">
        <f>IF($B24="","",IFERROR(LOOKUP(2,1/(((('Events 2'!$C$6:$C$17="Deduction start"))*('Events 2'!$D$6:$D$17="Health FSA"))*('Events 2'!$B$6:$B$17&lt;=$B24)*('Events 2'!$B$6:$B$17&lt;&gt;"")),'Events 2'!$E$6:$E$17),'Inputs 2'!$D$38))</f>
      </c>
      <c r="BK24" s="7">
        <f>IF($B24="","",IFERROR(LOOKUP(2,1/(((('Events 2'!$C$6:$C$17="Deduction start"))*('Events 2'!$D$6:$D$17="Dependent-care FSA"))*('Events 2'!$B$6:$B$17&lt;=$B24)*('Events 2'!$B$6:$B$17&lt;&gt;"")),'Events 2'!$E$6:$E$17),'Inputs 2'!$D$39))</f>
      </c>
      <c r="BL24" s="7">
        <f>IF($B24="","",IFERROR(LOOKUP(2,1/(((('Events 2'!$C$6:$C$17="Deduction start")+('Events 2'!$C$6:$C$17="Deduction stop"))*('Events 2'!$D$6:$D$17="HSA"))*('Events 2'!$B$6:$B$17&lt;=$B24)*('Events 2'!$B$6:$B$17&lt;&gt;"")),'Events 2'!$I$6:$I$17),'Inputs 2'!$D$35))</f>
      </c>
      <c r="BM24" s="7">
        <f>IF($B24="","",IFERROR(LOOKUP(2,1/(((('Events 2'!$C$6:$C$17="Deduction start")+('Events 2'!$C$6:$C$17="Deduction stop"))*('Events 2'!$D$6:$D$17="Premiums"))*('Events 2'!$B$6:$B$17&lt;=$B24)*('Events 2'!$B$6:$B$17&lt;&gt;"")),'Events 2'!$I$6:$I$17),'Inputs 2'!$D$40+'Inputs 2'!$D$41+'Inputs 2'!$D$42))</f>
      </c>
      <c r="BN24" s="7">
        <f>IF($B24="","",IFERROR(LOOKUP(2,1/(((('Events 2'!$C$6:$C$17="Deduction start")+('Events 2'!$C$6:$C$17="Deduction stop"))*('Events 2'!$D$6:$D$17="Commuter"))*('Events 2'!$B$6:$B$17&lt;=$B24)*('Events 2'!$B$6:$B$17&lt;&gt;"")),'Events 2'!$I$6:$I$17),'Inputs 2'!$D$43))</f>
      </c>
      <c r="BO24" s="7">
        <f>IF($B24="","",IFERROR(LOOKUP(2,1/(((('Events 2'!$C$6:$C$17="Deduction start")+('Events 2'!$C$6:$C$17="Deduction stop"))*('Events 2'!$D$6:$D$17="Other pre-tax"))*('Events 2'!$B$6:$B$17&lt;=$B24)*('Events 2'!$B$6:$B$17&lt;&gt;"")),'Events 2'!$I$6:$I$17),'Inputs 2'!$D$44))</f>
      </c>
      <c r="BP24" s="7">
        <f>IF($B24="","",IFERROR(LOOKUP(2,1/(((('Events 2'!$C$6:$C$17="Deduction start")+('Events 2'!$C$6:$C$17="Deduction stop"))*('Events 2'!$D$6:$D$17="Other post-tax"))*('Events 2'!$B$6:$B$17&lt;=$B24)*('Events 2'!$B$6:$B$17&lt;&gt;"")),'Events 2'!$I$6:$I$17),'Inputs 2'!$D$45))</f>
      </c>
      <c r="BQ24" s="6">
        <f>IF($B24="","",IFERROR(LOOKUP(2,1/(((('Events 2'!$C$6:$C$17="Deduction start")+('Events 2'!$C$6:$C$17="Deduction stop"))*('Events 2'!$D$6:$D$17="Health FSA"))*('Events 2'!$B$6:$B$17&lt;=$B24)*('Events 2'!$B$6:$B$17&lt;&gt;"")),'Events 2'!$J$6:$J$17),0))</f>
      </c>
      <c r="BR24" s="6">
        <f>IF($B24="","",IFERROR(LOOKUP(2,1/(((('Events 2'!$C$6:$C$17="Deduction start")+('Events 2'!$C$6:$C$17="Deduction stop"))*('Events 2'!$D$6:$D$17="Dependent-care FSA"))*('Events 2'!$B$6:$B$17&lt;=$B24)*('Events 2'!$B$6:$B$17&lt;&gt;"")),'Events 2'!$J$6:$J$17),0))</f>
      </c>
      <c r="BS24" s="6">
        <f>IF($B24="","",IF(SUMPRODUCT(('Events 2'!$C$6:$C$17="Deduction start")*('Events 2'!$B$6:$B$17&lt;=$B24)*('Events 2'!$B$6:$B$17&lt;&gt;"")*('Events 2'!$D$6:$D$17="Health FSA"))&gt;0,1,0))</f>
      </c>
      <c r="BT24" s="6">
        <f>IF($B24="","",IF(SUMPRODUCT(('Events 2'!$C$6:$C$17="Deduction start")*('Events 2'!$B$6:$B$17&lt;=$B24)*('Events 2'!$B$6:$B$17&lt;&gt;"")*('Events 2'!$D$6:$D$17="Dependent-care FSA"))&gt;0,1,0))</f>
      </c>
      <c r="BU24" s="24">
        <f>IF($B24="","",IF('Inputs 2'!$C$13,SUMPRODUCT(($AH24&gt;=INDEX('Methodology &amp; Sources'!$B$29:$J$36,0,IF('Inputs 2'!$C$12="MFJ",1,IF('Inputs 2'!$C$12="HoH",7,4))))*INDEX('Methodology &amp; Sources'!$B$29:$J$36,0,IF('Inputs 2'!$C$12="MFJ",1,IF('Inputs 2'!$C$12="HoH",7,4))+2)),SUMPRODUCT(($AH24&gt;=INDEX('Methodology &amp; Sources'!$B$19:$J$26,0,IF('Inputs 2'!$C$12="MFJ",1,IF('Inputs 2'!$C$12="HoH",7,4))))*INDEX('Methodology &amp; Sources'!$B$19:$J$26,0,IF('Inputs 2'!$C$12="MFJ",1,IF('Inputs 2'!$C$12="HoH",7,4))+2))))</f>
      </c>
      <c r="BV24" s="24">
        <f>IF($B24="","",IF($BZ24&lt;&gt;"",$BZ24,IF($CA24&lt;&gt;"",$CA24,IF($CB24&lt;&gt;"",$CB24,IF($CC24&lt;&gt;"",$CC24,0)))))</f>
      </c>
      <c r="BW24" s="7">
        <f>IF($B24="","",IF($AN24="MD",IF(OR($AU24="Married",$AU24="Head of household"),SUMPRODUCT(($AZ24&gt;INDEX('Methodology &amp; Sources'!$B$114:$J$120,0,1))*($AZ24-INDEX('Methodology &amp; Sources'!$B$114:$J$120,0,1))*INDEX('Methodology &amp; Sources'!$B$114:$J$120,0,1+2)),SUMPRODUCT(($AZ24&gt;INDEX('Methodology &amp; Sources'!$B$103:$J$109,0,7))*($AZ24-INDEX('Methodology &amp; Sources'!$B$103:$J$109,0,7))*INDEX('Methodology &amp; Sources'!$B$103:$J$109,0,7+2))),IF($AN24="MO",SUMPRODUCT(($AZ24&gt;INDEX('Methodology &amp; Sources'!$B$125:$J$132,0,1))*($AZ24-INDEX('Methodology &amp; Sources'!$B$125:$J$132,0,1))*INDEX('Methodology &amp; Sources'!$B$125:$J$132,0,1+2)),IF($AN24="MT",IF($AU24="Head of household",SUMPRODUCT(($AZ24&gt;INDEX('Methodology &amp; Sources'!$B$137:$J$139,0,1))*($AZ24-INDEX('Methodology &amp; Sources'!$B$137:$J$139,0,1))*INDEX('Methodology &amp; Sources'!$B$137:$J$139,0,1+2)),IF($AU24="Married",SUMPRODUCT(($AZ24&gt;INDEX('Methodology &amp; Sources'!$B$125:$J$132,0,7))*($AZ24-INDEX('Methodology &amp; Sources'!$B$125:$J$132,0,7))*INDEX('Methodology &amp; Sources'!$B$125:$J$132,0,7+2)),SUMPRODUCT(($AZ24&gt;INDEX('Methodology &amp; Sources'!$B$125:$J$132,0,4))*($AZ24-INDEX('Methodology &amp; Sources'!$B$125:$J$132,0,4))*INDEX('Methodology &amp; Sources'!$B$125:$J$132,0,4+2)))),IF($AN24="ND",IF($AU24="Head of household",SUMPRODUCT(($AZ24&gt;INDEX('Methodology &amp; Sources'!$B$144:$J$150,0,1))*($AZ24-INDEX('Methodology &amp; Sources'!$B$144:$J$150,0,1))*INDEX('Methodology &amp; Sources'!$B$144:$J$150,0,1+2)),IF($AU24="Married",SUMPRODUCT(($AZ24&gt;INDEX('Methodology &amp; Sources'!$B$137:$J$139,0,7))*($AZ24-INDEX('Methodology &amp; Sources'!$B$137:$J$139,0,7))*INDEX('Methodology &amp; Sources'!$B$137:$J$139,0,7+2)),SUMPRODUCT(($AZ24&gt;INDEX('Methodology &amp; Sources'!$B$137:$J$139,0,4))*($AZ24-INDEX('Methodology &amp; Sources'!$B$137:$J$139,0,4))*INDEX('Methodology &amp; Sources'!$B$137:$J$139,0,4+2)))),IF($AN24="NJ",IF('Inputs 2'!$C$77="B",SUMPRODUCT(($AZ24&gt;INDEX('Methodology &amp; Sources'!$B$155:$J$162,0,4))*($AZ24-INDEX('Methodology &amp; Sources'!$B$155:$J$162,0,4))*INDEX('Methodology &amp; Sources'!$B$155:$J$162,0,4+2)),IF('Inputs 2'!$C$77="C",SUMPRODUCT(($AZ24&gt;INDEX('Methodology &amp; Sources'!$B$155:$J$162,0,7))*($AZ24-INDEX('Methodology &amp; Sources'!$B$155:$J$162,0,7))*INDEX('Methodology &amp; Sources'!$B$155:$J$162,0,7+2)),IF('Inputs 2'!$C$77="D",SUMPRODUCT(($AZ24&gt;INDEX('Methodology &amp; Sources'!$B$167:$J$179,0,1))*($AZ24-INDEX('Methodology &amp; Sources'!$B$167:$J$179,0,1))*INDEX('Methodology &amp; Sources'!$B$167:$J$179,0,1+2)),IF('Inputs 2'!$C$77="E",SUMPRODUCT(($AZ24&gt;INDEX('Methodology &amp; Sources'!$B$167:$J$179,0,4))*($AZ24-INDEX('Methodology &amp; Sources'!$B$167:$J$179,0,4))*INDEX('Methodology &amp; Sources'!$B$167:$J$179,0,4+2)),SUMPRODUCT(($AZ24&gt;INDEX('Methodology &amp; Sources'!$B$155:$J$162,0,1))*($AZ24-INDEX('Methodology &amp; Sources'!$B$155:$J$162,0,1))*INDEX('Methodology &amp; Sources'!$B$155:$J$162,0,1+2)))))),IF($AN24="NY",IF($AU24="Married",IF($AZ24&gt;=2155350,$AZ24*IF($AZ24&gt;25000000,0.117,IF($AZ24&gt;5000000,0.111,0.1045)),SUMPRODUCT(($AZ24&gt;INDEX('Methodology &amp; Sources'!$B$184:$J$198,0,1))*($AZ24-INDEX('Methodology &amp; Sources'!$B$184:$J$198,0,1))*INDEX('Methodology &amp; Sources'!$B$184:$J$198,0,1+2))),IF($AZ24&gt;=1077550,$AZ24*IF($AZ24&gt;25000000,0.117,IF($AZ24&gt;5000000,0.111,0.1045)),SUMPRODUCT(($AZ24&gt;INDEX('Methodology &amp; Sources'!$B$167:$J$179,0,7))*($AZ24-INDEX('Methodology &amp; Sources'!$B$167:$J$179,0,7))*INDEX('Methodology &amp; Sources'!$B$167:$J$179,0,7+2)))),"")))))))</f>
      </c>
      <c r="BX24" s="7">
        <f>IF($B24="","",IF($AN24="AL",IF(OR($AU24="Married",$AU24="Head of household"),SUMPRODUCT(($AZ24&gt;INDEX('Methodology &amp; Sources'!$B$82:$J$86,0,4))*($AZ24-INDEX('Methodology &amp; Sources'!$B$82:$J$86,0,4))*INDEX('Methodology &amp; Sources'!$B$82:$J$86,0,4+2)),SUMPRODUCT(($AZ24&gt;INDEX('Methodology &amp; Sources'!$B$82:$J$86,0,1))*($AZ24-INDEX('Methodology &amp; Sources'!$B$82:$J$86,0,1))*INDEX('Methodology &amp; Sources'!$B$82:$J$86,0,1+2))),IF($AN24="KS",IF($AU24="Married",SUMPRODUCT(($AZ24&gt;INDEX('Methodology &amp; Sources'!$B$103:$J$109,0,4))*($AZ24-INDEX('Methodology &amp; Sources'!$B$103:$J$109,0,4))*INDEX('Methodology &amp; Sources'!$B$103:$J$109,0,4+2)),SUMPRODUCT(($AZ24&gt;INDEX('Methodology &amp; Sources'!$B$103:$J$109,0,1))*($AZ24-INDEX('Methodology &amp; Sources'!$B$103:$J$109,0,1))*INDEX('Methodology &amp; Sources'!$B$103:$J$109,0,1+2))),IF($AN24="MN",IF($AU24="Married",SUMPRODUCT(($AZ24&gt;INDEX('Methodology &amp; Sources'!$B$114:$J$120,0,7))*($AZ24-INDEX('Methodology &amp; Sources'!$B$114:$J$120,0,7))*INDEX('Methodology &amp; Sources'!$B$114:$J$120,0,7+2)),SUMPRODUCT(($AZ24&gt;INDEX('Methodology &amp; Sources'!$B$114:$J$120,0,4))*($AZ24-INDEX('Methodology &amp; Sources'!$B$114:$J$120,0,4))*INDEX('Methodology &amp; Sources'!$B$114:$J$120,0,4+2))),IF($AN24="NE",MAX(IF($AU24="Married",SUMPRODUCT(($AZ24&gt;INDEX('Methodology &amp; Sources'!$B$144:$J$150,0,7))*($AZ24-INDEX('Methodology &amp; Sources'!$B$144:$J$150,0,7))*INDEX('Methodology &amp; Sources'!$B$144:$J$150,0,7+2)),SUMPRODUCT(($AZ24&gt;INDEX('Methodology &amp; Sources'!$B$144:$J$150,0,4))*($AZ24-INDEX('Methodology &amp; Sources'!$B$144:$J$150,0,4))*INDEX('Methodology &amp; Sources'!$B$144:$J$150,0,4+2))),0.015*$AZ24),IF($AN24="OH",IF($B24&gt;=DATE(2027,8,1),SUMPRODUCT(($AZ24&gt;INDEX('Methodology &amp; Sources'!$B$203:$J$206,0,1))*($AZ24-INDEX('Methodology &amp; Sources'!$B$203:$J$206,0,1))*INDEX('Methodology &amp; Sources'!$B$203:$J$206,0,1+2)),SUMPRODUCT(($AZ24&gt;INDEX('Methodology &amp; Sources'!$B$184:$J$198,0,7))*($AZ24-INDEX('Methodology &amp; Sources'!$B$184:$J$198,0,7))*INDEX('Methodology &amp; Sources'!$B$184:$J$198,0,7+2))),IF($AN24="OK",IF($AU24="Married",SUMPRODUCT(($AZ24&gt;INDEX('Methodology &amp; Sources'!$B$203:$J$206,0,7))*($AZ24-INDEX('Methodology &amp; Sources'!$B$203:$J$206,0,7))*INDEX('Methodology &amp; Sources'!$B$203:$J$206,0,7+2)),SUMPRODUCT(($AZ24&gt;INDEX('Methodology &amp; Sources'!$B$203:$J$206,0,4))*($AZ24-INDEX('Methodology &amp; Sources'!$B$203:$J$206,0,4))*INDEX('Methodology &amp; Sources'!$B$203:$J$206,0,4+2))),IF($AN24="RI",SUMPRODUCT(($AZ24&gt;INDEX('Methodology &amp; Sources'!$B$211:$J$214,0,7))*($AZ24-INDEX('Methodology &amp; Sources'!$B$211:$J$214,0,7))*INDEX('Methodology &amp; Sources'!$B$211:$J$214,0,7+2)),IF($AN24="VT",IF($AU24="Married",SUMPRODUCT(($AZ24&gt;INDEX('Methodology &amp; Sources'!$B$228:$J$232,0,1))*($AZ24-INDEX('Methodology &amp; Sources'!$B$228:$J$232,0,1))*INDEX('Methodology &amp; Sources'!$B$228:$J$232,0,1+2)),SUMPRODUCT(($AZ24&gt;INDEX('Methodology &amp; Sources'!$B$219:$J$223,0,7))*($AZ24-INDEX('Methodology &amp; Sources'!$B$219:$J$223,0,7))*INDEX('Methodology &amp; Sources'!$B$219:$J$223,0,7+2))),IF($AN24="WV",IF($AU24="Married",SUMPRODUCT(($AZ24&gt;INDEX('Methodology &amp; Sources'!$B$237:$J$241,0,7))*($AZ24-INDEX('Methodology &amp; Sources'!$B$237:$J$241,0,7))*INDEX('Methodology &amp; Sources'!$B$237:$J$241,0,7+2)),SUMPRODUCT(($AZ24&gt;INDEX('Methodology &amp; Sources'!$B$228:$J$232,0,7))*($AZ24-INDEX('Methodology &amp; Sources'!$B$228:$J$232,0,7))*INDEX('Methodology &amp; Sources'!$B$228:$J$232,0,7+2))),""))))))))))</f>
      </c>
      <c r="BY24" s="7">
        <f>IF($B24="","",IF($AN24="AR",SUMPRODUCT(($AZ24&gt;INDEX('Methodology &amp; Sources'!$B$82:$J$86,0,7))*($AZ24-INDEX('Methodology &amp; Sources'!$B$82:$J$86,0,7))*INDEX('Methodology &amp; Sources'!$B$82:$J$86,0,7+2)),IF($AN24="DE",SUMPRODUCT(($AZ24&gt;INDEX('Methodology &amp; Sources'!$B$91:$J$98,0,1))*($AZ24-INDEX('Methodology &amp; Sources'!$B$91:$J$98,0,1))*INDEX('Methodology &amp; Sources'!$B$91:$J$98,0,1+2)),IF($AN24="HI",IF($AU24="Married",SUMPRODUCT(($AZ24&gt;INDEX('Methodology &amp; Sources'!$B$91:$J$98,0,7))*($AZ24-INDEX('Methodology &amp; Sources'!$B$91:$J$98,0,7))*INDEX('Methodology &amp; Sources'!$B$91:$J$98,0,7+2)),SUMPRODUCT(($AZ24&gt;INDEX('Methodology &amp; Sources'!$B$91:$J$98,0,4))*($AZ24-INDEX('Methodology &amp; Sources'!$B$91:$J$98,0,4))*INDEX('Methodology &amp; Sources'!$B$91:$J$98,0,4+2))),IF($AN24="SC",SUMPRODUCT(($AZ24&gt;INDEX('Methodology &amp; Sources'!$B$219:$J$223,0,1))*($AZ24-INDEX('Methodology &amp; Sources'!$B$219:$J$223,0,1))*INDEX('Methodology &amp; Sources'!$B$219:$J$223,0,1+2)),IF($AN24="VA",SUMPRODUCT(($AZ24&gt;INDEX('Methodology &amp; Sources'!$B$219:$J$223,0,4))*($AZ24-INDEX('Methodology &amp; Sources'!$B$219:$J$223,0,4))*INDEX('Methodology &amp; Sources'!$B$219:$J$223,0,4+2)),IF($AN24="WI",SUMPRODUCT(($AZ24&gt;INDEX('Methodology &amp; Sources'!$B$228:$J$232,0,4))*($AZ24-INDEX('Methodology &amp; Sources'!$B$228:$J$232,0,4))*INDEX('Methodology &amp; Sources'!$B$228:$J$232,0,4+2)),"")))))))</f>
      </c>
      <c r="BZ24" s="24">
        <f>IF($B24="","",IF($AN24="NJ",IF('Inputs 2'!$C$77="B",SUMPRODUCT(($AZ24&gt;=INDEX('Methodology &amp; Sources'!$B$155:$J$162,0,4))*INDEX('Methodology &amp; Sources'!$B$155:$J$162,0,4+2)),IF('Inputs 2'!$C$77="C",SUMPRODUCT(($AZ24&gt;=INDEX('Methodology &amp; Sources'!$B$155:$J$162,0,7))*INDEX('Methodology &amp; Sources'!$B$155:$J$162,0,7+2)),IF('Inputs 2'!$C$77="D",SUMPRODUCT(($AZ24&gt;=INDEX('Methodology &amp; Sources'!$B$167:$J$179,0,1))*INDEX('Methodology &amp; Sources'!$B$167:$J$179,0,1+2)),IF('Inputs 2'!$C$77="E",SUMPRODUCT(($AZ24&gt;=INDEX('Methodology &amp; Sources'!$B$167:$J$179,0,4))*INDEX('Methodology &amp; Sources'!$B$167:$J$179,0,4+2)),SUMPRODUCT(($AZ24&gt;=INDEX('Methodology &amp; Sources'!$B$155:$J$162,0,1))*INDEX('Methodology &amp; Sources'!$B$155:$J$162,0,1+2)))))),IF($AN24="OR",IF(OR($AU24="Married",AND($AU24="Single",$AS24&gt;=3)),SUMPRODUCT((MAX(0,$AY24-MIN(($P24-'Methodology &amp; Sources'!$C$10*$D24)*'Inputs 2'!$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Sources'!$B$211:$J$214,0,4))*INDEX('Methodology &amp; Sources'!$B$211:$J$214,0,4+2)),SUMPRODUCT((MAX(0,$AY24-MIN(($P24-'Methodology &amp; Sources'!$C$10*$D24)*'Inputs 2'!$C$8,IF(OR($AU24="Married",AND($AU24="Single",$AS24&gt;=3)),IF($AY24&lt;250000,8750,IF($AY24&lt;260000,7000,IF($AY24&lt;270000,5250,IF($AY24&lt;280000,3500,IF($AY24&lt;290000,1750,0))))),IF($AY24&lt;125000,8750,IF($AY24&lt;130000,7000,IF($AY24&lt;135000,5250,IF($AY24&lt;140000,3500,IF($AY24&lt;145000,1750,0)))))))-IF(OR($AU24="Married",AND($AU24="Single",$AS24&gt;=3)),5820,2910))&gt;=INDEX('Methodology &amp; Sources'!$B$211:$J$214,0,1))*INDEX('Methodology &amp; Sources'!$B$211:$J$214,0,1+2)))*IF(($P24-'Methodology &amp; Sources'!$C$10*$D24)*'Inputs 2'!$C$8&gt;=IF(OR($AU24="Married",AND($AU24="Single",$AS24&gt;=3)),IF($AY24&lt;250000,8750,IF($AY24&lt;260000,7000,IF($AY24&lt;270000,5250,IF($AY24&lt;280000,3500,IF($AY24&lt;290000,1750,0))))),IF($AY24&lt;125000,8750,IF($AY24&lt;130000,7000,IF($AY24&lt;135000,5250,IF($AY24&lt;140000,3500,IF($AY24&lt;145000,1750,0)))))),1,1-IF('Inputs 2'!$C$13,SUMPRODUCT(($AH24&gt;=INDEX('Methodology &amp; Sources'!$B$29:$J$36,0,IF('Inputs 2'!$C$12="MFJ",1,IF('Inputs 2'!$C$12="HoH",7,4))))*INDEX('Methodology &amp; Sources'!$B$29:$J$36,0,IF('Inputs 2'!$C$12="MFJ",1,IF('Inputs 2'!$C$12="HoH",7,4))+2)),SUMPRODUCT(($AH24&gt;=INDEX('Methodology &amp; Sources'!$B$19:$J$26,0,IF('Inputs 2'!$C$12="MFJ",1,IF('Inputs 2'!$C$12="HoH",7,4))))*INDEX('Methodology &amp; Sources'!$B$19:$J$26,0,IF('Inputs 2'!$C$12="MFJ",1,IF('Inputs 2'!$C$12="HoH",7,4))+2)))),IF($AN24="MI",IF($AY24&gt;5900*$AS24,0.0425,0),""))))</f>
      </c>
      <c r="CA24" s="24">
        <f>IF($B24="","",IF($AN24="AL",IF(OR($AU24="Married",$AU24="Head of household"),SUMPRODUCT(($AZ24&gt;=INDEX('Methodology &amp; Sources'!$B$82:$J$86,0,4))*INDEX('Methodology &amp; Sources'!$B$82:$J$86,0,4+2)),SUMPRODUCT(($AZ24&gt;=INDEX('Methodology &amp; Sources'!$B$82:$J$86,0,1))*INDEX('Methodology &amp; Sources'!$B$82:$J$86,0,1+2)))*(1-IF('Inputs 2'!$C$13,SUMPRODUCT(($AH24&gt;=INDEX('Methodology &amp; Sources'!$B$29:$J$36,0,IF('Inputs 2'!$C$12="MFJ",1,IF('Inputs 2'!$C$12="HoH",7,4))))*INDEX('Methodology &amp; Sources'!$B$29:$J$36,0,IF('Inputs 2'!$C$12="MFJ",1,IF('Inputs 2'!$C$12="HoH",7,4))+2)),SUMPRODUCT(($AH24&gt;=INDEX('Methodology &amp; Sources'!$B$19:$J$26,0,IF('Inputs 2'!$C$12="MFJ",1,IF('Inputs 2'!$C$12="HoH",7,4))))*INDEX('Methodology &amp; Sources'!$B$19:$J$26,0,IF('Inputs 2'!$C$12="MFJ",1,IF('Inputs 2'!$C$12="HoH",7,4))+2)))),IF($AN24="KS",IF($AU24="Married",SUMPRODUCT(($AZ24&gt;=INDEX('Methodology &amp; Sources'!$B$103:$J$109,0,4))*INDEX('Methodology &amp; Sources'!$B$103:$J$109,0,4+2)),SUMPRODUCT(($AZ24&gt;=INDEX('Methodology &amp; Sources'!$B$103:$J$109,0,1))*INDEX('Methodology &amp; Sources'!$B$103:$J$109,0,1+2))),IF($AN24="MD",IF(OR($AU24="Married",$AU24="Head of household"),SUMPRODUCT(($AZ24&gt;=INDEX('Methodology &amp; Sources'!$B$114:$J$120,0,1))*INDEX('Methodology &amp; Sources'!$B$114:$J$120,0,1+2)),SUMPRODUCT(($AZ24&gt;=INDEX('Methodology &amp; Sources'!$B$103:$J$109,0,7))*INDEX('Methodology &amp; Sources'!$B$103:$J$109,0,7+2)))+'Inputs 2'!$C$74,IF($AN24="MT",IF($AU24="Head of household",SUMPRODUCT(($AZ24&gt;=INDEX('Methodology &amp; Sources'!$B$137:$J$139,0,1))*INDEX('Methodology &amp; Sources'!$B$137:$J$139,0,1+2)),IF($AU24="Married",SUMPRODUCT(($AZ24&gt;=INDEX('Methodology &amp; Sources'!$B$125:$J$132,0,7))*INDEX('Methodology &amp; Sources'!$B$125:$J$132,0,7+2)),SUMPRODUCT(($AZ24&gt;=INDEX('Methodology &amp; Sources'!$B$125:$J$132,0,4))*INDEX('Methodology &amp; Sources'!$B$125:$J$132,0,4+2)))),IF($AN24="ND",IF($AU24="Head of household",SUMPRODUCT(($AZ24&gt;=INDEX('Methodology &amp; Sources'!$B$144:$J$150,0,1))*INDEX('Methodology &amp; Sources'!$B$144:$J$150,0,1+2)),IF($AU24="Married",SUMPRODUCT(($AZ24&gt;=INDEX('Methodology &amp; Sources'!$B$137:$J$139,0,7))*INDEX('Methodology &amp; Sources'!$B$137:$J$139,0,7+2)),SUMPRODUCT(($AZ24&gt;=INDEX('Methodology &amp; Sources'!$B$137:$J$139,0,4))*INDEX('Methodology &amp; Sources'!$B$137:$J$139,0,4+2)))),IF($AN24="NY",IF($AU24="Married",IF($AZ24&gt;=2155350,IF($AZ24&gt;25000000,0.117,IF($AZ24&gt;5000000,0.111,0.1045)),SUMPRODUCT(($AZ24&gt;=INDEX('Methodology &amp; Sources'!$B$184:$J$198,0,1))*INDEX('Methodology &amp; Sources'!$B$184:$J$198,0,1+2))),IF($AZ24&gt;=1077550,IF($AZ24&gt;25000000,0.117,IF($AZ24&gt;5000000,0.111,0.1045)),SUMPRODUCT(($AZ24&gt;=INDEX('Methodology &amp; Sources'!$B$167:$J$179,0,7))*INDEX('Methodology &amp; Sources'!$B$167:$J$179,0,7+2)))),"")))))))</f>
      </c>
      <c r="CB24" s="24">
        <f>IF($B24="","",IF($AN24="CA",SUMPRODUCT(($AJ24&gt;=INDEX('Methodology &amp; Sources'!$B$39:$J$48,0,IF($AU24="Married",4,IF($AU24="Head of household",7,1))))*INDEX('Methodology &amp; Sources'!$B$39:$J$48,0,IF($AU24="Married",4,IF($AU24="Head of household",7,1))+2)),IF($AN24="HI",IF($AU24="Married",SUMPRODUCT(($AZ24&gt;=INDEX('Methodology &amp; Sources'!$B$91:$J$98,0,7))*INDEX('Methodology &amp; Sources'!$B$91:$J$98,0,7+2)),SUMPRODUCT(($AZ24&gt;=INDEX('Methodology &amp; Sources'!$B$91:$J$98,0,4))*INDEX('Methodology &amp; Sources'!$B$91:$J$98,0,4+2))),IF($AN24="MN",IF($AU24="Married",SUMPRODUCT(($AZ24&gt;=INDEX('Methodology &amp; Sources'!$B$114:$J$120,0,7))*INDEX('Methodology &amp; Sources'!$B$114:$J$120,0,7+2)),SUMPRODUCT(($AZ24&gt;=INDEX('Methodology &amp; Sources'!$B$114:$J$120,0,4))*INDEX('Methodology &amp; Sources'!$B$114:$J$120,0,4+2))),IF($AN24="MO",SUMPRODUCT(($AZ24&gt;=INDEX('Methodology &amp; Sources'!$B$125:$J$132,0,1))*INDEX('Methodology &amp; Sources'!$B$125:$J$132,0,1+2)),IF($AN24="NE",MAX(IF($AU24="Married",SUMPRODUCT(($AZ24&gt;=INDEX('Methodology &amp; Sources'!$B$144:$J$150,0,7))*INDEX('Methodology &amp; Sources'!$B$144:$J$150,0,7+2)),SUMPRODUCT(($AZ24&gt;=INDEX('Methodology &amp; Sources'!$B$144:$J$150,0,4))*INDEX('Methodology &amp; Sources'!$B$144:$J$150,0,4+2))),0.015),IF($AN24="OH",IF($B24&gt;=DATE(2027,8,1),SUMPRODUCT(($AZ24&gt;=INDEX('Methodology &amp; Sources'!$B$203:$J$206,0,1))*INDEX('Methodology &amp; Sources'!$B$203:$J$206,0,1+2)),SUMPRODUCT(($AZ24&gt;=INDEX('Methodology &amp; Sources'!$B$184:$J$198,0,7))*INDEX('Methodology &amp; Sources'!$B$184:$J$198,0,7+2))),IF($AN24="OK",IF($AU24="Married",SUMPRODUCT(($AZ24&gt;=INDEX('Methodology &amp; Sources'!$B$203:$J$206,0,7))*INDEX('Methodology &amp; Sources'!$B$203:$J$206,0,7+2)),SUMPRODUCT(($AZ24&gt;=INDEX('Methodology &amp; Sources'!$B$203:$J$206,0,4))*INDEX('Methodology &amp; Sources'!$B$203:$J$206,0,4+2))),IF($AN24="RI",SUMPRODUCT(($AZ24&gt;=INDEX('Methodology &amp; Sources'!$B$211:$J$214,0,7))*INDEX('Methodology &amp; Sources'!$B$211:$J$214,0,7+2)),IF($AN24="SC",SUMPRODUCT(($AZ24&gt;=INDEX('Methodology &amp; Sources'!$B$219:$J$223,0,1))*INDEX('Methodology &amp; Sources'!$B$219:$J$223,0,1+2)),IF($AN24="VT",IF($AU24="Married",SUMPRODUCT(($AZ24&gt;=INDEX('Methodology &amp; Sources'!$B$228:$J$232,0,1))*INDEX('Methodology &amp; Sources'!$B$228:$J$232,0,1+2)),SUMPRODUCT(($AZ24&gt;=INDEX('Methodology &amp; Sources'!$B$219:$J$223,0,7))*INDEX('Methodology &amp; Sources'!$B$219:$J$223,0,7+2))),IF($AN24="WV",IF($AU24="Married",SUMPRODUCT(($AZ24&gt;=INDEX('Methodology &amp; Sources'!$B$237:$J$241,0,7))*INDEX('Methodology &amp; Sources'!$B$237:$J$241,0,7+2)),SUMPRODUCT(($AZ24&gt;=INDEX('Methodology &amp; Sources'!$B$228:$J$232,0,7))*INDEX('Methodology &amp; Sources'!$B$228:$J$232,0,7+2))),IF($AN24="IN",(0.0295+'Inputs 2'!$C$76),"")))))))))))))</f>
      </c>
      <c r="CC24" s="24">
        <f>IF($B24="","",IF($AN24="AR",SUMPRODUCT(($AZ24&gt;=INDEX('Methodology &amp; Sources'!$B$82:$J$86,0,7))*INDEX('Methodology &amp; Sources'!$B$82:$J$86,0,7+2)),IF($AN24="DE",SUMPRODUCT(($AZ24&gt;=INDEX('Methodology &amp; Sources'!$B$91:$J$98,0,1))*INDEX('Methodology &amp; Sources'!$B$91:$J$98,0,1+2)),IF($AN24="VA",SUMPRODUCT(($AZ24&gt;=INDEX('Methodology &amp; Sources'!$B$219:$J$223,0,4))*INDEX('Methodology &amp; Sources'!$B$219:$J$223,0,4+2)),IF($AN24="WI",SUMPRODUCT(($AZ24&gt;=INDEX('Methodology &amp; Sources'!$B$228:$J$232,0,4))*INDEX('Methodology &amp; Sources'!$B$228:$J$232,0,4+2)),IF($AN24="AZ",'Inputs 2'!$C$82,IF($AN24="CO",IF($AY24&gt;IF($AU24="Married",10000,5000),0.044,0),IF($AN24="IA",IF($AY24&gt;IF($AU24="Head of household",19500,IF($AU24="Married",26000,13000)),0.038,0),IF($AN24="ID",IF($AY24&gt;IF($AU24="Married",32000,16094),0.053,0),IF($AN24="IL",IF($AY24&gt;(2925*$AS24+1000*$AT24),0.0495,0),IF($AN24="KY",IF($AI24&gt;3360,0.035,0),IF($AN24="LA",0.0309,IF($AN24="MA",IF(MAX(0,$AY24-MIN(($BD23+$Q24+$R24+$S24),2000)-IF($AS24=0,0,IF($AS24=1,4400,1000*$AS24+3400)))&gt;=1107750,0.09,0.05),IF($AN24="MS",IF($AI24-IF($AU24="Head of household",3400,IF($AU24="Married",4600,2300))-'Inputs 2'!$C$85&gt;10000,0.04,0),IF($AN24="PA",0.0307,"")))))))))))))))</f>
      </c>
      <c r="CD24" s="21">
        <f>IF(YEAR(IF('Inputs 2'!$C$7="Weekly",'Inputs 2'!$C$9+7*(($BE23+1)-1),IF('Inputs 2'!$C$7="Biweekly",'Inputs 2'!$C$9+14*(($BE23+1)-1),IF('Inputs 2'!$C$7="Semimonthly",DATE(YEAR('Inputs 2'!$C$9),MONTH('Inputs 2'!$C$9)+INT((($BE23+1)-1)/2),MIN(DAY('Inputs 2'!$C$9),DAY(EOMONTH(DATE(YEAR('Inputs 2'!$C$9),MONTH('Inputs 2'!$C$9)+INT((($BE23+1)-1)/2),1),0))))+IF(MOD(($BE23+1)-1,2)=1,15,0),EDATE('Inputs 2'!$C$9,($BE23+1)-1)))))&lt;&gt;'Inputs 2'!$C$10,"",IF('Inputs 2'!$C$7="Weekly",'Inputs 2'!$C$9+7*(($BE23+1)-1),IF('Inputs 2'!$C$7="Biweekly",'Inputs 2'!$C$9+14*(($BE23+1)-1),IF('Inputs 2'!$C$7="Semimonthly",DATE(YEAR('Inputs 2'!$C$9),MONTH('Inputs 2'!$C$9)+INT((($BE23+1)-1)/2),MIN(DAY('Inputs 2'!$C$9),DAY(EOMONTH(DATE(YEAR('Inputs 2'!$C$9),MONTH('Inputs 2'!$C$9)+INT((($BE23+1)-1)/2),1),0))))+IF(MOD(($BE23+1)-1,2)=1,15,0),EDATE('Inputs 2'!$C$9,($BE23+1)-1)))))</f>
      </c>
      <c r="CE24" s="21">
        <f>IF(SUMPRODUCT(MIN(IF(('Inputs 2'!$C$58:$C$67&gt;MAX($B$6:$B23))*('Inputs 2'!$C$58:$C$67&gt;=DATE('Inputs 2'!$C$10,1,1))*('Inputs 2'!$C$58:$C$67&lt;=DATE('Inputs 2'!$C$10,12,31)),'Inputs 2'!$C$58:$C$67,999999)))=999999,"",SUMPRODUCT(MIN(IF(('Inputs 2'!$C$58:$C$67&gt;MAX($B$6:$B23))*('Inputs 2'!$C$58:$C$67&gt;=DATE('Inputs 2'!$C$10,1,1))*('Inputs 2'!$C$58:$C$67&lt;=DATE('Inputs 2'!$C$10,12,31)),'Inputs 2'!$C$58:$C$67,999999))))</f>
      </c>
    </row>
    <row r="25">
      <c r="A25" t="n">
        <v>20</v>
      </c>
      <c r="B25" s="21">
        <f>IF(AND($CD25="",$CE25=""),"",IF($CE25="",$CD25,IF($CD25="",$CE25,MIN($CD25,$CE25))))</f>
      </c>
      <c r="C25" s="7">
        <f>IF($B25="","",IF($BF25=0,0,IF('Inputs 2'!$C$4="Annual salary",ROUND($AK25/IF(AND('Inputs 2'!$C$88="Actual paydays",MONTH('Inputs 2'!$C$9)=1),MAX(1,MAX($BE$6:$BE$68)),'Inputs 2'!$C$8),2),$AK25)))</f>
      </c>
      <c r="D25" s="7">
        <f>IF($B25="","",SUMIF('Inputs 2'!$C$58:$C$67,$B25,'Inputs 2'!$D$58:$D$67))</f>
      </c>
      <c r="E25" s="7">
        <f>IF($B25="","",ROUND(MAX(0,MIN(IF($AL25="Percent",$AM25*($C25+$D25),$AM25),MAX(0,'Inputs 2'!$C$34-$AC24))),2))</f>
      </c>
      <c r="F25" s="7">
        <f>IF($B25="","",ROUND(MAX(0,MIN(IF('Inputs 2'!$C$32="Percent",'Inputs 2'!$D$32*($C25+$D25),'Inputs 2'!$D$32),MAX(0,'Inputs 2'!$C$34-$AC24-$E25))),2))</f>
      </c>
      <c r="G25" s="7">
        <f>IF($B25="","",IF($BF25=0,0,ROUND(MAX(0,MIN($BL25,'Inputs 2'!$C$37-'Inputs 2'!$C$54-$BI24)),2)))</f>
      </c>
      <c r="H25" s="7">
        <f>IF($B25="","",IF(OR($BF25=0,$BQ25=1),0,ROUND(MAX(0,MIN(IF($BS25=1,ROUND(MAX(0,MIN($BJ25,'Methodology &amp; Sources'!$C$13)-$BG24)/MAX(1,MAX($BE$6:$BE$68)-($BE24)),2),ROUND(MIN($BJ25,'Methodology &amp; Sources'!$C$13)/'Inputs 2'!$C$8,2)),MIN($BJ25,'Methodology &amp; Sources'!$C$13)-$BG24)),2)))</f>
      </c>
      <c r="I25" s="7">
        <f>IF($B25="","",IF(OR($BF25=0,$BR25=1),0,ROUND(MAX(0,MIN(IF($BT25=1,ROUND(MAX(0,MIN($BK25,IF('Inputs 2'!$C$12="MFJ",'Methodology &amp; Sources'!$C$14,'Methodology &amp; Sources'!$C$15))-$BH24)/MAX(1,MAX($BE$6:$BE$68)-($BE24)),2),ROUND(MIN($BK25,IF('Inputs 2'!$C$12="MFJ",'Methodology &amp; Sources'!$C$14,'Methodology &amp; Sources'!$C$15))/'Inputs 2'!$C$8,2)),MIN($BK25,IF('Inputs 2'!$C$12="MFJ",'Methodology &amp; Sources'!$C$14,'Methodology &amp; Sources'!$C$15))-$BH24)),2)))</f>
      </c>
      <c r="J25" s="7">
        <f>IF($B25="","",IF($BF25=0,0,$BM25))</f>
      </c>
      <c r="K25" s="7">
        <f>IF($B25="","",IF($BF25=0,0,$BN25+$BO25))</f>
      </c>
      <c r="L25" s="7">
        <f>IF($B25="","",IF($BF25=0,0,'Inputs 2'!$D$46))</f>
      </c>
      <c r="M25" s="7">
        <f>IF($B25="","",$C25+$D25+$L25-$E25-$G25-$H25-$I25-$J25-$K25)</f>
      </c>
      <c r="N25" s="7">
        <f>IF($B25="","",$C25+$D25+$L25-$G25-$H25-$I25-$J25-$K25)</f>
      </c>
      <c r="O25" s="7">
        <f>IF($B25="","",$C25+$D25+$L25-$E25-$H25-$I25-$J25-$K25-IF(OR($AN25="CA",$AN25="NJ"),0,$G25))</f>
      </c>
      <c r="P25" s="7">
        <f>IF($B25="","",IF('Inputs 2'!$C$18,0,ROUND(MAX(0,IF('Inputs 2'!$C$13,SUMPRODUCT(($AH25&gt;INDEX('Methodology &amp; Sources'!$B$29:$J$36,0,IF('Inputs 2'!$C$12="MFJ",1,IF('Inputs 2'!$C$12="HoH",7,4))))*($AH25-INDEX('Methodology &amp; Sources'!$B$29:$J$36,0,IF('Inputs 2'!$C$12="MFJ",1,IF('Inputs 2'!$C$12="HoH",7,4))))*INDEX('Methodology &amp; Sources'!$B$29:$J$36,0,IF('Inputs 2'!$C$12="MFJ",1,IF('Inputs 2'!$C$12="HoH",7,4))+2)),SUMPRODUCT(($AH25&gt;INDEX('Methodology &amp; Sources'!$B$19:$J$26,0,IF('Inputs 2'!$C$12="MFJ",1,IF('Inputs 2'!$C$12="HoH",7,4))))*($AH25-INDEX('Methodology &amp; Sources'!$B$19:$J$26,0,IF('Inputs 2'!$C$12="MFJ",1,IF('Inputs 2'!$C$12="HoH",7,4))))*INDEX('Methodology &amp; Sources'!$B$19:$J$26,0,IF('Inputs 2'!$C$12="MFJ",1,IF('Inputs 2'!$C$12="HoH",7,4))+2)))/'Inputs 2'!$C$8-$AO25/'Inputs 2'!$C$8)+$AR25+IF('Inputs 2'!$C$89="Aggregate",MAX(0,IF('Inputs 2'!$C$13,SUMPRODUCT((($AH25+$D25)&gt;INDEX('Methodology &amp; Sources'!$B$29:$J$36,0,IF('Inputs 2'!$C$12="MFJ",1,IF('Inputs 2'!$C$12="HoH",7,4))))*(($AH25+$D25)-INDEX('Methodology &amp; Sources'!$B$29:$J$36,0,IF('Inputs 2'!$C$12="MFJ",1,IF('Inputs 2'!$C$12="HoH",7,4))))*INDEX('Methodology &amp; Sources'!$B$29:$J$36,0,IF('Inputs 2'!$C$12="MFJ",1,IF('Inputs 2'!$C$12="HoH",7,4))+2)),SUMPRODUCT((($AH25+$D25)&gt;INDEX('Methodology &amp; Sources'!$B$19:$J$26,0,IF('Inputs 2'!$C$12="MFJ",1,IF('Inputs 2'!$C$12="HoH",7,4))))*(($AH25+$D25)-INDEX('Methodology &amp; Sources'!$B$19:$J$26,0,IF('Inputs 2'!$C$12="MFJ",1,IF('Inputs 2'!$C$12="HoH",7,4))))*INDEX('Methodology &amp; Sources'!$B$19:$J$26,0,IF('Inputs 2'!$C$12="MFJ",1,IF('Inputs 2'!$C$12="HoH",7,4))+2)))-IF('Inputs 2'!$C$13,SUMPRODUCT(($AH25&gt;INDEX('Methodology &amp; Sources'!$B$29:$J$36,0,IF('Inputs 2'!$C$12="MFJ",1,IF('Inputs 2'!$C$12="HoH",7,4))))*($AH25-INDEX('Methodology &amp; Sources'!$B$29:$J$36,0,IF('Inputs 2'!$C$12="MFJ",1,IF('Inputs 2'!$C$12="HoH",7,4))))*INDEX('Methodology &amp; Sources'!$B$29:$J$36,0,IF('Inputs 2'!$C$12="MFJ",1,IF('Inputs 2'!$C$12="HoH",7,4))+2)),SUMPRODUCT(($AH25&gt;INDEX('Methodology &amp; Sources'!$B$19:$J$26,0,IF('Inputs 2'!$C$12="MFJ",1,IF('Inputs 2'!$C$12="HoH",7,4))))*($AH25-INDEX('Methodology &amp; Sources'!$B$19:$J$26,0,IF('Inputs 2'!$C$12="MFJ",1,IF('Inputs 2'!$C$12="HoH",7,4))))*INDEX('Methodology &amp; Sources'!$B$19:$J$26,0,IF('Inputs 2'!$C$12="MFJ",1,IF('Inputs 2'!$C$12="HoH",7,4))+2)))),'Methodology &amp; Sources'!$C$10*$D25),2)))</f>
      </c>
      <c r="Q25" s="7">
        <f>IF($B25="","",ROUND('Methodology &amp; Sources'!$C$4*MIN($N25,MAX(0,'Methodology &amp; Sources'!$C$3-($AX25+$AB24-$AW25))),2))</f>
      </c>
      <c r="R25" s="7">
        <f>IF($B25="","",ROUND('Methodology &amp; Sources'!$C$5*$N25,2))</f>
      </c>
      <c r="S25" s="7">
        <f>IF($B25="","",ROUND('Methodology &amp; Sources'!$C$6*MAX(0,MIN($N25,$AG24+$N25-'Methodology &amp; Sources'!$C$7)),2))</f>
      </c>
      <c r="T25" s="7">
        <f>IF($B25="","",IF('Inputs 2'!$C$26,0,IF($AN25="CA",ROUND(IF($AI25&lt;=IF(($AS25+$AT25)&gt;=2,VLOOKUP($AN25,StateTables!$A$6:$AB$56,10,FALSE),VLOOKUP($AN25,StateTables!$A$6:$AB$56,9,FALSE)),0,MAX(0,SUMPRODUCT(($AJ25&gt;INDEX('Methodology &amp; Sources'!$B$39:$J$48,0,IF($AU25="Married",4,IF($AU25="Head of household",7,1))))*($AJ25-INDEX('Methodology &amp; Sources'!$B$39:$J$48,0,IF($AU25="Married",4,IF($AU25="Head of household",7,1))))*INDEX('Methodology &amp; Sources'!$B$39:$J$48,0,IF($AU25="Married",4,IF($AU25="Head of household",7,1))+2))-VLOOKUP($AN25,StateTables!$A$6:$AB$56,11,FALSE)*$AS25)/'Inputs 2'!$C$8)+'Inputs 2'!$C$25+VLOOKUP($AN25,StateTables!$A$6:$AB$56,13,FALSE)*$D25,2),IF(VLOOKUP($AN25,StateTables!$A$6:$AB$56,4,FALSE)="None",0,IF(ISNUMBER(SEARCH("MANUAL",VLOOKUP($AN25,StateTables!$A$6:$AB$56,5,FALSE))),'Inputs 2'!$C$28,ROUND(MAX(0,$BA25+$BB25)/'Inputs 2'!$C$8+'Inputs 2'!$C$25+$BC25,2))))))</f>
      </c>
      <c r="U25" s="7">
        <f>IF($B25="","",IF(VLOOKUP($AN25,StateTables!$A$6:$AB$56,24,FALSE)="flatq",IF(OR(MONTH($B25)=1,MONTH($B25)=4,MONTH($B25)=7,MONTH($B25)=10),VLOOKUP($AN25,StateTables!$A$6:$AB$56,25,FALSE),0),IF(VLOOKUP($AN25,StateTables!$A$6:$AB$56,24,FALSE)="dbl",MIN(ROUND(0.005*$N25,2),ROUND(0.6*52/'Inputs 2'!$C$8,2)),IF(OR(VLOOKUP($AN25,StateTables!$A$6:$AB$56,15,FALSE)="",VLOOKUP($AN25,StateTables!$A$6:$AB$56,15,FALSE)=0),0,ROUND(VLOOKUP($AN25,StateTables!$A$6:$AB$56,15,FALSE)*IF(OR(VLOOKUP($AN25,StateTables!$A$6:$AB$56,16,FALSE)="",VLOOKUP($AN25,StateTables!$A$6:$AB$56,16,FALSE)=0),$N25,MIN($N25,MAX(0,VLOOKUP($AN25,StateTables!$A$6:$AB$56,16,FALSE)-($AX25+$AB24-$AW25)))),2))))+IF(VLOOKUP($AN25,StateTables!$A$6:$AB$56,27,FALSE)="flatq",IF(OR(MONTH($B25)=1,MONTH($B25)=4,MONTH($B25)=7,MONTH($B25)=10),VLOOKUP($AN25,StateTables!$A$6:$AB$56,28,FALSE),0),IF(VLOOKUP($AN25,StateTables!$A$6:$AB$56,27,FALSE)="dbl",MIN(ROUND(0.005*$N25,2),ROUND(0.6*52/'Inputs 2'!$C$8,2)),IF(OR(VLOOKUP($AN25,StateTables!$A$6:$AB$56,18,FALSE)="",VLOOKUP($AN25,StateTables!$A$6:$AB$56,18,FALSE)=0),0,ROUND(VLOOKUP($AN25,StateTables!$A$6:$AB$56,18,FALSE)*IF(OR(VLOOKUP($AN25,StateTables!$A$6:$AB$56,19,FALSE)="",VLOOKUP($AN25,StateTables!$A$6:$AB$56,19,FALSE)=0),$N25,MIN($N25,MAX(0,VLOOKUP($AN25,StateTables!$A$6:$AB$56,19,FALSE)-($AX25+$AB24-$AW25)))),2)))))</f>
      </c>
      <c r="V25" s="7">
        <f>IF($B25="","",IF($AN25="NY",IF('Inputs 2'!$C$78,ROUND(SUMPRODUCT((MAX(0,($O25-$D25)*'Inputs 2'!$C$8-(IF($AU25="Married",5500,5000)+1000*$AS25))&gt;INDEX('Methodology &amp; Sources'!$B$184:$J$198,0,4))*(MAX(0,($O25-$D25)*'Inputs 2'!$C$8-(IF($AU25="Married",5500,5000)+1000*$AS25))-INDEX('Methodology &amp; Sources'!$B$184:$J$198,0,4))*INDEX('Methodology &amp; Sources'!$B$184:$J$198,0,4+2))/'Inputs 2'!$C$8+0.0425*$D25,2),0)+IF('Inputs 2'!$C$79="Resident",ROUND(0.1675*$T25,2),IF('Inputs 2'!$C$79="Nonresident",ROUND(0.005*MAX(0,($O25-$D25)-(IF($AU25="Married",7950,7400)+1000*$AS25)/'Inputs 2'!$C$8),2),0)),IF($AN25="PA",IF('Inputs 2'!$C$80="None",'Inputs 2'!$C$27+ROUND('Inputs 2'!$C$81*($C25+$D25),2),ROUND(IF('Inputs 2'!$C$80="Resident",IF($B25&lt;DATE(2027,7,1),0.03735,0.03735),IF($B25&lt;DATE(2027,7,1),0.03425,0.03425))*($C25+$D25),2)),IF($BF25=0,ROUND('Inputs 2'!$C$81*($C25+$D25),2),'Inputs 2'!$C$27+ROUND('Inputs 2'!$C$81*($C25+$D25),2)))))</f>
      </c>
      <c r="W25" s="7">
        <f>IF($B25="","",IF($BF25=0,0,$BP25))</f>
      </c>
      <c r="X25" s="7">
        <f>IF($B25="","",SUM($E25:$K25)+$P25+$Q25+$R25+$S25+$T25+$U25+$V25+$W25)</f>
      </c>
      <c r="Y25" s="22">
        <f>IF($B25="","",$C25+$D25-$X25)</f>
      </c>
      <c r="Z25" s="7">
        <f>IF($B25="","",$Z24+$C25+$D25)</f>
      </c>
      <c r="AA25" s="7">
        <f>IF($B25="","",$AA24+$Y25)</f>
      </c>
      <c r="AB25" s="7">
        <f>IF($B25="","",$AB24+MIN($N25,MAX(0,'Methodology &amp; Sources'!$C$3-($AX25+$AB24-$AW25))))</f>
      </c>
      <c r="AC25" s="7">
        <f>IF($B25="","",$AC24+$E25+$F25)</f>
      </c>
      <c r="AD25" s="3">
        <f>IF($B25="","",IF(AND($AB24&lt;'Methodology &amp; Sources'!$C$3,$AB25&gt;='Methodology &amp; Sources'!$C$3),"★ Social Security maxed on this check — from the next check your net rises by about $"&amp;TEXT(ROUND('Methodology &amp; Sources'!$C$4*$N25,2),"#,##0.00")&amp;". ","")&amp;IF(AND($AC24&lt;'Inputs 2'!$C$34,$AC25&gt;='Inputs 2'!$C$34),"★ 401(k) reaches the $"&amp;TEXT('Inputs 2'!$C$34,"#,##0")&amp;" cap on this check — deferrals stop and net pay rises. ","")&amp;IF(AND($AG24&lt;'Methodology &amp; Sources'!$C$7,$AG25&gt;='Methodology &amp; Sources'!$C$7),"★ Wages pass $200,000 — the 0.9% Additional Medicare Tax starts here. ","")&amp;IF(AND($BJ25&gt;0,$H25&gt;0,$BG24&lt;MIN($BJ25,'Methodology &amp; Sources'!$C$13),$BG24+$H25&gt;=MIN($BJ25,'Methodology &amp; Sources'!$C$13)),"★ Health FSA election is now fully deferred for the year. ",""))</f>
      </c>
      <c r="AE25" s="41" t="n"/>
      <c r="AF25" s="7">
        <f>IF(OR($B25="",$AE25=""),"",$AE25-$Y25)</f>
      </c>
      <c r="AG25" s="7">
        <f>IF($B25="","",$AG24+$N25)</f>
      </c>
      <c r="AH25" s="7">
        <f>IF($B25="","",MAX(0,($M25-$D25)*'Inputs 2'!$C$8+$AP25-$AQ25-IF('Inputs 2'!$C$13,0,IF('Inputs 2'!$C$12="MFJ",'Methodology &amp; Sources'!$C$8,'Methodology &amp; Sources'!$C$9))))</f>
      </c>
      <c r="AI25" s="7">
        <f>IF($B25="","",$O25*'Inputs 2'!$C$8)</f>
      </c>
      <c r="AJ25" s="7">
        <f>IF($B25="","",MAX(0,$AI25-VLOOKUP($AN25,StateTables!$A$6:$AB$56,12,FALSE)*$AT25-IF(($AS25+$AT25)&gt;=2,VLOOKUP($AN25,StateTables!$A$6:$AB$56,8,FALSE),VLOOKUP($AN25,StateTables!$A$6:$AB$56,7,FALSE))))</f>
      </c>
      <c r="AK25" s="7">
        <f>IF($B25="","",IFERROR(LOOKUP(2,1/(('Events 2'!$C$6:$C$17="Salary change")*('Events 2'!$B$6:$B$17&lt;=$B25)*('Events 2'!$B$6:$B$17&lt;&gt;"")),'Events 2'!$D$6:$D$17),IF('Inputs 2'!$C$4="Annual salary",'Inputs 2'!$C$5,'Inputs 2'!$C$6)))</f>
      </c>
      <c r="AL25">
        <f>IF($B25="","",IFERROR(LOOKUP(2,1/(('Events 2'!$C$6:$C$17="401(k) change")*('Events 2'!$B$6:$B$17&lt;=$B25)*('Events 2'!$B$6:$B$17&lt;&gt;"")),'Events 2'!$D$6:$D$17),'Inputs 2'!$C$30))</f>
      </c>
      <c r="AM25" s="7">
        <f>IF($B25="","",IFERROR(LOOKUP(2,1/(('Events 2'!$C$6:$C$17="401(k) change")*('Events 2'!$B$6:$B$17&lt;=$B25)*('Events 2'!$B$6:$B$17&lt;&gt;"")),'Events 2'!$E$6:$E$17),'Inputs 2'!$D$30))</f>
      </c>
      <c r="AN25">
        <f>IF($B25="","",IFERROR(LOOKUP(2,1/(('Events 2'!$C$6:$C$17="State move")*('Events 2'!$B$6:$B$17&lt;=$B25)*('Events 2'!$B$6:$B$17&lt;&gt;"")),'Events 2'!$D$6:$D$17),'Inputs 2'!$C$21))</f>
      </c>
      <c r="AO25" s="7">
        <f>IF($B25="","",IFERROR(LOOKUP(2,1/(('Events 2'!$C$6:$C$17="W-4 change")*('Events 2'!$B$6:$B$17&lt;=$B25)*('Events 2'!$B$6:$B$17&lt;&gt;"")),'Events 2'!$D$6:$D$17),'Inputs 2'!$C$14))</f>
      </c>
      <c r="AP25" s="7">
        <f>IF($B25="","",IFERROR(LOOKUP(2,1/(('Events 2'!$C$6:$C$17="W-4 change")*('Events 2'!$B$6:$B$17&lt;=$B25)*('Events 2'!$B$6:$B$17&lt;&gt;"")),'Events 2'!$E$6:$E$17),'Inputs 2'!$C$15))</f>
      </c>
      <c r="AQ25" s="7">
        <f>IF($B25="","",IFERROR(LOOKUP(2,1/(('Events 2'!$C$6:$C$17="W-4 change")*('Events 2'!$B$6:$B$17&lt;=$B25)*('Events 2'!$B$6:$B$17&lt;&gt;"")),'Events 2'!$F$6:$F$17),'Inputs 2'!$C$16))</f>
      </c>
      <c r="AR25" s="7">
        <f>IF($B25="","",IFERROR(LOOKUP(2,1/(('Events 2'!$C$6:$C$17="W-4 change")*('Events 2'!$B$6:$B$17&lt;=$B25)*('Events 2'!$B$6:$B$17&lt;&gt;"")),'Events 2'!$G$6:$G$17),'Inputs 2'!$C$17))</f>
      </c>
      <c r="AS25" s="6">
        <f>IF($B25="","",IFERROR(LOOKUP(2,1/((('Events 2'!$C$6:$C$17="State move")+('Events 2'!$C$6:$C$17="State cert change"))*('Events 2'!$B$6:$B$17&lt;=$B25)*('Events 2'!$B$6:$B$17&lt;&gt;"")),'Events 2'!$F$6:$F$17),'Inputs 2'!$C$23))</f>
      </c>
      <c r="AT25" s="6">
        <f>IF($B25="","",IFERROR(LOOKUP(2,1/((('Events 2'!$C$6:$C$17="State move")+('Events 2'!$C$6:$C$17="State cert change"))*('Events 2'!$B$6:$B$17&lt;=$B25)*('Events 2'!$B$6:$B$17&lt;&gt;"")),'Events 2'!$G$6:$G$17),'Inputs 2'!$C$24))</f>
      </c>
      <c r="AU25">
        <f>IF($B25="","",IFERROR(LOOKUP(2,1/(('Events 2'!$C$6:$C$17="State move")*('Events 2'!$B$6:$B$17&lt;=$B25)*('Events 2'!$B$6:$B$17&lt;&gt;"")),'Events 2'!$E$6:$E$17),'Inputs 2'!$C$22))</f>
      </c>
      <c r="AV25" s="6">
        <f>IF($B25="","",1+COUNTIFS('Events 2'!$C$6:$C$17,"Employer change",'Events 2'!$B$6:$B$17,"&lt;="&amp;$B25,'Events 2'!$B$6:$B$17,"&lt;&gt;"))</f>
      </c>
      <c r="AW25" s="7">
        <f>IF($B25="","",IF($AV25=1,'Inputs 2'!$C$49,IF(IFERROR(MATCH(IFERROR(LOOKUP(2,1/(('Events 2'!$C$6:$C$17="Employer change")*('Events 2'!$B$6:$B$17&lt;=$B25)*('Events 2'!$B$6:$B$17&lt;&gt;"")),'Events 2'!$B$6:$B$17),""),$B$6:$B$68,1),1)&lt;=1,'Inputs 2'!$C$49,INDEX($AB$6:$AB$68,MATCH(IFERROR(LOOKUP(2,1/(('Events 2'!$C$6:$C$17="Employer change")*('Events 2'!$B$6:$B$17&lt;=$B25)*('Events 2'!$B$6:$B$17&lt;&gt;"")),'Events 2'!$B$6:$B$17),""),$B$6:$B$68,1)-1))))</f>
      </c>
      <c r="AX25" s="7">
        <f>IF($B25="","",IF($AV25=1,'Inputs 2'!$C$49,IFERROR(LOOKUP(2,1/(('Events 2'!$C$6:$C$17="Employer change")*('Events 2'!$B$6:$B$17&lt;=$B25)*('Events 2'!$B$6:$B$17&lt;&gt;"")),'Events 2'!$D$6:$D$17),0)))</f>
      </c>
      <c r="AY25" s="7">
        <f>IF($B25="","",($O25-$D25)*'Inputs 2'!$C$8)</f>
      </c>
      <c r="AZ25" s="7">
        <f>IF($B25="","",IF($AN25="AL",MAX(0,$AY25-IF($AU25="Married",IF($AY25&lt;=25999,8500,MAX(5000,8500-175*CEILING(($AY25-25999)/500,1))),IF($AU25="Head of household",IF($AY25&lt;=25999,5200,MAX(2500,5200-135*CEILING(($AY25-25999)/500,1))),IF($AY25&lt;=25999,3000,MAX(2500,3000-25*CEILING(($AY25-25999)/500,1)))))-($P25-'Methodology &amp; Sources'!$C$10*$D25)*'Inputs 2'!$C$8-IF(OR($AU25="Married",$AU25="Head of household"),3000,1500)-$AT25*IF($AY25&lt;=50000,1000,IF($AY25&lt;=100000,500,300))),IF($AN25="AR",IF(MAX(0,$AY25-2470)&lt;97701,INT(MAX(0,$AY25-2470)/100)*100+50,MAX(0,$AY25-2470)),IF($AN25="DE",MAX(0,$AI25-3250),IF($AN25="HI",MAX(0,$AI25-1144*$AS25-4350),IF($AN25="KS",MAX(0,$AI25-(9160*IF($AU25="Married",2,1)+2320*$AT25+IF($AU25="Head of household",2320,0))),IF($AN25="MD",MAX(0,$AI25-3400-3200*$AS25),IF($AN25="MN",MAX(0,$AY25-5300*$AS25),IF($AN25="MO",MAX(0,$AI25-IF($AU25="Head of household",24150,IF($AU25="Married",IF('Inputs 2'!$C$83,16100,32200),16100))),IF($AN25="MT",$AY25,IF($AN25="ND",($C25+$L25)*'Inputs 2'!$C$8,IF($AN25="NE",MAX(0,$AY25-2440*$AS25),IF($AN25="NJ",MAX(0,$AY25-1000*$AS25),IF($AN25="NY",MAX(0,$AY25-(IF($AU25="Married",7950,7400)+1000*$AS25)),IF($AN25="OH",MAX(0,$AY25-650*$AS25),IF($AN25="OK",MAX(0,$AY25-1000*$AS25),IF($AN25="RI",MAX(0,$AI25-1000*$AS25),IF($AN25="SC",MAX(0,$AI25-5000*$AS25-IF($AS25=0,0,MIN(0.1*$AI25,7500))),IF($AN25="VA",MAX(0,$AI25-IF($AU25="Married",17500,8750)-930*$AS25-800*$AT25),IF($AN25="VT",MAX(0,$AI25-5400*$AS25),IF($AN25="WI",MAX(0,$AI25-MAX(0,IF($AU25="Married",9461-0.2*MAX(0,$AI25-25727),6702-0.12*MAX(0,$AI25-17780)))-400*$AS25),IF($AN25="WV",MAX(0,$AI25-2000*$AS25),$AI25))))))))))))))))))))))</f>
      </c>
      <c r="BA25" s="7">
        <f>IF($B25="","",IF($BW25&lt;&gt;"",$BW25,IF($BX25&lt;&gt;"",$BX25,IF($BY25&lt;&gt;"",$BY25,0))))</f>
      </c>
      <c r="BB25" s="7">
        <f>IF($B25="","",IF($AN25="AR",-29*$AS25,IF($AN25="DE",-110*$AS25,IF($AN25="MD",$AZ25*'Inputs 2'!$C$74,IF($AN25="AZ",'Inputs 2'!$C$82*($M25-$D25)*'Inputs 2'!$C$8,IF($AN25="CO",0.044*MAX(0,$AY25-IF($AU25="Married",10000,5000)),IF($AN25="IA",MAX(0,0.038*MAX(0,$AY25-IF($AU25="Head of household",19500,IF($AU25="Married",26000,13000)))-40*$AS25),IF($AN25="ID",0.053*MAX(0,$AY25-IF($AU25="Married",32000,16094)),IF($AN25="IL",0.0495*MAX(0,$AY25-(2925*$AS25+1000*$AT25)),IF($AN25="IN",(0.0295+'Inputs 2'!$C$76)*MAX(0,$AY25-(1000*$AS25+1500*$AT25+3000*'Inputs 2'!$C$86)),IF($AN25="KY",0.035*MAX(0,$AI25-3360),IF($AN25="LA",IF('Inputs 2'!$C$84="0",0.0309*$AI25,0.0309*MAX(0,$AI25-IF('Inputs 2'!$C$84="2",25750,12875))),IF($AN25="MA",0.05*MIN(MAX(0,$AY25-MIN(($BD24+$Q25+$R25+$S25),2000)-IF($AS25=0,0,IF($AS25=1,4400,1000*$AS25+3400))),1107750)+0.09*MAX(0,MAX(0,$AY25-MIN(($BD24+$Q25+$R25+$S25),2000)-IF($AS25=0,0,IF($AS25=1,4400,1000*$AS25+3400)))-1107750)-IF($AU25="Head of household",120,0)-110*'Inputs 2'!$C$75,IF($AN25="MI",0.0425*MAX(0,$AY25-5900*$AS25),IF($AN25="MS",0.04*MAX(0,$AI25-IF($AU25="Head of household",3400,IF($AU25="Married",4600,2300))-'Inputs 2'!$C$85-10000),IF($AN25="OR",IF(OR($AU25="Married",AND($AU25="Single",$AS25&gt;=3)),SUMPRODUCT((MAX(0,$AY25-MIN(($P25-'Methodology &amp; Sources'!$C$10*$D25)*'Inputs 2'!$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Sources'!$B$211:$J$214,0,4))*(MAX(0,$AY25-MIN(($P25-'Methodology &amp; Sources'!$C$10*$D25)*'Inputs 2'!$C$8,IF(OR($AU25="Married",AND($AU25="Single",$AS25&gt;=3)),IF($AY25&lt;250000,8750,IF($AY25&lt;260000,7000,IF($AY25&lt;270000,5250,IF($AY25&lt;280000,3500,IF($AY25&lt;290000,1750,0))))),IF($AY25&lt;125000,8750,IF($AY25&lt;130000,7000,IF($AY25&lt;135000,5250,IF($AY25&lt;140000,3500,IF($AY25&lt;145000,1750,0)))))))-IF(OR($AU25="Married",AND($AU25="Single",$AS25&gt;=3)),5820,2910))-INDEX('Methodology &amp; Sources'!$B$211:$J$214,0,4))*INDEX('Methodology &amp; Sources'!$B$211:$J$214,0,4+2)),SUMPRODUCT((MAX(0,$AY25-MIN(($P25-'Methodology &amp; Sources'!$C$10*$D25)*'Inputs 2'!$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Sources'!$B$211:$J$214,0,1))*(MAX(0,$AY25-MIN(($P25-'Methodology &amp; Sources'!$C$10*$D25)*'Inputs 2'!$C$8,IF(OR($AU25="Married",AND($AU25="Single",$AS25&gt;=3)),IF($AY25&lt;250000,8750,IF($AY25&lt;260000,7000,IF($AY25&lt;270000,5250,IF($AY25&lt;280000,3500,IF($AY25&lt;290000,1750,0))))),IF($AY25&lt;125000,8750,IF($AY25&lt;130000,7000,IF($AY25&lt;135000,5250,IF($AY25&lt;140000,3500,IF($AY25&lt;145000,1750,0)))))))-IF(OR($AU25="Married",AND($AU25="Single",$AS25&gt;=3)),5820,2910))-INDEX('Methodology &amp; Sources'!$B$211:$J$214,0,1))*INDEX('Methodology &amp; Sources'!$B$211:$J$214,0,1+2)))+263-263*IF(IF($AU25="Married",$AY25&gt;200000,$AY25&gt;100000),0,$AS25),IF($AN25="PA",0.0307*(($O25+$E25+$G25)*'Inputs 2'!$C$8),IF($AN25="NY",IF($AU25="Married",IF($AZ25&gt;=2155350,0,IF($AZ25&gt;=1077550,0.48,IF($AZ25&gt;=373200,1.21,IF($AZ25&gt;=323200,0.21,IF($AZ25&gt;=211550,-0.19,IF($AZ25&gt;=157650,-2.8,IF($AZ25&gt;=107650,-0.8,IF($AZ25&gt;=96800,0.05,IF($AZ25&gt;=80650,-0.1,IF($AZ25&gt;=13900,0.4,IF($AZ25&gt;=11700,-0.3,IF($AZ25&gt;=8500,0.5,0)))))))))))),IF($AZ25&gt;=1077550,0,IF($AZ25&gt;=265400,4.29,IF($AZ25&gt;=215400,2.29,IF($AZ25&gt;=157650,2.29,IF($AZ25&gt;=107650,0.29,IF($AZ25&gt;=96800,0.05,IF($AZ25&gt;=80650,-0.1,IF($AZ25&gt;=13900,0.4,IF($AZ25&gt;=11700,-0.3,IF($AZ25&gt;=8500,0.5,0))))))))))),0))))))))))))))))))</f>
      </c>
      <c r="BC25" s="7">
        <f>IF($B25="","",IF($AN25="AL",0.05*$D25,IF($AN25="AR",0.039*$D25,IF($AN25="ID",0.053*$D25,IF($AN25="IN",(0.0295+'Inputs 2'!$C$76)*$D25,IF($AN25="KS",0.05*$D25,IF($AN25="MA",0.09*MIN($D25,MAX(0,MAX(0,$AY25-MIN(($BD24+$Q25+$R25+$S25),2000)-IF($AS25=0,0,IF($AS25=1,4400,1000*$AS25+3400)))+$D25-1107750))+0.05*($D25-MIN($D25,MAX(0,MAX(0,$AY25-MIN(($BD24+$Q25+$R25+$S25),2000)-IF($AS25=0,0,IF($AS25=1,4400,1000*$AS25+3400)))+$D25-1107750))),IF($AN25="MD",(0.065+'Inputs 2'!$C$74)*$D25,IF($AN25="MI",0.0425*$D25,IF($AN25="MN",0.0625*$D25,IF($AN25="MO",0.047*$D25,IF($AN25="MT",0.05*$D25,IF($AN25="ND",0.015*$D25,IF($AN25="NE",0.035*$D25,IF($AN25="NJ",IF('Inputs 2'!$C$77="B",SUMPRODUCT(($D25*'Inputs 2'!$C$8&gt;INDEX('Methodology &amp; Sources'!$B$155:$J$162,0,4))*($D25*'Inputs 2'!$C$8-INDEX('Methodology &amp; Sources'!$B$155:$J$162,0,4))*INDEX('Methodology &amp; Sources'!$B$155:$J$162,0,4+2)),IF('Inputs 2'!$C$77="C",SUMPRODUCT(($D25*'Inputs 2'!$C$8&gt;INDEX('Methodology &amp; Sources'!$B$155:$J$162,0,7))*($D25*'Inputs 2'!$C$8-INDEX('Methodology &amp; Sources'!$B$155:$J$162,0,7))*INDEX('Methodology &amp; Sources'!$B$155:$J$162,0,7+2)),IF('Inputs 2'!$C$77="D",SUMPRODUCT(($D25*'Inputs 2'!$C$8&gt;INDEX('Methodology &amp; Sources'!$B$167:$J$179,0,1))*($D25*'Inputs 2'!$C$8-INDEX('Methodology &amp; Sources'!$B$167:$J$179,0,1))*INDEX('Methodology &amp; Sources'!$B$167:$J$179,0,1+2)),IF('Inputs 2'!$C$77="E",SUMPRODUCT(($D25*'Inputs 2'!$C$8&gt;INDEX('Methodology &amp; Sources'!$B$167:$J$179,0,4))*($D25*'Inputs 2'!$C$8-INDEX('Methodology &amp; Sources'!$B$167:$J$179,0,4))*INDEX('Methodology &amp; Sources'!$B$167:$J$179,0,4+2)),SUMPRODUCT(($D25*'Inputs 2'!$C$8&gt;INDEX('Methodology &amp; Sources'!$B$155:$J$162,0,1))*($D25*'Inputs 2'!$C$8-INDEX('Methodology &amp; Sources'!$B$155:$J$162,0,1))*INDEX('Methodology &amp; Sources'!$B$155:$J$162,0,1+2))))))/'Inputs 2'!$C$8,IF($AN25="NY",0.117*$D25,IF($AN25="OH",0.0275*$D25,IF($AN25="OK",0.045*$D25,IF($AN25="OR",0.08*$D25,IF($AN25="WI",IF($AY25&lt;12760,0.0354,IF($AY25&lt;25520,0.0465,IF($AY25&lt;280950,0.053,0.0765)))*$D25,0))))))))))))))))))))</f>
      </c>
      <c r="BD25" s="7">
        <f>IF($B25="","",$BD24+$Q25+$R25+$S25)</f>
      </c>
      <c r="BE25" s="6">
        <f>IF($B25="",$BE24,$BE24+$BF25)</f>
      </c>
      <c r="BF25" s="6">
        <f>IF($B25="","",IF(AND(IF(YEAR(IF('Inputs 2'!$C$7="Weekly",'Inputs 2'!$C$9+7*(($BE24+1)-1),IF('Inputs 2'!$C$7="Biweekly",'Inputs 2'!$C$9+14*(($BE24+1)-1),IF('Inputs 2'!$C$7="Semimonthly",DATE(YEAR('Inputs 2'!$C$9),MONTH('Inputs 2'!$C$9)+INT((($BE24+1)-1)/2),MIN(DAY('Inputs 2'!$C$9),DAY(EOMONTH(DATE(YEAR('Inputs 2'!$C$9),MONTH('Inputs 2'!$C$9)+INT((($BE24+1)-1)/2),1),0))))+IF(MOD(($BE24+1)-1,2)=1,15,0),EDATE('Inputs 2'!$C$9,($BE24+1)-1)))))&lt;&gt;'Inputs 2'!$C$10,"",IF('Inputs 2'!$C$7="Weekly",'Inputs 2'!$C$9+7*(($BE24+1)-1),IF('Inputs 2'!$C$7="Biweekly",'Inputs 2'!$C$9+14*(($BE24+1)-1),IF('Inputs 2'!$C$7="Semimonthly",DATE(YEAR('Inputs 2'!$C$9),MONTH('Inputs 2'!$C$9)+INT((($BE24+1)-1)/2),MIN(DAY('Inputs 2'!$C$9),DAY(EOMONTH(DATE(YEAR('Inputs 2'!$C$9),MONTH('Inputs 2'!$C$9)+INT((($BE24+1)-1)/2),1),0))))+IF(MOD(($BE24+1)-1,2)=1,15,0),EDATE('Inputs 2'!$C$9,($BE24+1)-1)))))&lt;&gt;"",$B25=IF(YEAR(IF('Inputs 2'!$C$7="Weekly",'Inputs 2'!$C$9+7*(($BE24+1)-1),IF('Inputs 2'!$C$7="Biweekly",'Inputs 2'!$C$9+14*(($BE24+1)-1),IF('Inputs 2'!$C$7="Semimonthly",DATE(YEAR('Inputs 2'!$C$9),MONTH('Inputs 2'!$C$9)+INT((($BE24+1)-1)/2),MIN(DAY('Inputs 2'!$C$9),DAY(EOMONTH(DATE(YEAR('Inputs 2'!$C$9),MONTH('Inputs 2'!$C$9)+INT((($BE24+1)-1)/2),1),0))))+IF(MOD(($BE24+1)-1,2)=1,15,0),EDATE('Inputs 2'!$C$9,($BE24+1)-1)))))&lt;&gt;'Inputs 2'!$C$10,"",IF('Inputs 2'!$C$7="Weekly",'Inputs 2'!$C$9+7*(($BE24+1)-1),IF('Inputs 2'!$C$7="Biweekly",'Inputs 2'!$C$9+14*(($BE24+1)-1),IF('Inputs 2'!$C$7="Semimonthly",DATE(YEAR('Inputs 2'!$C$9),MONTH('Inputs 2'!$C$9)+INT((($BE24+1)-1)/2),MIN(DAY('Inputs 2'!$C$9),DAY(EOMONTH(DATE(YEAR('Inputs 2'!$C$9),MONTH('Inputs 2'!$C$9)+INT((($BE24+1)-1)/2),1),0))))+IF(MOD(($BE24+1)-1,2)=1,15,0),EDATE('Inputs 2'!$C$9,($BE24+1)-1)))))),1,0))</f>
      </c>
      <c r="BG25" s="7">
        <f>IF($B25="","",$BG24+$H25)</f>
      </c>
      <c r="BH25" s="7">
        <f>IF($B25="","",$BH24+$I25)</f>
      </c>
      <c r="BI25" s="7">
        <f>IF($B25="","",$BI24+$G25)</f>
      </c>
      <c r="BJ25" s="7">
        <f>IF($B25="","",IFERROR(LOOKUP(2,1/(((('Events 2'!$C$6:$C$17="Deduction start"))*('Events 2'!$D$6:$D$17="Health FSA"))*('Events 2'!$B$6:$B$17&lt;=$B25)*('Events 2'!$B$6:$B$17&lt;&gt;"")),'Events 2'!$E$6:$E$17),'Inputs 2'!$D$38))</f>
      </c>
      <c r="BK25" s="7">
        <f>IF($B25="","",IFERROR(LOOKUP(2,1/(((('Events 2'!$C$6:$C$17="Deduction start"))*('Events 2'!$D$6:$D$17="Dependent-care FSA"))*('Events 2'!$B$6:$B$17&lt;=$B25)*('Events 2'!$B$6:$B$17&lt;&gt;"")),'Events 2'!$E$6:$E$17),'Inputs 2'!$D$39))</f>
      </c>
      <c r="BL25" s="7">
        <f>IF($B25="","",IFERROR(LOOKUP(2,1/(((('Events 2'!$C$6:$C$17="Deduction start")+('Events 2'!$C$6:$C$17="Deduction stop"))*('Events 2'!$D$6:$D$17="HSA"))*('Events 2'!$B$6:$B$17&lt;=$B25)*('Events 2'!$B$6:$B$17&lt;&gt;"")),'Events 2'!$I$6:$I$17),'Inputs 2'!$D$35))</f>
      </c>
      <c r="BM25" s="7">
        <f>IF($B25="","",IFERROR(LOOKUP(2,1/(((('Events 2'!$C$6:$C$17="Deduction start")+('Events 2'!$C$6:$C$17="Deduction stop"))*('Events 2'!$D$6:$D$17="Premiums"))*('Events 2'!$B$6:$B$17&lt;=$B25)*('Events 2'!$B$6:$B$17&lt;&gt;"")),'Events 2'!$I$6:$I$17),'Inputs 2'!$D$40+'Inputs 2'!$D$41+'Inputs 2'!$D$42))</f>
      </c>
      <c r="BN25" s="7">
        <f>IF($B25="","",IFERROR(LOOKUP(2,1/(((('Events 2'!$C$6:$C$17="Deduction start")+('Events 2'!$C$6:$C$17="Deduction stop"))*('Events 2'!$D$6:$D$17="Commuter"))*('Events 2'!$B$6:$B$17&lt;=$B25)*('Events 2'!$B$6:$B$17&lt;&gt;"")),'Events 2'!$I$6:$I$17),'Inputs 2'!$D$43))</f>
      </c>
      <c r="BO25" s="7">
        <f>IF($B25="","",IFERROR(LOOKUP(2,1/(((('Events 2'!$C$6:$C$17="Deduction start")+('Events 2'!$C$6:$C$17="Deduction stop"))*('Events 2'!$D$6:$D$17="Other pre-tax"))*('Events 2'!$B$6:$B$17&lt;=$B25)*('Events 2'!$B$6:$B$17&lt;&gt;"")),'Events 2'!$I$6:$I$17),'Inputs 2'!$D$44))</f>
      </c>
      <c r="BP25" s="7">
        <f>IF($B25="","",IFERROR(LOOKUP(2,1/(((('Events 2'!$C$6:$C$17="Deduction start")+('Events 2'!$C$6:$C$17="Deduction stop"))*('Events 2'!$D$6:$D$17="Other post-tax"))*('Events 2'!$B$6:$B$17&lt;=$B25)*('Events 2'!$B$6:$B$17&lt;&gt;"")),'Events 2'!$I$6:$I$17),'Inputs 2'!$D$45))</f>
      </c>
      <c r="BQ25" s="6">
        <f>IF($B25="","",IFERROR(LOOKUP(2,1/(((('Events 2'!$C$6:$C$17="Deduction start")+('Events 2'!$C$6:$C$17="Deduction stop"))*('Events 2'!$D$6:$D$17="Health FSA"))*('Events 2'!$B$6:$B$17&lt;=$B25)*('Events 2'!$B$6:$B$17&lt;&gt;"")),'Events 2'!$J$6:$J$17),0))</f>
      </c>
      <c r="BR25" s="6">
        <f>IF($B25="","",IFERROR(LOOKUP(2,1/(((('Events 2'!$C$6:$C$17="Deduction start")+('Events 2'!$C$6:$C$17="Deduction stop"))*('Events 2'!$D$6:$D$17="Dependent-care FSA"))*('Events 2'!$B$6:$B$17&lt;=$B25)*('Events 2'!$B$6:$B$17&lt;&gt;"")),'Events 2'!$J$6:$J$17),0))</f>
      </c>
      <c r="BS25" s="6">
        <f>IF($B25="","",IF(SUMPRODUCT(('Events 2'!$C$6:$C$17="Deduction start")*('Events 2'!$B$6:$B$17&lt;=$B25)*('Events 2'!$B$6:$B$17&lt;&gt;"")*('Events 2'!$D$6:$D$17="Health FSA"))&gt;0,1,0))</f>
      </c>
      <c r="BT25" s="6">
        <f>IF($B25="","",IF(SUMPRODUCT(('Events 2'!$C$6:$C$17="Deduction start")*('Events 2'!$B$6:$B$17&lt;=$B25)*('Events 2'!$B$6:$B$17&lt;&gt;"")*('Events 2'!$D$6:$D$17="Dependent-care FSA"))&gt;0,1,0))</f>
      </c>
      <c r="BU25" s="24">
        <f>IF($B25="","",IF('Inputs 2'!$C$13,SUMPRODUCT(($AH25&gt;=INDEX('Methodology &amp; Sources'!$B$29:$J$36,0,IF('Inputs 2'!$C$12="MFJ",1,IF('Inputs 2'!$C$12="HoH",7,4))))*INDEX('Methodology &amp; Sources'!$B$29:$J$36,0,IF('Inputs 2'!$C$12="MFJ",1,IF('Inputs 2'!$C$12="HoH",7,4))+2)),SUMPRODUCT(($AH25&gt;=INDEX('Methodology &amp; Sources'!$B$19:$J$26,0,IF('Inputs 2'!$C$12="MFJ",1,IF('Inputs 2'!$C$12="HoH",7,4))))*INDEX('Methodology &amp; Sources'!$B$19:$J$26,0,IF('Inputs 2'!$C$12="MFJ",1,IF('Inputs 2'!$C$12="HoH",7,4))+2))))</f>
      </c>
      <c r="BV25" s="24">
        <f>IF($B25="","",IF($BZ25&lt;&gt;"",$BZ25,IF($CA25&lt;&gt;"",$CA25,IF($CB25&lt;&gt;"",$CB25,IF($CC25&lt;&gt;"",$CC25,0)))))</f>
      </c>
      <c r="BW25" s="7">
        <f>IF($B25="","",IF($AN25="MD",IF(OR($AU25="Married",$AU25="Head of household"),SUMPRODUCT(($AZ25&gt;INDEX('Methodology &amp; Sources'!$B$114:$J$120,0,1))*($AZ25-INDEX('Methodology &amp; Sources'!$B$114:$J$120,0,1))*INDEX('Methodology &amp; Sources'!$B$114:$J$120,0,1+2)),SUMPRODUCT(($AZ25&gt;INDEX('Methodology &amp; Sources'!$B$103:$J$109,0,7))*($AZ25-INDEX('Methodology &amp; Sources'!$B$103:$J$109,0,7))*INDEX('Methodology &amp; Sources'!$B$103:$J$109,0,7+2))),IF($AN25="MO",SUMPRODUCT(($AZ25&gt;INDEX('Methodology &amp; Sources'!$B$125:$J$132,0,1))*($AZ25-INDEX('Methodology &amp; Sources'!$B$125:$J$132,0,1))*INDEX('Methodology &amp; Sources'!$B$125:$J$132,0,1+2)),IF($AN25="MT",IF($AU25="Head of household",SUMPRODUCT(($AZ25&gt;INDEX('Methodology &amp; Sources'!$B$137:$J$139,0,1))*($AZ25-INDEX('Methodology &amp; Sources'!$B$137:$J$139,0,1))*INDEX('Methodology &amp; Sources'!$B$137:$J$139,0,1+2)),IF($AU25="Married",SUMPRODUCT(($AZ25&gt;INDEX('Methodology &amp; Sources'!$B$125:$J$132,0,7))*($AZ25-INDEX('Methodology &amp; Sources'!$B$125:$J$132,0,7))*INDEX('Methodology &amp; Sources'!$B$125:$J$132,0,7+2)),SUMPRODUCT(($AZ25&gt;INDEX('Methodology &amp; Sources'!$B$125:$J$132,0,4))*($AZ25-INDEX('Methodology &amp; Sources'!$B$125:$J$132,0,4))*INDEX('Methodology &amp; Sources'!$B$125:$J$132,0,4+2)))),IF($AN25="ND",IF($AU25="Head of household",SUMPRODUCT(($AZ25&gt;INDEX('Methodology &amp; Sources'!$B$144:$J$150,0,1))*($AZ25-INDEX('Methodology &amp; Sources'!$B$144:$J$150,0,1))*INDEX('Methodology &amp; Sources'!$B$144:$J$150,0,1+2)),IF($AU25="Married",SUMPRODUCT(($AZ25&gt;INDEX('Methodology &amp; Sources'!$B$137:$J$139,0,7))*($AZ25-INDEX('Methodology &amp; Sources'!$B$137:$J$139,0,7))*INDEX('Methodology &amp; Sources'!$B$137:$J$139,0,7+2)),SUMPRODUCT(($AZ25&gt;INDEX('Methodology &amp; Sources'!$B$137:$J$139,0,4))*($AZ25-INDEX('Methodology &amp; Sources'!$B$137:$J$139,0,4))*INDEX('Methodology &amp; Sources'!$B$137:$J$139,0,4+2)))),IF($AN25="NJ",IF('Inputs 2'!$C$77="B",SUMPRODUCT(($AZ25&gt;INDEX('Methodology &amp; Sources'!$B$155:$J$162,0,4))*($AZ25-INDEX('Methodology &amp; Sources'!$B$155:$J$162,0,4))*INDEX('Methodology &amp; Sources'!$B$155:$J$162,0,4+2)),IF('Inputs 2'!$C$77="C",SUMPRODUCT(($AZ25&gt;INDEX('Methodology &amp; Sources'!$B$155:$J$162,0,7))*($AZ25-INDEX('Methodology &amp; Sources'!$B$155:$J$162,0,7))*INDEX('Methodology &amp; Sources'!$B$155:$J$162,0,7+2)),IF('Inputs 2'!$C$77="D",SUMPRODUCT(($AZ25&gt;INDEX('Methodology &amp; Sources'!$B$167:$J$179,0,1))*($AZ25-INDEX('Methodology &amp; Sources'!$B$167:$J$179,0,1))*INDEX('Methodology &amp; Sources'!$B$167:$J$179,0,1+2)),IF('Inputs 2'!$C$77="E",SUMPRODUCT(($AZ25&gt;INDEX('Methodology &amp; Sources'!$B$167:$J$179,0,4))*($AZ25-INDEX('Methodology &amp; Sources'!$B$167:$J$179,0,4))*INDEX('Methodology &amp; Sources'!$B$167:$J$179,0,4+2)),SUMPRODUCT(($AZ25&gt;INDEX('Methodology &amp; Sources'!$B$155:$J$162,0,1))*($AZ25-INDEX('Methodology &amp; Sources'!$B$155:$J$162,0,1))*INDEX('Methodology &amp; Sources'!$B$155:$J$162,0,1+2)))))),IF($AN25="NY",IF($AU25="Married",IF($AZ25&gt;=2155350,$AZ25*IF($AZ25&gt;25000000,0.117,IF($AZ25&gt;5000000,0.111,0.1045)),SUMPRODUCT(($AZ25&gt;INDEX('Methodology &amp; Sources'!$B$184:$J$198,0,1))*($AZ25-INDEX('Methodology &amp; Sources'!$B$184:$J$198,0,1))*INDEX('Methodology &amp; Sources'!$B$184:$J$198,0,1+2))),IF($AZ25&gt;=1077550,$AZ25*IF($AZ25&gt;25000000,0.117,IF($AZ25&gt;5000000,0.111,0.1045)),SUMPRODUCT(($AZ25&gt;INDEX('Methodology &amp; Sources'!$B$167:$J$179,0,7))*($AZ25-INDEX('Methodology &amp; Sources'!$B$167:$J$179,0,7))*INDEX('Methodology &amp; Sources'!$B$167:$J$179,0,7+2)))),"")))))))</f>
      </c>
      <c r="BX25" s="7">
        <f>IF($B25="","",IF($AN25="AL",IF(OR($AU25="Married",$AU25="Head of household"),SUMPRODUCT(($AZ25&gt;INDEX('Methodology &amp; Sources'!$B$82:$J$86,0,4))*($AZ25-INDEX('Methodology &amp; Sources'!$B$82:$J$86,0,4))*INDEX('Methodology &amp; Sources'!$B$82:$J$86,0,4+2)),SUMPRODUCT(($AZ25&gt;INDEX('Methodology &amp; Sources'!$B$82:$J$86,0,1))*($AZ25-INDEX('Methodology &amp; Sources'!$B$82:$J$86,0,1))*INDEX('Methodology &amp; Sources'!$B$82:$J$86,0,1+2))),IF($AN25="KS",IF($AU25="Married",SUMPRODUCT(($AZ25&gt;INDEX('Methodology &amp; Sources'!$B$103:$J$109,0,4))*($AZ25-INDEX('Methodology &amp; Sources'!$B$103:$J$109,0,4))*INDEX('Methodology &amp; Sources'!$B$103:$J$109,0,4+2)),SUMPRODUCT(($AZ25&gt;INDEX('Methodology &amp; Sources'!$B$103:$J$109,0,1))*($AZ25-INDEX('Methodology &amp; Sources'!$B$103:$J$109,0,1))*INDEX('Methodology &amp; Sources'!$B$103:$J$109,0,1+2))),IF($AN25="MN",IF($AU25="Married",SUMPRODUCT(($AZ25&gt;INDEX('Methodology &amp; Sources'!$B$114:$J$120,0,7))*($AZ25-INDEX('Methodology &amp; Sources'!$B$114:$J$120,0,7))*INDEX('Methodology &amp; Sources'!$B$114:$J$120,0,7+2)),SUMPRODUCT(($AZ25&gt;INDEX('Methodology &amp; Sources'!$B$114:$J$120,0,4))*($AZ25-INDEX('Methodology &amp; Sources'!$B$114:$J$120,0,4))*INDEX('Methodology &amp; Sources'!$B$114:$J$120,0,4+2))),IF($AN25="NE",MAX(IF($AU25="Married",SUMPRODUCT(($AZ25&gt;INDEX('Methodology &amp; Sources'!$B$144:$J$150,0,7))*($AZ25-INDEX('Methodology &amp; Sources'!$B$144:$J$150,0,7))*INDEX('Methodology &amp; Sources'!$B$144:$J$150,0,7+2)),SUMPRODUCT(($AZ25&gt;INDEX('Methodology &amp; Sources'!$B$144:$J$150,0,4))*($AZ25-INDEX('Methodology &amp; Sources'!$B$144:$J$150,0,4))*INDEX('Methodology &amp; Sources'!$B$144:$J$150,0,4+2))),0.015*$AZ25),IF($AN25="OH",IF($B25&gt;=DATE(2027,8,1),SUMPRODUCT(($AZ25&gt;INDEX('Methodology &amp; Sources'!$B$203:$J$206,0,1))*($AZ25-INDEX('Methodology &amp; Sources'!$B$203:$J$206,0,1))*INDEX('Methodology &amp; Sources'!$B$203:$J$206,0,1+2)),SUMPRODUCT(($AZ25&gt;INDEX('Methodology &amp; Sources'!$B$184:$J$198,0,7))*($AZ25-INDEX('Methodology &amp; Sources'!$B$184:$J$198,0,7))*INDEX('Methodology &amp; Sources'!$B$184:$J$198,0,7+2))),IF($AN25="OK",IF($AU25="Married",SUMPRODUCT(($AZ25&gt;INDEX('Methodology &amp; Sources'!$B$203:$J$206,0,7))*($AZ25-INDEX('Methodology &amp; Sources'!$B$203:$J$206,0,7))*INDEX('Methodology &amp; Sources'!$B$203:$J$206,0,7+2)),SUMPRODUCT(($AZ25&gt;INDEX('Methodology &amp; Sources'!$B$203:$J$206,0,4))*($AZ25-INDEX('Methodology &amp; Sources'!$B$203:$J$206,0,4))*INDEX('Methodology &amp; Sources'!$B$203:$J$206,0,4+2))),IF($AN25="RI",SUMPRODUCT(($AZ25&gt;INDEX('Methodology &amp; Sources'!$B$211:$J$214,0,7))*($AZ25-INDEX('Methodology &amp; Sources'!$B$211:$J$214,0,7))*INDEX('Methodology &amp; Sources'!$B$211:$J$214,0,7+2)),IF($AN25="VT",IF($AU25="Married",SUMPRODUCT(($AZ25&gt;INDEX('Methodology &amp; Sources'!$B$228:$J$232,0,1))*($AZ25-INDEX('Methodology &amp; Sources'!$B$228:$J$232,0,1))*INDEX('Methodology &amp; Sources'!$B$228:$J$232,0,1+2)),SUMPRODUCT(($AZ25&gt;INDEX('Methodology &amp; Sources'!$B$219:$J$223,0,7))*($AZ25-INDEX('Methodology &amp; Sources'!$B$219:$J$223,0,7))*INDEX('Methodology &amp; Sources'!$B$219:$J$223,0,7+2))),IF($AN25="WV",IF($AU25="Married",SUMPRODUCT(($AZ25&gt;INDEX('Methodology &amp; Sources'!$B$237:$J$241,0,7))*($AZ25-INDEX('Methodology &amp; Sources'!$B$237:$J$241,0,7))*INDEX('Methodology &amp; Sources'!$B$237:$J$241,0,7+2)),SUMPRODUCT(($AZ25&gt;INDEX('Methodology &amp; Sources'!$B$228:$J$232,0,7))*($AZ25-INDEX('Methodology &amp; Sources'!$B$228:$J$232,0,7))*INDEX('Methodology &amp; Sources'!$B$228:$J$232,0,7+2))),""))))))))))</f>
      </c>
      <c r="BY25" s="7">
        <f>IF($B25="","",IF($AN25="AR",SUMPRODUCT(($AZ25&gt;INDEX('Methodology &amp; Sources'!$B$82:$J$86,0,7))*($AZ25-INDEX('Methodology &amp; Sources'!$B$82:$J$86,0,7))*INDEX('Methodology &amp; Sources'!$B$82:$J$86,0,7+2)),IF($AN25="DE",SUMPRODUCT(($AZ25&gt;INDEX('Methodology &amp; Sources'!$B$91:$J$98,0,1))*($AZ25-INDEX('Methodology &amp; Sources'!$B$91:$J$98,0,1))*INDEX('Methodology &amp; Sources'!$B$91:$J$98,0,1+2)),IF($AN25="HI",IF($AU25="Married",SUMPRODUCT(($AZ25&gt;INDEX('Methodology &amp; Sources'!$B$91:$J$98,0,7))*($AZ25-INDEX('Methodology &amp; Sources'!$B$91:$J$98,0,7))*INDEX('Methodology &amp; Sources'!$B$91:$J$98,0,7+2)),SUMPRODUCT(($AZ25&gt;INDEX('Methodology &amp; Sources'!$B$91:$J$98,0,4))*($AZ25-INDEX('Methodology &amp; Sources'!$B$91:$J$98,0,4))*INDEX('Methodology &amp; Sources'!$B$91:$J$98,0,4+2))),IF($AN25="SC",SUMPRODUCT(($AZ25&gt;INDEX('Methodology &amp; Sources'!$B$219:$J$223,0,1))*($AZ25-INDEX('Methodology &amp; Sources'!$B$219:$J$223,0,1))*INDEX('Methodology &amp; Sources'!$B$219:$J$223,0,1+2)),IF($AN25="VA",SUMPRODUCT(($AZ25&gt;INDEX('Methodology &amp; Sources'!$B$219:$J$223,0,4))*($AZ25-INDEX('Methodology &amp; Sources'!$B$219:$J$223,0,4))*INDEX('Methodology &amp; Sources'!$B$219:$J$223,0,4+2)),IF($AN25="WI",SUMPRODUCT(($AZ25&gt;INDEX('Methodology &amp; Sources'!$B$228:$J$232,0,4))*($AZ25-INDEX('Methodology &amp; Sources'!$B$228:$J$232,0,4))*INDEX('Methodology &amp; Sources'!$B$228:$J$232,0,4+2)),"")))))))</f>
      </c>
      <c r="BZ25" s="24">
        <f>IF($B25="","",IF($AN25="NJ",IF('Inputs 2'!$C$77="B",SUMPRODUCT(($AZ25&gt;=INDEX('Methodology &amp; Sources'!$B$155:$J$162,0,4))*INDEX('Methodology &amp; Sources'!$B$155:$J$162,0,4+2)),IF('Inputs 2'!$C$77="C",SUMPRODUCT(($AZ25&gt;=INDEX('Methodology &amp; Sources'!$B$155:$J$162,0,7))*INDEX('Methodology &amp; Sources'!$B$155:$J$162,0,7+2)),IF('Inputs 2'!$C$77="D",SUMPRODUCT(($AZ25&gt;=INDEX('Methodology &amp; Sources'!$B$167:$J$179,0,1))*INDEX('Methodology &amp; Sources'!$B$167:$J$179,0,1+2)),IF('Inputs 2'!$C$77="E",SUMPRODUCT(($AZ25&gt;=INDEX('Methodology &amp; Sources'!$B$167:$J$179,0,4))*INDEX('Methodology &amp; Sources'!$B$167:$J$179,0,4+2)),SUMPRODUCT(($AZ25&gt;=INDEX('Methodology &amp; Sources'!$B$155:$J$162,0,1))*INDEX('Methodology &amp; Sources'!$B$155:$J$162,0,1+2)))))),IF($AN25="OR",IF(OR($AU25="Married",AND($AU25="Single",$AS25&gt;=3)),SUMPRODUCT((MAX(0,$AY25-MIN(($P25-'Methodology &amp; Sources'!$C$10*$D25)*'Inputs 2'!$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Sources'!$B$211:$J$214,0,4))*INDEX('Methodology &amp; Sources'!$B$211:$J$214,0,4+2)),SUMPRODUCT((MAX(0,$AY25-MIN(($P25-'Methodology &amp; Sources'!$C$10*$D25)*'Inputs 2'!$C$8,IF(OR($AU25="Married",AND($AU25="Single",$AS25&gt;=3)),IF($AY25&lt;250000,8750,IF($AY25&lt;260000,7000,IF($AY25&lt;270000,5250,IF($AY25&lt;280000,3500,IF($AY25&lt;290000,1750,0))))),IF($AY25&lt;125000,8750,IF($AY25&lt;130000,7000,IF($AY25&lt;135000,5250,IF($AY25&lt;140000,3500,IF($AY25&lt;145000,1750,0)))))))-IF(OR($AU25="Married",AND($AU25="Single",$AS25&gt;=3)),5820,2910))&gt;=INDEX('Methodology &amp; Sources'!$B$211:$J$214,0,1))*INDEX('Methodology &amp; Sources'!$B$211:$J$214,0,1+2)))*IF(($P25-'Methodology &amp; Sources'!$C$10*$D25)*'Inputs 2'!$C$8&gt;=IF(OR($AU25="Married",AND($AU25="Single",$AS25&gt;=3)),IF($AY25&lt;250000,8750,IF($AY25&lt;260000,7000,IF($AY25&lt;270000,5250,IF($AY25&lt;280000,3500,IF($AY25&lt;290000,1750,0))))),IF($AY25&lt;125000,8750,IF($AY25&lt;130000,7000,IF($AY25&lt;135000,5250,IF($AY25&lt;140000,3500,IF($AY25&lt;145000,1750,0)))))),1,1-IF('Inputs 2'!$C$13,SUMPRODUCT(($AH25&gt;=INDEX('Methodology &amp; Sources'!$B$29:$J$36,0,IF('Inputs 2'!$C$12="MFJ",1,IF('Inputs 2'!$C$12="HoH",7,4))))*INDEX('Methodology &amp; Sources'!$B$29:$J$36,0,IF('Inputs 2'!$C$12="MFJ",1,IF('Inputs 2'!$C$12="HoH",7,4))+2)),SUMPRODUCT(($AH25&gt;=INDEX('Methodology &amp; Sources'!$B$19:$J$26,0,IF('Inputs 2'!$C$12="MFJ",1,IF('Inputs 2'!$C$12="HoH",7,4))))*INDEX('Methodology &amp; Sources'!$B$19:$J$26,0,IF('Inputs 2'!$C$12="MFJ",1,IF('Inputs 2'!$C$12="HoH",7,4))+2)))),IF($AN25="MI",IF($AY25&gt;5900*$AS25,0.0425,0),""))))</f>
      </c>
      <c r="CA25" s="24">
        <f>IF($B25="","",IF($AN25="AL",IF(OR($AU25="Married",$AU25="Head of household"),SUMPRODUCT(($AZ25&gt;=INDEX('Methodology &amp; Sources'!$B$82:$J$86,0,4))*INDEX('Methodology &amp; Sources'!$B$82:$J$86,0,4+2)),SUMPRODUCT(($AZ25&gt;=INDEX('Methodology &amp; Sources'!$B$82:$J$86,0,1))*INDEX('Methodology &amp; Sources'!$B$82:$J$86,0,1+2)))*(1-IF('Inputs 2'!$C$13,SUMPRODUCT(($AH25&gt;=INDEX('Methodology &amp; Sources'!$B$29:$J$36,0,IF('Inputs 2'!$C$12="MFJ",1,IF('Inputs 2'!$C$12="HoH",7,4))))*INDEX('Methodology &amp; Sources'!$B$29:$J$36,0,IF('Inputs 2'!$C$12="MFJ",1,IF('Inputs 2'!$C$12="HoH",7,4))+2)),SUMPRODUCT(($AH25&gt;=INDEX('Methodology &amp; Sources'!$B$19:$J$26,0,IF('Inputs 2'!$C$12="MFJ",1,IF('Inputs 2'!$C$12="HoH",7,4))))*INDEX('Methodology &amp; Sources'!$B$19:$J$26,0,IF('Inputs 2'!$C$12="MFJ",1,IF('Inputs 2'!$C$12="HoH",7,4))+2)))),IF($AN25="KS",IF($AU25="Married",SUMPRODUCT(($AZ25&gt;=INDEX('Methodology &amp; Sources'!$B$103:$J$109,0,4))*INDEX('Methodology &amp; Sources'!$B$103:$J$109,0,4+2)),SUMPRODUCT(($AZ25&gt;=INDEX('Methodology &amp; Sources'!$B$103:$J$109,0,1))*INDEX('Methodology &amp; Sources'!$B$103:$J$109,0,1+2))),IF($AN25="MD",IF(OR($AU25="Married",$AU25="Head of household"),SUMPRODUCT(($AZ25&gt;=INDEX('Methodology &amp; Sources'!$B$114:$J$120,0,1))*INDEX('Methodology &amp; Sources'!$B$114:$J$120,0,1+2)),SUMPRODUCT(($AZ25&gt;=INDEX('Methodology &amp; Sources'!$B$103:$J$109,0,7))*INDEX('Methodology &amp; Sources'!$B$103:$J$109,0,7+2)))+'Inputs 2'!$C$74,IF($AN25="MT",IF($AU25="Head of household",SUMPRODUCT(($AZ25&gt;=INDEX('Methodology &amp; Sources'!$B$137:$J$139,0,1))*INDEX('Methodology &amp; Sources'!$B$137:$J$139,0,1+2)),IF($AU25="Married",SUMPRODUCT(($AZ25&gt;=INDEX('Methodology &amp; Sources'!$B$125:$J$132,0,7))*INDEX('Methodology &amp; Sources'!$B$125:$J$132,0,7+2)),SUMPRODUCT(($AZ25&gt;=INDEX('Methodology &amp; Sources'!$B$125:$J$132,0,4))*INDEX('Methodology &amp; Sources'!$B$125:$J$132,0,4+2)))),IF($AN25="ND",IF($AU25="Head of household",SUMPRODUCT(($AZ25&gt;=INDEX('Methodology &amp; Sources'!$B$144:$J$150,0,1))*INDEX('Methodology &amp; Sources'!$B$144:$J$150,0,1+2)),IF($AU25="Married",SUMPRODUCT(($AZ25&gt;=INDEX('Methodology &amp; Sources'!$B$137:$J$139,0,7))*INDEX('Methodology &amp; Sources'!$B$137:$J$139,0,7+2)),SUMPRODUCT(($AZ25&gt;=INDEX('Methodology &amp; Sources'!$B$137:$J$139,0,4))*INDEX('Methodology &amp; Sources'!$B$137:$J$139,0,4+2)))),IF($AN25="NY",IF($AU25="Married",IF($AZ25&gt;=2155350,IF($AZ25&gt;25000000,0.117,IF($AZ25&gt;5000000,0.111,0.1045)),SUMPRODUCT(($AZ25&gt;=INDEX('Methodology &amp; Sources'!$B$184:$J$198,0,1))*INDEX('Methodology &amp; Sources'!$B$184:$J$198,0,1+2))),IF($AZ25&gt;=1077550,IF($AZ25&gt;25000000,0.117,IF($AZ25&gt;5000000,0.111,0.1045)),SUMPRODUCT(($AZ25&gt;=INDEX('Methodology &amp; Sources'!$B$167:$J$179,0,7))*INDEX('Methodology &amp; Sources'!$B$167:$J$179,0,7+2)))),"")))))))</f>
      </c>
      <c r="CB25" s="24">
        <f>IF($B25="","",IF($AN25="CA",SUMPRODUCT(($AJ25&gt;=INDEX('Methodology &amp; Sources'!$B$39:$J$48,0,IF($AU25="Married",4,IF($AU25="Head of household",7,1))))*INDEX('Methodology &amp; Sources'!$B$39:$J$48,0,IF($AU25="Married",4,IF($AU25="Head of household",7,1))+2)),IF($AN25="HI",IF($AU25="Married",SUMPRODUCT(($AZ25&gt;=INDEX('Methodology &amp; Sources'!$B$91:$J$98,0,7))*INDEX('Methodology &amp; Sources'!$B$91:$J$98,0,7+2)),SUMPRODUCT(($AZ25&gt;=INDEX('Methodology &amp; Sources'!$B$91:$J$98,0,4))*INDEX('Methodology &amp; Sources'!$B$91:$J$98,0,4+2))),IF($AN25="MN",IF($AU25="Married",SUMPRODUCT(($AZ25&gt;=INDEX('Methodology &amp; Sources'!$B$114:$J$120,0,7))*INDEX('Methodology &amp; Sources'!$B$114:$J$120,0,7+2)),SUMPRODUCT(($AZ25&gt;=INDEX('Methodology &amp; Sources'!$B$114:$J$120,0,4))*INDEX('Methodology &amp; Sources'!$B$114:$J$120,0,4+2))),IF($AN25="MO",SUMPRODUCT(($AZ25&gt;=INDEX('Methodology &amp; Sources'!$B$125:$J$132,0,1))*INDEX('Methodology &amp; Sources'!$B$125:$J$132,0,1+2)),IF($AN25="NE",MAX(IF($AU25="Married",SUMPRODUCT(($AZ25&gt;=INDEX('Methodology &amp; Sources'!$B$144:$J$150,0,7))*INDEX('Methodology &amp; Sources'!$B$144:$J$150,0,7+2)),SUMPRODUCT(($AZ25&gt;=INDEX('Methodology &amp; Sources'!$B$144:$J$150,0,4))*INDEX('Methodology &amp; Sources'!$B$144:$J$150,0,4+2))),0.015),IF($AN25="OH",IF($B25&gt;=DATE(2027,8,1),SUMPRODUCT(($AZ25&gt;=INDEX('Methodology &amp; Sources'!$B$203:$J$206,0,1))*INDEX('Methodology &amp; Sources'!$B$203:$J$206,0,1+2)),SUMPRODUCT(($AZ25&gt;=INDEX('Methodology &amp; Sources'!$B$184:$J$198,0,7))*INDEX('Methodology &amp; Sources'!$B$184:$J$198,0,7+2))),IF($AN25="OK",IF($AU25="Married",SUMPRODUCT(($AZ25&gt;=INDEX('Methodology &amp; Sources'!$B$203:$J$206,0,7))*INDEX('Methodology &amp; Sources'!$B$203:$J$206,0,7+2)),SUMPRODUCT(($AZ25&gt;=INDEX('Methodology &amp; Sources'!$B$203:$J$206,0,4))*INDEX('Methodology &amp; Sources'!$B$203:$J$206,0,4+2))),IF($AN25="RI",SUMPRODUCT(($AZ25&gt;=INDEX('Methodology &amp; Sources'!$B$211:$J$214,0,7))*INDEX('Methodology &amp; Sources'!$B$211:$J$214,0,7+2)),IF($AN25="SC",SUMPRODUCT(($AZ25&gt;=INDEX('Methodology &amp; Sources'!$B$219:$J$223,0,1))*INDEX('Methodology &amp; Sources'!$B$219:$J$223,0,1+2)),IF($AN25="VT",IF($AU25="Married",SUMPRODUCT(($AZ25&gt;=INDEX('Methodology &amp; Sources'!$B$228:$J$232,0,1))*INDEX('Methodology &amp; Sources'!$B$228:$J$232,0,1+2)),SUMPRODUCT(($AZ25&gt;=INDEX('Methodology &amp; Sources'!$B$219:$J$223,0,7))*INDEX('Methodology &amp; Sources'!$B$219:$J$223,0,7+2))),IF($AN25="WV",IF($AU25="Married",SUMPRODUCT(($AZ25&gt;=INDEX('Methodology &amp; Sources'!$B$237:$J$241,0,7))*INDEX('Methodology &amp; Sources'!$B$237:$J$241,0,7+2)),SUMPRODUCT(($AZ25&gt;=INDEX('Methodology &amp; Sources'!$B$228:$J$232,0,7))*INDEX('Methodology &amp; Sources'!$B$228:$J$232,0,7+2))),IF($AN25="IN",(0.0295+'Inputs 2'!$C$76),"")))))))))))))</f>
      </c>
      <c r="CC25" s="24">
        <f>IF($B25="","",IF($AN25="AR",SUMPRODUCT(($AZ25&gt;=INDEX('Methodology &amp; Sources'!$B$82:$J$86,0,7))*INDEX('Methodology &amp; Sources'!$B$82:$J$86,0,7+2)),IF($AN25="DE",SUMPRODUCT(($AZ25&gt;=INDEX('Methodology &amp; Sources'!$B$91:$J$98,0,1))*INDEX('Methodology &amp; Sources'!$B$91:$J$98,0,1+2)),IF($AN25="VA",SUMPRODUCT(($AZ25&gt;=INDEX('Methodology &amp; Sources'!$B$219:$J$223,0,4))*INDEX('Methodology &amp; Sources'!$B$219:$J$223,0,4+2)),IF($AN25="WI",SUMPRODUCT(($AZ25&gt;=INDEX('Methodology &amp; Sources'!$B$228:$J$232,0,4))*INDEX('Methodology &amp; Sources'!$B$228:$J$232,0,4+2)),IF($AN25="AZ",'Inputs 2'!$C$82,IF($AN25="CO",IF($AY25&gt;IF($AU25="Married",10000,5000),0.044,0),IF($AN25="IA",IF($AY25&gt;IF($AU25="Head of household",19500,IF($AU25="Married",26000,13000)),0.038,0),IF($AN25="ID",IF($AY25&gt;IF($AU25="Married",32000,16094),0.053,0),IF($AN25="IL",IF($AY25&gt;(2925*$AS25+1000*$AT25),0.0495,0),IF($AN25="KY",IF($AI25&gt;3360,0.035,0),IF($AN25="LA",0.0309,IF($AN25="MA",IF(MAX(0,$AY25-MIN(($BD24+$Q25+$R25+$S25),2000)-IF($AS25=0,0,IF($AS25=1,4400,1000*$AS25+3400)))&gt;=1107750,0.09,0.05),IF($AN25="MS",IF($AI25-IF($AU25="Head of household",3400,IF($AU25="Married",4600,2300))-'Inputs 2'!$C$85&gt;10000,0.04,0),IF($AN25="PA",0.0307,"")))))))))))))))</f>
      </c>
      <c r="CD25" s="21">
        <f>IF(YEAR(IF('Inputs 2'!$C$7="Weekly",'Inputs 2'!$C$9+7*(($BE24+1)-1),IF('Inputs 2'!$C$7="Biweekly",'Inputs 2'!$C$9+14*(($BE24+1)-1),IF('Inputs 2'!$C$7="Semimonthly",DATE(YEAR('Inputs 2'!$C$9),MONTH('Inputs 2'!$C$9)+INT((($BE24+1)-1)/2),MIN(DAY('Inputs 2'!$C$9),DAY(EOMONTH(DATE(YEAR('Inputs 2'!$C$9),MONTH('Inputs 2'!$C$9)+INT((($BE24+1)-1)/2),1),0))))+IF(MOD(($BE24+1)-1,2)=1,15,0),EDATE('Inputs 2'!$C$9,($BE24+1)-1)))))&lt;&gt;'Inputs 2'!$C$10,"",IF('Inputs 2'!$C$7="Weekly",'Inputs 2'!$C$9+7*(($BE24+1)-1),IF('Inputs 2'!$C$7="Biweekly",'Inputs 2'!$C$9+14*(($BE24+1)-1),IF('Inputs 2'!$C$7="Semimonthly",DATE(YEAR('Inputs 2'!$C$9),MONTH('Inputs 2'!$C$9)+INT((($BE24+1)-1)/2),MIN(DAY('Inputs 2'!$C$9),DAY(EOMONTH(DATE(YEAR('Inputs 2'!$C$9),MONTH('Inputs 2'!$C$9)+INT((($BE24+1)-1)/2),1),0))))+IF(MOD(($BE24+1)-1,2)=1,15,0),EDATE('Inputs 2'!$C$9,($BE24+1)-1)))))</f>
      </c>
      <c r="CE25" s="21">
        <f>IF(SUMPRODUCT(MIN(IF(('Inputs 2'!$C$58:$C$67&gt;MAX($B$6:$B24))*('Inputs 2'!$C$58:$C$67&gt;=DATE('Inputs 2'!$C$10,1,1))*('Inputs 2'!$C$58:$C$67&lt;=DATE('Inputs 2'!$C$10,12,31)),'Inputs 2'!$C$58:$C$67,999999)))=999999,"",SUMPRODUCT(MIN(IF(('Inputs 2'!$C$58:$C$67&gt;MAX($B$6:$B24))*('Inputs 2'!$C$58:$C$67&gt;=DATE('Inputs 2'!$C$10,1,1))*('Inputs 2'!$C$58:$C$67&lt;=DATE('Inputs 2'!$C$10,12,31)),'Inputs 2'!$C$58:$C$67,999999))))</f>
      </c>
    </row>
    <row r="26">
      <c r="A26" t="n">
        <v>21</v>
      </c>
      <c r="B26" s="21">
        <f>IF(AND($CD26="",$CE26=""),"",IF($CE26="",$CD26,IF($CD26="",$CE26,MIN($CD26,$CE26))))</f>
      </c>
      <c r="C26" s="7">
        <f>IF($B26="","",IF($BF26=0,0,IF('Inputs 2'!$C$4="Annual salary",ROUND($AK26/IF(AND('Inputs 2'!$C$88="Actual paydays",MONTH('Inputs 2'!$C$9)=1),MAX(1,MAX($BE$6:$BE$68)),'Inputs 2'!$C$8),2),$AK26)))</f>
      </c>
      <c r="D26" s="7">
        <f>IF($B26="","",SUMIF('Inputs 2'!$C$58:$C$67,$B26,'Inputs 2'!$D$58:$D$67))</f>
      </c>
      <c r="E26" s="7">
        <f>IF($B26="","",ROUND(MAX(0,MIN(IF($AL26="Percent",$AM26*($C26+$D26),$AM26),MAX(0,'Inputs 2'!$C$34-$AC25))),2))</f>
      </c>
      <c r="F26" s="7">
        <f>IF($B26="","",ROUND(MAX(0,MIN(IF('Inputs 2'!$C$32="Percent",'Inputs 2'!$D$32*($C26+$D26),'Inputs 2'!$D$32),MAX(0,'Inputs 2'!$C$34-$AC25-$E26))),2))</f>
      </c>
      <c r="G26" s="7">
        <f>IF($B26="","",IF($BF26=0,0,ROUND(MAX(0,MIN($BL26,'Inputs 2'!$C$37-'Inputs 2'!$C$54-$BI25)),2)))</f>
      </c>
      <c r="H26" s="7">
        <f>IF($B26="","",IF(OR($BF26=0,$BQ26=1),0,ROUND(MAX(0,MIN(IF($BS26=1,ROUND(MAX(0,MIN($BJ26,'Methodology &amp; Sources'!$C$13)-$BG25)/MAX(1,MAX($BE$6:$BE$68)-($BE25)),2),ROUND(MIN($BJ26,'Methodology &amp; Sources'!$C$13)/'Inputs 2'!$C$8,2)),MIN($BJ26,'Methodology &amp; Sources'!$C$13)-$BG25)),2)))</f>
      </c>
      <c r="I26" s="7">
        <f>IF($B26="","",IF(OR($BF26=0,$BR26=1),0,ROUND(MAX(0,MIN(IF($BT26=1,ROUND(MAX(0,MIN($BK26,IF('Inputs 2'!$C$12="MFJ",'Methodology &amp; Sources'!$C$14,'Methodology &amp; Sources'!$C$15))-$BH25)/MAX(1,MAX($BE$6:$BE$68)-($BE25)),2),ROUND(MIN($BK26,IF('Inputs 2'!$C$12="MFJ",'Methodology &amp; Sources'!$C$14,'Methodology &amp; Sources'!$C$15))/'Inputs 2'!$C$8,2)),MIN($BK26,IF('Inputs 2'!$C$12="MFJ",'Methodology &amp; Sources'!$C$14,'Methodology &amp; Sources'!$C$15))-$BH25)),2)))</f>
      </c>
      <c r="J26" s="7">
        <f>IF($B26="","",IF($BF26=0,0,$BM26))</f>
      </c>
      <c r="K26" s="7">
        <f>IF($B26="","",IF($BF26=0,0,$BN26+$BO26))</f>
      </c>
      <c r="L26" s="7">
        <f>IF($B26="","",IF($BF26=0,0,'Inputs 2'!$D$46))</f>
      </c>
      <c r="M26" s="7">
        <f>IF($B26="","",$C26+$D26+$L26-$E26-$G26-$H26-$I26-$J26-$K26)</f>
      </c>
      <c r="N26" s="7">
        <f>IF($B26="","",$C26+$D26+$L26-$G26-$H26-$I26-$J26-$K26)</f>
      </c>
      <c r="O26" s="7">
        <f>IF($B26="","",$C26+$D26+$L26-$E26-$H26-$I26-$J26-$K26-IF(OR($AN26="CA",$AN26="NJ"),0,$G26))</f>
      </c>
      <c r="P26" s="7">
        <f>IF($B26="","",IF('Inputs 2'!$C$18,0,ROUND(MAX(0,IF('Inputs 2'!$C$13,SUMPRODUCT(($AH26&gt;INDEX('Methodology &amp; Sources'!$B$29:$J$36,0,IF('Inputs 2'!$C$12="MFJ",1,IF('Inputs 2'!$C$12="HoH",7,4))))*($AH26-INDEX('Methodology &amp; Sources'!$B$29:$J$36,0,IF('Inputs 2'!$C$12="MFJ",1,IF('Inputs 2'!$C$12="HoH",7,4))))*INDEX('Methodology &amp; Sources'!$B$29:$J$36,0,IF('Inputs 2'!$C$12="MFJ",1,IF('Inputs 2'!$C$12="HoH",7,4))+2)),SUMPRODUCT(($AH26&gt;INDEX('Methodology &amp; Sources'!$B$19:$J$26,0,IF('Inputs 2'!$C$12="MFJ",1,IF('Inputs 2'!$C$12="HoH",7,4))))*($AH26-INDEX('Methodology &amp; Sources'!$B$19:$J$26,0,IF('Inputs 2'!$C$12="MFJ",1,IF('Inputs 2'!$C$12="HoH",7,4))))*INDEX('Methodology &amp; Sources'!$B$19:$J$26,0,IF('Inputs 2'!$C$12="MFJ",1,IF('Inputs 2'!$C$12="HoH",7,4))+2)))/'Inputs 2'!$C$8-$AO26/'Inputs 2'!$C$8)+$AR26+IF('Inputs 2'!$C$89="Aggregate",MAX(0,IF('Inputs 2'!$C$13,SUMPRODUCT((($AH26+$D26)&gt;INDEX('Methodology &amp; Sources'!$B$29:$J$36,0,IF('Inputs 2'!$C$12="MFJ",1,IF('Inputs 2'!$C$12="HoH",7,4))))*(($AH26+$D26)-INDEX('Methodology &amp; Sources'!$B$29:$J$36,0,IF('Inputs 2'!$C$12="MFJ",1,IF('Inputs 2'!$C$12="HoH",7,4))))*INDEX('Methodology &amp; Sources'!$B$29:$J$36,0,IF('Inputs 2'!$C$12="MFJ",1,IF('Inputs 2'!$C$12="HoH",7,4))+2)),SUMPRODUCT((($AH26+$D26)&gt;INDEX('Methodology &amp; Sources'!$B$19:$J$26,0,IF('Inputs 2'!$C$12="MFJ",1,IF('Inputs 2'!$C$12="HoH",7,4))))*(($AH26+$D26)-INDEX('Methodology &amp; Sources'!$B$19:$J$26,0,IF('Inputs 2'!$C$12="MFJ",1,IF('Inputs 2'!$C$12="HoH",7,4))))*INDEX('Methodology &amp; Sources'!$B$19:$J$26,0,IF('Inputs 2'!$C$12="MFJ",1,IF('Inputs 2'!$C$12="HoH",7,4))+2)))-IF('Inputs 2'!$C$13,SUMPRODUCT(($AH26&gt;INDEX('Methodology &amp; Sources'!$B$29:$J$36,0,IF('Inputs 2'!$C$12="MFJ",1,IF('Inputs 2'!$C$12="HoH",7,4))))*($AH26-INDEX('Methodology &amp; Sources'!$B$29:$J$36,0,IF('Inputs 2'!$C$12="MFJ",1,IF('Inputs 2'!$C$12="HoH",7,4))))*INDEX('Methodology &amp; Sources'!$B$29:$J$36,0,IF('Inputs 2'!$C$12="MFJ",1,IF('Inputs 2'!$C$12="HoH",7,4))+2)),SUMPRODUCT(($AH26&gt;INDEX('Methodology &amp; Sources'!$B$19:$J$26,0,IF('Inputs 2'!$C$12="MFJ",1,IF('Inputs 2'!$C$12="HoH",7,4))))*($AH26-INDEX('Methodology &amp; Sources'!$B$19:$J$26,0,IF('Inputs 2'!$C$12="MFJ",1,IF('Inputs 2'!$C$12="HoH",7,4))))*INDEX('Methodology &amp; Sources'!$B$19:$J$26,0,IF('Inputs 2'!$C$12="MFJ",1,IF('Inputs 2'!$C$12="HoH",7,4))+2)))),'Methodology &amp; Sources'!$C$10*$D26),2)))</f>
      </c>
      <c r="Q26" s="7">
        <f>IF($B26="","",ROUND('Methodology &amp; Sources'!$C$4*MIN($N26,MAX(0,'Methodology &amp; Sources'!$C$3-($AX26+$AB25-$AW26))),2))</f>
      </c>
      <c r="R26" s="7">
        <f>IF($B26="","",ROUND('Methodology &amp; Sources'!$C$5*$N26,2))</f>
      </c>
      <c r="S26" s="7">
        <f>IF($B26="","",ROUND('Methodology &amp; Sources'!$C$6*MAX(0,MIN($N26,$AG25+$N26-'Methodology &amp; Sources'!$C$7)),2))</f>
      </c>
      <c r="T26" s="7">
        <f>IF($B26="","",IF('Inputs 2'!$C$26,0,IF($AN26="CA",ROUND(IF($AI26&lt;=IF(($AS26+$AT26)&gt;=2,VLOOKUP($AN26,StateTables!$A$6:$AB$56,10,FALSE),VLOOKUP($AN26,StateTables!$A$6:$AB$56,9,FALSE)),0,MAX(0,SUMPRODUCT(($AJ26&gt;INDEX('Methodology &amp; Sources'!$B$39:$J$48,0,IF($AU26="Married",4,IF($AU26="Head of household",7,1))))*($AJ26-INDEX('Methodology &amp; Sources'!$B$39:$J$48,0,IF($AU26="Married",4,IF($AU26="Head of household",7,1))))*INDEX('Methodology &amp; Sources'!$B$39:$J$48,0,IF($AU26="Married",4,IF($AU26="Head of household",7,1))+2))-VLOOKUP($AN26,StateTables!$A$6:$AB$56,11,FALSE)*$AS26)/'Inputs 2'!$C$8)+'Inputs 2'!$C$25+VLOOKUP($AN26,StateTables!$A$6:$AB$56,13,FALSE)*$D26,2),IF(VLOOKUP($AN26,StateTables!$A$6:$AB$56,4,FALSE)="None",0,IF(ISNUMBER(SEARCH("MANUAL",VLOOKUP($AN26,StateTables!$A$6:$AB$56,5,FALSE))),'Inputs 2'!$C$28,ROUND(MAX(0,$BA26+$BB26)/'Inputs 2'!$C$8+'Inputs 2'!$C$25+$BC26,2))))))</f>
      </c>
      <c r="U26" s="7">
        <f>IF($B26="","",IF(VLOOKUP($AN26,StateTables!$A$6:$AB$56,24,FALSE)="flatq",IF(OR(MONTH($B26)=1,MONTH($B26)=4,MONTH($B26)=7,MONTH($B26)=10),VLOOKUP($AN26,StateTables!$A$6:$AB$56,25,FALSE),0),IF(VLOOKUP($AN26,StateTables!$A$6:$AB$56,24,FALSE)="dbl",MIN(ROUND(0.005*$N26,2),ROUND(0.6*52/'Inputs 2'!$C$8,2)),IF(OR(VLOOKUP($AN26,StateTables!$A$6:$AB$56,15,FALSE)="",VLOOKUP($AN26,StateTables!$A$6:$AB$56,15,FALSE)=0),0,ROUND(VLOOKUP($AN26,StateTables!$A$6:$AB$56,15,FALSE)*IF(OR(VLOOKUP($AN26,StateTables!$A$6:$AB$56,16,FALSE)="",VLOOKUP($AN26,StateTables!$A$6:$AB$56,16,FALSE)=0),$N26,MIN($N26,MAX(0,VLOOKUP($AN26,StateTables!$A$6:$AB$56,16,FALSE)-($AX26+$AB25-$AW26)))),2))))+IF(VLOOKUP($AN26,StateTables!$A$6:$AB$56,27,FALSE)="flatq",IF(OR(MONTH($B26)=1,MONTH($B26)=4,MONTH($B26)=7,MONTH($B26)=10),VLOOKUP($AN26,StateTables!$A$6:$AB$56,28,FALSE),0),IF(VLOOKUP($AN26,StateTables!$A$6:$AB$56,27,FALSE)="dbl",MIN(ROUND(0.005*$N26,2),ROUND(0.6*52/'Inputs 2'!$C$8,2)),IF(OR(VLOOKUP($AN26,StateTables!$A$6:$AB$56,18,FALSE)="",VLOOKUP($AN26,StateTables!$A$6:$AB$56,18,FALSE)=0),0,ROUND(VLOOKUP($AN26,StateTables!$A$6:$AB$56,18,FALSE)*IF(OR(VLOOKUP($AN26,StateTables!$A$6:$AB$56,19,FALSE)="",VLOOKUP($AN26,StateTables!$A$6:$AB$56,19,FALSE)=0),$N26,MIN($N26,MAX(0,VLOOKUP($AN26,StateTables!$A$6:$AB$56,19,FALSE)-($AX26+$AB25-$AW26)))),2)))))</f>
      </c>
      <c r="V26" s="7">
        <f>IF($B26="","",IF($AN26="NY",IF('Inputs 2'!$C$78,ROUND(SUMPRODUCT((MAX(0,($O26-$D26)*'Inputs 2'!$C$8-(IF($AU26="Married",5500,5000)+1000*$AS26))&gt;INDEX('Methodology &amp; Sources'!$B$184:$J$198,0,4))*(MAX(0,($O26-$D26)*'Inputs 2'!$C$8-(IF($AU26="Married",5500,5000)+1000*$AS26))-INDEX('Methodology &amp; Sources'!$B$184:$J$198,0,4))*INDEX('Methodology &amp; Sources'!$B$184:$J$198,0,4+2))/'Inputs 2'!$C$8+0.0425*$D26,2),0)+IF('Inputs 2'!$C$79="Resident",ROUND(0.1675*$T26,2),IF('Inputs 2'!$C$79="Nonresident",ROUND(0.005*MAX(0,($O26-$D26)-(IF($AU26="Married",7950,7400)+1000*$AS26)/'Inputs 2'!$C$8),2),0)),IF($AN26="PA",IF('Inputs 2'!$C$80="None",'Inputs 2'!$C$27+ROUND('Inputs 2'!$C$81*($C26+$D26),2),ROUND(IF('Inputs 2'!$C$80="Resident",IF($B26&lt;DATE(2027,7,1),0.03735,0.03735),IF($B26&lt;DATE(2027,7,1),0.03425,0.03425))*($C26+$D26),2)),IF($BF26=0,ROUND('Inputs 2'!$C$81*($C26+$D26),2),'Inputs 2'!$C$27+ROUND('Inputs 2'!$C$81*($C26+$D26),2)))))</f>
      </c>
      <c r="W26" s="7">
        <f>IF($B26="","",IF($BF26=0,0,$BP26))</f>
      </c>
      <c r="X26" s="7">
        <f>IF($B26="","",SUM($E26:$K26)+$P26+$Q26+$R26+$S26+$T26+$U26+$V26+$W26)</f>
      </c>
      <c r="Y26" s="22">
        <f>IF($B26="","",$C26+$D26-$X26)</f>
      </c>
      <c r="Z26" s="7">
        <f>IF($B26="","",$Z25+$C26+$D26)</f>
      </c>
      <c r="AA26" s="7">
        <f>IF($B26="","",$AA25+$Y26)</f>
      </c>
      <c r="AB26" s="7">
        <f>IF($B26="","",$AB25+MIN($N26,MAX(0,'Methodology &amp; Sources'!$C$3-($AX26+$AB25-$AW26))))</f>
      </c>
      <c r="AC26" s="7">
        <f>IF($B26="","",$AC25+$E26+$F26)</f>
      </c>
      <c r="AD26" s="3">
        <f>IF($B26="","",IF(AND($AB25&lt;'Methodology &amp; Sources'!$C$3,$AB26&gt;='Methodology &amp; Sources'!$C$3),"★ Social Security maxed on this check — from the next check your net rises by about $"&amp;TEXT(ROUND('Methodology &amp; Sources'!$C$4*$N26,2),"#,##0.00")&amp;". ","")&amp;IF(AND($AC25&lt;'Inputs 2'!$C$34,$AC26&gt;='Inputs 2'!$C$34),"★ 401(k) reaches the $"&amp;TEXT('Inputs 2'!$C$34,"#,##0")&amp;" cap on this check — deferrals stop and net pay rises. ","")&amp;IF(AND($AG25&lt;'Methodology &amp; Sources'!$C$7,$AG26&gt;='Methodology &amp; Sources'!$C$7),"★ Wages pass $200,000 — the 0.9% Additional Medicare Tax starts here. ","")&amp;IF(AND($BJ26&gt;0,$H26&gt;0,$BG25&lt;MIN($BJ26,'Methodology &amp; Sources'!$C$13),$BG25+$H26&gt;=MIN($BJ26,'Methodology &amp; Sources'!$C$13)),"★ Health FSA election is now fully deferred for the year. ",""))</f>
      </c>
      <c r="AE26" s="41" t="n"/>
      <c r="AF26" s="7">
        <f>IF(OR($B26="",$AE26=""),"",$AE26-$Y26)</f>
      </c>
      <c r="AG26" s="7">
        <f>IF($B26="","",$AG25+$N26)</f>
      </c>
      <c r="AH26" s="7">
        <f>IF($B26="","",MAX(0,($M26-$D26)*'Inputs 2'!$C$8+$AP26-$AQ26-IF('Inputs 2'!$C$13,0,IF('Inputs 2'!$C$12="MFJ",'Methodology &amp; Sources'!$C$8,'Methodology &amp; Sources'!$C$9))))</f>
      </c>
      <c r="AI26" s="7">
        <f>IF($B26="","",$O26*'Inputs 2'!$C$8)</f>
      </c>
      <c r="AJ26" s="7">
        <f>IF($B26="","",MAX(0,$AI26-VLOOKUP($AN26,StateTables!$A$6:$AB$56,12,FALSE)*$AT26-IF(($AS26+$AT26)&gt;=2,VLOOKUP($AN26,StateTables!$A$6:$AB$56,8,FALSE),VLOOKUP($AN26,StateTables!$A$6:$AB$56,7,FALSE))))</f>
      </c>
      <c r="AK26" s="7">
        <f>IF($B26="","",IFERROR(LOOKUP(2,1/(('Events 2'!$C$6:$C$17="Salary change")*('Events 2'!$B$6:$B$17&lt;=$B26)*('Events 2'!$B$6:$B$17&lt;&gt;"")),'Events 2'!$D$6:$D$17),IF('Inputs 2'!$C$4="Annual salary",'Inputs 2'!$C$5,'Inputs 2'!$C$6)))</f>
      </c>
      <c r="AL26">
        <f>IF($B26="","",IFERROR(LOOKUP(2,1/(('Events 2'!$C$6:$C$17="401(k) change")*('Events 2'!$B$6:$B$17&lt;=$B26)*('Events 2'!$B$6:$B$17&lt;&gt;"")),'Events 2'!$D$6:$D$17),'Inputs 2'!$C$30))</f>
      </c>
      <c r="AM26" s="7">
        <f>IF($B26="","",IFERROR(LOOKUP(2,1/(('Events 2'!$C$6:$C$17="401(k) change")*('Events 2'!$B$6:$B$17&lt;=$B26)*('Events 2'!$B$6:$B$17&lt;&gt;"")),'Events 2'!$E$6:$E$17),'Inputs 2'!$D$30))</f>
      </c>
      <c r="AN26">
        <f>IF($B26="","",IFERROR(LOOKUP(2,1/(('Events 2'!$C$6:$C$17="State move")*('Events 2'!$B$6:$B$17&lt;=$B26)*('Events 2'!$B$6:$B$17&lt;&gt;"")),'Events 2'!$D$6:$D$17),'Inputs 2'!$C$21))</f>
      </c>
      <c r="AO26" s="7">
        <f>IF($B26="","",IFERROR(LOOKUP(2,1/(('Events 2'!$C$6:$C$17="W-4 change")*('Events 2'!$B$6:$B$17&lt;=$B26)*('Events 2'!$B$6:$B$17&lt;&gt;"")),'Events 2'!$D$6:$D$17),'Inputs 2'!$C$14))</f>
      </c>
      <c r="AP26" s="7">
        <f>IF($B26="","",IFERROR(LOOKUP(2,1/(('Events 2'!$C$6:$C$17="W-4 change")*('Events 2'!$B$6:$B$17&lt;=$B26)*('Events 2'!$B$6:$B$17&lt;&gt;"")),'Events 2'!$E$6:$E$17),'Inputs 2'!$C$15))</f>
      </c>
      <c r="AQ26" s="7">
        <f>IF($B26="","",IFERROR(LOOKUP(2,1/(('Events 2'!$C$6:$C$17="W-4 change")*('Events 2'!$B$6:$B$17&lt;=$B26)*('Events 2'!$B$6:$B$17&lt;&gt;"")),'Events 2'!$F$6:$F$17),'Inputs 2'!$C$16))</f>
      </c>
      <c r="AR26" s="7">
        <f>IF($B26="","",IFERROR(LOOKUP(2,1/(('Events 2'!$C$6:$C$17="W-4 change")*('Events 2'!$B$6:$B$17&lt;=$B26)*('Events 2'!$B$6:$B$17&lt;&gt;"")),'Events 2'!$G$6:$G$17),'Inputs 2'!$C$17))</f>
      </c>
      <c r="AS26" s="6">
        <f>IF($B26="","",IFERROR(LOOKUP(2,1/((('Events 2'!$C$6:$C$17="State move")+('Events 2'!$C$6:$C$17="State cert change"))*('Events 2'!$B$6:$B$17&lt;=$B26)*('Events 2'!$B$6:$B$17&lt;&gt;"")),'Events 2'!$F$6:$F$17),'Inputs 2'!$C$23))</f>
      </c>
      <c r="AT26" s="6">
        <f>IF($B26="","",IFERROR(LOOKUP(2,1/((('Events 2'!$C$6:$C$17="State move")+('Events 2'!$C$6:$C$17="State cert change"))*('Events 2'!$B$6:$B$17&lt;=$B26)*('Events 2'!$B$6:$B$17&lt;&gt;"")),'Events 2'!$G$6:$G$17),'Inputs 2'!$C$24))</f>
      </c>
      <c r="AU26">
        <f>IF($B26="","",IFERROR(LOOKUP(2,1/(('Events 2'!$C$6:$C$17="State move")*('Events 2'!$B$6:$B$17&lt;=$B26)*('Events 2'!$B$6:$B$17&lt;&gt;"")),'Events 2'!$E$6:$E$17),'Inputs 2'!$C$22))</f>
      </c>
      <c r="AV26" s="6">
        <f>IF($B26="","",1+COUNTIFS('Events 2'!$C$6:$C$17,"Employer change",'Events 2'!$B$6:$B$17,"&lt;="&amp;$B26,'Events 2'!$B$6:$B$17,"&lt;&gt;"))</f>
      </c>
      <c r="AW26" s="7">
        <f>IF($B26="","",IF($AV26=1,'Inputs 2'!$C$49,IF(IFERROR(MATCH(IFERROR(LOOKUP(2,1/(('Events 2'!$C$6:$C$17="Employer change")*('Events 2'!$B$6:$B$17&lt;=$B26)*('Events 2'!$B$6:$B$17&lt;&gt;"")),'Events 2'!$B$6:$B$17),""),$B$6:$B$68,1),1)&lt;=1,'Inputs 2'!$C$49,INDEX($AB$6:$AB$68,MATCH(IFERROR(LOOKUP(2,1/(('Events 2'!$C$6:$C$17="Employer change")*('Events 2'!$B$6:$B$17&lt;=$B26)*('Events 2'!$B$6:$B$17&lt;&gt;"")),'Events 2'!$B$6:$B$17),""),$B$6:$B$68,1)-1))))</f>
      </c>
      <c r="AX26" s="7">
        <f>IF($B26="","",IF($AV26=1,'Inputs 2'!$C$49,IFERROR(LOOKUP(2,1/(('Events 2'!$C$6:$C$17="Employer change")*('Events 2'!$B$6:$B$17&lt;=$B26)*('Events 2'!$B$6:$B$17&lt;&gt;"")),'Events 2'!$D$6:$D$17),0)))</f>
      </c>
      <c r="AY26" s="7">
        <f>IF($B26="","",($O26-$D26)*'Inputs 2'!$C$8)</f>
      </c>
      <c r="AZ26" s="7">
        <f>IF($B26="","",IF($AN26="AL",MAX(0,$AY26-IF($AU26="Married",IF($AY26&lt;=25999,8500,MAX(5000,8500-175*CEILING(($AY26-25999)/500,1))),IF($AU26="Head of household",IF($AY26&lt;=25999,5200,MAX(2500,5200-135*CEILING(($AY26-25999)/500,1))),IF($AY26&lt;=25999,3000,MAX(2500,3000-25*CEILING(($AY26-25999)/500,1)))))-($P26-'Methodology &amp; Sources'!$C$10*$D26)*'Inputs 2'!$C$8-IF(OR($AU26="Married",$AU26="Head of household"),3000,1500)-$AT26*IF($AY26&lt;=50000,1000,IF($AY26&lt;=100000,500,300))),IF($AN26="AR",IF(MAX(0,$AY26-2470)&lt;97701,INT(MAX(0,$AY26-2470)/100)*100+50,MAX(0,$AY26-2470)),IF($AN26="DE",MAX(0,$AI26-3250),IF($AN26="HI",MAX(0,$AI26-1144*$AS26-4350),IF($AN26="KS",MAX(0,$AI26-(9160*IF($AU26="Married",2,1)+2320*$AT26+IF($AU26="Head of household",2320,0))),IF($AN26="MD",MAX(0,$AI26-3400-3200*$AS26),IF($AN26="MN",MAX(0,$AY26-5300*$AS26),IF($AN26="MO",MAX(0,$AI26-IF($AU26="Head of household",24150,IF($AU26="Married",IF('Inputs 2'!$C$83,16100,32200),16100))),IF($AN26="MT",$AY26,IF($AN26="ND",($C26+$L26)*'Inputs 2'!$C$8,IF($AN26="NE",MAX(0,$AY26-2440*$AS26),IF($AN26="NJ",MAX(0,$AY26-1000*$AS26),IF($AN26="NY",MAX(0,$AY26-(IF($AU26="Married",7950,7400)+1000*$AS26)),IF($AN26="OH",MAX(0,$AY26-650*$AS26),IF($AN26="OK",MAX(0,$AY26-1000*$AS26),IF($AN26="RI",MAX(0,$AI26-1000*$AS26),IF($AN26="SC",MAX(0,$AI26-5000*$AS26-IF($AS26=0,0,MIN(0.1*$AI26,7500))),IF($AN26="VA",MAX(0,$AI26-IF($AU26="Married",17500,8750)-930*$AS26-800*$AT26),IF($AN26="VT",MAX(0,$AI26-5400*$AS26),IF($AN26="WI",MAX(0,$AI26-MAX(0,IF($AU26="Married",9461-0.2*MAX(0,$AI26-25727),6702-0.12*MAX(0,$AI26-17780)))-400*$AS26),IF($AN26="WV",MAX(0,$AI26-2000*$AS26),$AI26))))))))))))))))))))))</f>
      </c>
      <c r="BA26" s="7">
        <f>IF($B26="","",IF($BW26&lt;&gt;"",$BW26,IF($BX26&lt;&gt;"",$BX26,IF($BY26&lt;&gt;"",$BY26,0))))</f>
      </c>
      <c r="BB26" s="7">
        <f>IF($B26="","",IF($AN26="AR",-29*$AS26,IF($AN26="DE",-110*$AS26,IF($AN26="MD",$AZ26*'Inputs 2'!$C$74,IF($AN26="AZ",'Inputs 2'!$C$82*($M26-$D26)*'Inputs 2'!$C$8,IF($AN26="CO",0.044*MAX(0,$AY26-IF($AU26="Married",10000,5000)),IF($AN26="IA",MAX(0,0.038*MAX(0,$AY26-IF($AU26="Head of household",19500,IF($AU26="Married",26000,13000)))-40*$AS26),IF($AN26="ID",0.053*MAX(0,$AY26-IF($AU26="Married",32000,16094)),IF($AN26="IL",0.0495*MAX(0,$AY26-(2925*$AS26+1000*$AT26)),IF($AN26="IN",(0.0295+'Inputs 2'!$C$76)*MAX(0,$AY26-(1000*$AS26+1500*$AT26+3000*'Inputs 2'!$C$86)),IF($AN26="KY",0.035*MAX(0,$AI26-3360),IF($AN26="LA",IF('Inputs 2'!$C$84="0",0.0309*$AI26,0.0309*MAX(0,$AI26-IF('Inputs 2'!$C$84="2",25750,12875))),IF($AN26="MA",0.05*MIN(MAX(0,$AY26-MIN(($BD25+$Q26+$R26+$S26),2000)-IF($AS26=0,0,IF($AS26=1,4400,1000*$AS26+3400))),1107750)+0.09*MAX(0,MAX(0,$AY26-MIN(($BD25+$Q26+$R26+$S26),2000)-IF($AS26=0,0,IF($AS26=1,4400,1000*$AS26+3400)))-1107750)-IF($AU26="Head of household",120,0)-110*'Inputs 2'!$C$75,IF($AN26="MI",0.0425*MAX(0,$AY26-5900*$AS26),IF($AN26="MS",0.04*MAX(0,$AI26-IF($AU26="Head of household",3400,IF($AU26="Married",4600,2300))-'Inputs 2'!$C$85-10000),IF($AN26="OR",IF(OR($AU26="Married",AND($AU26="Single",$AS26&gt;=3)),SUMPRODUCT((MAX(0,$AY26-MIN(($P26-'Methodology &amp; Sources'!$C$10*$D26)*'Inputs 2'!$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Sources'!$B$211:$J$214,0,4))*(MAX(0,$AY26-MIN(($P26-'Methodology &amp; Sources'!$C$10*$D26)*'Inputs 2'!$C$8,IF(OR($AU26="Married",AND($AU26="Single",$AS26&gt;=3)),IF($AY26&lt;250000,8750,IF($AY26&lt;260000,7000,IF($AY26&lt;270000,5250,IF($AY26&lt;280000,3500,IF($AY26&lt;290000,1750,0))))),IF($AY26&lt;125000,8750,IF($AY26&lt;130000,7000,IF($AY26&lt;135000,5250,IF($AY26&lt;140000,3500,IF($AY26&lt;145000,1750,0)))))))-IF(OR($AU26="Married",AND($AU26="Single",$AS26&gt;=3)),5820,2910))-INDEX('Methodology &amp; Sources'!$B$211:$J$214,0,4))*INDEX('Methodology &amp; Sources'!$B$211:$J$214,0,4+2)),SUMPRODUCT((MAX(0,$AY26-MIN(($P26-'Methodology &amp; Sources'!$C$10*$D26)*'Inputs 2'!$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Sources'!$B$211:$J$214,0,1))*(MAX(0,$AY26-MIN(($P26-'Methodology &amp; Sources'!$C$10*$D26)*'Inputs 2'!$C$8,IF(OR($AU26="Married",AND($AU26="Single",$AS26&gt;=3)),IF($AY26&lt;250000,8750,IF($AY26&lt;260000,7000,IF($AY26&lt;270000,5250,IF($AY26&lt;280000,3500,IF($AY26&lt;290000,1750,0))))),IF($AY26&lt;125000,8750,IF($AY26&lt;130000,7000,IF($AY26&lt;135000,5250,IF($AY26&lt;140000,3500,IF($AY26&lt;145000,1750,0)))))))-IF(OR($AU26="Married",AND($AU26="Single",$AS26&gt;=3)),5820,2910))-INDEX('Methodology &amp; Sources'!$B$211:$J$214,0,1))*INDEX('Methodology &amp; Sources'!$B$211:$J$214,0,1+2)))+263-263*IF(IF($AU26="Married",$AY26&gt;200000,$AY26&gt;100000),0,$AS26),IF($AN26="PA",0.0307*(($O26+$E26+$G26)*'Inputs 2'!$C$8),IF($AN26="NY",IF($AU26="Married",IF($AZ26&gt;=2155350,0,IF($AZ26&gt;=1077550,0.48,IF($AZ26&gt;=373200,1.21,IF($AZ26&gt;=323200,0.21,IF($AZ26&gt;=211550,-0.19,IF($AZ26&gt;=157650,-2.8,IF($AZ26&gt;=107650,-0.8,IF($AZ26&gt;=96800,0.05,IF($AZ26&gt;=80650,-0.1,IF($AZ26&gt;=13900,0.4,IF($AZ26&gt;=11700,-0.3,IF($AZ26&gt;=8500,0.5,0)))))))))))),IF($AZ26&gt;=1077550,0,IF($AZ26&gt;=265400,4.29,IF($AZ26&gt;=215400,2.29,IF($AZ26&gt;=157650,2.29,IF($AZ26&gt;=107650,0.29,IF($AZ26&gt;=96800,0.05,IF($AZ26&gt;=80650,-0.1,IF($AZ26&gt;=13900,0.4,IF($AZ26&gt;=11700,-0.3,IF($AZ26&gt;=8500,0.5,0))))))))))),0))))))))))))))))))</f>
      </c>
      <c r="BC26" s="7">
        <f>IF($B26="","",IF($AN26="AL",0.05*$D26,IF($AN26="AR",0.039*$D26,IF($AN26="ID",0.053*$D26,IF($AN26="IN",(0.0295+'Inputs 2'!$C$76)*$D26,IF($AN26="KS",0.05*$D26,IF($AN26="MA",0.09*MIN($D26,MAX(0,MAX(0,$AY26-MIN(($BD25+$Q26+$R26+$S26),2000)-IF($AS26=0,0,IF($AS26=1,4400,1000*$AS26+3400)))+$D26-1107750))+0.05*($D26-MIN($D26,MAX(0,MAX(0,$AY26-MIN(($BD25+$Q26+$R26+$S26),2000)-IF($AS26=0,0,IF($AS26=1,4400,1000*$AS26+3400)))+$D26-1107750))),IF($AN26="MD",(0.065+'Inputs 2'!$C$74)*$D26,IF($AN26="MI",0.0425*$D26,IF($AN26="MN",0.0625*$D26,IF($AN26="MO",0.047*$D26,IF($AN26="MT",0.05*$D26,IF($AN26="ND",0.015*$D26,IF($AN26="NE",0.035*$D26,IF($AN26="NJ",IF('Inputs 2'!$C$77="B",SUMPRODUCT(($D26*'Inputs 2'!$C$8&gt;INDEX('Methodology &amp; Sources'!$B$155:$J$162,0,4))*($D26*'Inputs 2'!$C$8-INDEX('Methodology &amp; Sources'!$B$155:$J$162,0,4))*INDEX('Methodology &amp; Sources'!$B$155:$J$162,0,4+2)),IF('Inputs 2'!$C$77="C",SUMPRODUCT(($D26*'Inputs 2'!$C$8&gt;INDEX('Methodology &amp; Sources'!$B$155:$J$162,0,7))*($D26*'Inputs 2'!$C$8-INDEX('Methodology &amp; Sources'!$B$155:$J$162,0,7))*INDEX('Methodology &amp; Sources'!$B$155:$J$162,0,7+2)),IF('Inputs 2'!$C$77="D",SUMPRODUCT(($D26*'Inputs 2'!$C$8&gt;INDEX('Methodology &amp; Sources'!$B$167:$J$179,0,1))*($D26*'Inputs 2'!$C$8-INDEX('Methodology &amp; Sources'!$B$167:$J$179,0,1))*INDEX('Methodology &amp; Sources'!$B$167:$J$179,0,1+2)),IF('Inputs 2'!$C$77="E",SUMPRODUCT(($D26*'Inputs 2'!$C$8&gt;INDEX('Methodology &amp; Sources'!$B$167:$J$179,0,4))*($D26*'Inputs 2'!$C$8-INDEX('Methodology &amp; Sources'!$B$167:$J$179,0,4))*INDEX('Methodology &amp; Sources'!$B$167:$J$179,0,4+2)),SUMPRODUCT(($D26*'Inputs 2'!$C$8&gt;INDEX('Methodology &amp; Sources'!$B$155:$J$162,0,1))*($D26*'Inputs 2'!$C$8-INDEX('Methodology &amp; Sources'!$B$155:$J$162,0,1))*INDEX('Methodology &amp; Sources'!$B$155:$J$162,0,1+2))))))/'Inputs 2'!$C$8,IF($AN26="NY",0.117*$D26,IF($AN26="OH",0.0275*$D26,IF($AN26="OK",0.045*$D26,IF($AN26="OR",0.08*$D26,IF($AN26="WI",IF($AY26&lt;12760,0.0354,IF($AY26&lt;25520,0.0465,IF($AY26&lt;280950,0.053,0.0765)))*$D26,0))))))))))))))))))))</f>
      </c>
      <c r="BD26" s="7">
        <f>IF($B26="","",$BD25+$Q26+$R26+$S26)</f>
      </c>
      <c r="BE26" s="6">
        <f>IF($B26="",$BE25,$BE25+$BF26)</f>
      </c>
      <c r="BF26" s="6">
        <f>IF($B26="","",IF(AND(IF(YEAR(IF('Inputs 2'!$C$7="Weekly",'Inputs 2'!$C$9+7*(($BE25+1)-1),IF('Inputs 2'!$C$7="Biweekly",'Inputs 2'!$C$9+14*(($BE25+1)-1),IF('Inputs 2'!$C$7="Semimonthly",DATE(YEAR('Inputs 2'!$C$9),MONTH('Inputs 2'!$C$9)+INT((($BE25+1)-1)/2),MIN(DAY('Inputs 2'!$C$9),DAY(EOMONTH(DATE(YEAR('Inputs 2'!$C$9),MONTH('Inputs 2'!$C$9)+INT((($BE25+1)-1)/2),1),0))))+IF(MOD(($BE25+1)-1,2)=1,15,0),EDATE('Inputs 2'!$C$9,($BE25+1)-1)))))&lt;&gt;'Inputs 2'!$C$10,"",IF('Inputs 2'!$C$7="Weekly",'Inputs 2'!$C$9+7*(($BE25+1)-1),IF('Inputs 2'!$C$7="Biweekly",'Inputs 2'!$C$9+14*(($BE25+1)-1),IF('Inputs 2'!$C$7="Semimonthly",DATE(YEAR('Inputs 2'!$C$9),MONTH('Inputs 2'!$C$9)+INT((($BE25+1)-1)/2),MIN(DAY('Inputs 2'!$C$9),DAY(EOMONTH(DATE(YEAR('Inputs 2'!$C$9),MONTH('Inputs 2'!$C$9)+INT((($BE25+1)-1)/2),1),0))))+IF(MOD(($BE25+1)-1,2)=1,15,0),EDATE('Inputs 2'!$C$9,($BE25+1)-1)))))&lt;&gt;"",$B26=IF(YEAR(IF('Inputs 2'!$C$7="Weekly",'Inputs 2'!$C$9+7*(($BE25+1)-1),IF('Inputs 2'!$C$7="Biweekly",'Inputs 2'!$C$9+14*(($BE25+1)-1),IF('Inputs 2'!$C$7="Semimonthly",DATE(YEAR('Inputs 2'!$C$9),MONTH('Inputs 2'!$C$9)+INT((($BE25+1)-1)/2),MIN(DAY('Inputs 2'!$C$9),DAY(EOMONTH(DATE(YEAR('Inputs 2'!$C$9),MONTH('Inputs 2'!$C$9)+INT((($BE25+1)-1)/2),1),0))))+IF(MOD(($BE25+1)-1,2)=1,15,0),EDATE('Inputs 2'!$C$9,($BE25+1)-1)))))&lt;&gt;'Inputs 2'!$C$10,"",IF('Inputs 2'!$C$7="Weekly",'Inputs 2'!$C$9+7*(($BE25+1)-1),IF('Inputs 2'!$C$7="Biweekly",'Inputs 2'!$C$9+14*(($BE25+1)-1),IF('Inputs 2'!$C$7="Semimonthly",DATE(YEAR('Inputs 2'!$C$9),MONTH('Inputs 2'!$C$9)+INT((($BE25+1)-1)/2),MIN(DAY('Inputs 2'!$C$9),DAY(EOMONTH(DATE(YEAR('Inputs 2'!$C$9),MONTH('Inputs 2'!$C$9)+INT((($BE25+1)-1)/2),1),0))))+IF(MOD(($BE25+1)-1,2)=1,15,0),EDATE('Inputs 2'!$C$9,($BE25+1)-1)))))),1,0))</f>
      </c>
      <c r="BG26" s="7">
        <f>IF($B26="","",$BG25+$H26)</f>
      </c>
      <c r="BH26" s="7">
        <f>IF($B26="","",$BH25+$I26)</f>
      </c>
      <c r="BI26" s="7">
        <f>IF($B26="","",$BI25+$G26)</f>
      </c>
      <c r="BJ26" s="7">
        <f>IF($B26="","",IFERROR(LOOKUP(2,1/(((('Events 2'!$C$6:$C$17="Deduction start"))*('Events 2'!$D$6:$D$17="Health FSA"))*('Events 2'!$B$6:$B$17&lt;=$B26)*('Events 2'!$B$6:$B$17&lt;&gt;"")),'Events 2'!$E$6:$E$17),'Inputs 2'!$D$38))</f>
      </c>
      <c r="BK26" s="7">
        <f>IF($B26="","",IFERROR(LOOKUP(2,1/(((('Events 2'!$C$6:$C$17="Deduction start"))*('Events 2'!$D$6:$D$17="Dependent-care FSA"))*('Events 2'!$B$6:$B$17&lt;=$B26)*('Events 2'!$B$6:$B$17&lt;&gt;"")),'Events 2'!$E$6:$E$17),'Inputs 2'!$D$39))</f>
      </c>
      <c r="BL26" s="7">
        <f>IF($B26="","",IFERROR(LOOKUP(2,1/(((('Events 2'!$C$6:$C$17="Deduction start")+('Events 2'!$C$6:$C$17="Deduction stop"))*('Events 2'!$D$6:$D$17="HSA"))*('Events 2'!$B$6:$B$17&lt;=$B26)*('Events 2'!$B$6:$B$17&lt;&gt;"")),'Events 2'!$I$6:$I$17),'Inputs 2'!$D$35))</f>
      </c>
      <c r="BM26" s="7">
        <f>IF($B26="","",IFERROR(LOOKUP(2,1/(((('Events 2'!$C$6:$C$17="Deduction start")+('Events 2'!$C$6:$C$17="Deduction stop"))*('Events 2'!$D$6:$D$17="Premiums"))*('Events 2'!$B$6:$B$17&lt;=$B26)*('Events 2'!$B$6:$B$17&lt;&gt;"")),'Events 2'!$I$6:$I$17),'Inputs 2'!$D$40+'Inputs 2'!$D$41+'Inputs 2'!$D$42))</f>
      </c>
      <c r="BN26" s="7">
        <f>IF($B26="","",IFERROR(LOOKUP(2,1/(((('Events 2'!$C$6:$C$17="Deduction start")+('Events 2'!$C$6:$C$17="Deduction stop"))*('Events 2'!$D$6:$D$17="Commuter"))*('Events 2'!$B$6:$B$17&lt;=$B26)*('Events 2'!$B$6:$B$17&lt;&gt;"")),'Events 2'!$I$6:$I$17),'Inputs 2'!$D$43))</f>
      </c>
      <c r="BO26" s="7">
        <f>IF($B26="","",IFERROR(LOOKUP(2,1/(((('Events 2'!$C$6:$C$17="Deduction start")+('Events 2'!$C$6:$C$17="Deduction stop"))*('Events 2'!$D$6:$D$17="Other pre-tax"))*('Events 2'!$B$6:$B$17&lt;=$B26)*('Events 2'!$B$6:$B$17&lt;&gt;"")),'Events 2'!$I$6:$I$17),'Inputs 2'!$D$44))</f>
      </c>
      <c r="BP26" s="7">
        <f>IF($B26="","",IFERROR(LOOKUP(2,1/(((('Events 2'!$C$6:$C$17="Deduction start")+('Events 2'!$C$6:$C$17="Deduction stop"))*('Events 2'!$D$6:$D$17="Other post-tax"))*('Events 2'!$B$6:$B$17&lt;=$B26)*('Events 2'!$B$6:$B$17&lt;&gt;"")),'Events 2'!$I$6:$I$17),'Inputs 2'!$D$45))</f>
      </c>
      <c r="BQ26" s="6">
        <f>IF($B26="","",IFERROR(LOOKUP(2,1/(((('Events 2'!$C$6:$C$17="Deduction start")+('Events 2'!$C$6:$C$17="Deduction stop"))*('Events 2'!$D$6:$D$17="Health FSA"))*('Events 2'!$B$6:$B$17&lt;=$B26)*('Events 2'!$B$6:$B$17&lt;&gt;"")),'Events 2'!$J$6:$J$17),0))</f>
      </c>
      <c r="BR26" s="6">
        <f>IF($B26="","",IFERROR(LOOKUP(2,1/(((('Events 2'!$C$6:$C$17="Deduction start")+('Events 2'!$C$6:$C$17="Deduction stop"))*('Events 2'!$D$6:$D$17="Dependent-care FSA"))*('Events 2'!$B$6:$B$17&lt;=$B26)*('Events 2'!$B$6:$B$17&lt;&gt;"")),'Events 2'!$J$6:$J$17),0))</f>
      </c>
      <c r="BS26" s="6">
        <f>IF($B26="","",IF(SUMPRODUCT(('Events 2'!$C$6:$C$17="Deduction start")*('Events 2'!$B$6:$B$17&lt;=$B26)*('Events 2'!$B$6:$B$17&lt;&gt;"")*('Events 2'!$D$6:$D$17="Health FSA"))&gt;0,1,0))</f>
      </c>
      <c r="BT26" s="6">
        <f>IF($B26="","",IF(SUMPRODUCT(('Events 2'!$C$6:$C$17="Deduction start")*('Events 2'!$B$6:$B$17&lt;=$B26)*('Events 2'!$B$6:$B$17&lt;&gt;"")*('Events 2'!$D$6:$D$17="Dependent-care FSA"))&gt;0,1,0))</f>
      </c>
      <c r="BU26" s="24">
        <f>IF($B26="","",IF('Inputs 2'!$C$13,SUMPRODUCT(($AH26&gt;=INDEX('Methodology &amp; Sources'!$B$29:$J$36,0,IF('Inputs 2'!$C$12="MFJ",1,IF('Inputs 2'!$C$12="HoH",7,4))))*INDEX('Methodology &amp; Sources'!$B$29:$J$36,0,IF('Inputs 2'!$C$12="MFJ",1,IF('Inputs 2'!$C$12="HoH",7,4))+2)),SUMPRODUCT(($AH26&gt;=INDEX('Methodology &amp; Sources'!$B$19:$J$26,0,IF('Inputs 2'!$C$12="MFJ",1,IF('Inputs 2'!$C$12="HoH",7,4))))*INDEX('Methodology &amp; Sources'!$B$19:$J$26,0,IF('Inputs 2'!$C$12="MFJ",1,IF('Inputs 2'!$C$12="HoH",7,4))+2))))</f>
      </c>
      <c r="BV26" s="24">
        <f>IF($B26="","",IF($BZ26&lt;&gt;"",$BZ26,IF($CA26&lt;&gt;"",$CA26,IF($CB26&lt;&gt;"",$CB26,IF($CC26&lt;&gt;"",$CC26,0)))))</f>
      </c>
      <c r="BW26" s="7">
        <f>IF($B26="","",IF($AN26="MD",IF(OR($AU26="Married",$AU26="Head of household"),SUMPRODUCT(($AZ26&gt;INDEX('Methodology &amp; Sources'!$B$114:$J$120,0,1))*($AZ26-INDEX('Methodology &amp; Sources'!$B$114:$J$120,0,1))*INDEX('Methodology &amp; Sources'!$B$114:$J$120,0,1+2)),SUMPRODUCT(($AZ26&gt;INDEX('Methodology &amp; Sources'!$B$103:$J$109,0,7))*($AZ26-INDEX('Methodology &amp; Sources'!$B$103:$J$109,0,7))*INDEX('Methodology &amp; Sources'!$B$103:$J$109,0,7+2))),IF($AN26="MO",SUMPRODUCT(($AZ26&gt;INDEX('Methodology &amp; Sources'!$B$125:$J$132,0,1))*($AZ26-INDEX('Methodology &amp; Sources'!$B$125:$J$132,0,1))*INDEX('Methodology &amp; Sources'!$B$125:$J$132,0,1+2)),IF($AN26="MT",IF($AU26="Head of household",SUMPRODUCT(($AZ26&gt;INDEX('Methodology &amp; Sources'!$B$137:$J$139,0,1))*($AZ26-INDEX('Methodology &amp; Sources'!$B$137:$J$139,0,1))*INDEX('Methodology &amp; Sources'!$B$137:$J$139,0,1+2)),IF($AU26="Married",SUMPRODUCT(($AZ26&gt;INDEX('Methodology &amp; Sources'!$B$125:$J$132,0,7))*($AZ26-INDEX('Methodology &amp; Sources'!$B$125:$J$132,0,7))*INDEX('Methodology &amp; Sources'!$B$125:$J$132,0,7+2)),SUMPRODUCT(($AZ26&gt;INDEX('Methodology &amp; Sources'!$B$125:$J$132,0,4))*($AZ26-INDEX('Methodology &amp; Sources'!$B$125:$J$132,0,4))*INDEX('Methodology &amp; Sources'!$B$125:$J$132,0,4+2)))),IF($AN26="ND",IF($AU26="Head of household",SUMPRODUCT(($AZ26&gt;INDEX('Methodology &amp; Sources'!$B$144:$J$150,0,1))*($AZ26-INDEX('Methodology &amp; Sources'!$B$144:$J$150,0,1))*INDEX('Methodology &amp; Sources'!$B$144:$J$150,0,1+2)),IF($AU26="Married",SUMPRODUCT(($AZ26&gt;INDEX('Methodology &amp; Sources'!$B$137:$J$139,0,7))*($AZ26-INDEX('Methodology &amp; Sources'!$B$137:$J$139,0,7))*INDEX('Methodology &amp; Sources'!$B$137:$J$139,0,7+2)),SUMPRODUCT(($AZ26&gt;INDEX('Methodology &amp; Sources'!$B$137:$J$139,0,4))*($AZ26-INDEX('Methodology &amp; Sources'!$B$137:$J$139,0,4))*INDEX('Methodology &amp; Sources'!$B$137:$J$139,0,4+2)))),IF($AN26="NJ",IF('Inputs 2'!$C$77="B",SUMPRODUCT(($AZ26&gt;INDEX('Methodology &amp; Sources'!$B$155:$J$162,0,4))*($AZ26-INDEX('Methodology &amp; Sources'!$B$155:$J$162,0,4))*INDEX('Methodology &amp; Sources'!$B$155:$J$162,0,4+2)),IF('Inputs 2'!$C$77="C",SUMPRODUCT(($AZ26&gt;INDEX('Methodology &amp; Sources'!$B$155:$J$162,0,7))*($AZ26-INDEX('Methodology &amp; Sources'!$B$155:$J$162,0,7))*INDEX('Methodology &amp; Sources'!$B$155:$J$162,0,7+2)),IF('Inputs 2'!$C$77="D",SUMPRODUCT(($AZ26&gt;INDEX('Methodology &amp; Sources'!$B$167:$J$179,0,1))*($AZ26-INDEX('Methodology &amp; Sources'!$B$167:$J$179,0,1))*INDEX('Methodology &amp; Sources'!$B$167:$J$179,0,1+2)),IF('Inputs 2'!$C$77="E",SUMPRODUCT(($AZ26&gt;INDEX('Methodology &amp; Sources'!$B$167:$J$179,0,4))*($AZ26-INDEX('Methodology &amp; Sources'!$B$167:$J$179,0,4))*INDEX('Methodology &amp; Sources'!$B$167:$J$179,0,4+2)),SUMPRODUCT(($AZ26&gt;INDEX('Methodology &amp; Sources'!$B$155:$J$162,0,1))*($AZ26-INDEX('Methodology &amp; Sources'!$B$155:$J$162,0,1))*INDEX('Methodology &amp; Sources'!$B$155:$J$162,0,1+2)))))),IF($AN26="NY",IF($AU26="Married",IF($AZ26&gt;=2155350,$AZ26*IF($AZ26&gt;25000000,0.117,IF($AZ26&gt;5000000,0.111,0.1045)),SUMPRODUCT(($AZ26&gt;INDEX('Methodology &amp; Sources'!$B$184:$J$198,0,1))*($AZ26-INDEX('Methodology &amp; Sources'!$B$184:$J$198,0,1))*INDEX('Methodology &amp; Sources'!$B$184:$J$198,0,1+2))),IF($AZ26&gt;=1077550,$AZ26*IF($AZ26&gt;25000000,0.117,IF($AZ26&gt;5000000,0.111,0.1045)),SUMPRODUCT(($AZ26&gt;INDEX('Methodology &amp; Sources'!$B$167:$J$179,0,7))*($AZ26-INDEX('Methodology &amp; Sources'!$B$167:$J$179,0,7))*INDEX('Methodology &amp; Sources'!$B$167:$J$179,0,7+2)))),"")))))))</f>
      </c>
      <c r="BX26" s="7">
        <f>IF($B26="","",IF($AN26="AL",IF(OR($AU26="Married",$AU26="Head of household"),SUMPRODUCT(($AZ26&gt;INDEX('Methodology &amp; Sources'!$B$82:$J$86,0,4))*($AZ26-INDEX('Methodology &amp; Sources'!$B$82:$J$86,0,4))*INDEX('Methodology &amp; Sources'!$B$82:$J$86,0,4+2)),SUMPRODUCT(($AZ26&gt;INDEX('Methodology &amp; Sources'!$B$82:$J$86,0,1))*($AZ26-INDEX('Methodology &amp; Sources'!$B$82:$J$86,0,1))*INDEX('Methodology &amp; Sources'!$B$82:$J$86,0,1+2))),IF($AN26="KS",IF($AU26="Married",SUMPRODUCT(($AZ26&gt;INDEX('Methodology &amp; Sources'!$B$103:$J$109,0,4))*($AZ26-INDEX('Methodology &amp; Sources'!$B$103:$J$109,0,4))*INDEX('Methodology &amp; Sources'!$B$103:$J$109,0,4+2)),SUMPRODUCT(($AZ26&gt;INDEX('Methodology &amp; Sources'!$B$103:$J$109,0,1))*($AZ26-INDEX('Methodology &amp; Sources'!$B$103:$J$109,0,1))*INDEX('Methodology &amp; Sources'!$B$103:$J$109,0,1+2))),IF($AN26="MN",IF($AU26="Married",SUMPRODUCT(($AZ26&gt;INDEX('Methodology &amp; Sources'!$B$114:$J$120,0,7))*($AZ26-INDEX('Methodology &amp; Sources'!$B$114:$J$120,0,7))*INDEX('Methodology &amp; Sources'!$B$114:$J$120,0,7+2)),SUMPRODUCT(($AZ26&gt;INDEX('Methodology &amp; Sources'!$B$114:$J$120,0,4))*($AZ26-INDEX('Methodology &amp; Sources'!$B$114:$J$120,0,4))*INDEX('Methodology &amp; Sources'!$B$114:$J$120,0,4+2))),IF($AN26="NE",MAX(IF($AU26="Married",SUMPRODUCT(($AZ26&gt;INDEX('Methodology &amp; Sources'!$B$144:$J$150,0,7))*($AZ26-INDEX('Methodology &amp; Sources'!$B$144:$J$150,0,7))*INDEX('Methodology &amp; Sources'!$B$144:$J$150,0,7+2)),SUMPRODUCT(($AZ26&gt;INDEX('Methodology &amp; Sources'!$B$144:$J$150,0,4))*($AZ26-INDEX('Methodology &amp; Sources'!$B$144:$J$150,0,4))*INDEX('Methodology &amp; Sources'!$B$144:$J$150,0,4+2))),0.015*$AZ26),IF($AN26="OH",IF($B26&gt;=DATE(2027,8,1),SUMPRODUCT(($AZ26&gt;INDEX('Methodology &amp; Sources'!$B$203:$J$206,0,1))*($AZ26-INDEX('Methodology &amp; Sources'!$B$203:$J$206,0,1))*INDEX('Methodology &amp; Sources'!$B$203:$J$206,0,1+2)),SUMPRODUCT(($AZ26&gt;INDEX('Methodology &amp; Sources'!$B$184:$J$198,0,7))*($AZ26-INDEX('Methodology &amp; Sources'!$B$184:$J$198,0,7))*INDEX('Methodology &amp; Sources'!$B$184:$J$198,0,7+2))),IF($AN26="OK",IF($AU26="Married",SUMPRODUCT(($AZ26&gt;INDEX('Methodology &amp; Sources'!$B$203:$J$206,0,7))*($AZ26-INDEX('Methodology &amp; Sources'!$B$203:$J$206,0,7))*INDEX('Methodology &amp; Sources'!$B$203:$J$206,0,7+2)),SUMPRODUCT(($AZ26&gt;INDEX('Methodology &amp; Sources'!$B$203:$J$206,0,4))*($AZ26-INDEX('Methodology &amp; Sources'!$B$203:$J$206,0,4))*INDEX('Methodology &amp; Sources'!$B$203:$J$206,0,4+2))),IF($AN26="RI",SUMPRODUCT(($AZ26&gt;INDEX('Methodology &amp; Sources'!$B$211:$J$214,0,7))*($AZ26-INDEX('Methodology &amp; Sources'!$B$211:$J$214,0,7))*INDEX('Methodology &amp; Sources'!$B$211:$J$214,0,7+2)),IF($AN26="VT",IF($AU26="Married",SUMPRODUCT(($AZ26&gt;INDEX('Methodology &amp; Sources'!$B$228:$J$232,0,1))*($AZ26-INDEX('Methodology &amp; Sources'!$B$228:$J$232,0,1))*INDEX('Methodology &amp; Sources'!$B$228:$J$232,0,1+2)),SUMPRODUCT(($AZ26&gt;INDEX('Methodology &amp; Sources'!$B$219:$J$223,0,7))*($AZ26-INDEX('Methodology &amp; Sources'!$B$219:$J$223,0,7))*INDEX('Methodology &amp; Sources'!$B$219:$J$223,0,7+2))),IF($AN26="WV",IF($AU26="Married",SUMPRODUCT(($AZ26&gt;INDEX('Methodology &amp; Sources'!$B$237:$J$241,0,7))*($AZ26-INDEX('Methodology &amp; Sources'!$B$237:$J$241,0,7))*INDEX('Methodology &amp; Sources'!$B$237:$J$241,0,7+2)),SUMPRODUCT(($AZ26&gt;INDEX('Methodology &amp; Sources'!$B$228:$J$232,0,7))*($AZ26-INDEX('Methodology &amp; Sources'!$B$228:$J$232,0,7))*INDEX('Methodology &amp; Sources'!$B$228:$J$232,0,7+2))),""))))))))))</f>
      </c>
      <c r="BY26" s="7">
        <f>IF($B26="","",IF($AN26="AR",SUMPRODUCT(($AZ26&gt;INDEX('Methodology &amp; Sources'!$B$82:$J$86,0,7))*($AZ26-INDEX('Methodology &amp; Sources'!$B$82:$J$86,0,7))*INDEX('Methodology &amp; Sources'!$B$82:$J$86,0,7+2)),IF($AN26="DE",SUMPRODUCT(($AZ26&gt;INDEX('Methodology &amp; Sources'!$B$91:$J$98,0,1))*($AZ26-INDEX('Methodology &amp; Sources'!$B$91:$J$98,0,1))*INDEX('Methodology &amp; Sources'!$B$91:$J$98,0,1+2)),IF($AN26="HI",IF($AU26="Married",SUMPRODUCT(($AZ26&gt;INDEX('Methodology &amp; Sources'!$B$91:$J$98,0,7))*($AZ26-INDEX('Methodology &amp; Sources'!$B$91:$J$98,0,7))*INDEX('Methodology &amp; Sources'!$B$91:$J$98,0,7+2)),SUMPRODUCT(($AZ26&gt;INDEX('Methodology &amp; Sources'!$B$91:$J$98,0,4))*($AZ26-INDEX('Methodology &amp; Sources'!$B$91:$J$98,0,4))*INDEX('Methodology &amp; Sources'!$B$91:$J$98,0,4+2))),IF($AN26="SC",SUMPRODUCT(($AZ26&gt;INDEX('Methodology &amp; Sources'!$B$219:$J$223,0,1))*($AZ26-INDEX('Methodology &amp; Sources'!$B$219:$J$223,0,1))*INDEX('Methodology &amp; Sources'!$B$219:$J$223,0,1+2)),IF($AN26="VA",SUMPRODUCT(($AZ26&gt;INDEX('Methodology &amp; Sources'!$B$219:$J$223,0,4))*($AZ26-INDEX('Methodology &amp; Sources'!$B$219:$J$223,0,4))*INDEX('Methodology &amp; Sources'!$B$219:$J$223,0,4+2)),IF($AN26="WI",SUMPRODUCT(($AZ26&gt;INDEX('Methodology &amp; Sources'!$B$228:$J$232,0,4))*($AZ26-INDEX('Methodology &amp; Sources'!$B$228:$J$232,0,4))*INDEX('Methodology &amp; Sources'!$B$228:$J$232,0,4+2)),"")))))))</f>
      </c>
      <c r="BZ26" s="24">
        <f>IF($B26="","",IF($AN26="NJ",IF('Inputs 2'!$C$77="B",SUMPRODUCT(($AZ26&gt;=INDEX('Methodology &amp; Sources'!$B$155:$J$162,0,4))*INDEX('Methodology &amp; Sources'!$B$155:$J$162,0,4+2)),IF('Inputs 2'!$C$77="C",SUMPRODUCT(($AZ26&gt;=INDEX('Methodology &amp; Sources'!$B$155:$J$162,0,7))*INDEX('Methodology &amp; Sources'!$B$155:$J$162,0,7+2)),IF('Inputs 2'!$C$77="D",SUMPRODUCT(($AZ26&gt;=INDEX('Methodology &amp; Sources'!$B$167:$J$179,0,1))*INDEX('Methodology &amp; Sources'!$B$167:$J$179,0,1+2)),IF('Inputs 2'!$C$77="E",SUMPRODUCT(($AZ26&gt;=INDEX('Methodology &amp; Sources'!$B$167:$J$179,0,4))*INDEX('Methodology &amp; Sources'!$B$167:$J$179,0,4+2)),SUMPRODUCT(($AZ26&gt;=INDEX('Methodology &amp; Sources'!$B$155:$J$162,0,1))*INDEX('Methodology &amp; Sources'!$B$155:$J$162,0,1+2)))))),IF($AN26="OR",IF(OR($AU26="Married",AND($AU26="Single",$AS26&gt;=3)),SUMPRODUCT((MAX(0,$AY26-MIN(($P26-'Methodology &amp; Sources'!$C$10*$D26)*'Inputs 2'!$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Sources'!$B$211:$J$214,0,4))*INDEX('Methodology &amp; Sources'!$B$211:$J$214,0,4+2)),SUMPRODUCT((MAX(0,$AY26-MIN(($P26-'Methodology &amp; Sources'!$C$10*$D26)*'Inputs 2'!$C$8,IF(OR($AU26="Married",AND($AU26="Single",$AS26&gt;=3)),IF($AY26&lt;250000,8750,IF($AY26&lt;260000,7000,IF($AY26&lt;270000,5250,IF($AY26&lt;280000,3500,IF($AY26&lt;290000,1750,0))))),IF($AY26&lt;125000,8750,IF($AY26&lt;130000,7000,IF($AY26&lt;135000,5250,IF($AY26&lt;140000,3500,IF($AY26&lt;145000,1750,0)))))))-IF(OR($AU26="Married",AND($AU26="Single",$AS26&gt;=3)),5820,2910))&gt;=INDEX('Methodology &amp; Sources'!$B$211:$J$214,0,1))*INDEX('Methodology &amp; Sources'!$B$211:$J$214,0,1+2)))*IF(($P26-'Methodology &amp; Sources'!$C$10*$D26)*'Inputs 2'!$C$8&gt;=IF(OR($AU26="Married",AND($AU26="Single",$AS26&gt;=3)),IF($AY26&lt;250000,8750,IF($AY26&lt;260000,7000,IF($AY26&lt;270000,5250,IF($AY26&lt;280000,3500,IF($AY26&lt;290000,1750,0))))),IF($AY26&lt;125000,8750,IF($AY26&lt;130000,7000,IF($AY26&lt;135000,5250,IF($AY26&lt;140000,3500,IF($AY26&lt;145000,1750,0)))))),1,1-IF('Inputs 2'!$C$13,SUMPRODUCT(($AH26&gt;=INDEX('Methodology &amp; Sources'!$B$29:$J$36,0,IF('Inputs 2'!$C$12="MFJ",1,IF('Inputs 2'!$C$12="HoH",7,4))))*INDEX('Methodology &amp; Sources'!$B$29:$J$36,0,IF('Inputs 2'!$C$12="MFJ",1,IF('Inputs 2'!$C$12="HoH",7,4))+2)),SUMPRODUCT(($AH26&gt;=INDEX('Methodology &amp; Sources'!$B$19:$J$26,0,IF('Inputs 2'!$C$12="MFJ",1,IF('Inputs 2'!$C$12="HoH",7,4))))*INDEX('Methodology &amp; Sources'!$B$19:$J$26,0,IF('Inputs 2'!$C$12="MFJ",1,IF('Inputs 2'!$C$12="HoH",7,4))+2)))),IF($AN26="MI",IF($AY26&gt;5900*$AS26,0.0425,0),""))))</f>
      </c>
      <c r="CA26" s="24">
        <f>IF($B26="","",IF($AN26="AL",IF(OR($AU26="Married",$AU26="Head of household"),SUMPRODUCT(($AZ26&gt;=INDEX('Methodology &amp; Sources'!$B$82:$J$86,0,4))*INDEX('Methodology &amp; Sources'!$B$82:$J$86,0,4+2)),SUMPRODUCT(($AZ26&gt;=INDEX('Methodology &amp; Sources'!$B$82:$J$86,0,1))*INDEX('Methodology &amp; Sources'!$B$82:$J$86,0,1+2)))*(1-IF('Inputs 2'!$C$13,SUMPRODUCT(($AH26&gt;=INDEX('Methodology &amp; Sources'!$B$29:$J$36,0,IF('Inputs 2'!$C$12="MFJ",1,IF('Inputs 2'!$C$12="HoH",7,4))))*INDEX('Methodology &amp; Sources'!$B$29:$J$36,0,IF('Inputs 2'!$C$12="MFJ",1,IF('Inputs 2'!$C$12="HoH",7,4))+2)),SUMPRODUCT(($AH26&gt;=INDEX('Methodology &amp; Sources'!$B$19:$J$26,0,IF('Inputs 2'!$C$12="MFJ",1,IF('Inputs 2'!$C$12="HoH",7,4))))*INDEX('Methodology &amp; Sources'!$B$19:$J$26,0,IF('Inputs 2'!$C$12="MFJ",1,IF('Inputs 2'!$C$12="HoH",7,4))+2)))),IF($AN26="KS",IF($AU26="Married",SUMPRODUCT(($AZ26&gt;=INDEX('Methodology &amp; Sources'!$B$103:$J$109,0,4))*INDEX('Methodology &amp; Sources'!$B$103:$J$109,0,4+2)),SUMPRODUCT(($AZ26&gt;=INDEX('Methodology &amp; Sources'!$B$103:$J$109,0,1))*INDEX('Methodology &amp; Sources'!$B$103:$J$109,0,1+2))),IF($AN26="MD",IF(OR($AU26="Married",$AU26="Head of household"),SUMPRODUCT(($AZ26&gt;=INDEX('Methodology &amp; Sources'!$B$114:$J$120,0,1))*INDEX('Methodology &amp; Sources'!$B$114:$J$120,0,1+2)),SUMPRODUCT(($AZ26&gt;=INDEX('Methodology &amp; Sources'!$B$103:$J$109,0,7))*INDEX('Methodology &amp; Sources'!$B$103:$J$109,0,7+2)))+'Inputs 2'!$C$74,IF($AN26="MT",IF($AU26="Head of household",SUMPRODUCT(($AZ26&gt;=INDEX('Methodology &amp; Sources'!$B$137:$J$139,0,1))*INDEX('Methodology &amp; Sources'!$B$137:$J$139,0,1+2)),IF($AU26="Married",SUMPRODUCT(($AZ26&gt;=INDEX('Methodology &amp; Sources'!$B$125:$J$132,0,7))*INDEX('Methodology &amp; Sources'!$B$125:$J$132,0,7+2)),SUMPRODUCT(($AZ26&gt;=INDEX('Methodology &amp; Sources'!$B$125:$J$132,0,4))*INDEX('Methodology &amp; Sources'!$B$125:$J$132,0,4+2)))),IF($AN26="ND",IF($AU26="Head of household",SUMPRODUCT(($AZ26&gt;=INDEX('Methodology &amp; Sources'!$B$144:$J$150,0,1))*INDEX('Methodology &amp; Sources'!$B$144:$J$150,0,1+2)),IF($AU26="Married",SUMPRODUCT(($AZ26&gt;=INDEX('Methodology &amp; Sources'!$B$137:$J$139,0,7))*INDEX('Methodology &amp; Sources'!$B$137:$J$139,0,7+2)),SUMPRODUCT(($AZ26&gt;=INDEX('Methodology &amp; Sources'!$B$137:$J$139,0,4))*INDEX('Methodology &amp; Sources'!$B$137:$J$139,0,4+2)))),IF($AN26="NY",IF($AU26="Married",IF($AZ26&gt;=2155350,IF($AZ26&gt;25000000,0.117,IF($AZ26&gt;5000000,0.111,0.1045)),SUMPRODUCT(($AZ26&gt;=INDEX('Methodology &amp; Sources'!$B$184:$J$198,0,1))*INDEX('Methodology &amp; Sources'!$B$184:$J$198,0,1+2))),IF($AZ26&gt;=1077550,IF($AZ26&gt;25000000,0.117,IF($AZ26&gt;5000000,0.111,0.1045)),SUMPRODUCT(($AZ26&gt;=INDEX('Methodology &amp; Sources'!$B$167:$J$179,0,7))*INDEX('Methodology &amp; Sources'!$B$167:$J$179,0,7+2)))),"")))))))</f>
      </c>
      <c r="CB26" s="24">
        <f>IF($B26="","",IF($AN26="CA",SUMPRODUCT(($AJ26&gt;=INDEX('Methodology &amp; Sources'!$B$39:$J$48,0,IF($AU26="Married",4,IF($AU26="Head of household",7,1))))*INDEX('Methodology &amp; Sources'!$B$39:$J$48,0,IF($AU26="Married",4,IF($AU26="Head of household",7,1))+2)),IF($AN26="HI",IF($AU26="Married",SUMPRODUCT(($AZ26&gt;=INDEX('Methodology &amp; Sources'!$B$91:$J$98,0,7))*INDEX('Methodology &amp; Sources'!$B$91:$J$98,0,7+2)),SUMPRODUCT(($AZ26&gt;=INDEX('Methodology &amp; Sources'!$B$91:$J$98,0,4))*INDEX('Methodology &amp; Sources'!$B$91:$J$98,0,4+2))),IF($AN26="MN",IF($AU26="Married",SUMPRODUCT(($AZ26&gt;=INDEX('Methodology &amp; Sources'!$B$114:$J$120,0,7))*INDEX('Methodology &amp; Sources'!$B$114:$J$120,0,7+2)),SUMPRODUCT(($AZ26&gt;=INDEX('Methodology &amp; Sources'!$B$114:$J$120,0,4))*INDEX('Methodology &amp; Sources'!$B$114:$J$120,0,4+2))),IF($AN26="MO",SUMPRODUCT(($AZ26&gt;=INDEX('Methodology &amp; Sources'!$B$125:$J$132,0,1))*INDEX('Methodology &amp; Sources'!$B$125:$J$132,0,1+2)),IF($AN26="NE",MAX(IF($AU26="Married",SUMPRODUCT(($AZ26&gt;=INDEX('Methodology &amp; Sources'!$B$144:$J$150,0,7))*INDEX('Methodology &amp; Sources'!$B$144:$J$150,0,7+2)),SUMPRODUCT(($AZ26&gt;=INDEX('Methodology &amp; Sources'!$B$144:$J$150,0,4))*INDEX('Methodology &amp; Sources'!$B$144:$J$150,0,4+2))),0.015),IF($AN26="OH",IF($B26&gt;=DATE(2027,8,1),SUMPRODUCT(($AZ26&gt;=INDEX('Methodology &amp; Sources'!$B$203:$J$206,0,1))*INDEX('Methodology &amp; Sources'!$B$203:$J$206,0,1+2)),SUMPRODUCT(($AZ26&gt;=INDEX('Methodology &amp; Sources'!$B$184:$J$198,0,7))*INDEX('Methodology &amp; Sources'!$B$184:$J$198,0,7+2))),IF($AN26="OK",IF($AU26="Married",SUMPRODUCT(($AZ26&gt;=INDEX('Methodology &amp; Sources'!$B$203:$J$206,0,7))*INDEX('Methodology &amp; Sources'!$B$203:$J$206,0,7+2)),SUMPRODUCT(($AZ26&gt;=INDEX('Methodology &amp; Sources'!$B$203:$J$206,0,4))*INDEX('Methodology &amp; Sources'!$B$203:$J$206,0,4+2))),IF($AN26="RI",SUMPRODUCT(($AZ26&gt;=INDEX('Methodology &amp; Sources'!$B$211:$J$214,0,7))*INDEX('Methodology &amp; Sources'!$B$211:$J$214,0,7+2)),IF($AN26="SC",SUMPRODUCT(($AZ26&gt;=INDEX('Methodology &amp; Sources'!$B$219:$J$223,0,1))*INDEX('Methodology &amp; Sources'!$B$219:$J$223,0,1+2)),IF($AN26="VT",IF($AU26="Married",SUMPRODUCT(($AZ26&gt;=INDEX('Methodology &amp; Sources'!$B$228:$J$232,0,1))*INDEX('Methodology &amp; Sources'!$B$228:$J$232,0,1+2)),SUMPRODUCT(($AZ26&gt;=INDEX('Methodology &amp; Sources'!$B$219:$J$223,0,7))*INDEX('Methodology &amp; Sources'!$B$219:$J$223,0,7+2))),IF($AN26="WV",IF($AU26="Married",SUMPRODUCT(($AZ26&gt;=INDEX('Methodology &amp; Sources'!$B$237:$J$241,0,7))*INDEX('Methodology &amp; Sources'!$B$237:$J$241,0,7+2)),SUMPRODUCT(($AZ26&gt;=INDEX('Methodology &amp; Sources'!$B$228:$J$232,0,7))*INDEX('Methodology &amp; Sources'!$B$228:$J$232,0,7+2))),IF($AN26="IN",(0.0295+'Inputs 2'!$C$76),"")))))))))))))</f>
      </c>
      <c r="CC26" s="24">
        <f>IF($B26="","",IF($AN26="AR",SUMPRODUCT(($AZ26&gt;=INDEX('Methodology &amp; Sources'!$B$82:$J$86,0,7))*INDEX('Methodology &amp; Sources'!$B$82:$J$86,0,7+2)),IF($AN26="DE",SUMPRODUCT(($AZ26&gt;=INDEX('Methodology &amp; Sources'!$B$91:$J$98,0,1))*INDEX('Methodology &amp; Sources'!$B$91:$J$98,0,1+2)),IF($AN26="VA",SUMPRODUCT(($AZ26&gt;=INDEX('Methodology &amp; Sources'!$B$219:$J$223,0,4))*INDEX('Methodology &amp; Sources'!$B$219:$J$223,0,4+2)),IF($AN26="WI",SUMPRODUCT(($AZ26&gt;=INDEX('Methodology &amp; Sources'!$B$228:$J$232,0,4))*INDEX('Methodology &amp; Sources'!$B$228:$J$232,0,4+2)),IF($AN26="AZ",'Inputs 2'!$C$82,IF($AN26="CO",IF($AY26&gt;IF($AU26="Married",10000,5000),0.044,0),IF($AN26="IA",IF($AY26&gt;IF($AU26="Head of household",19500,IF($AU26="Married",26000,13000)),0.038,0),IF($AN26="ID",IF($AY26&gt;IF($AU26="Married",32000,16094),0.053,0),IF($AN26="IL",IF($AY26&gt;(2925*$AS26+1000*$AT26),0.0495,0),IF($AN26="KY",IF($AI26&gt;3360,0.035,0),IF($AN26="LA",0.0309,IF($AN26="MA",IF(MAX(0,$AY26-MIN(($BD25+$Q26+$R26+$S26),2000)-IF($AS26=0,0,IF($AS26=1,4400,1000*$AS26+3400)))&gt;=1107750,0.09,0.05),IF($AN26="MS",IF($AI26-IF($AU26="Head of household",3400,IF($AU26="Married",4600,2300))-'Inputs 2'!$C$85&gt;10000,0.04,0),IF($AN26="PA",0.0307,"")))))))))))))))</f>
      </c>
      <c r="CD26" s="21">
        <f>IF(YEAR(IF('Inputs 2'!$C$7="Weekly",'Inputs 2'!$C$9+7*(($BE25+1)-1),IF('Inputs 2'!$C$7="Biweekly",'Inputs 2'!$C$9+14*(($BE25+1)-1),IF('Inputs 2'!$C$7="Semimonthly",DATE(YEAR('Inputs 2'!$C$9),MONTH('Inputs 2'!$C$9)+INT((($BE25+1)-1)/2),MIN(DAY('Inputs 2'!$C$9),DAY(EOMONTH(DATE(YEAR('Inputs 2'!$C$9),MONTH('Inputs 2'!$C$9)+INT((($BE25+1)-1)/2),1),0))))+IF(MOD(($BE25+1)-1,2)=1,15,0),EDATE('Inputs 2'!$C$9,($BE25+1)-1)))))&lt;&gt;'Inputs 2'!$C$10,"",IF('Inputs 2'!$C$7="Weekly",'Inputs 2'!$C$9+7*(($BE25+1)-1),IF('Inputs 2'!$C$7="Biweekly",'Inputs 2'!$C$9+14*(($BE25+1)-1),IF('Inputs 2'!$C$7="Semimonthly",DATE(YEAR('Inputs 2'!$C$9),MONTH('Inputs 2'!$C$9)+INT((($BE25+1)-1)/2),MIN(DAY('Inputs 2'!$C$9),DAY(EOMONTH(DATE(YEAR('Inputs 2'!$C$9),MONTH('Inputs 2'!$C$9)+INT((($BE25+1)-1)/2),1),0))))+IF(MOD(($BE25+1)-1,2)=1,15,0),EDATE('Inputs 2'!$C$9,($BE25+1)-1)))))</f>
      </c>
      <c r="CE26" s="21">
        <f>IF(SUMPRODUCT(MIN(IF(('Inputs 2'!$C$58:$C$67&gt;MAX($B$6:$B25))*('Inputs 2'!$C$58:$C$67&gt;=DATE('Inputs 2'!$C$10,1,1))*('Inputs 2'!$C$58:$C$67&lt;=DATE('Inputs 2'!$C$10,12,31)),'Inputs 2'!$C$58:$C$67,999999)))=999999,"",SUMPRODUCT(MIN(IF(('Inputs 2'!$C$58:$C$67&gt;MAX($B$6:$B25))*('Inputs 2'!$C$58:$C$67&gt;=DATE('Inputs 2'!$C$10,1,1))*('Inputs 2'!$C$58:$C$67&lt;=DATE('Inputs 2'!$C$10,12,31)),'Inputs 2'!$C$58:$C$67,999999))))</f>
      </c>
    </row>
    <row r="27">
      <c r="A27" t="n">
        <v>22</v>
      </c>
      <c r="B27" s="21">
        <f>IF(AND($CD27="",$CE27=""),"",IF($CE27="",$CD27,IF($CD27="",$CE27,MIN($CD27,$CE27))))</f>
      </c>
      <c r="C27" s="7">
        <f>IF($B27="","",IF($BF27=0,0,IF('Inputs 2'!$C$4="Annual salary",ROUND($AK27/IF(AND('Inputs 2'!$C$88="Actual paydays",MONTH('Inputs 2'!$C$9)=1),MAX(1,MAX($BE$6:$BE$68)),'Inputs 2'!$C$8),2),$AK27)))</f>
      </c>
      <c r="D27" s="7">
        <f>IF($B27="","",SUMIF('Inputs 2'!$C$58:$C$67,$B27,'Inputs 2'!$D$58:$D$67))</f>
      </c>
      <c r="E27" s="7">
        <f>IF($B27="","",ROUND(MAX(0,MIN(IF($AL27="Percent",$AM27*($C27+$D27),$AM27),MAX(0,'Inputs 2'!$C$34-$AC26))),2))</f>
      </c>
      <c r="F27" s="7">
        <f>IF($B27="","",ROUND(MAX(0,MIN(IF('Inputs 2'!$C$32="Percent",'Inputs 2'!$D$32*($C27+$D27),'Inputs 2'!$D$32),MAX(0,'Inputs 2'!$C$34-$AC26-$E27))),2))</f>
      </c>
      <c r="G27" s="7">
        <f>IF($B27="","",IF($BF27=0,0,ROUND(MAX(0,MIN($BL27,'Inputs 2'!$C$37-'Inputs 2'!$C$54-$BI26)),2)))</f>
      </c>
      <c r="H27" s="7">
        <f>IF($B27="","",IF(OR($BF27=0,$BQ27=1),0,ROUND(MAX(0,MIN(IF($BS27=1,ROUND(MAX(0,MIN($BJ27,'Methodology &amp; Sources'!$C$13)-$BG26)/MAX(1,MAX($BE$6:$BE$68)-($BE26)),2),ROUND(MIN($BJ27,'Methodology &amp; Sources'!$C$13)/'Inputs 2'!$C$8,2)),MIN($BJ27,'Methodology &amp; Sources'!$C$13)-$BG26)),2)))</f>
      </c>
      <c r="I27" s="7">
        <f>IF($B27="","",IF(OR($BF27=0,$BR27=1),0,ROUND(MAX(0,MIN(IF($BT27=1,ROUND(MAX(0,MIN($BK27,IF('Inputs 2'!$C$12="MFJ",'Methodology &amp; Sources'!$C$14,'Methodology &amp; Sources'!$C$15))-$BH26)/MAX(1,MAX($BE$6:$BE$68)-($BE26)),2),ROUND(MIN($BK27,IF('Inputs 2'!$C$12="MFJ",'Methodology &amp; Sources'!$C$14,'Methodology &amp; Sources'!$C$15))/'Inputs 2'!$C$8,2)),MIN($BK27,IF('Inputs 2'!$C$12="MFJ",'Methodology &amp; Sources'!$C$14,'Methodology &amp; Sources'!$C$15))-$BH26)),2)))</f>
      </c>
      <c r="J27" s="7">
        <f>IF($B27="","",IF($BF27=0,0,$BM27))</f>
      </c>
      <c r="K27" s="7">
        <f>IF($B27="","",IF($BF27=0,0,$BN27+$BO27))</f>
      </c>
      <c r="L27" s="7">
        <f>IF($B27="","",IF($BF27=0,0,'Inputs 2'!$D$46))</f>
      </c>
      <c r="M27" s="7">
        <f>IF($B27="","",$C27+$D27+$L27-$E27-$G27-$H27-$I27-$J27-$K27)</f>
      </c>
      <c r="N27" s="7">
        <f>IF($B27="","",$C27+$D27+$L27-$G27-$H27-$I27-$J27-$K27)</f>
      </c>
      <c r="O27" s="7">
        <f>IF($B27="","",$C27+$D27+$L27-$E27-$H27-$I27-$J27-$K27-IF(OR($AN27="CA",$AN27="NJ"),0,$G27))</f>
      </c>
      <c r="P27" s="7">
        <f>IF($B27="","",IF('Inputs 2'!$C$18,0,ROUND(MAX(0,IF('Inputs 2'!$C$13,SUMPRODUCT(($AH27&gt;INDEX('Methodology &amp; Sources'!$B$29:$J$36,0,IF('Inputs 2'!$C$12="MFJ",1,IF('Inputs 2'!$C$12="HoH",7,4))))*($AH27-INDEX('Methodology &amp; Sources'!$B$29:$J$36,0,IF('Inputs 2'!$C$12="MFJ",1,IF('Inputs 2'!$C$12="HoH",7,4))))*INDEX('Methodology &amp; Sources'!$B$29:$J$36,0,IF('Inputs 2'!$C$12="MFJ",1,IF('Inputs 2'!$C$12="HoH",7,4))+2)),SUMPRODUCT(($AH27&gt;INDEX('Methodology &amp; Sources'!$B$19:$J$26,0,IF('Inputs 2'!$C$12="MFJ",1,IF('Inputs 2'!$C$12="HoH",7,4))))*($AH27-INDEX('Methodology &amp; Sources'!$B$19:$J$26,0,IF('Inputs 2'!$C$12="MFJ",1,IF('Inputs 2'!$C$12="HoH",7,4))))*INDEX('Methodology &amp; Sources'!$B$19:$J$26,0,IF('Inputs 2'!$C$12="MFJ",1,IF('Inputs 2'!$C$12="HoH",7,4))+2)))/'Inputs 2'!$C$8-$AO27/'Inputs 2'!$C$8)+$AR27+IF('Inputs 2'!$C$89="Aggregate",MAX(0,IF('Inputs 2'!$C$13,SUMPRODUCT((($AH27+$D27)&gt;INDEX('Methodology &amp; Sources'!$B$29:$J$36,0,IF('Inputs 2'!$C$12="MFJ",1,IF('Inputs 2'!$C$12="HoH",7,4))))*(($AH27+$D27)-INDEX('Methodology &amp; Sources'!$B$29:$J$36,0,IF('Inputs 2'!$C$12="MFJ",1,IF('Inputs 2'!$C$12="HoH",7,4))))*INDEX('Methodology &amp; Sources'!$B$29:$J$36,0,IF('Inputs 2'!$C$12="MFJ",1,IF('Inputs 2'!$C$12="HoH",7,4))+2)),SUMPRODUCT((($AH27+$D27)&gt;INDEX('Methodology &amp; Sources'!$B$19:$J$26,0,IF('Inputs 2'!$C$12="MFJ",1,IF('Inputs 2'!$C$12="HoH",7,4))))*(($AH27+$D27)-INDEX('Methodology &amp; Sources'!$B$19:$J$26,0,IF('Inputs 2'!$C$12="MFJ",1,IF('Inputs 2'!$C$12="HoH",7,4))))*INDEX('Methodology &amp; Sources'!$B$19:$J$26,0,IF('Inputs 2'!$C$12="MFJ",1,IF('Inputs 2'!$C$12="HoH",7,4))+2)))-IF('Inputs 2'!$C$13,SUMPRODUCT(($AH27&gt;INDEX('Methodology &amp; Sources'!$B$29:$J$36,0,IF('Inputs 2'!$C$12="MFJ",1,IF('Inputs 2'!$C$12="HoH",7,4))))*($AH27-INDEX('Methodology &amp; Sources'!$B$29:$J$36,0,IF('Inputs 2'!$C$12="MFJ",1,IF('Inputs 2'!$C$12="HoH",7,4))))*INDEX('Methodology &amp; Sources'!$B$29:$J$36,0,IF('Inputs 2'!$C$12="MFJ",1,IF('Inputs 2'!$C$12="HoH",7,4))+2)),SUMPRODUCT(($AH27&gt;INDEX('Methodology &amp; Sources'!$B$19:$J$26,0,IF('Inputs 2'!$C$12="MFJ",1,IF('Inputs 2'!$C$12="HoH",7,4))))*($AH27-INDEX('Methodology &amp; Sources'!$B$19:$J$26,0,IF('Inputs 2'!$C$12="MFJ",1,IF('Inputs 2'!$C$12="HoH",7,4))))*INDEX('Methodology &amp; Sources'!$B$19:$J$26,0,IF('Inputs 2'!$C$12="MFJ",1,IF('Inputs 2'!$C$12="HoH",7,4))+2)))),'Methodology &amp; Sources'!$C$10*$D27),2)))</f>
      </c>
      <c r="Q27" s="7">
        <f>IF($B27="","",ROUND('Methodology &amp; Sources'!$C$4*MIN($N27,MAX(0,'Methodology &amp; Sources'!$C$3-($AX27+$AB26-$AW27))),2))</f>
      </c>
      <c r="R27" s="7">
        <f>IF($B27="","",ROUND('Methodology &amp; Sources'!$C$5*$N27,2))</f>
      </c>
      <c r="S27" s="7">
        <f>IF($B27="","",ROUND('Methodology &amp; Sources'!$C$6*MAX(0,MIN($N27,$AG26+$N27-'Methodology &amp; Sources'!$C$7)),2))</f>
      </c>
      <c r="T27" s="7">
        <f>IF($B27="","",IF('Inputs 2'!$C$26,0,IF($AN27="CA",ROUND(IF($AI27&lt;=IF(($AS27+$AT27)&gt;=2,VLOOKUP($AN27,StateTables!$A$6:$AB$56,10,FALSE),VLOOKUP($AN27,StateTables!$A$6:$AB$56,9,FALSE)),0,MAX(0,SUMPRODUCT(($AJ27&gt;INDEX('Methodology &amp; Sources'!$B$39:$J$48,0,IF($AU27="Married",4,IF($AU27="Head of household",7,1))))*($AJ27-INDEX('Methodology &amp; Sources'!$B$39:$J$48,0,IF($AU27="Married",4,IF($AU27="Head of household",7,1))))*INDEX('Methodology &amp; Sources'!$B$39:$J$48,0,IF($AU27="Married",4,IF($AU27="Head of household",7,1))+2))-VLOOKUP($AN27,StateTables!$A$6:$AB$56,11,FALSE)*$AS27)/'Inputs 2'!$C$8)+'Inputs 2'!$C$25+VLOOKUP($AN27,StateTables!$A$6:$AB$56,13,FALSE)*$D27,2),IF(VLOOKUP($AN27,StateTables!$A$6:$AB$56,4,FALSE)="None",0,IF(ISNUMBER(SEARCH("MANUAL",VLOOKUP($AN27,StateTables!$A$6:$AB$56,5,FALSE))),'Inputs 2'!$C$28,ROUND(MAX(0,$BA27+$BB27)/'Inputs 2'!$C$8+'Inputs 2'!$C$25+$BC27,2))))))</f>
      </c>
      <c r="U27" s="7">
        <f>IF($B27="","",IF(VLOOKUP($AN27,StateTables!$A$6:$AB$56,24,FALSE)="flatq",IF(OR(MONTH($B27)=1,MONTH($B27)=4,MONTH($B27)=7,MONTH($B27)=10),VLOOKUP($AN27,StateTables!$A$6:$AB$56,25,FALSE),0),IF(VLOOKUP($AN27,StateTables!$A$6:$AB$56,24,FALSE)="dbl",MIN(ROUND(0.005*$N27,2),ROUND(0.6*52/'Inputs 2'!$C$8,2)),IF(OR(VLOOKUP($AN27,StateTables!$A$6:$AB$56,15,FALSE)="",VLOOKUP($AN27,StateTables!$A$6:$AB$56,15,FALSE)=0),0,ROUND(VLOOKUP($AN27,StateTables!$A$6:$AB$56,15,FALSE)*IF(OR(VLOOKUP($AN27,StateTables!$A$6:$AB$56,16,FALSE)="",VLOOKUP($AN27,StateTables!$A$6:$AB$56,16,FALSE)=0),$N27,MIN($N27,MAX(0,VLOOKUP($AN27,StateTables!$A$6:$AB$56,16,FALSE)-($AX27+$AB26-$AW27)))),2))))+IF(VLOOKUP($AN27,StateTables!$A$6:$AB$56,27,FALSE)="flatq",IF(OR(MONTH($B27)=1,MONTH($B27)=4,MONTH($B27)=7,MONTH($B27)=10),VLOOKUP($AN27,StateTables!$A$6:$AB$56,28,FALSE),0),IF(VLOOKUP($AN27,StateTables!$A$6:$AB$56,27,FALSE)="dbl",MIN(ROUND(0.005*$N27,2),ROUND(0.6*52/'Inputs 2'!$C$8,2)),IF(OR(VLOOKUP($AN27,StateTables!$A$6:$AB$56,18,FALSE)="",VLOOKUP($AN27,StateTables!$A$6:$AB$56,18,FALSE)=0),0,ROUND(VLOOKUP($AN27,StateTables!$A$6:$AB$56,18,FALSE)*IF(OR(VLOOKUP($AN27,StateTables!$A$6:$AB$56,19,FALSE)="",VLOOKUP($AN27,StateTables!$A$6:$AB$56,19,FALSE)=0),$N27,MIN($N27,MAX(0,VLOOKUP($AN27,StateTables!$A$6:$AB$56,19,FALSE)-($AX27+$AB26-$AW27)))),2)))))</f>
      </c>
      <c r="V27" s="7">
        <f>IF($B27="","",IF($AN27="NY",IF('Inputs 2'!$C$78,ROUND(SUMPRODUCT((MAX(0,($O27-$D27)*'Inputs 2'!$C$8-(IF($AU27="Married",5500,5000)+1000*$AS27))&gt;INDEX('Methodology &amp; Sources'!$B$184:$J$198,0,4))*(MAX(0,($O27-$D27)*'Inputs 2'!$C$8-(IF($AU27="Married",5500,5000)+1000*$AS27))-INDEX('Methodology &amp; Sources'!$B$184:$J$198,0,4))*INDEX('Methodology &amp; Sources'!$B$184:$J$198,0,4+2))/'Inputs 2'!$C$8+0.0425*$D27,2),0)+IF('Inputs 2'!$C$79="Resident",ROUND(0.1675*$T27,2),IF('Inputs 2'!$C$79="Nonresident",ROUND(0.005*MAX(0,($O27-$D27)-(IF($AU27="Married",7950,7400)+1000*$AS27)/'Inputs 2'!$C$8),2),0)),IF($AN27="PA",IF('Inputs 2'!$C$80="None",'Inputs 2'!$C$27+ROUND('Inputs 2'!$C$81*($C27+$D27),2),ROUND(IF('Inputs 2'!$C$80="Resident",IF($B27&lt;DATE(2027,7,1),0.03735,0.03735),IF($B27&lt;DATE(2027,7,1),0.03425,0.03425))*($C27+$D27),2)),IF($BF27=0,ROUND('Inputs 2'!$C$81*($C27+$D27),2),'Inputs 2'!$C$27+ROUND('Inputs 2'!$C$81*($C27+$D27),2)))))</f>
      </c>
      <c r="W27" s="7">
        <f>IF($B27="","",IF($BF27=0,0,$BP27))</f>
      </c>
      <c r="X27" s="7">
        <f>IF($B27="","",SUM($E27:$K27)+$P27+$Q27+$R27+$S27+$T27+$U27+$V27+$W27)</f>
      </c>
      <c r="Y27" s="22">
        <f>IF($B27="","",$C27+$D27-$X27)</f>
      </c>
      <c r="Z27" s="7">
        <f>IF($B27="","",$Z26+$C27+$D27)</f>
      </c>
      <c r="AA27" s="7">
        <f>IF($B27="","",$AA26+$Y27)</f>
      </c>
      <c r="AB27" s="7">
        <f>IF($B27="","",$AB26+MIN($N27,MAX(0,'Methodology &amp; Sources'!$C$3-($AX27+$AB26-$AW27))))</f>
      </c>
      <c r="AC27" s="7">
        <f>IF($B27="","",$AC26+$E27+$F27)</f>
      </c>
      <c r="AD27" s="3">
        <f>IF($B27="","",IF(AND($AB26&lt;'Methodology &amp; Sources'!$C$3,$AB27&gt;='Methodology &amp; Sources'!$C$3),"★ Social Security maxed on this check — from the next check your net rises by about $"&amp;TEXT(ROUND('Methodology &amp; Sources'!$C$4*$N27,2),"#,##0.00")&amp;". ","")&amp;IF(AND($AC26&lt;'Inputs 2'!$C$34,$AC27&gt;='Inputs 2'!$C$34),"★ 401(k) reaches the $"&amp;TEXT('Inputs 2'!$C$34,"#,##0")&amp;" cap on this check — deferrals stop and net pay rises. ","")&amp;IF(AND($AG26&lt;'Methodology &amp; Sources'!$C$7,$AG27&gt;='Methodology &amp; Sources'!$C$7),"★ Wages pass $200,000 — the 0.9% Additional Medicare Tax starts here. ","")&amp;IF(AND($BJ27&gt;0,$H27&gt;0,$BG26&lt;MIN($BJ27,'Methodology &amp; Sources'!$C$13),$BG26+$H27&gt;=MIN($BJ27,'Methodology &amp; Sources'!$C$13)),"★ Health FSA election is now fully deferred for the year. ",""))</f>
      </c>
      <c r="AE27" s="41" t="n"/>
      <c r="AF27" s="7">
        <f>IF(OR($B27="",$AE27=""),"",$AE27-$Y27)</f>
      </c>
      <c r="AG27" s="7">
        <f>IF($B27="","",$AG26+$N27)</f>
      </c>
      <c r="AH27" s="7">
        <f>IF($B27="","",MAX(0,($M27-$D27)*'Inputs 2'!$C$8+$AP27-$AQ27-IF('Inputs 2'!$C$13,0,IF('Inputs 2'!$C$12="MFJ",'Methodology &amp; Sources'!$C$8,'Methodology &amp; Sources'!$C$9))))</f>
      </c>
      <c r="AI27" s="7">
        <f>IF($B27="","",$O27*'Inputs 2'!$C$8)</f>
      </c>
      <c r="AJ27" s="7">
        <f>IF($B27="","",MAX(0,$AI27-VLOOKUP($AN27,StateTables!$A$6:$AB$56,12,FALSE)*$AT27-IF(($AS27+$AT27)&gt;=2,VLOOKUP($AN27,StateTables!$A$6:$AB$56,8,FALSE),VLOOKUP($AN27,StateTables!$A$6:$AB$56,7,FALSE))))</f>
      </c>
      <c r="AK27" s="7">
        <f>IF($B27="","",IFERROR(LOOKUP(2,1/(('Events 2'!$C$6:$C$17="Salary change")*('Events 2'!$B$6:$B$17&lt;=$B27)*('Events 2'!$B$6:$B$17&lt;&gt;"")),'Events 2'!$D$6:$D$17),IF('Inputs 2'!$C$4="Annual salary",'Inputs 2'!$C$5,'Inputs 2'!$C$6)))</f>
      </c>
      <c r="AL27">
        <f>IF($B27="","",IFERROR(LOOKUP(2,1/(('Events 2'!$C$6:$C$17="401(k) change")*('Events 2'!$B$6:$B$17&lt;=$B27)*('Events 2'!$B$6:$B$17&lt;&gt;"")),'Events 2'!$D$6:$D$17),'Inputs 2'!$C$30))</f>
      </c>
      <c r="AM27" s="7">
        <f>IF($B27="","",IFERROR(LOOKUP(2,1/(('Events 2'!$C$6:$C$17="401(k) change")*('Events 2'!$B$6:$B$17&lt;=$B27)*('Events 2'!$B$6:$B$17&lt;&gt;"")),'Events 2'!$E$6:$E$17),'Inputs 2'!$D$30))</f>
      </c>
      <c r="AN27">
        <f>IF($B27="","",IFERROR(LOOKUP(2,1/(('Events 2'!$C$6:$C$17="State move")*('Events 2'!$B$6:$B$17&lt;=$B27)*('Events 2'!$B$6:$B$17&lt;&gt;"")),'Events 2'!$D$6:$D$17),'Inputs 2'!$C$21))</f>
      </c>
      <c r="AO27" s="7">
        <f>IF($B27="","",IFERROR(LOOKUP(2,1/(('Events 2'!$C$6:$C$17="W-4 change")*('Events 2'!$B$6:$B$17&lt;=$B27)*('Events 2'!$B$6:$B$17&lt;&gt;"")),'Events 2'!$D$6:$D$17),'Inputs 2'!$C$14))</f>
      </c>
      <c r="AP27" s="7">
        <f>IF($B27="","",IFERROR(LOOKUP(2,1/(('Events 2'!$C$6:$C$17="W-4 change")*('Events 2'!$B$6:$B$17&lt;=$B27)*('Events 2'!$B$6:$B$17&lt;&gt;"")),'Events 2'!$E$6:$E$17),'Inputs 2'!$C$15))</f>
      </c>
      <c r="AQ27" s="7">
        <f>IF($B27="","",IFERROR(LOOKUP(2,1/(('Events 2'!$C$6:$C$17="W-4 change")*('Events 2'!$B$6:$B$17&lt;=$B27)*('Events 2'!$B$6:$B$17&lt;&gt;"")),'Events 2'!$F$6:$F$17),'Inputs 2'!$C$16))</f>
      </c>
      <c r="AR27" s="7">
        <f>IF($B27="","",IFERROR(LOOKUP(2,1/(('Events 2'!$C$6:$C$17="W-4 change")*('Events 2'!$B$6:$B$17&lt;=$B27)*('Events 2'!$B$6:$B$17&lt;&gt;"")),'Events 2'!$G$6:$G$17),'Inputs 2'!$C$17))</f>
      </c>
      <c r="AS27" s="6">
        <f>IF($B27="","",IFERROR(LOOKUP(2,1/((('Events 2'!$C$6:$C$17="State move")+('Events 2'!$C$6:$C$17="State cert change"))*('Events 2'!$B$6:$B$17&lt;=$B27)*('Events 2'!$B$6:$B$17&lt;&gt;"")),'Events 2'!$F$6:$F$17),'Inputs 2'!$C$23))</f>
      </c>
      <c r="AT27" s="6">
        <f>IF($B27="","",IFERROR(LOOKUP(2,1/((('Events 2'!$C$6:$C$17="State move")+('Events 2'!$C$6:$C$17="State cert change"))*('Events 2'!$B$6:$B$17&lt;=$B27)*('Events 2'!$B$6:$B$17&lt;&gt;"")),'Events 2'!$G$6:$G$17),'Inputs 2'!$C$24))</f>
      </c>
      <c r="AU27">
        <f>IF($B27="","",IFERROR(LOOKUP(2,1/(('Events 2'!$C$6:$C$17="State move")*('Events 2'!$B$6:$B$17&lt;=$B27)*('Events 2'!$B$6:$B$17&lt;&gt;"")),'Events 2'!$E$6:$E$17),'Inputs 2'!$C$22))</f>
      </c>
      <c r="AV27" s="6">
        <f>IF($B27="","",1+COUNTIFS('Events 2'!$C$6:$C$17,"Employer change",'Events 2'!$B$6:$B$17,"&lt;="&amp;$B27,'Events 2'!$B$6:$B$17,"&lt;&gt;"))</f>
      </c>
      <c r="AW27" s="7">
        <f>IF($B27="","",IF($AV27=1,'Inputs 2'!$C$49,IF(IFERROR(MATCH(IFERROR(LOOKUP(2,1/(('Events 2'!$C$6:$C$17="Employer change")*('Events 2'!$B$6:$B$17&lt;=$B27)*('Events 2'!$B$6:$B$17&lt;&gt;"")),'Events 2'!$B$6:$B$17),""),$B$6:$B$68,1),1)&lt;=1,'Inputs 2'!$C$49,INDEX($AB$6:$AB$68,MATCH(IFERROR(LOOKUP(2,1/(('Events 2'!$C$6:$C$17="Employer change")*('Events 2'!$B$6:$B$17&lt;=$B27)*('Events 2'!$B$6:$B$17&lt;&gt;"")),'Events 2'!$B$6:$B$17),""),$B$6:$B$68,1)-1))))</f>
      </c>
      <c r="AX27" s="7">
        <f>IF($B27="","",IF($AV27=1,'Inputs 2'!$C$49,IFERROR(LOOKUP(2,1/(('Events 2'!$C$6:$C$17="Employer change")*('Events 2'!$B$6:$B$17&lt;=$B27)*('Events 2'!$B$6:$B$17&lt;&gt;"")),'Events 2'!$D$6:$D$17),0)))</f>
      </c>
      <c r="AY27" s="7">
        <f>IF($B27="","",($O27-$D27)*'Inputs 2'!$C$8)</f>
      </c>
      <c r="AZ27" s="7">
        <f>IF($B27="","",IF($AN27="AL",MAX(0,$AY27-IF($AU27="Married",IF($AY27&lt;=25999,8500,MAX(5000,8500-175*CEILING(($AY27-25999)/500,1))),IF($AU27="Head of household",IF($AY27&lt;=25999,5200,MAX(2500,5200-135*CEILING(($AY27-25999)/500,1))),IF($AY27&lt;=25999,3000,MAX(2500,3000-25*CEILING(($AY27-25999)/500,1)))))-($P27-'Methodology &amp; Sources'!$C$10*$D27)*'Inputs 2'!$C$8-IF(OR($AU27="Married",$AU27="Head of household"),3000,1500)-$AT27*IF($AY27&lt;=50000,1000,IF($AY27&lt;=100000,500,300))),IF($AN27="AR",IF(MAX(0,$AY27-2470)&lt;97701,INT(MAX(0,$AY27-2470)/100)*100+50,MAX(0,$AY27-2470)),IF($AN27="DE",MAX(0,$AI27-3250),IF($AN27="HI",MAX(0,$AI27-1144*$AS27-4350),IF($AN27="KS",MAX(0,$AI27-(9160*IF($AU27="Married",2,1)+2320*$AT27+IF($AU27="Head of household",2320,0))),IF($AN27="MD",MAX(0,$AI27-3400-3200*$AS27),IF($AN27="MN",MAX(0,$AY27-5300*$AS27),IF($AN27="MO",MAX(0,$AI27-IF($AU27="Head of household",24150,IF($AU27="Married",IF('Inputs 2'!$C$83,16100,32200),16100))),IF($AN27="MT",$AY27,IF($AN27="ND",($C27+$L27)*'Inputs 2'!$C$8,IF($AN27="NE",MAX(0,$AY27-2440*$AS27),IF($AN27="NJ",MAX(0,$AY27-1000*$AS27),IF($AN27="NY",MAX(0,$AY27-(IF($AU27="Married",7950,7400)+1000*$AS27)),IF($AN27="OH",MAX(0,$AY27-650*$AS27),IF($AN27="OK",MAX(0,$AY27-1000*$AS27),IF($AN27="RI",MAX(0,$AI27-1000*$AS27),IF($AN27="SC",MAX(0,$AI27-5000*$AS27-IF($AS27=0,0,MIN(0.1*$AI27,7500))),IF($AN27="VA",MAX(0,$AI27-IF($AU27="Married",17500,8750)-930*$AS27-800*$AT27),IF($AN27="VT",MAX(0,$AI27-5400*$AS27),IF($AN27="WI",MAX(0,$AI27-MAX(0,IF($AU27="Married",9461-0.2*MAX(0,$AI27-25727),6702-0.12*MAX(0,$AI27-17780)))-400*$AS27),IF($AN27="WV",MAX(0,$AI27-2000*$AS27),$AI27))))))))))))))))))))))</f>
      </c>
      <c r="BA27" s="7">
        <f>IF($B27="","",IF($BW27&lt;&gt;"",$BW27,IF($BX27&lt;&gt;"",$BX27,IF($BY27&lt;&gt;"",$BY27,0))))</f>
      </c>
      <c r="BB27" s="7">
        <f>IF($B27="","",IF($AN27="AR",-29*$AS27,IF($AN27="DE",-110*$AS27,IF($AN27="MD",$AZ27*'Inputs 2'!$C$74,IF($AN27="AZ",'Inputs 2'!$C$82*($M27-$D27)*'Inputs 2'!$C$8,IF($AN27="CO",0.044*MAX(0,$AY27-IF($AU27="Married",10000,5000)),IF($AN27="IA",MAX(0,0.038*MAX(0,$AY27-IF($AU27="Head of household",19500,IF($AU27="Married",26000,13000)))-40*$AS27),IF($AN27="ID",0.053*MAX(0,$AY27-IF($AU27="Married",32000,16094)),IF($AN27="IL",0.0495*MAX(0,$AY27-(2925*$AS27+1000*$AT27)),IF($AN27="IN",(0.0295+'Inputs 2'!$C$76)*MAX(0,$AY27-(1000*$AS27+1500*$AT27+3000*'Inputs 2'!$C$86)),IF($AN27="KY",0.035*MAX(0,$AI27-3360),IF($AN27="LA",IF('Inputs 2'!$C$84="0",0.0309*$AI27,0.0309*MAX(0,$AI27-IF('Inputs 2'!$C$84="2",25750,12875))),IF($AN27="MA",0.05*MIN(MAX(0,$AY27-MIN(($BD26+$Q27+$R27+$S27),2000)-IF($AS27=0,0,IF($AS27=1,4400,1000*$AS27+3400))),1107750)+0.09*MAX(0,MAX(0,$AY27-MIN(($BD26+$Q27+$R27+$S27),2000)-IF($AS27=0,0,IF($AS27=1,4400,1000*$AS27+3400)))-1107750)-IF($AU27="Head of household",120,0)-110*'Inputs 2'!$C$75,IF($AN27="MI",0.0425*MAX(0,$AY27-5900*$AS27),IF($AN27="MS",0.04*MAX(0,$AI27-IF($AU27="Head of household",3400,IF($AU27="Married",4600,2300))-'Inputs 2'!$C$85-10000),IF($AN27="OR",IF(OR($AU27="Married",AND($AU27="Single",$AS27&gt;=3)),SUMPRODUCT((MAX(0,$AY27-MIN(($P27-'Methodology &amp; Sources'!$C$10*$D27)*'Inputs 2'!$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Sources'!$B$211:$J$214,0,4))*(MAX(0,$AY27-MIN(($P27-'Methodology &amp; Sources'!$C$10*$D27)*'Inputs 2'!$C$8,IF(OR($AU27="Married",AND($AU27="Single",$AS27&gt;=3)),IF($AY27&lt;250000,8750,IF($AY27&lt;260000,7000,IF($AY27&lt;270000,5250,IF($AY27&lt;280000,3500,IF($AY27&lt;290000,1750,0))))),IF($AY27&lt;125000,8750,IF($AY27&lt;130000,7000,IF($AY27&lt;135000,5250,IF($AY27&lt;140000,3500,IF($AY27&lt;145000,1750,0)))))))-IF(OR($AU27="Married",AND($AU27="Single",$AS27&gt;=3)),5820,2910))-INDEX('Methodology &amp; Sources'!$B$211:$J$214,0,4))*INDEX('Methodology &amp; Sources'!$B$211:$J$214,0,4+2)),SUMPRODUCT((MAX(0,$AY27-MIN(($P27-'Methodology &amp; Sources'!$C$10*$D27)*'Inputs 2'!$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Sources'!$B$211:$J$214,0,1))*(MAX(0,$AY27-MIN(($P27-'Methodology &amp; Sources'!$C$10*$D27)*'Inputs 2'!$C$8,IF(OR($AU27="Married",AND($AU27="Single",$AS27&gt;=3)),IF($AY27&lt;250000,8750,IF($AY27&lt;260000,7000,IF($AY27&lt;270000,5250,IF($AY27&lt;280000,3500,IF($AY27&lt;290000,1750,0))))),IF($AY27&lt;125000,8750,IF($AY27&lt;130000,7000,IF($AY27&lt;135000,5250,IF($AY27&lt;140000,3500,IF($AY27&lt;145000,1750,0)))))))-IF(OR($AU27="Married",AND($AU27="Single",$AS27&gt;=3)),5820,2910))-INDEX('Methodology &amp; Sources'!$B$211:$J$214,0,1))*INDEX('Methodology &amp; Sources'!$B$211:$J$214,0,1+2)))+263-263*IF(IF($AU27="Married",$AY27&gt;200000,$AY27&gt;100000),0,$AS27),IF($AN27="PA",0.0307*(($O27+$E27+$G27)*'Inputs 2'!$C$8),IF($AN27="NY",IF($AU27="Married",IF($AZ27&gt;=2155350,0,IF($AZ27&gt;=1077550,0.48,IF($AZ27&gt;=373200,1.21,IF($AZ27&gt;=323200,0.21,IF($AZ27&gt;=211550,-0.19,IF($AZ27&gt;=157650,-2.8,IF($AZ27&gt;=107650,-0.8,IF($AZ27&gt;=96800,0.05,IF($AZ27&gt;=80650,-0.1,IF($AZ27&gt;=13900,0.4,IF($AZ27&gt;=11700,-0.3,IF($AZ27&gt;=8500,0.5,0)))))))))))),IF($AZ27&gt;=1077550,0,IF($AZ27&gt;=265400,4.29,IF($AZ27&gt;=215400,2.29,IF($AZ27&gt;=157650,2.29,IF($AZ27&gt;=107650,0.29,IF($AZ27&gt;=96800,0.05,IF($AZ27&gt;=80650,-0.1,IF($AZ27&gt;=13900,0.4,IF($AZ27&gt;=11700,-0.3,IF($AZ27&gt;=8500,0.5,0))))))))))),0))))))))))))))))))</f>
      </c>
      <c r="BC27" s="7">
        <f>IF($B27="","",IF($AN27="AL",0.05*$D27,IF($AN27="AR",0.039*$D27,IF($AN27="ID",0.053*$D27,IF($AN27="IN",(0.0295+'Inputs 2'!$C$76)*$D27,IF($AN27="KS",0.05*$D27,IF($AN27="MA",0.09*MIN($D27,MAX(0,MAX(0,$AY27-MIN(($BD26+$Q27+$R27+$S27),2000)-IF($AS27=0,0,IF($AS27=1,4400,1000*$AS27+3400)))+$D27-1107750))+0.05*($D27-MIN($D27,MAX(0,MAX(0,$AY27-MIN(($BD26+$Q27+$R27+$S27),2000)-IF($AS27=0,0,IF($AS27=1,4400,1000*$AS27+3400)))+$D27-1107750))),IF($AN27="MD",(0.065+'Inputs 2'!$C$74)*$D27,IF($AN27="MI",0.0425*$D27,IF($AN27="MN",0.0625*$D27,IF($AN27="MO",0.047*$D27,IF($AN27="MT",0.05*$D27,IF($AN27="ND",0.015*$D27,IF($AN27="NE",0.035*$D27,IF($AN27="NJ",IF('Inputs 2'!$C$77="B",SUMPRODUCT(($D27*'Inputs 2'!$C$8&gt;INDEX('Methodology &amp; Sources'!$B$155:$J$162,0,4))*($D27*'Inputs 2'!$C$8-INDEX('Methodology &amp; Sources'!$B$155:$J$162,0,4))*INDEX('Methodology &amp; Sources'!$B$155:$J$162,0,4+2)),IF('Inputs 2'!$C$77="C",SUMPRODUCT(($D27*'Inputs 2'!$C$8&gt;INDEX('Methodology &amp; Sources'!$B$155:$J$162,0,7))*($D27*'Inputs 2'!$C$8-INDEX('Methodology &amp; Sources'!$B$155:$J$162,0,7))*INDEX('Methodology &amp; Sources'!$B$155:$J$162,0,7+2)),IF('Inputs 2'!$C$77="D",SUMPRODUCT(($D27*'Inputs 2'!$C$8&gt;INDEX('Methodology &amp; Sources'!$B$167:$J$179,0,1))*($D27*'Inputs 2'!$C$8-INDEX('Methodology &amp; Sources'!$B$167:$J$179,0,1))*INDEX('Methodology &amp; Sources'!$B$167:$J$179,0,1+2)),IF('Inputs 2'!$C$77="E",SUMPRODUCT(($D27*'Inputs 2'!$C$8&gt;INDEX('Methodology &amp; Sources'!$B$167:$J$179,0,4))*($D27*'Inputs 2'!$C$8-INDEX('Methodology &amp; Sources'!$B$167:$J$179,0,4))*INDEX('Methodology &amp; Sources'!$B$167:$J$179,0,4+2)),SUMPRODUCT(($D27*'Inputs 2'!$C$8&gt;INDEX('Methodology &amp; Sources'!$B$155:$J$162,0,1))*($D27*'Inputs 2'!$C$8-INDEX('Methodology &amp; Sources'!$B$155:$J$162,0,1))*INDEX('Methodology &amp; Sources'!$B$155:$J$162,0,1+2))))))/'Inputs 2'!$C$8,IF($AN27="NY",0.117*$D27,IF($AN27="OH",0.0275*$D27,IF($AN27="OK",0.045*$D27,IF($AN27="OR",0.08*$D27,IF($AN27="WI",IF($AY27&lt;12760,0.0354,IF($AY27&lt;25520,0.0465,IF($AY27&lt;280950,0.053,0.0765)))*$D27,0))))))))))))))))))))</f>
      </c>
      <c r="BD27" s="7">
        <f>IF($B27="","",$BD26+$Q27+$R27+$S27)</f>
      </c>
      <c r="BE27" s="6">
        <f>IF($B27="",$BE26,$BE26+$BF27)</f>
      </c>
      <c r="BF27" s="6">
        <f>IF($B27="","",IF(AND(IF(YEAR(IF('Inputs 2'!$C$7="Weekly",'Inputs 2'!$C$9+7*(($BE26+1)-1),IF('Inputs 2'!$C$7="Biweekly",'Inputs 2'!$C$9+14*(($BE26+1)-1),IF('Inputs 2'!$C$7="Semimonthly",DATE(YEAR('Inputs 2'!$C$9),MONTH('Inputs 2'!$C$9)+INT((($BE26+1)-1)/2),MIN(DAY('Inputs 2'!$C$9),DAY(EOMONTH(DATE(YEAR('Inputs 2'!$C$9),MONTH('Inputs 2'!$C$9)+INT((($BE26+1)-1)/2),1),0))))+IF(MOD(($BE26+1)-1,2)=1,15,0),EDATE('Inputs 2'!$C$9,($BE26+1)-1)))))&lt;&gt;'Inputs 2'!$C$10,"",IF('Inputs 2'!$C$7="Weekly",'Inputs 2'!$C$9+7*(($BE26+1)-1),IF('Inputs 2'!$C$7="Biweekly",'Inputs 2'!$C$9+14*(($BE26+1)-1),IF('Inputs 2'!$C$7="Semimonthly",DATE(YEAR('Inputs 2'!$C$9),MONTH('Inputs 2'!$C$9)+INT((($BE26+1)-1)/2),MIN(DAY('Inputs 2'!$C$9),DAY(EOMONTH(DATE(YEAR('Inputs 2'!$C$9),MONTH('Inputs 2'!$C$9)+INT((($BE26+1)-1)/2),1),0))))+IF(MOD(($BE26+1)-1,2)=1,15,0),EDATE('Inputs 2'!$C$9,($BE26+1)-1)))))&lt;&gt;"",$B27=IF(YEAR(IF('Inputs 2'!$C$7="Weekly",'Inputs 2'!$C$9+7*(($BE26+1)-1),IF('Inputs 2'!$C$7="Biweekly",'Inputs 2'!$C$9+14*(($BE26+1)-1),IF('Inputs 2'!$C$7="Semimonthly",DATE(YEAR('Inputs 2'!$C$9),MONTH('Inputs 2'!$C$9)+INT((($BE26+1)-1)/2),MIN(DAY('Inputs 2'!$C$9),DAY(EOMONTH(DATE(YEAR('Inputs 2'!$C$9),MONTH('Inputs 2'!$C$9)+INT((($BE26+1)-1)/2),1),0))))+IF(MOD(($BE26+1)-1,2)=1,15,0),EDATE('Inputs 2'!$C$9,($BE26+1)-1)))))&lt;&gt;'Inputs 2'!$C$10,"",IF('Inputs 2'!$C$7="Weekly",'Inputs 2'!$C$9+7*(($BE26+1)-1),IF('Inputs 2'!$C$7="Biweekly",'Inputs 2'!$C$9+14*(($BE26+1)-1),IF('Inputs 2'!$C$7="Semimonthly",DATE(YEAR('Inputs 2'!$C$9),MONTH('Inputs 2'!$C$9)+INT((($BE26+1)-1)/2),MIN(DAY('Inputs 2'!$C$9),DAY(EOMONTH(DATE(YEAR('Inputs 2'!$C$9),MONTH('Inputs 2'!$C$9)+INT((($BE26+1)-1)/2),1),0))))+IF(MOD(($BE26+1)-1,2)=1,15,0),EDATE('Inputs 2'!$C$9,($BE26+1)-1)))))),1,0))</f>
      </c>
      <c r="BG27" s="7">
        <f>IF($B27="","",$BG26+$H27)</f>
      </c>
      <c r="BH27" s="7">
        <f>IF($B27="","",$BH26+$I27)</f>
      </c>
      <c r="BI27" s="7">
        <f>IF($B27="","",$BI26+$G27)</f>
      </c>
      <c r="BJ27" s="7">
        <f>IF($B27="","",IFERROR(LOOKUP(2,1/(((('Events 2'!$C$6:$C$17="Deduction start"))*('Events 2'!$D$6:$D$17="Health FSA"))*('Events 2'!$B$6:$B$17&lt;=$B27)*('Events 2'!$B$6:$B$17&lt;&gt;"")),'Events 2'!$E$6:$E$17),'Inputs 2'!$D$38))</f>
      </c>
      <c r="BK27" s="7">
        <f>IF($B27="","",IFERROR(LOOKUP(2,1/(((('Events 2'!$C$6:$C$17="Deduction start"))*('Events 2'!$D$6:$D$17="Dependent-care FSA"))*('Events 2'!$B$6:$B$17&lt;=$B27)*('Events 2'!$B$6:$B$17&lt;&gt;"")),'Events 2'!$E$6:$E$17),'Inputs 2'!$D$39))</f>
      </c>
      <c r="BL27" s="7">
        <f>IF($B27="","",IFERROR(LOOKUP(2,1/(((('Events 2'!$C$6:$C$17="Deduction start")+('Events 2'!$C$6:$C$17="Deduction stop"))*('Events 2'!$D$6:$D$17="HSA"))*('Events 2'!$B$6:$B$17&lt;=$B27)*('Events 2'!$B$6:$B$17&lt;&gt;"")),'Events 2'!$I$6:$I$17),'Inputs 2'!$D$35))</f>
      </c>
      <c r="BM27" s="7">
        <f>IF($B27="","",IFERROR(LOOKUP(2,1/(((('Events 2'!$C$6:$C$17="Deduction start")+('Events 2'!$C$6:$C$17="Deduction stop"))*('Events 2'!$D$6:$D$17="Premiums"))*('Events 2'!$B$6:$B$17&lt;=$B27)*('Events 2'!$B$6:$B$17&lt;&gt;"")),'Events 2'!$I$6:$I$17),'Inputs 2'!$D$40+'Inputs 2'!$D$41+'Inputs 2'!$D$42))</f>
      </c>
      <c r="BN27" s="7">
        <f>IF($B27="","",IFERROR(LOOKUP(2,1/(((('Events 2'!$C$6:$C$17="Deduction start")+('Events 2'!$C$6:$C$17="Deduction stop"))*('Events 2'!$D$6:$D$17="Commuter"))*('Events 2'!$B$6:$B$17&lt;=$B27)*('Events 2'!$B$6:$B$17&lt;&gt;"")),'Events 2'!$I$6:$I$17),'Inputs 2'!$D$43))</f>
      </c>
      <c r="BO27" s="7">
        <f>IF($B27="","",IFERROR(LOOKUP(2,1/(((('Events 2'!$C$6:$C$17="Deduction start")+('Events 2'!$C$6:$C$17="Deduction stop"))*('Events 2'!$D$6:$D$17="Other pre-tax"))*('Events 2'!$B$6:$B$17&lt;=$B27)*('Events 2'!$B$6:$B$17&lt;&gt;"")),'Events 2'!$I$6:$I$17),'Inputs 2'!$D$44))</f>
      </c>
      <c r="BP27" s="7">
        <f>IF($B27="","",IFERROR(LOOKUP(2,1/(((('Events 2'!$C$6:$C$17="Deduction start")+('Events 2'!$C$6:$C$17="Deduction stop"))*('Events 2'!$D$6:$D$17="Other post-tax"))*('Events 2'!$B$6:$B$17&lt;=$B27)*('Events 2'!$B$6:$B$17&lt;&gt;"")),'Events 2'!$I$6:$I$17),'Inputs 2'!$D$45))</f>
      </c>
      <c r="BQ27" s="6">
        <f>IF($B27="","",IFERROR(LOOKUP(2,1/(((('Events 2'!$C$6:$C$17="Deduction start")+('Events 2'!$C$6:$C$17="Deduction stop"))*('Events 2'!$D$6:$D$17="Health FSA"))*('Events 2'!$B$6:$B$17&lt;=$B27)*('Events 2'!$B$6:$B$17&lt;&gt;"")),'Events 2'!$J$6:$J$17),0))</f>
      </c>
      <c r="BR27" s="6">
        <f>IF($B27="","",IFERROR(LOOKUP(2,1/(((('Events 2'!$C$6:$C$17="Deduction start")+('Events 2'!$C$6:$C$17="Deduction stop"))*('Events 2'!$D$6:$D$17="Dependent-care FSA"))*('Events 2'!$B$6:$B$17&lt;=$B27)*('Events 2'!$B$6:$B$17&lt;&gt;"")),'Events 2'!$J$6:$J$17),0))</f>
      </c>
      <c r="BS27" s="6">
        <f>IF($B27="","",IF(SUMPRODUCT(('Events 2'!$C$6:$C$17="Deduction start")*('Events 2'!$B$6:$B$17&lt;=$B27)*('Events 2'!$B$6:$B$17&lt;&gt;"")*('Events 2'!$D$6:$D$17="Health FSA"))&gt;0,1,0))</f>
      </c>
      <c r="BT27" s="6">
        <f>IF($B27="","",IF(SUMPRODUCT(('Events 2'!$C$6:$C$17="Deduction start")*('Events 2'!$B$6:$B$17&lt;=$B27)*('Events 2'!$B$6:$B$17&lt;&gt;"")*('Events 2'!$D$6:$D$17="Dependent-care FSA"))&gt;0,1,0))</f>
      </c>
      <c r="BU27" s="24">
        <f>IF($B27="","",IF('Inputs 2'!$C$13,SUMPRODUCT(($AH27&gt;=INDEX('Methodology &amp; Sources'!$B$29:$J$36,0,IF('Inputs 2'!$C$12="MFJ",1,IF('Inputs 2'!$C$12="HoH",7,4))))*INDEX('Methodology &amp; Sources'!$B$29:$J$36,0,IF('Inputs 2'!$C$12="MFJ",1,IF('Inputs 2'!$C$12="HoH",7,4))+2)),SUMPRODUCT(($AH27&gt;=INDEX('Methodology &amp; Sources'!$B$19:$J$26,0,IF('Inputs 2'!$C$12="MFJ",1,IF('Inputs 2'!$C$12="HoH",7,4))))*INDEX('Methodology &amp; Sources'!$B$19:$J$26,0,IF('Inputs 2'!$C$12="MFJ",1,IF('Inputs 2'!$C$12="HoH",7,4))+2))))</f>
      </c>
      <c r="BV27" s="24">
        <f>IF($B27="","",IF($BZ27&lt;&gt;"",$BZ27,IF($CA27&lt;&gt;"",$CA27,IF($CB27&lt;&gt;"",$CB27,IF($CC27&lt;&gt;"",$CC27,0)))))</f>
      </c>
      <c r="BW27" s="7">
        <f>IF($B27="","",IF($AN27="MD",IF(OR($AU27="Married",$AU27="Head of household"),SUMPRODUCT(($AZ27&gt;INDEX('Methodology &amp; Sources'!$B$114:$J$120,0,1))*($AZ27-INDEX('Methodology &amp; Sources'!$B$114:$J$120,0,1))*INDEX('Methodology &amp; Sources'!$B$114:$J$120,0,1+2)),SUMPRODUCT(($AZ27&gt;INDEX('Methodology &amp; Sources'!$B$103:$J$109,0,7))*($AZ27-INDEX('Methodology &amp; Sources'!$B$103:$J$109,0,7))*INDEX('Methodology &amp; Sources'!$B$103:$J$109,0,7+2))),IF($AN27="MO",SUMPRODUCT(($AZ27&gt;INDEX('Methodology &amp; Sources'!$B$125:$J$132,0,1))*($AZ27-INDEX('Methodology &amp; Sources'!$B$125:$J$132,0,1))*INDEX('Methodology &amp; Sources'!$B$125:$J$132,0,1+2)),IF($AN27="MT",IF($AU27="Head of household",SUMPRODUCT(($AZ27&gt;INDEX('Methodology &amp; Sources'!$B$137:$J$139,0,1))*($AZ27-INDEX('Methodology &amp; Sources'!$B$137:$J$139,0,1))*INDEX('Methodology &amp; Sources'!$B$137:$J$139,0,1+2)),IF($AU27="Married",SUMPRODUCT(($AZ27&gt;INDEX('Methodology &amp; Sources'!$B$125:$J$132,0,7))*($AZ27-INDEX('Methodology &amp; Sources'!$B$125:$J$132,0,7))*INDEX('Methodology &amp; Sources'!$B$125:$J$132,0,7+2)),SUMPRODUCT(($AZ27&gt;INDEX('Methodology &amp; Sources'!$B$125:$J$132,0,4))*($AZ27-INDEX('Methodology &amp; Sources'!$B$125:$J$132,0,4))*INDEX('Methodology &amp; Sources'!$B$125:$J$132,0,4+2)))),IF($AN27="ND",IF($AU27="Head of household",SUMPRODUCT(($AZ27&gt;INDEX('Methodology &amp; Sources'!$B$144:$J$150,0,1))*($AZ27-INDEX('Methodology &amp; Sources'!$B$144:$J$150,0,1))*INDEX('Methodology &amp; Sources'!$B$144:$J$150,0,1+2)),IF($AU27="Married",SUMPRODUCT(($AZ27&gt;INDEX('Methodology &amp; Sources'!$B$137:$J$139,0,7))*($AZ27-INDEX('Methodology &amp; Sources'!$B$137:$J$139,0,7))*INDEX('Methodology &amp; Sources'!$B$137:$J$139,0,7+2)),SUMPRODUCT(($AZ27&gt;INDEX('Methodology &amp; Sources'!$B$137:$J$139,0,4))*($AZ27-INDEX('Methodology &amp; Sources'!$B$137:$J$139,0,4))*INDEX('Methodology &amp; Sources'!$B$137:$J$139,0,4+2)))),IF($AN27="NJ",IF('Inputs 2'!$C$77="B",SUMPRODUCT(($AZ27&gt;INDEX('Methodology &amp; Sources'!$B$155:$J$162,0,4))*($AZ27-INDEX('Methodology &amp; Sources'!$B$155:$J$162,0,4))*INDEX('Methodology &amp; Sources'!$B$155:$J$162,0,4+2)),IF('Inputs 2'!$C$77="C",SUMPRODUCT(($AZ27&gt;INDEX('Methodology &amp; Sources'!$B$155:$J$162,0,7))*($AZ27-INDEX('Methodology &amp; Sources'!$B$155:$J$162,0,7))*INDEX('Methodology &amp; Sources'!$B$155:$J$162,0,7+2)),IF('Inputs 2'!$C$77="D",SUMPRODUCT(($AZ27&gt;INDEX('Methodology &amp; Sources'!$B$167:$J$179,0,1))*($AZ27-INDEX('Methodology &amp; Sources'!$B$167:$J$179,0,1))*INDEX('Methodology &amp; Sources'!$B$167:$J$179,0,1+2)),IF('Inputs 2'!$C$77="E",SUMPRODUCT(($AZ27&gt;INDEX('Methodology &amp; Sources'!$B$167:$J$179,0,4))*($AZ27-INDEX('Methodology &amp; Sources'!$B$167:$J$179,0,4))*INDEX('Methodology &amp; Sources'!$B$167:$J$179,0,4+2)),SUMPRODUCT(($AZ27&gt;INDEX('Methodology &amp; Sources'!$B$155:$J$162,0,1))*($AZ27-INDEX('Methodology &amp; Sources'!$B$155:$J$162,0,1))*INDEX('Methodology &amp; Sources'!$B$155:$J$162,0,1+2)))))),IF($AN27="NY",IF($AU27="Married",IF($AZ27&gt;=2155350,$AZ27*IF($AZ27&gt;25000000,0.117,IF($AZ27&gt;5000000,0.111,0.1045)),SUMPRODUCT(($AZ27&gt;INDEX('Methodology &amp; Sources'!$B$184:$J$198,0,1))*($AZ27-INDEX('Methodology &amp; Sources'!$B$184:$J$198,0,1))*INDEX('Methodology &amp; Sources'!$B$184:$J$198,0,1+2))),IF($AZ27&gt;=1077550,$AZ27*IF($AZ27&gt;25000000,0.117,IF($AZ27&gt;5000000,0.111,0.1045)),SUMPRODUCT(($AZ27&gt;INDEX('Methodology &amp; Sources'!$B$167:$J$179,0,7))*($AZ27-INDEX('Methodology &amp; Sources'!$B$167:$J$179,0,7))*INDEX('Methodology &amp; Sources'!$B$167:$J$179,0,7+2)))),"")))))))</f>
      </c>
      <c r="BX27" s="7">
        <f>IF($B27="","",IF($AN27="AL",IF(OR($AU27="Married",$AU27="Head of household"),SUMPRODUCT(($AZ27&gt;INDEX('Methodology &amp; Sources'!$B$82:$J$86,0,4))*($AZ27-INDEX('Methodology &amp; Sources'!$B$82:$J$86,0,4))*INDEX('Methodology &amp; Sources'!$B$82:$J$86,0,4+2)),SUMPRODUCT(($AZ27&gt;INDEX('Methodology &amp; Sources'!$B$82:$J$86,0,1))*($AZ27-INDEX('Methodology &amp; Sources'!$B$82:$J$86,0,1))*INDEX('Methodology &amp; Sources'!$B$82:$J$86,0,1+2))),IF($AN27="KS",IF($AU27="Married",SUMPRODUCT(($AZ27&gt;INDEX('Methodology &amp; Sources'!$B$103:$J$109,0,4))*($AZ27-INDEX('Methodology &amp; Sources'!$B$103:$J$109,0,4))*INDEX('Methodology &amp; Sources'!$B$103:$J$109,0,4+2)),SUMPRODUCT(($AZ27&gt;INDEX('Methodology &amp; Sources'!$B$103:$J$109,0,1))*($AZ27-INDEX('Methodology &amp; Sources'!$B$103:$J$109,0,1))*INDEX('Methodology &amp; Sources'!$B$103:$J$109,0,1+2))),IF($AN27="MN",IF($AU27="Married",SUMPRODUCT(($AZ27&gt;INDEX('Methodology &amp; Sources'!$B$114:$J$120,0,7))*($AZ27-INDEX('Methodology &amp; Sources'!$B$114:$J$120,0,7))*INDEX('Methodology &amp; Sources'!$B$114:$J$120,0,7+2)),SUMPRODUCT(($AZ27&gt;INDEX('Methodology &amp; Sources'!$B$114:$J$120,0,4))*($AZ27-INDEX('Methodology &amp; Sources'!$B$114:$J$120,0,4))*INDEX('Methodology &amp; Sources'!$B$114:$J$120,0,4+2))),IF($AN27="NE",MAX(IF($AU27="Married",SUMPRODUCT(($AZ27&gt;INDEX('Methodology &amp; Sources'!$B$144:$J$150,0,7))*($AZ27-INDEX('Methodology &amp; Sources'!$B$144:$J$150,0,7))*INDEX('Methodology &amp; Sources'!$B$144:$J$150,0,7+2)),SUMPRODUCT(($AZ27&gt;INDEX('Methodology &amp; Sources'!$B$144:$J$150,0,4))*($AZ27-INDEX('Methodology &amp; Sources'!$B$144:$J$150,0,4))*INDEX('Methodology &amp; Sources'!$B$144:$J$150,0,4+2))),0.015*$AZ27),IF($AN27="OH",IF($B27&gt;=DATE(2027,8,1),SUMPRODUCT(($AZ27&gt;INDEX('Methodology &amp; Sources'!$B$203:$J$206,0,1))*($AZ27-INDEX('Methodology &amp; Sources'!$B$203:$J$206,0,1))*INDEX('Methodology &amp; Sources'!$B$203:$J$206,0,1+2)),SUMPRODUCT(($AZ27&gt;INDEX('Methodology &amp; Sources'!$B$184:$J$198,0,7))*($AZ27-INDEX('Methodology &amp; Sources'!$B$184:$J$198,0,7))*INDEX('Methodology &amp; Sources'!$B$184:$J$198,0,7+2))),IF($AN27="OK",IF($AU27="Married",SUMPRODUCT(($AZ27&gt;INDEX('Methodology &amp; Sources'!$B$203:$J$206,0,7))*($AZ27-INDEX('Methodology &amp; Sources'!$B$203:$J$206,0,7))*INDEX('Methodology &amp; Sources'!$B$203:$J$206,0,7+2)),SUMPRODUCT(($AZ27&gt;INDEX('Methodology &amp; Sources'!$B$203:$J$206,0,4))*($AZ27-INDEX('Methodology &amp; Sources'!$B$203:$J$206,0,4))*INDEX('Methodology &amp; Sources'!$B$203:$J$206,0,4+2))),IF($AN27="RI",SUMPRODUCT(($AZ27&gt;INDEX('Methodology &amp; Sources'!$B$211:$J$214,0,7))*($AZ27-INDEX('Methodology &amp; Sources'!$B$211:$J$214,0,7))*INDEX('Methodology &amp; Sources'!$B$211:$J$214,0,7+2)),IF($AN27="VT",IF($AU27="Married",SUMPRODUCT(($AZ27&gt;INDEX('Methodology &amp; Sources'!$B$228:$J$232,0,1))*($AZ27-INDEX('Methodology &amp; Sources'!$B$228:$J$232,0,1))*INDEX('Methodology &amp; Sources'!$B$228:$J$232,0,1+2)),SUMPRODUCT(($AZ27&gt;INDEX('Methodology &amp; Sources'!$B$219:$J$223,0,7))*($AZ27-INDEX('Methodology &amp; Sources'!$B$219:$J$223,0,7))*INDEX('Methodology &amp; Sources'!$B$219:$J$223,0,7+2))),IF($AN27="WV",IF($AU27="Married",SUMPRODUCT(($AZ27&gt;INDEX('Methodology &amp; Sources'!$B$237:$J$241,0,7))*($AZ27-INDEX('Methodology &amp; Sources'!$B$237:$J$241,0,7))*INDEX('Methodology &amp; Sources'!$B$237:$J$241,0,7+2)),SUMPRODUCT(($AZ27&gt;INDEX('Methodology &amp; Sources'!$B$228:$J$232,0,7))*($AZ27-INDEX('Methodology &amp; Sources'!$B$228:$J$232,0,7))*INDEX('Methodology &amp; Sources'!$B$228:$J$232,0,7+2))),""))))))))))</f>
      </c>
      <c r="BY27" s="7">
        <f>IF($B27="","",IF($AN27="AR",SUMPRODUCT(($AZ27&gt;INDEX('Methodology &amp; Sources'!$B$82:$J$86,0,7))*($AZ27-INDEX('Methodology &amp; Sources'!$B$82:$J$86,0,7))*INDEX('Methodology &amp; Sources'!$B$82:$J$86,0,7+2)),IF($AN27="DE",SUMPRODUCT(($AZ27&gt;INDEX('Methodology &amp; Sources'!$B$91:$J$98,0,1))*($AZ27-INDEX('Methodology &amp; Sources'!$B$91:$J$98,0,1))*INDEX('Methodology &amp; Sources'!$B$91:$J$98,0,1+2)),IF($AN27="HI",IF($AU27="Married",SUMPRODUCT(($AZ27&gt;INDEX('Methodology &amp; Sources'!$B$91:$J$98,0,7))*($AZ27-INDEX('Methodology &amp; Sources'!$B$91:$J$98,0,7))*INDEX('Methodology &amp; Sources'!$B$91:$J$98,0,7+2)),SUMPRODUCT(($AZ27&gt;INDEX('Methodology &amp; Sources'!$B$91:$J$98,0,4))*($AZ27-INDEX('Methodology &amp; Sources'!$B$91:$J$98,0,4))*INDEX('Methodology &amp; Sources'!$B$91:$J$98,0,4+2))),IF($AN27="SC",SUMPRODUCT(($AZ27&gt;INDEX('Methodology &amp; Sources'!$B$219:$J$223,0,1))*($AZ27-INDEX('Methodology &amp; Sources'!$B$219:$J$223,0,1))*INDEX('Methodology &amp; Sources'!$B$219:$J$223,0,1+2)),IF($AN27="VA",SUMPRODUCT(($AZ27&gt;INDEX('Methodology &amp; Sources'!$B$219:$J$223,0,4))*($AZ27-INDEX('Methodology &amp; Sources'!$B$219:$J$223,0,4))*INDEX('Methodology &amp; Sources'!$B$219:$J$223,0,4+2)),IF($AN27="WI",SUMPRODUCT(($AZ27&gt;INDEX('Methodology &amp; Sources'!$B$228:$J$232,0,4))*($AZ27-INDEX('Methodology &amp; Sources'!$B$228:$J$232,0,4))*INDEX('Methodology &amp; Sources'!$B$228:$J$232,0,4+2)),"")))))))</f>
      </c>
      <c r="BZ27" s="24">
        <f>IF($B27="","",IF($AN27="NJ",IF('Inputs 2'!$C$77="B",SUMPRODUCT(($AZ27&gt;=INDEX('Methodology &amp; Sources'!$B$155:$J$162,0,4))*INDEX('Methodology &amp; Sources'!$B$155:$J$162,0,4+2)),IF('Inputs 2'!$C$77="C",SUMPRODUCT(($AZ27&gt;=INDEX('Methodology &amp; Sources'!$B$155:$J$162,0,7))*INDEX('Methodology &amp; Sources'!$B$155:$J$162,0,7+2)),IF('Inputs 2'!$C$77="D",SUMPRODUCT(($AZ27&gt;=INDEX('Methodology &amp; Sources'!$B$167:$J$179,0,1))*INDEX('Methodology &amp; Sources'!$B$167:$J$179,0,1+2)),IF('Inputs 2'!$C$77="E",SUMPRODUCT(($AZ27&gt;=INDEX('Methodology &amp; Sources'!$B$167:$J$179,0,4))*INDEX('Methodology &amp; Sources'!$B$167:$J$179,0,4+2)),SUMPRODUCT(($AZ27&gt;=INDEX('Methodology &amp; Sources'!$B$155:$J$162,0,1))*INDEX('Methodology &amp; Sources'!$B$155:$J$162,0,1+2)))))),IF($AN27="OR",IF(OR($AU27="Married",AND($AU27="Single",$AS27&gt;=3)),SUMPRODUCT((MAX(0,$AY27-MIN(($P27-'Methodology &amp; Sources'!$C$10*$D27)*'Inputs 2'!$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Sources'!$B$211:$J$214,0,4))*INDEX('Methodology &amp; Sources'!$B$211:$J$214,0,4+2)),SUMPRODUCT((MAX(0,$AY27-MIN(($P27-'Methodology &amp; Sources'!$C$10*$D27)*'Inputs 2'!$C$8,IF(OR($AU27="Married",AND($AU27="Single",$AS27&gt;=3)),IF($AY27&lt;250000,8750,IF($AY27&lt;260000,7000,IF($AY27&lt;270000,5250,IF($AY27&lt;280000,3500,IF($AY27&lt;290000,1750,0))))),IF($AY27&lt;125000,8750,IF($AY27&lt;130000,7000,IF($AY27&lt;135000,5250,IF($AY27&lt;140000,3500,IF($AY27&lt;145000,1750,0)))))))-IF(OR($AU27="Married",AND($AU27="Single",$AS27&gt;=3)),5820,2910))&gt;=INDEX('Methodology &amp; Sources'!$B$211:$J$214,0,1))*INDEX('Methodology &amp; Sources'!$B$211:$J$214,0,1+2)))*IF(($P27-'Methodology &amp; Sources'!$C$10*$D27)*'Inputs 2'!$C$8&gt;=IF(OR($AU27="Married",AND($AU27="Single",$AS27&gt;=3)),IF($AY27&lt;250000,8750,IF($AY27&lt;260000,7000,IF($AY27&lt;270000,5250,IF($AY27&lt;280000,3500,IF($AY27&lt;290000,1750,0))))),IF($AY27&lt;125000,8750,IF($AY27&lt;130000,7000,IF($AY27&lt;135000,5250,IF($AY27&lt;140000,3500,IF($AY27&lt;145000,1750,0)))))),1,1-IF('Inputs 2'!$C$13,SUMPRODUCT(($AH27&gt;=INDEX('Methodology &amp; Sources'!$B$29:$J$36,0,IF('Inputs 2'!$C$12="MFJ",1,IF('Inputs 2'!$C$12="HoH",7,4))))*INDEX('Methodology &amp; Sources'!$B$29:$J$36,0,IF('Inputs 2'!$C$12="MFJ",1,IF('Inputs 2'!$C$12="HoH",7,4))+2)),SUMPRODUCT(($AH27&gt;=INDEX('Methodology &amp; Sources'!$B$19:$J$26,0,IF('Inputs 2'!$C$12="MFJ",1,IF('Inputs 2'!$C$12="HoH",7,4))))*INDEX('Methodology &amp; Sources'!$B$19:$J$26,0,IF('Inputs 2'!$C$12="MFJ",1,IF('Inputs 2'!$C$12="HoH",7,4))+2)))),IF($AN27="MI",IF($AY27&gt;5900*$AS27,0.0425,0),""))))</f>
      </c>
      <c r="CA27" s="24">
        <f>IF($B27="","",IF($AN27="AL",IF(OR($AU27="Married",$AU27="Head of household"),SUMPRODUCT(($AZ27&gt;=INDEX('Methodology &amp; Sources'!$B$82:$J$86,0,4))*INDEX('Methodology &amp; Sources'!$B$82:$J$86,0,4+2)),SUMPRODUCT(($AZ27&gt;=INDEX('Methodology &amp; Sources'!$B$82:$J$86,0,1))*INDEX('Methodology &amp; Sources'!$B$82:$J$86,0,1+2)))*(1-IF('Inputs 2'!$C$13,SUMPRODUCT(($AH27&gt;=INDEX('Methodology &amp; Sources'!$B$29:$J$36,0,IF('Inputs 2'!$C$12="MFJ",1,IF('Inputs 2'!$C$12="HoH",7,4))))*INDEX('Methodology &amp; Sources'!$B$29:$J$36,0,IF('Inputs 2'!$C$12="MFJ",1,IF('Inputs 2'!$C$12="HoH",7,4))+2)),SUMPRODUCT(($AH27&gt;=INDEX('Methodology &amp; Sources'!$B$19:$J$26,0,IF('Inputs 2'!$C$12="MFJ",1,IF('Inputs 2'!$C$12="HoH",7,4))))*INDEX('Methodology &amp; Sources'!$B$19:$J$26,0,IF('Inputs 2'!$C$12="MFJ",1,IF('Inputs 2'!$C$12="HoH",7,4))+2)))),IF($AN27="KS",IF($AU27="Married",SUMPRODUCT(($AZ27&gt;=INDEX('Methodology &amp; Sources'!$B$103:$J$109,0,4))*INDEX('Methodology &amp; Sources'!$B$103:$J$109,0,4+2)),SUMPRODUCT(($AZ27&gt;=INDEX('Methodology &amp; Sources'!$B$103:$J$109,0,1))*INDEX('Methodology &amp; Sources'!$B$103:$J$109,0,1+2))),IF($AN27="MD",IF(OR($AU27="Married",$AU27="Head of household"),SUMPRODUCT(($AZ27&gt;=INDEX('Methodology &amp; Sources'!$B$114:$J$120,0,1))*INDEX('Methodology &amp; Sources'!$B$114:$J$120,0,1+2)),SUMPRODUCT(($AZ27&gt;=INDEX('Methodology &amp; Sources'!$B$103:$J$109,0,7))*INDEX('Methodology &amp; Sources'!$B$103:$J$109,0,7+2)))+'Inputs 2'!$C$74,IF($AN27="MT",IF($AU27="Head of household",SUMPRODUCT(($AZ27&gt;=INDEX('Methodology &amp; Sources'!$B$137:$J$139,0,1))*INDEX('Methodology &amp; Sources'!$B$137:$J$139,0,1+2)),IF($AU27="Married",SUMPRODUCT(($AZ27&gt;=INDEX('Methodology &amp; Sources'!$B$125:$J$132,0,7))*INDEX('Methodology &amp; Sources'!$B$125:$J$132,0,7+2)),SUMPRODUCT(($AZ27&gt;=INDEX('Methodology &amp; Sources'!$B$125:$J$132,0,4))*INDEX('Methodology &amp; Sources'!$B$125:$J$132,0,4+2)))),IF($AN27="ND",IF($AU27="Head of household",SUMPRODUCT(($AZ27&gt;=INDEX('Methodology &amp; Sources'!$B$144:$J$150,0,1))*INDEX('Methodology &amp; Sources'!$B$144:$J$150,0,1+2)),IF($AU27="Married",SUMPRODUCT(($AZ27&gt;=INDEX('Methodology &amp; Sources'!$B$137:$J$139,0,7))*INDEX('Methodology &amp; Sources'!$B$137:$J$139,0,7+2)),SUMPRODUCT(($AZ27&gt;=INDEX('Methodology &amp; Sources'!$B$137:$J$139,0,4))*INDEX('Methodology &amp; Sources'!$B$137:$J$139,0,4+2)))),IF($AN27="NY",IF($AU27="Married",IF($AZ27&gt;=2155350,IF($AZ27&gt;25000000,0.117,IF($AZ27&gt;5000000,0.111,0.1045)),SUMPRODUCT(($AZ27&gt;=INDEX('Methodology &amp; Sources'!$B$184:$J$198,0,1))*INDEX('Methodology &amp; Sources'!$B$184:$J$198,0,1+2))),IF($AZ27&gt;=1077550,IF($AZ27&gt;25000000,0.117,IF($AZ27&gt;5000000,0.111,0.1045)),SUMPRODUCT(($AZ27&gt;=INDEX('Methodology &amp; Sources'!$B$167:$J$179,0,7))*INDEX('Methodology &amp; Sources'!$B$167:$J$179,0,7+2)))),"")))))))</f>
      </c>
      <c r="CB27" s="24">
        <f>IF($B27="","",IF($AN27="CA",SUMPRODUCT(($AJ27&gt;=INDEX('Methodology &amp; Sources'!$B$39:$J$48,0,IF($AU27="Married",4,IF($AU27="Head of household",7,1))))*INDEX('Methodology &amp; Sources'!$B$39:$J$48,0,IF($AU27="Married",4,IF($AU27="Head of household",7,1))+2)),IF($AN27="HI",IF($AU27="Married",SUMPRODUCT(($AZ27&gt;=INDEX('Methodology &amp; Sources'!$B$91:$J$98,0,7))*INDEX('Methodology &amp; Sources'!$B$91:$J$98,0,7+2)),SUMPRODUCT(($AZ27&gt;=INDEX('Methodology &amp; Sources'!$B$91:$J$98,0,4))*INDEX('Methodology &amp; Sources'!$B$91:$J$98,0,4+2))),IF($AN27="MN",IF($AU27="Married",SUMPRODUCT(($AZ27&gt;=INDEX('Methodology &amp; Sources'!$B$114:$J$120,0,7))*INDEX('Methodology &amp; Sources'!$B$114:$J$120,0,7+2)),SUMPRODUCT(($AZ27&gt;=INDEX('Methodology &amp; Sources'!$B$114:$J$120,0,4))*INDEX('Methodology &amp; Sources'!$B$114:$J$120,0,4+2))),IF($AN27="MO",SUMPRODUCT(($AZ27&gt;=INDEX('Methodology &amp; Sources'!$B$125:$J$132,0,1))*INDEX('Methodology &amp; Sources'!$B$125:$J$132,0,1+2)),IF($AN27="NE",MAX(IF($AU27="Married",SUMPRODUCT(($AZ27&gt;=INDEX('Methodology &amp; Sources'!$B$144:$J$150,0,7))*INDEX('Methodology &amp; Sources'!$B$144:$J$150,0,7+2)),SUMPRODUCT(($AZ27&gt;=INDEX('Methodology &amp; Sources'!$B$144:$J$150,0,4))*INDEX('Methodology &amp; Sources'!$B$144:$J$150,0,4+2))),0.015),IF($AN27="OH",IF($B27&gt;=DATE(2027,8,1),SUMPRODUCT(($AZ27&gt;=INDEX('Methodology &amp; Sources'!$B$203:$J$206,0,1))*INDEX('Methodology &amp; Sources'!$B$203:$J$206,0,1+2)),SUMPRODUCT(($AZ27&gt;=INDEX('Methodology &amp; Sources'!$B$184:$J$198,0,7))*INDEX('Methodology &amp; Sources'!$B$184:$J$198,0,7+2))),IF($AN27="OK",IF($AU27="Married",SUMPRODUCT(($AZ27&gt;=INDEX('Methodology &amp; Sources'!$B$203:$J$206,0,7))*INDEX('Methodology &amp; Sources'!$B$203:$J$206,0,7+2)),SUMPRODUCT(($AZ27&gt;=INDEX('Methodology &amp; Sources'!$B$203:$J$206,0,4))*INDEX('Methodology &amp; Sources'!$B$203:$J$206,0,4+2))),IF($AN27="RI",SUMPRODUCT(($AZ27&gt;=INDEX('Methodology &amp; Sources'!$B$211:$J$214,0,7))*INDEX('Methodology &amp; Sources'!$B$211:$J$214,0,7+2)),IF($AN27="SC",SUMPRODUCT(($AZ27&gt;=INDEX('Methodology &amp; Sources'!$B$219:$J$223,0,1))*INDEX('Methodology &amp; Sources'!$B$219:$J$223,0,1+2)),IF($AN27="VT",IF($AU27="Married",SUMPRODUCT(($AZ27&gt;=INDEX('Methodology &amp; Sources'!$B$228:$J$232,0,1))*INDEX('Methodology &amp; Sources'!$B$228:$J$232,0,1+2)),SUMPRODUCT(($AZ27&gt;=INDEX('Methodology &amp; Sources'!$B$219:$J$223,0,7))*INDEX('Methodology &amp; Sources'!$B$219:$J$223,0,7+2))),IF($AN27="WV",IF($AU27="Married",SUMPRODUCT(($AZ27&gt;=INDEX('Methodology &amp; Sources'!$B$237:$J$241,0,7))*INDEX('Methodology &amp; Sources'!$B$237:$J$241,0,7+2)),SUMPRODUCT(($AZ27&gt;=INDEX('Methodology &amp; Sources'!$B$228:$J$232,0,7))*INDEX('Methodology &amp; Sources'!$B$228:$J$232,0,7+2))),IF($AN27="IN",(0.0295+'Inputs 2'!$C$76),"")))))))))))))</f>
      </c>
      <c r="CC27" s="24">
        <f>IF($B27="","",IF($AN27="AR",SUMPRODUCT(($AZ27&gt;=INDEX('Methodology &amp; Sources'!$B$82:$J$86,0,7))*INDEX('Methodology &amp; Sources'!$B$82:$J$86,0,7+2)),IF($AN27="DE",SUMPRODUCT(($AZ27&gt;=INDEX('Methodology &amp; Sources'!$B$91:$J$98,0,1))*INDEX('Methodology &amp; Sources'!$B$91:$J$98,0,1+2)),IF($AN27="VA",SUMPRODUCT(($AZ27&gt;=INDEX('Methodology &amp; Sources'!$B$219:$J$223,0,4))*INDEX('Methodology &amp; Sources'!$B$219:$J$223,0,4+2)),IF($AN27="WI",SUMPRODUCT(($AZ27&gt;=INDEX('Methodology &amp; Sources'!$B$228:$J$232,0,4))*INDEX('Methodology &amp; Sources'!$B$228:$J$232,0,4+2)),IF($AN27="AZ",'Inputs 2'!$C$82,IF($AN27="CO",IF($AY27&gt;IF($AU27="Married",10000,5000),0.044,0),IF($AN27="IA",IF($AY27&gt;IF($AU27="Head of household",19500,IF($AU27="Married",26000,13000)),0.038,0),IF($AN27="ID",IF($AY27&gt;IF($AU27="Married",32000,16094),0.053,0),IF($AN27="IL",IF($AY27&gt;(2925*$AS27+1000*$AT27),0.0495,0),IF($AN27="KY",IF($AI27&gt;3360,0.035,0),IF($AN27="LA",0.0309,IF($AN27="MA",IF(MAX(0,$AY27-MIN(($BD26+$Q27+$R27+$S27),2000)-IF($AS27=0,0,IF($AS27=1,4400,1000*$AS27+3400)))&gt;=1107750,0.09,0.05),IF($AN27="MS",IF($AI27-IF($AU27="Head of household",3400,IF($AU27="Married",4600,2300))-'Inputs 2'!$C$85&gt;10000,0.04,0),IF($AN27="PA",0.0307,"")))))))))))))))</f>
      </c>
      <c r="CD27" s="21">
        <f>IF(YEAR(IF('Inputs 2'!$C$7="Weekly",'Inputs 2'!$C$9+7*(($BE26+1)-1),IF('Inputs 2'!$C$7="Biweekly",'Inputs 2'!$C$9+14*(($BE26+1)-1),IF('Inputs 2'!$C$7="Semimonthly",DATE(YEAR('Inputs 2'!$C$9),MONTH('Inputs 2'!$C$9)+INT((($BE26+1)-1)/2),MIN(DAY('Inputs 2'!$C$9),DAY(EOMONTH(DATE(YEAR('Inputs 2'!$C$9),MONTH('Inputs 2'!$C$9)+INT((($BE26+1)-1)/2),1),0))))+IF(MOD(($BE26+1)-1,2)=1,15,0),EDATE('Inputs 2'!$C$9,($BE26+1)-1)))))&lt;&gt;'Inputs 2'!$C$10,"",IF('Inputs 2'!$C$7="Weekly",'Inputs 2'!$C$9+7*(($BE26+1)-1),IF('Inputs 2'!$C$7="Biweekly",'Inputs 2'!$C$9+14*(($BE26+1)-1),IF('Inputs 2'!$C$7="Semimonthly",DATE(YEAR('Inputs 2'!$C$9),MONTH('Inputs 2'!$C$9)+INT((($BE26+1)-1)/2),MIN(DAY('Inputs 2'!$C$9),DAY(EOMONTH(DATE(YEAR('Inputs 2'!$C$9),MONTH('Inputs 2'!$C$9)+INT((($BE26+1)-1)/2),1),0))))+IF(MOD(($BE26+1)-1,2)=1,15,0),EDATE('Inputs 2'!$C$9,($BE26+1)-1)))))</f>
      </c>
      <c r="CE27" s="21">
        <f>IF(SUMPRODUCT(MIN(IF(('Inputs 2'!$C$58:$C$67&gt;MAX($B$6:$B26))*('Inputs 2'!$C$58:$C$67&gt;=DATE('Inputs 2'!$C$10,1,1))*('Inputs 2'!$C$58:$C$67&lt;=DATE('Inputs 2'!$C$10,12,31)),'Inputs 2'!$C$58:$C$67,999999)))=999999,"",SUMPRODUCT(MIN(IF(('Inputs 2'!$C$58:$C$67&gt;MAX($B$6:$B26))*('Inputs 2'!$C$58:$C$67&gt;=DATE('Inputs 2'!$C$10,1,1))*('Inputs 2'!$C$58:$C$67&lt;=DATE('Inputs 2'!$C$10,12,31)),'Inputs 2'!$C$58:$C$67,999999))))</f>
      </c>
    </row>
    <row r="28">
      <c r="A28" t="n">
        <v>23</v>
      </c>
      <c r="B28" s="21">
        <f>IF(AND($CD28="",$CE28=""),"",IF($CE28="",$CD28,IF($CD28="",$CE28,MIN($CD28,$CE28))))</f>
      </c>
      <c r="C28" s="7">
        <f>IF($B28="","",IF($BF28=0,0,IF('Inputs 2'!$C$4="Annual salary",ROUND($AK28/IF(AND('Inputs 2'!$C$88="Actual paydays",MONTH('Inputs 2'!$C$9)=1),MAX(1,MAX($BE$6:$BE$68)),'Inputs 2'!$C$8),2),$AK28)))</f>
      </c>
      <c r="D28" s="7">
        <f>IF($B28="","",SUMIF('Inputs 2'!$C$58:$C$67,$B28,'Inputs 2'!$D$58:$D$67))</f>
      </c>
      <c r="E28" s="7">
        <f>IF($B28="","",ROUND(MAX(0,MIN(IF($AL28="Percent",$AM28*($C28+$D28),$AM28),MAX(0,'Inputs 2'!$C$34-$AC27))),2))</f>
      </c>
      <c r="F28" s="7">
        <f>IF($B28="","",ROUND(MAX(0,MIN(IF('Inputs 2'!$C$32="Percent",'Inputs 2'!$D$32*($C28+$D28),'Inputs 2'!$D$32),MAX(0,'Inputs 2'!$C$34-$AC27-$E28))),2))</f>
      </c>
      <c r="G28" s="7">
        <f>IF($B28="","",IF($BF28=0,0,ROUND(MAX(0,MIN($BL28,'Inputs 2'!$C$37-'Inputs 2'!$C$54-$BI27)),2)))</f>
      </c>
      <c r="H28" s="7">
        <f>IF($B28="","",IF(OR($BF28=0,$BQ28=1),0,ROUND(MAX(0,MIN(IF($BS28=1,ROUND(MAX(0,MIN($BJ28,'Methodology &amp; Sources'!$C$13)-$BG27)/MAX(1,MAX($BE$6:$BE$68)-($BE27)),2),ROUND(MIN($BJ28,'Methodology &amp; Sources'!$C$13)/'Inputs 2'!$C$8,2)),MIN($BJ28,'Methodology &amp; Sources'!$C$13)-$BG27)),2)))</f>
      </c>
      <c r="I28" s="7">
        <f>IF($B28="","",IF(OR($BF28=0,$BR28=1),0,ROUND(MAX(0,MIN(IF($BT28=1,ROUND(MAX(0,MIN($BK28,IF('Inputs 2'!$C$12="MFJ",'Methodology &amp; Sources'!$C$14,'Methodology &amp; Sources'!$C$15))-$BH27)/MAX(1,MAX($BE$6:$BE$68)-($BE27)),2),ROUND(MIN($BK28,IF('Inputs 2'!$C$12="MFJ",'Methodology &amp; Sources'!$C$14,'Methodology &amp; Sources'!$C$15))/'Inputs 2'!$C$8,2)),MIN($BK28,IF('Inputs 2'!$C$12="MFJ",'Methodology &amp; Sources'!$C$14,'Methodology &amp; Sources'!$C$15))-$BH27)),2)))</f>
      </c>
      <c r="J28" s="7">
        <f>IF($B28="","",IF($BF28=0,0,$BM28))</f>
      </c>
      <c r="K28" s="7">
        <f>IF($B28="","",IF($BF28=0,0,$BN28+$BO28))</f>
      </c>
      <c r="L28" s="7">
        <f>IF($B28="","",IF($BF28=0,0,'Inputs 2'!$D$46))</f>
      </c>
      <c r="M28" s="7">
        <f>IF($B28="","",$C28+$D28+$L28-$E28-$G28-$H28-$I28-$J28-$K28)</f>
      </c>
      <c r="N28" s="7">
        <f>IF($B28="","",$C28+$D28+$L28-$G28-$H28-$I28-$J28-$K28)</f>
      </c>
      <c r="O28" s="7">
        <f>IF($B28="","",$C28+$D28+$L28-$E28-$H28-$I28-$J28-$K28-IF(OR($AN28="CA",$AN28="NJ"),0,$G28))</f>
      </c>
      <c r="P28" s="7">
        <f>IF($B28="","",IF('Inputs 2'!$C$18,0,ROUND(MAX(0,IF('Inputs 2'!$C$13,SUMPRODUCT(($AH28&gt;INDEX('Methodology &amp; Sources'!$B$29:$J$36,0,IF('Inputs 2'!$C$12="MFJ",1,IF('Inputs 2'!$C$12="HoH",7,4))))*($AH28-INDEX('Methodology &amp; Sources'!$B$29:$J$36,0,IF('Inputs 2'!$C$12="MFJ",1,IF('Inputs 2'!$C$12="HoH",7,4))))*INDEX('Methodology &amp; Sources'!$B$29:$J$36,0,IF('Inputs 2'!$C$12="MFJ",1,IF('Inputs 2'!$C$12="HoH",7,4))+2)),SUMPRODUCT(($AH28&gt;INDEX('Methodology &amp; Sources'!$B$19:$J$26,0,IF('Inputs 2'!$C$12="MFJ",1,IF('Inputs 2'!$C$12="HoH",7,4))))*($AH28-INDEX('Methodology &amp; Sources'!$B$19:$J$26,0,IF('Inputs 2'!$C$12="MFJ",1,IF('Inputs 2'!$C$12="HoH",7,4))))*INDEX('Methodology &amp; Sources'!$B$19:$J$26,0,IF('Inputs 2'!$C$12="MFJ",1,IF('Inputs 2'!$C$12="HoH",7,4))+2)))/'Inputs 2'!$C$8-$AO28/'Inputs 2'!$C$8)+$AR28+IF('Inputs 2'!$C$89="Aggregate",MAX(0,IF('Inputs 2'!$C$13,SUMPRODUCT((($AH28+$D28)&gt;INDEX('Methodology &amp; Sources'!$B$29:$J$36,0,IF('Inputs 2'!$C$12="MFJ",1,IF('Inputs 2'!$C$12="HoH",7,4))))*(($AH28+$D28)-INDEX('Methodology &amp; Sources'!$B$29:$J$36,0,IF('Inputs 2'!$C$12="MFJ",1,IF('Inputs 2'!$C$12="HoH",7,4))))*INDEX('Methodology &amp; Sources'!$B$29:$J$36,0,IF('Inputs 2'!$C$12="MFJ",1,IF('Inputs 2'!$C$12="HoH",7,4))+2)),SUMPRODUCT((($AH28+$D28)&gt;INDEX('Methodology &amp; Sources'!$B$19:$J$26,0,IF('Inputs 2'!$C$12="MFJ",1,IF('Inputs 2'!$C$12="HoH",7,4))))*(($AH28+$D28)-INDEX('Methodology &amp; Sources'!$B$19:$J$26,0,IF('Inputs 2'!$C$12="MFJ",1,IF('Inputs 2'!$C$12="HoH",7,4))))*INDEX('Methodology &amp; Sources'!$B$19:$J$26,0,IF('Inputs 2'!$C$12="MFJ",1,IF('Inputs 2'!$C$12="HoH",7,4))+2)))-IF('Inputs 2'!$C$13,SUMPRODUCT(($AH28&gt;INDEX('Methodology &amp; Sources'!$B$29:$J$36,0,IF('Inputs 2'!$C$12="MFJ",1,IF('Inputs 2'!$C$12="HoH",7,4))))*($AH28-INDEX('Methodology &amp; Sources'!$B$29:$J$36,0,IF('Inputs 2'!$C$12="MFJ",1,IF('Inputs 2'!$C$12="HoH",7,4))))*INDEX('Methodology &amp; Sources'!$B$29:$J$36,0,IF('Inputs 2'!$C$12="MFJ",1,IF('Inputs 2'!$C$12="HoH",7,4))+2)),SUMPRODUCT(($AH28&gt;INDEX('Methodology &amp; Sources'!$B$19:$J$26,0,IF('Inputs 2'!$C$12="MFJ",1,IF('Inputs 2'!$C$12="HoH",7,4))))*($AH28-INDEX('Methodology &amp; Sources'!$B$19:$J$26,0,IF('Inputs 2'!$C$12="MFJ",1,IF('Inputs 2'!$C$12="HoH",7,4))))*INDEX('Methodology &amp; Sources'!$B$19:$J$26,0,IF('Inputs 2'!$C$12="MFJ",1,IF('Inputs 2'!$C$12="HoH",7,4))+2)))),'Methodology &amp; Sources'!$C$10*$D28),2)))</f>
      </c>
      <c r="Q28" s="7">
        <f>IF($B28="","",ROUND('Methodology &amp; Sources'!$C$4*MIN($N28,MAX(0,'Methodology &amp; Sources'!$C$3-($AX28+$AB27-$AW28))),2))</f>
      </c>
      <c r="R28" s="7">
        <f>IF($B28="","",ROUND('Methodology &amp; Sources'!$C$5*$N28,2))</f>
      </c>
      <c r="S28" s="7">
        <f>IF($B28="","",ROUND('Methodology &amp; Sources'!$C$6*MAX(0,MIN($N28,$AG27+$N28-'Methodology &amp; Sources'!$C$7)),2))</f>
      </c>
      <c r="T28" s="7">
        <f>IF($B28="","",IF('Inputs 2'!$C$26,0,IF($AN28="CA",ROUND(IF($AI28&lt;=IF(($AS28+$AT28)&gt;=2,VLOOKUP($AN28,StateTables!$A$6:$AB$56,10,FALSE),VLOOKUP($AN28,StateTables!$A$6:$AB$56,9,FALSE)),0,MAX(0,SUMPRODUCT(($AJ28&gt;INDEX('Methodology &amp; Sources'!$B$39:$J$48,0,IF($AU28="Married",4,IF($AU28="Head of household",7,1))))*($AJ28-INDEX('Methodology &amp; Sources'!$B$39:$J$48,0,IF($AU28="Married",4,IF($AU28="Head of household",7,1))))*INDEX('Methodology &amp; Sources'!$B$39:$J$48,0,IF($AU28="Married",4,IF($AU28="Head of household",7,1))+2))-VLOOKUP($AN28,StateTables!$A$6:$AB$56,11,FALSE)*$AS28)/'Inputs 2'!$C$8)+'Inputs 2'!$C$25+VLOOKUP($AN28,StateTables!$A$6:$AB$56,13,FALSE)*$D28,2),IF(VLOOKUP($AN28,StateTables!$A$6:$AB$56,4,FALSE)="None",0,IF(ISNUMBER(SEARCH("MANUAL",VLOOKUP($AN28,StateTables!$A$6:$AB$56,5,FALSE))),'Inputs 2'!$C$28,ROUND(MAX(0,$BA28+$BB28)/'Inputs 2'!$C$8+'Inputs 2'!$C$25+$BC28,2))))))</f>
      </c>
      <c r="U28" s="7">
        <f>IF($B28="","",IF(VLOOKUP($AN28,StateTables!$A$6:$AB$56,24,FALSE)="flatq",IF(OR(MONTH($B28)=1,MONTH($B28)=4,MONTH($B28)=7,MONTH($B28)=10),VLOOKUP($AN28,StateTables!$A$6:$AB$56,25,FALSE),0),IF(VLOOKUP($AN28,StateTables!$A$6:$AB$56,24,FALSE)="dbl",MIN(ROUND(0.005*$N28,2),ROUND(0.6*52/'Inputs 2'!$C$8,2)),IF(OR(VLOOKUP($AN28,StateTables!$A$6:$AB$56,15,FALSE)="",VLOOKUP($AN28,StateTables!$A$6:$AB$56,15,FALSE)=0),0,ROUND(VLOOKUP($AN28,StateTables!$A$6:$AB$56,15,FALSE)*IF(OR(VLOOKUP($AN28,StateTables!$A$6:$AB$56,16,FALSE)="",VLOOKUP($AN28,StateTables!$A$6:$AB$56,16,FALSE)=0),$N28,MIN($N28,MAX(0,VLOOKUP($AN28,StateTables!$A$6:$AB$56,16,FALSE)-($AX28+$AB27-$AW28)))),2))))+IF(VLOOKUP($AN28,StateTables!$A$6:$AB$56,27,FALSE)="flatq",IF(OR(MONTH($B28)=1,MONTH($B28)=4,MONTH($B28)=7,MONTH($B28)=10),VLOOKUP($AN28,StateTables!$A$6:$AB$56,28,FALSE),0),IF(VLOOKUP($AN28,StateTables!$A$6:$AB$56,27,FALSE)="dbl",MIN(ROUND(0.005*$N28,2),ROUND(0.6*52/'Inputs 2'!$C$8,2)),IF(OR(VLOOKUP($AN28,StateTables!$A$6:$AB$56,18,FALSE)="",VLOOKUP($AN28,StateTables!$A$6:$AB$56,18,FALSE)=0),0,ROUND(VLOOKUP($AN28,StateTables!$A$6:$AB$56,18,FALSE)*IF(OR(VLOOKUP($AN28,StateTables!$A$6:$AB$56,19,FALSE)="",VLOOKUP($AN28,StateTables!$A$6:$AB$56,19,FALSE)=0),$N28,MIN($N28,MAX(0,VLOOKUP($AN28,StateTables!$A$6:$AB$56,19,FALSE)-($AX28+$AB27-$AW28)))),2)))))</f>
      </c>
      <c r="V28" s="7">
        <f>IF($B28="","",IF($AN28="NY",IF('Inputs 2'!$C$78,ROUND(SUMPRODUCT((MAX(0,($O28-$D28)*'Inputs 2'!$C$8-(IF($AU28="Married",5500,5000)+1000*$AS28))&gt;INDEX('Methodology &amp; Sources'!$B$184:$J$198,0,4))*(MAX(0,($O28-$D28)*'Inputs 2'!$C$8-(IF($AU28="Married",5500,5000)+1000*$AS28))-INDEX('Methodology &amp; Sources'!$B$184:$J$198,0,4))*INDEX('Methodology &amp; Sources'!$B$184:$J$198,0,4+2))/'Inputs 2'!$C$8+0.0425*$D28,2),0)+IF('Inputs 2'!$C$79="Resident",ROUND(0.1675*$T28,2),IF('Inputs 2'!$C$79="Nonresident",ROUND(0.005*MAX(0,($O28-$D28)-(IF($AU28="Married",7950,7400)+1000*$AS28)/'Inputs 2'!$C$8),2),0)),IF($AN28="PA",IF('Inputs 2'!$C$80="None",'Inputs 2'!$C$27+ROUND('Inputs 2'!$C$81*($C28+$D28),2),ROUND(IF('Inputs 2'!$C$80="Resident",IF($B28&lt;DATE(2027,7,1),0.03735,0.03735),IF($B28&lt;DATE(2027,7,1),0.03425,0.03425))*($C28+$D28),2)),IF($BF28=0,ROUND('Inputs 2'!$C$81*($C28+$D28),2),'Inputs 2'!$C$27+ROUND('Inputs 2'!$C$81*($C28+$D28),2)))))</f>
      </c>
      <c r="W28" s="7">
        <f>IF($B28="","",IF($BF28=0,0,$BP28))</f>
      </c>
      <c r="X28" s="7">
        <f>IF($B28="","",SUM($E28:$K28)+$P28+$Q28+$R28+$S28+$T28+$U28+$V28+$W28)</f>
      </c>
      <c r="Y28" s="22">
        <f>IF($B28="","",$C28+$D28-$X28)</f>
      </c>
      <c r="Z28" s="7">
        <f>IF($B28="","",$Z27+$C28+$D28)</f>
      </c>
      <c r="AA28" s="7">
        <f>IF($B28="","",$AA27+$Y28)</f>
      </c>
      <c r="AB28" s="7">
        <f>IF($B28="","",$AB27+MIN($N28,MAX(0,'Methodology &amp; Sources'!$C$3-($AX28+$AB27-$AW28))))</f>
      </c>
      <c r="AC28" s="7">
        <f>IF($B28="","",$AC27+$E28+$F28)</f>
      </c>
      <c r="AD28" s="3">
        <f>IF($B28="","",IF(AND($AB27&lt;'Methodology &amp; Sources'!$C$3,$AB28&gt;='Methodology &amp; Sources'!$C$3),"★ Social Security maxed on this check — from the next check your net rises by about $"&amp;TEXT(ROUND('Methodology &amp; Sources'!$C$4*$N28,2),"#,##0.00")&amp;". ","")&amp;IF(AND($AC27&lt;'Inputs 2'!$C$34,$AC28&gt;='Inputs 2'!$C$34),"★ 401(k) reaches the $"&amp;TEXT('Inputs 2'!$C$34,"#,##0")&amp;" cap on this check — deferrals stop and net pay rises. ","")&amp;IF(AND($AG27&lt;'Methodology &amp; Sources'!$C$7,$AG28&gt;='Methodology &amp; Sources'!$C$7),"★ Wages pass $200,000 — the 0.9% Additional Medicare Tax starts here. ","")&amp;IF(AND($BJ28&gt;0,$H28&gt;0,$BG27&lt;MIN($BJ28,'Methodology &amp; Sources'!$C$13),$BG27+$H28&gt;=MIN($BJ28,'Methodology &amp; Sources'!$C$13)),"★ Health FSA election is now fully deferred for the year. ",""))</f>
      </c>
      <c r="AE28" s="41" t="n"/>
      <c r="AF28" s="7">
        <f>IF(OR($B28="",$AE28=""),"",$AE28-$Y28)</f>
      </c>
      <c r="AG28" s="7">
        <f>IF($B28="","",$AG27+$N28)</f>
      </c>
      <c r="AH28" s="7">
        <f>IF($B28="","",MAX(0,($M28-$D28)*'Inputs 2'!$C$8+$AP28-$AQ28-IF('Inputs 2'!$C$13,0,IF('Inputs 2'!$C$12="MFJ",'Methodology &amp; Sources'!$C$8,'Methodology &amp; Sources'!$C$9))))</f>
      </c>
      <c r="AI28" s="7">
        <f>IF($B28="","",$O28*'Inputs 2'!$C$8)</f>
      </c>
      <c r="AJ28" s="7">
        <f>IF($B28="","",MAX(0,$AI28-VLOOKUP($AN28,StateTables!$A$6:$AB$56,12,FALSE)*$AT28-IF(($AS28+$AT28)&gt;=2,VLOOKUP($AN28,StateTables!$A$6:$AB$56,8,FALSE),VLOOKUP($AN28,StateTables!$A$6:$AB$56,7,FALSE))))</f>
      </c>
      <c r="AK28" s="7">
        <f>IF($B28="","",IFERROR(LOOKUP(2,1/(('Events 2'!$C$6:$C$17="Salary change")*('Events 2'!$B$6:$B$17&lt;=$B28)*('Events 2'!$B$6:$B$17&lt;&gt;"")),'Events 2'!$D$6:$D$17),IF('Inputs 2'!$C$4="Annual salary",'Inputs 2'!$C$5,'Inputs 2'!$C$6)))</f>
      </c>
      <c r="AL28">
        <f>IF($B28="","",IFERROR(LOOKUP(2,1/(('Events 2'!$C$6:$C$17="401(k) change")*('Events 2'!$B$6:$B$17&lt;=$B28)*('Events 2'!$B$6:$B$17&lt;&gt;"")),'Events 2'!$D$6:$D$17),'Inputs 2'!$C$30))</f>
      </c>
      <c r="AM28" s="7">
        <f>IF($B28="","",IFERROR(LOOKUP(2,1/(('Events 2'!$C$6:$C$17="401(k) change")*('Events 2'!$B$6:$B$17&lt;=$B28)*('Events 2'!$B$6:$B$17&lt;&gt;"")),'Events 2'!$E$6:$E$17),'Inputs 2'!$D$30))</f>
      </c>
      <c r="AN28">
        <f>IF($B28="","",IFERROR(LOOKUP(2,1/(('Events 2'!$C$6:$C$17="State move")*('Events 2'!$B$6:$B$17&lt;=$B28)*('Events 2'!$B$6:$B$17&lt;&gt;"")),'Events 2'!$D$6:$D$17),'Inputs 2'!$C$21))</f>
      </c>
      <c r="AO28" s="7">
        <f>IF($B28="","",IFERROR(LOOKUP(2,1/(('Events 2'!$C$6:$C$17="W-4 change")*('Events 2'!$B$6:$B$17&lt;=$B28)*('Events 2'!$B$6:$B$17&lt;&gt;"")),'Events 2'!$D$6:$D$17),'Inputs 2'!$C$14))</f>
      </c>
      <c r="AP28" s="7">
        <f>IF($B28="","",IFERROR(LOOKUP(2,1/(('Events 2'!$C$6:$C$17="W-4 change")*('Events 2'!$B$6:$B$17&lt;=$B28)*('Events 2'!$B$6:$B$17&lt;&gt;"")),'Events 2'!$E$6:$E$17),'Inputs 2'!$C$15))</f>
      </c>
      <c r="AQ28" s="7">
        <f>IF($B28="","",IFERROR(LOOKUP(2,1/(('Events 2'!$C$6:$C$17="W-4 change")*('Events 2'!$B$6:$B$17&lt;=$B28)*('Events 2'!$B$6:$B$17&lt;&gt;"")),'Events 2'!$F$6:$F$17),'Inputs 2'!$C$16))</f>
      </c>
      <c r="AR28" s="7">
        <f>IF($B28="","",IFERROR(LOOKUP(2,1/(('Events 2'!$C$6:$C$17="W-4 change")*('Events 2'!$B$6:$B$17&lt;=$B28)*('Events 2'!$B$6:$B$17&lt;&gt;"")),'Events 2'!$G$6:$G$17),'Inputs 2'!$C$17))</f>
      </c>
      <c r="AS28" s="6">
        <f>IF($B28="","",IFERROR(LOOKUP(2,1/((('Events 2'!$C$6:$C$17="State move")+('Events 2'!$C$6:$C$17="State cert change"))*('Events 2'!$B$6:$B$17&lt;=$B28)*('Events 2'!$B$6:$B$17&lt;&gt;"")),'Events 2'!$F$6:$F$17),'Inputs 2'!$C$23))</f>
      </c>
      <c r="AT28" s="6">
        <f>IF($B28="","",IFERROR(LOOKUP(2,1/((('Events 2'!$C$6:$C$17="State move")+('Events 2'!$C$6:$C$17="State cert change"))*('Events 2'!$B$6:$B$17&lt;=$B28)*('Events 2'!$B$6:$B$17&lt;&gt;"")),'Events 2'!$G$6:$G$17),'Inputs 2'!$C$24))</f>
      </c>
      <c r="AU28">
        <f>IF($B28="","",IFERROR(LOOKUP(2,1/(('Events 2'!$C$6:$C$17="State move")*('Events 2'!$B$6:$B$17&lt;=$B28)*('Events 2'!$B$6:$B$17&lt;&gt;"")),'Events 2'!$E$6:$E$17),'Inputs 2'!$C$22))</f>
      </c>
      <c r="AV28" s="6">
        <f>IF($B28="","",1+COUNTIFS('Events 2'!$C$6:$C$17,"Employer change",'Events 2'!$B$6:$B$17,"&lt;="&amp;$B28,'Events 2'!$B$6:$B$17,"&lt;&gt;"))</f>
      </c>
      <c r="AW28" s="7">
        <f>IF($B28="","",IF($AV28=1,'Inputs 2'!$C$49,IF(IFERROR(MATCH(IFERROR(LOOKUP(2,1/(('Events 2'!$C$6:$C$17="Employer change")*('Events 2'!$B$6:$B$17&lt;=$B28)*('Events 2'!$B$6:$B$17&lt;&gt;"")),'Events 2'!$B$6:$B$17),""),$B$6:$B$68,1),1)&lt;=1,'Inputs 2'!$C$49,INDEX($AB$6:$AB$68,MATCH(IFERROR(LOOKUP(2,1/(('Events 2'!$C$6:$C$17="Employer change")*('Events 2'!$B$6:$B$17&lt;=$B28)*('Events 2'!$B$6:$B$17&lt;&gt;"")),'Events 2'!$B$6:$B$17),""),$B$6:$B$68,1)-1))))</f>
      </c>
      <c r="AX28" s="7">
        <f>IF($B28="","",IF($AV28=1,'Inputs 2'!$C$49,IFERROR(LOOKUP(2,1/(('Events 2'!$C$6:$C$17="Employer change")*('Events 2'!$B$6:$B$17&lt;=$B28)*('Events 2'!$B$6:$B$17&lt;&gt;"")),'Events 2'!$D$6:$D$17),0)))</f>
      </c>
      <c r="AY28" s="7">
        <f>IF($B28="","",($O28-$D28)*'Inputs 2'!$C$8)</f>
      </c>
      <c r="AZ28" s="7">
        <f>IF($B28="","",IF($AN28="AL",MAX(0,$AY28-IF($AU28="Married",IF($AY28&lt;=25999,8500,MAX(5000,8500-175*CEILING(($AY28-25999)/500,1))),IF($AU28="Head of household",IF($AY28&lt;=25999,5200,MAX(2500,5200-135*CEILING(($AY28-25999)/500,1))),IF($AY28&lt;=25999,3000,MAX(2500,3000-25*CEILING(($AY28-25999)/500,1)))))-($P28-'Methodology &amp; Sources'!$C$10*$D28)*'Inputs 2'!$C$8-IF(OR($AU28="Married",$AU28="Head of household"),3000,1500)-$AT28*IF($AY28&lt;=50000,1000,IF($AY28&lt;=100000,500,300))),IF($AN28="AR",IF(MAX(0,$AY28-2470)&lt;97701,INT(MAX(0,$AY28-2470)/100)*100+50,MAX(0,$AY28-2470)),IF($AN28="DE",MAX(0,$AI28-3250),IF($AN28="HI",MAX(0,$AI28-1144*$AS28-4350),IF($AN28="KS",MAX(0,$AI28-(9160*IF($AU28="Married",2,1)+2320*$AT28+IF($AU28="Head of household",2320,0))),IF($AN28="MD",MAX(0,$AI28-3400-3200*$AS28),IF($AN28="MN",MAX(0,$AY28-5300*$AS28),IF($AN28="MO",MAX(0,$AI28-IF($AU28="Head of household",24150,IF($AU28="Married",IF('Inputs 2'!$C$83,16100,32200),16100))),IF($AN28="MT",$AY28,IF($AN28="ND",($C28+$L28)*'Inputs 2'!$C$8,IF($AN28="NE",MAX(0,$AY28-2440*$AS28),IF($AN28="NJ",MAX(0,$AY28-1000*$AS28),IF($AN28="NY",MAX(0,$AY28-(IF($AU28="Married",7950,7400)+1000*$AS28)),IF($AN28="OH",MAX(0,$AY28-650*$AS28),IF($AN28="OK",MAX(0,$AY28-1000*$AS28),IF($AN28="RI",MAX(0,$AI28-1000*$AS28),IF($AN28="SC",MAX(0,$AI28-5000*$AS28-IF($AS28=0,0,MIN(0.1*$AI28,7500))),IF($AN28="VA",MAX(0,$AI28-IF($AU28="Married",17500,8750)-930*$AS28-800*$AT28),IF($AN28="VT",MAX(0,$AI28-5400*$AS28),IF($AN28="WI",MAX(0,$AI28-MAX(0,IF($AU28="Married",9461-0.2*MAX(0,$AI28-25727),6702-0.12*MAX(0,$AI28-17780)))-400*$AS28),IF($AN28="WV",MAX(0,$AI28-2000*$AS28),$AI28))))))))))))))))))))))</f>
      </c>
      <c r="BA28" s="7">
        <f>IF($B28="","",IF($BW28&lt;&gt;"",$BW28,IF($BX28&lt;&gt;"",$BX28,IF($BY28&lt;&gt;"",$BY28,0))))</f>
      </c>
      <c r="BB28" s="7">
        <f>IF($B28="","",IF($AN28="AR",-29*$AS28,IF($AN28="DE",-110*$AS28,IF($AN28="MD",$AZ28*'Inputs 2'!$C$74,IF($AN28="AZ",'Inputs 2'!$C$82*($M28-$D28)*'Inputs 2'!$C$8,IF($AN28="CO",0.044*MAX(0,$AY28-IF($AU28="Married",10000,5000)),IF($AN28="IA",MAX(0,0.038*MAX(0,$AY28-IF($AU28="Head of household",19500,IF($AU28="Married",26000,13000)))-40*$AS28),IF($AN28="ID",0.053*MAX(0,$AY28-IF($AU28="Married",32000,16094)),IF($AN28="IL",0.0495*MAX(0,$AY28-(2925*$AS28+1000*$AT28)),IF($AN28="IN",(0.0295+'Inputs 2'!$C$76)*MAX(0,$AY28-(1000*$AS28+1500*$AT28+3000*'Inputs 2'!$C$86)),IF($AN28="KY",0.035*MAX(0,$AI28-3360),IF($AN28="LA",IF('Inputs 2'!$C$84="0",0.0309*$AI28,0.0309*MAX(0,$AI28-IF('Inputs 2'!$C$84="2",25750,12875))),IF($AN28="MA",0.05*MIN(MAX(0,$AY28-MIN(($BD27+$Q28+$R28+$S28),2000)-IF($AS28=0,0,IF($AS28=1,4400,1000*$AS28+3400))),1107750)+0.09*MAX(0,MAX(0,$AY28-MIN(($BD27+$Q28+$R28+$S28),2000)-IF($AS28=0,0,IF($AS28=1,4400,1000*$AS28+3400)))-1107750)-IF($AU28="Head of household",120,0)-110*'Inputs 2'!$C$75,IF($AN28="MI",0.0425*MAX(0,$AY28-5900*$AS28),IF($AN28="MS",0.04*MAX(0,$AI28-IF($AU28="Head of household",3400,IF($AU28="Married",4600,2300))-'Inputs 2'!$C$85-10000),IF($AN28="OR",IF(OR($AU28="Married",AND($AU28="Single",$AS28&gt;=3)),SUMPRODUCT((MAX(0,$AY28-MIN(($P28-'Methodology &amp; Sources'!$C$10*$D28)*'Inputs 2'!$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Sources'!$B$211:$J$214,0,4))*(MAX(0,$AY28-MIN(($P28-'Methodology &amp; Sources'!$C$10*$D28)*'Inputs 2'!$C$8,IF(OR($AU28="Married",AND($AU28="Single",$AS28&gt;=3)),IF($AY28&lt;250000,8750,IF($AY28&lt;260000,7000,IF($AY28&lt;270000,5250,IF($AY28&lt;280000,3500,IF($AY28&lt;290000,1750,0))))),IF($AY28&lt;125000,8750,IF($AY28&lt;130000,7000,IF($AY28&lt;135000,5250,IF($AY28&lt;140000,3500,IF($AY28&lt;145000,1750,0)))))))-IF(OR($AU28="Married",AND($AU28="Single",$AS28&gt;=3)),5820,2910))-INDEX('Methodology &amp; Sources'!$B$211:$J$214,0,4))*INDEX('Methodology &amp; Sources'!$B$211:$J$214,0,4+2)),SUMPRODUCT((MAX(0,$AY28-MIN(($P28-'Methodology &amp; Sources'!$C$10*$D28)*'Inputs 2'!$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Sources'!$B$211:$J$214,0,1))*(MAX(0,$AY28-MIN(($P28-'Methodology &amp; Sources'!$C$10*$D28)*'Inputs 2'!$C$8,IF(OR($AU28="Married",AND($AU28="Single",$AS28&gt;=3)),IF($AY28&lt;250000,8750,IF($AY28&lt;260000,7000,IF($AY28&lt;270000,5250,IF($AY28&lt;280000,3500,IF($AY28&lt;290000,1750,0))))),IF($AY28&lt;125000,8750,IF($AY28&lt;130000,7000,IF($AY28&lt;135000,5250,IF($AY28&lt;140000,3500,IF($AY28&lt;145000,1750,0)))))))-IF(OR($AU28="Married",AND($AU28="Single",$AS28&gt;=3)),5820,2910))-INDEX('Methodology &amp; Sources'!$B$211:$J$214,0,1))*INDEX('Methodology &amp; Sources'!$B$211:$J$214,0,1+2)))+263-263*IF(IF($AU28="Married",$AY28&gt;200000,$AY28&gt;100000),0,$AS28),IF($AN28="PA",0.0307*(($O28+$E28+$G28)*'Inputs 2'!$C$8),IF($AN28="NY",IF($AU28="Married",IF($AZ28&gt;=2155350,0,IF($AZ28&gt;=1077550,0.48,IF($AZ28&gt;=373200,1.21,IF($AZ28&gt;=323200,0.21,IF($AZ28&gt;=211550,-0.19,IF($AZ28&gt;=157650,-2.8,IF($AZ28&gt;=107650,-0.8,IF($AZ28&gt;=96800,0.05,IF($AZ28&gt;=80650,-0.1,IF($AZ28&gt;=13900,0.4,IF($AZ28&gt;=11700,-0.3,IF($AZ28&gt;=8500,0.5,0)))))))))))),IF($AZ28&gt;=1077550,0,IF($AZ28&gt;=265400,4.29,IF($AZ28&gt;=215400,2.29,IF($AZ28&gt;=157650,2.29,IF($AZ28&gt;=107650,0.29,IF($AZ28&gt;=96800,0.05,IF($AZ28&gt;=80650,-0.1,IF($AZ28&gt;=13900,0.4,IF($AZ28&gt;=11700,-0.3,IF($AZ28&gt;=8500,0.5,0))))))))))),0))))))))))))))))))</f>
      </c>
      <c r="BC28" s="7">
        <f>IF($B28="","",IF($AN28="AL",0.05*$D28,IF($AN28="AR",0.039*$D28,IF($AN28="ID",0.053*$D28,IF($AN28="IN",(0.0295+'Inputs 2'!$C$76)*$D28,IF($AN28="KS",0.05*$D28,IF($AN28="MA",0.09*MIN($D28,MAX(0,MAX(0,$AY28-MIN(($BD27+$Q28+$R28+$S28),2000)-IF($AS28=0,0,IF($AS28=1,4400,1000*$AS28+3400)))+$D28-1107750))+0.05*($D28-MIN($D28,MAX(0,MAX(0,$AY28-MIN(($BD27+$Q28+$R28+$S28),2000)-IF($AS28=0,0,IF($AS28=1,4400,1000*$AS28+3400)))+$D28-1107750))),IF($AN28="MD",(0.065+'Inputs 2'!$C$74)*$D28,IF($AN28="MI",0.0425*$D28,IF($AN28="MN",0.0625*$D28,IF($AN28="MO",0.047*$D28,IF($AN28="MT",0.05*$D28,IF($AN28="ND",0.015*$D28,IF($AN28="NE",0.035*$D28,IF($AN28="NJ",IF('Inputs 2'!$C$77="B",SUMPRODUCT(($D28*'Inputs 2'!$C$8&gt;INDEX('Methodology &amp; Sources'!$B$155:$J$162,0,4))*($D28*'Inputs 2'!$C$8-INDEX('Methodology &amp; Sources'!$B$155:$J$162,0,4))*INDEX('Methodology &amp; Sources'!$B$155:$J$162,0,4+2)),IF('Inputs 2'!$C$77="C",SUMPRODUCT(($D28*'Inputs 2'!$C$8&gt;INDEX('Methodology &amp; Sources'!$B$155:$J$162,0,7))*($D28*'Inputs 2'!$C$8-INDEX('Methodology &amp; Sources'!$B$155:$J$162,0,7))*INDEX('Methodology &amp; Sources'!$B$155:$J$162,0,7+2)),IF('Inputs 2'!$C$77="D",SUMPRODUCT(($D28*'Inputs 2'!$C$8&gt;INDEX('Methodology &amp; Sources'!$B$167:$J$179,0,1))*($D28*'Inputs 2'!$C$8-INDEX('Methodology &amp; Sources'!$B$167:$J$179,0,1))*INDEX('Methodology &amp; Sources'!$B$167:$J$179,0,1+2)),IF('Inputs 2'!$C$77="E",SUMPRODUCT(($D28*'Inputs 2'!$C$8&gt;INDEX('Methodology &amp; Sources'!$B$167:$J$179,0,4))*($D28*'Inputs 2'!$C$8-INDEX('Methodology &amp; Sources'!$B$167:$J$179,0,4))*INDEX('Methodology &amp; Sources'!$B$167:$J$179,0,4+2)),SUMPRODUCT(($D28*'Inputs 2'!$C$8&gt;INDEX('Methodology &amp; Sources'!$B$155:$J$162,0,1))*($D28*'Inputs 2'!$C$8-INDEX('Methodology &amp; Sources'!$B$155:$J$162,0,1))*INDEX('Methodology &amp; Sources'!$B$155:$J$162,0,1+2))))))/'Inputs 2'!$C$8,IF($AN28="NY",0.117*$D28,IF($AN28="OH",0.0275*$D28,IF($AN28="OK",0.045*$D28,IF($AN28="OR",0.08*$D28,IF($AN28="WI",IF($AY28&lt;12760,0.0354,IF($AY28&lt;25520,0.0465,IF($AY28&lt;280950,0.053,0.0765)))*$D28,0))))))))))))))))))))</f>
      </c>
      <c r="BD28" s="7">
        <f>IF($B28="","",$BD27+$Q28+$R28+$S28)</f>
      </c>
      <c r="BE28" s="6">
        <f>IF($B28="",$BE27,$BE27+$BF28)</f>
      </c>
      <c r="BF28" s="6">
        <f>IF($B28="","",IF(AND(IF(YEAR(IF('Inputs 2'!$C$7="Weekly",'Inputs 2'!$C$9+7*(($BE27+1)-1),IF('Inputs 2'!$C$7="Biweekly",'Inputs 2'!$C$9+14*(($BE27+1)-1),IF('Inputs 2'!$C$7="Semimonthly",DATE(YEAR('Inputs 2'!$C$9),MONTH('Inputs 2'!$C$9)+INT((($BE27+1)-1)/2),MIN(DAY('Inputs 2'!$C$9),DAY(EOMONTH(DATE(YEAR('Inputs 2'!$C$9),MONTH('Inputs 2'!$C$9)+INT((($BE27+1)-1)/2),1),0))))+IF(MOD(($BE27+1)-1,2)=1,15,0),EDATE('Inputs 2'!$C$9,($BE27+1)-1)))))&lt;&gt;'Inputs 2'!$C$10,"",IF('Inputs 2'!$C$7="Weekly",'Inputs 2'!$C$9+7*(($BE27+1)-1),IF('Inputs 2'!$C$7="Biweekly",'Inputs 2'!$C$9+14*(($BE27+1)-1),IF('Inputs 2'!$C$7="Semimonthly",DATE(YEAR('Inputs 2'!$C$9),MONTH('Inputs 2'!$C$9)+INT((($BE27+1)-1)/2),MIN(DAY('Inputs 2'!$C$9),DAY(EOMONTH(DATE(YEAR('Inputs 2'!$C$9),MONTH('Inputs 2'!$C$9)+INT((($BE27+1)-1)/2),1),0))))+IF(MOD(($BE27+1)-1,2)=1,15,0),EDATE('Inputs 2'!$C$9,($BE27+1)-1)))))&lt;&gt;"",$B28=IF(YEAR(IF('Inputs 2'!$C$7="Weekly",'Inputs 2'!$C$9+7*(($BE27+1)-1),IF('Inputs 2'!$C$7="Biweekly",'Inputs 2'!$C$9+14*(($BE27+1)-1),IF('Inputs 2'!$C$7="Semimonthly",DATE(YEAR('Inputs 2'!$C$9),MONTH('Inputs 2'!$C$9)+INT((($BE27+1)-1)/2),MIN(DAY('Inputs 2'!$C$9),DAY(EOMONTH(DATE(YEAR('Inputs 2'!$C$9),MONTH('Inputs 2'!$C$9)+INT((($BE27+1)-1)/2),1),0))))+IF(MOD(($BE27+1)-1,2)=1,15,0),EDATE('Inputs 2'!$C$9,($BE27+1)-1)))))&lt;&gt;'Inputs 2'!$C$10,"",IF('Inputs 2'!$C$7="Weekly",'Inputs 2'!$C$9+7*(($BE27+1)-1),IF('Inputs 2'!$C$7="Biweekly",'Inputs 2'!$C$9+14*(($BE27+1)-1),IF('Inputs 2'!$C$7="Semimonthly",DATE(YEAR('Inputs 2'!$C$9),MONTH('Inputs 2'!$C$9)+INT((($BE27+1)-1)/2),MIN(DAY('Inputs 2'!$C$9),DAY(EOMONTH(DATE(YEAR('Inputs 2'!$C$9),MONTH('Inputs 2'!$C$9)+INT((($BE27+1)-1)/2),1),0))))+IF(MOD(($BE27+1)-1,2)=1,15,0),EDATE('Inputs 2'!$C$9,($BE27+1)-1)))))),1,0))</f>
      </c>
      <c r="BG28" s="7">
        <f>IF($B28="","",$BG27+$H28)</f>
      </c>
      <c r="BH28" s="7">
        <f>IF($B28="","",$BH27+$I28)</f>
      </c>
      <c r="BI28" s="7">
        <f>IF($B28="","",$BI27+$G28)</f>
      </c>
      <c r="BJ28" s="7">
        <f>IF($B28="","",IFERROR(LOOKUP(2,1/(((('Events 2'!$C$6:$C$17="Deduction start"))*('Events 2'!$D$6:$D$17="Health FSA"))*('Events 2'!$B$6:$B$17&lt;=$B28)*('Events 2'!$B$6:$B$17&lt;&gt;"")),'Events 2'!$E$6:$E$17),'Inputs 2'!$D$38))</f>
      </c>
      <c r="BK28" s="7">
        <f>IF($B28="","",IFERROR(LOOKUP(2,1/(((('Events 2'!$C$6:$C$17="Deduction start"))*('Events 2'!$D$6:$D$17="Dependent-care FSA"))*('Events 2'!$B$6:$B$17&lt;=$B28)*('Events 2'!$B$6:$B$17&lt;&gt;"")),'Events 2'!$E$6:$E$17),'Inputs 2'!$D$39))</f>
      </c>
      <c r="BL28" s="7">
        <f>IF($B28="","",IFERROR(LOOKUP(2,1/(((('Events 2'!$C$6:$C$17="Deduction start")+('Events 2'!$C$6:$C$17="Deduction stop"))*('Events 2'!$D$6:$D$17="HSA"))*('Events 2'!$B$6:$B$17&lt;=$B28)*('Events 2'!$B$6:$B$17&lt;&gt;"")),'Events 2'!$I$6:$I$17),'Inputs 2'!$D$35))</f>
      </c>
      <c r="BM28" s="7">
        <f>IF($B28="","",IFERROR(LOOKUP(2,1/(((('Events 2'!$C$6:$C$17="Deduction start")+('Events 2'!$C$6:$C$17="Deduction stop"))*('Events 2'!$D$6:$D$17="Premiums"))*('Events 2'!$B$6:$B$17&lt;=$B28)*('Events 2'!$B$6:$B$17&lt;&gt;"")),'Events 2'!$I$6:$I$17),'Inputs 2'!$D$40+'Inputs 2'!$D$41+'Inputs 2'!$D$42))</f>
      </c>
      <c r="BN28" s="7">
        <f>IF($B28="","",IFERROR(LOOKUP(2,1/(((('Events 2'!$C$6:$C$17="Deduction start")+('Events 2'!$C$6:$C$17="Deduction stop"))*('Events 2'!$D$6:$D$17="Commuter"))*('Events 2'!$B$6:$B$17&lt;=$B28)*('Events 2'!$B$6:$B$17&lt;&gt;"")),'Events 2'!$I$6:$I$17),'Inputs 2'!$D$43))</f>
      </c>
      <c r="BO28" s="7">
        <f>IF($B28="","",IFERROR(LOOKUP(2,1/(((('Events 2'!$C$6:$C$17="Deduction start")+('Events 2'!$C$6:$C$17="Deduction stop"))*('Events 2'!$D$6:$D$17="Other pre-tax"))*('Events 2'!$B$6:$B$17&lt;=$B28)*('Events 2'!$B$6:$B$17&lt;&gt;"")),'Events 2'!$I$6:$I$17),'Inputs 2'!$D$44))</f>
      </c>
      <c r="BP28" s="7">
        <f>IF($B28="","",IFERROR(LOOKUP(2,1/(((('Events 2'!$C$6:$C$17="Deduction start")+('Events 2'!$C$6:$C$17="Deduction stop"))*('Events 2'!$D$6:$D$17="Other post-tax"))*('Events 2'!$B$6:$B$17&lt;=$B28)*('Events 2'!$B$6:$B$17&lt;&gt;"")),'Events 2'!$I$6:$I$17),'Inputs 2'!$D$45))</f>
      </c>
      <c r="BQ28" s="6">
        <f>IF($B28="","",IFERROR(LOOKUP(2,1/(((('Events 2'!$C$6:$C$17="Deduction start")+('Events 2'!$C$6:$C$17="Deduction stop"))*('Events 2'!$D$6:$D$17="Health FSA"))*('Events 2'!$B$6:$B$17&lt;=$B28)*('Events 2'!$B$6:$B$17&lt;&gt;"")),'Events 2'!$J$6:$J$17),0))</f>
      </c>
      <c r="BR28" s="6">
        <f>IF($B28="","",IFERROR(LOOKUP(2,1/(((('Events 2'!$C$6:$C$17="Deduction start")+('Events 2'!$C$6:$C$17="Deduction stop"))*('Events 2'!$D$6:$D$17="Dependent-care FSA"))*('Events 2'!$B$6:$B$17&lt;=$B28)*('Events 2'!$B$6:$B$17&lt;&gt;"")),'Events 2'!$J$6:$J$17),0))</f>
      </c>
      <c r="BS28" s="6">
        <f>IF($B28="","",IF(SUMPRODUCT(('Events 2'!$C$6:$C$17="Deduction start")*('Events 2'!$B$6:$B$17&lt;=$B28)*('Events 2'!$B$6:$B$17&lt;&gt;"")*('Events 2'!$D$6:$D$17="Health FSA"))&gt;0,1,0))</f>
      </c>
      <c r="BT28" s="6">
        <f>IF($B28="","",IF(SUMPRODUCT(('Events 2'!$C$6:$C$17="Deduction start")*('Events 2'!$B$6:$B$17&lt;=$B28)*('Events 2'!$B$6:$B$17&lt;&gt;"")*('Events 2'!$D$6:$D$17="Dependent-care FSA"))&gt;0,1,0))</f>
      </c>
      <c r="BU28" s="24">
        <f>IF($B28="","",IF('Inputs 2'!$C$13,SUMPRODUCT(($AH28&gt;=INDEX('Methodology &amp; Sources'!$B$29:$J$36,0,IF('Inputs 2'!$C$12="MFJ",1,IF('Inputs 2'!$C$12="HoH",7,4))))*INDEX('Methodology &amp; Sources'!$B$29:$J$36,0,IF('Inputs 2'!$C$12="MFJ",1,IF('Inputs 2'!$C$12="HoH",7,4))+2)),SUMPRODUCT(($AH28&gt;=INDEX('Methodology &amp; Sources'!$B$19:$J$26,0,IF('Inputs 2'!$C$12="MFJ",1,IF('Inputs 2'!$C$12="HoH",7,4))))*INDEX('Methodology &amp; Sources'!$B$19:$J$26,0,IF('Inputs 2'!$C$12="MFJ",1,IF('Inputs 2'!$C$12="HoH",7,4))+2))))</f>
      </c>
      <c r="BV28" s="24">
        <f>IF($B28="","",IF($BZ28&lt;&gt;"",$BZ28,IF($CA28&lt;&gt;"",$CA28,IF($CB28&lt;&gt;"",$CB28,IF($CC28&lt;&gt;"",$CC28,0)))))</f>
      </c>
      <c r="BW28" s="7">
        <f>IF($B28="","",IF($AN28="MD",IF(OR($AU28="Married",$AU28="Head of household"),SUMPRODUCT(($AZ28&gt;INDEX('Methodology &amp; Sources'!$B$114:$J$120,0,1))*($AZ28-INDEX('Methodology &amp; Sources'!$B$114:$J$120,0,1))*INDEX('Methodology &amp; Sources'!$B$114:$J$120,0,1+2)),SUMPRODUCT(($AZ28&gt;INDEX('Methodology &amp; Sources'!$B$103:$J$109,0,7))*($AZ28-INDEX('Methodology &amp; Sources'!$B$103:$J$109,0,7))*INDEX('Methodology &amp; Sources'!$B$103:$J$109,0,7+2))),IF($AN28="MO",SUMPRODUCT(($AZ28&gt;INDEX('Methodology &amp; Sources'!$B$125:$J$132,0,1))*($AZ28-INDEX('Methodology &amp; Sources'!$B$125:$J$132,0,1))*INDEX('Methodology &amp; Sources'!$B$125:$J$132,0,1+2)),IF($AN28="MT",IF($AU28="Head of household",SUMPRODUCT(($AZ28&gt;INDEX('Methodology &amp; Sources'!$B$137:$J$139,0,1))*($AZ28-INDEX('Methodology &amp; Sources'!$B$137:$J$139,0,1))*INDEX('Methodology &amp; Sources'!$B$137:$J$139,0,1+2)),IF($AU28="Married",SUMPRODUCT(($AZ28&gt;INDEX('Methodology &amp; Sources'!$B$125:$J$132,0,7))*($AZ28-INDEX('Methodology &amp; Sources'!$B$125:$J$132,0,7))*INDEX('Methodology &amp; Sources'!$B$125:$J$132,0,7+2)),SUMPRODUCT(($AZ28&gt;INDEX('Methodology &amp; Sources'!$B$125:$J$132,0,4))*($AZ28-INDEX('Methodology &amp; Sources'!$B$125:$J$132,0,4))*INDEX('Methodology &amp; Sources'!$B$125:$J$132,0,4+2)))),IF($AN28="ND",IF($AU28="Head of household",SUMPRODUCT(($AZ28&gt;INDEX('Methodology &amp; Sources'!$B$144:$J$150,0,1))*($AZ28-INDEX('Methodology &amp; Sources'!$B$144:$J$150,0,1))*INDEX('Methodology &amp; Sources'!$B$144:$J$150,0,1+2)),IF($AU28="Married",SUMPRODUCT(($AZ28&gt;INDEX('Methodology &amp; Sources'!$B$137:$J$139,0,7))*($AZ28-INDEX('Methodology &amp; Sources'!$B$137:$J$139,0,7))*INDEX('Methodology &amp; Sources'!$B$137:$J$139,0,7+2)),SUMPRODUCT(($AZ28&gt;INDEX('Methodology &amp; Sources'!$B$137:$J$139,0,4))*($AZ28-INDEX('Methodology &amp; Sources'!$B$137:$J$139,0,4))*INDEX('Methodology &amp; Sources'!$B$137:$J$139,0,4+2)))),IF($AN28="NJ",IF('Inputs 2'!$C$77="B",SUMPRODUCT(($AZ28&gt;INDEX('Methodology &amp; Sources'!$B$155:$J$162,0,4))*($AZ28-INDEX('Methodology &amp; Sources'!$B$155:$J$162,0,4))*INDEX('Methodology &amp; Sources'!$B$155:$J$162,0,4+2)),IF('Inputs 2'!$C$77="C",SUMPRODUCT(($AZ28&gt;INDEX('Methodology &amp; Sources'!$B$155:$J$162,0,7))*($AZ28-INDEX('Methodology &amp; Sources'!$B$155:$J$162,0,7))*INDEX('Methodology &amp; Sources'!$B$155:$J$162,0,7+2)),IF('Inputs 2'!$C$77="D",SUMPRODUCT(($AZ28&gt;INDEX('Methodology &amp; Sources'!$B$167:$J$179,0,1))*($AZ28-INDEX('Methodology &amp; Sources'!$B$167:$J$179,0,1))*INDEX('Methodology &amp; Sources'!$B$167:$J$179,0,1+2)),IF('Inputs 2'!$C$77="E",SUMPRODUCT(($AZ28&gt;INDEX('Methodology &amp; Sources'!$B$167:$J$179,0,4))*($AZ28-INDEX('Methodology &amp; Sources'!$B$167:$J$179,0,4))*INDEX('Methodology &amp; Sources'!$B$167:$J$179,0,4+2)),SUMPRODUCT(($AZ28&gt;INDEX('Methodology &amp; Sources'!$B$155:$J$162,0,1))*($AZ28-INDEX('Methodology &amp; Sources'!$B$155:$J$162,0,1))*INDEX('Methodology &amp; Sources'!$B$155:$J$162,0,1+2)))))),IF($AN28="NY",IF($AU28="Married",IF($AZ28&gt;=2155350,$AZ28*IF($AZ28&gt;25000000,0.117,IF($AZ28&gt;5000000,0.111,0.1045)),SUMPRODUCT(($AZ28&gt;INDEX('Methodology &amp; Sources'!$B$184:$J$198,0,1))*($AZ28-INDEX('Methodology &amp; Sources'!$B$184:$J$198,0,1))*INDEX('Methodology &amp; Sources'!$B$184:$J$198,0,1+2))),IF($AZ28&gt;=1077550,$AZ28*IF($AZ28&gt;25000000,0.117,IF($AZ28&gt;5000000,0.111,0.1045)),SUMPRODUCT(($AZ28&gt;INDEX('Methodology &amp; Sources'!$B$167:$J$179,0,7))*($AZ28-INDEX('Methodology &amp; Sources'!$B$167:$J$179,0,7))*INDEX('Methodology &amp; Sources'!$B$167:$J$179,0,7+2)))),"")))))))</f>
      </c>
      <c r="BX28" s="7">
        <f>IF($B28="","",IF($AN28="AL",IF(OR($AU28="Married",$AU28="Head of household"),SUMPRODUCT(($AZ28&gt;INDEX('Methodology &amp; Sources'!$B$82:$J$86,0,4))*($AZ28-INDEX('Methodology &amp; Sources'!$B$82:$J$86,0,4))*INDEX('Methodology &amp; Sources'!$B$82:$J$86,0,4+2)),SUMPRODUCT(($AZ28&gt;INDEX('Methodology &amp; Sources'!$B$82:$J$86,0,1))*($AZ28-INDEX('Methodology &amp; Sources'!$B$82:$J$86,0,1))*INDEX('Methodology &amp; Sources'!$B$82:$J$86,0,1+2))),IF($AN28="KS",IF($AU28="Married",SUMPRODUCT(($AZ28&gt;INDEX('Methodology &amp; Sources'!$B$103:$J$109,0,4))*($AZ28-INDEX('Methodology &amp; Sources'!$B$103:$J$109,0,4))*INDEX('Methodology &amp; Sources'!$B$103:$J$109,0,4+2)),SUMPRODUCT(($AZ28&gt;INDEX('Methodology &amp; Sources'!$B$103:$J$109,0,1))*($AZ28-INDEX('Methodology &amp; Sources'!$B$103:$J$109,0,1))*INDEX('Methodology &amp; Sources'!$B$103:$J$109,0,1+2))),IF($AN28="MN",IF($AU28="Married",SUMPRODUCT(($AZ28&gt;INDEX('Methodology &amp; Sources'!$B$114:$J$120,0,7))*($AZ28-INDEX('Methodology &amp; Sources'!$B$114:$J$120,0,7))*INDEX('Methodology &amp; Sources'!$B$114:$J$120,0,7+2)),SUMPRODUCT(($AZ28&gt;INDEX('Methodology &amp; Sources'!$B$114:$J$120,0,4))*($AZ28-INDEX('Methodology &amp; Sources'!$B$114:$J$120,0,4))*INDEX('Methodology &amp; Sources'!$B$114:$J$120,0,4+2))),IF($AN28="NE",MAX(IF($AU28="Married",SUMPRODUCT(($AZ28&gt;INDEX('Methodology &amp; Sources'!$B$144:$J$150,0,7))*($AZ28-INDEX('Methodology &amp; Sources'!$B$144:$J$150,0,7))*INDEX('Methodology &amp; Sources'!$B$144:$J$150,0,7+2)),SUMPRODUCT(($AZ28&gt;INDEX('Methodology &amp; Sources'!$B$144:$J$150,0,4))*($AZ28-INDEX('Methodology &amp; Sources'!$B$144:$J$150,0,4))*INDEX('Methodology &amp; Sources'!$B$144:$J$150,0,4+2))),0.015*$AZ28),IF($AN28="OH",IF($B28&gt;=DATE(2027,8,1),SUMPRODUCT(($AZ28&gt;INDEX('Methodology &amp; Sources'!$B$203:$J$206,0,1))*($AZ28-INDEX('Methodology &amp; Sources'!$B$203:$J$206,0,1))*INDEX('Methodology &amp; Sources'!$B$203:$J$206,0,1+2)),SUMPRODUCT(($AZ28&gt;INDEX('Methodology &amp; Sources'!$B$184:$J$198,0,7))*($AZ28-INDEX('Methodology &amp; Sources'!$B$184:$J$198,0,7))*INDEX('Methodology &amp; Sources'!$B$184:$J$198,0,7+2))),IF($AN28="OK",IF($AU28="Married",SUMPRODUCT(($AZ28&gt;INDEX('Methodology &amp; Sources'!$B$203:$J$206,0,7))*($AZ28-INDEX('Methodology &amp; Sources'!$B$203:$J$206,0,7))*INDEX('Methodology &amp; Sources'!$B$203:$J$206,0,7+2)),SUMPRODUCT(($AZ28&gt;INDEX('Methodology &amp; Sources'!$B$203:$J$206,0,4))*($AZ28-INDEX('Methodology &amp; Sources'!$B$203:$J$206,0,4))*INDEX('Methodology &amp; Sources'!$B$203:$J$206,0,4+2))),IF($AN28="RI",SUMPRODUCT(($AZ28&gt;INDEX('Methodology &amp; Sources'!$B$211:$J$214,0,7))*($AZ28-INDEX('Methodology &amp; Sources'!$B$211:$J$214,0,7))*INDEX('Methodology &amp; Sources'!$B$211:$J$214,0,7+2)),IF($AN28="VT",IF($AU28="Married",SUMPRODUCT(($AZ28&gt;INDEX('Methodology &amp; Sources'!$B$228:$J$232,0,1))*($AZ28-INDEX('Methodology &amp; Sources'!$B$228:$J$232,0,1))*INDEX('Methodology &amp; Sources'!$B$228:$J$232,0,1+2)),SUMPRODUCT(($AZ28&gt;INDEX('Methodology &amp; Sources'!$B$219:$J$223,0,7))*($AZ28-INDEX('Methodology &amp; Sources'!$B$219:$J$223,0,7))*INDEX('Methodology &amp; Sources'!$B$219:$J$223,0,7+2))),IF($AN28="WV",IF($AU28="Married",SUMPRODUCT(($AZ28&gt;INDEX('Methodology &amp; Sources'!$B$237:$J$241,0,7))*($AZ28-INDEX('Methodology &amp; Sources'!$B$237:$J$241,0,7))*INDEX('Methodology &amp; Sources'!$B$237:$J$241,0,7+2)),SUMPRODUCT(($AZ28&gt;INDEX('Methodology &amp; Sources'!$B$228:$J$232,0,7))*($AZ28-INDEX('Methodology &amp; Sources'!$B$228:$J$232,0,7))*INDEX('Methodology &amp; Sources'!$B$228:$J$232,0,7+2))),""))))))))))</f>
      </c>
      <c r="BY28" s="7">
        <f>IF($B28="","",IF($AN28="AR",SUMPRODUCT(($AZ28&gt;INDEX('Methodology &amp; Sources'!$B$82:$J$86,0,7))*($AZ28-INDEX('Methodology &amp; Sources'!$B$82:$J$86,0,7))*INDEX('Methodology &amp; Sources'!$B$82:$J$86,0,7+2)),IF($AN28="DE",SUMPRODUCT(($AZ28&gt;INDEX('Methodology &amp; Sources'!$B$91:$J$98,0,1))*($AZ28-INDEX('Methodology &amp; Sources'!$B$91:$J$98,0,1))*INDEX('Methodology &amp; Sources'!$B$91:$J$98,0,1+2)),IF($AN28="HI",IF($AU28="Married",SUMPRODUCT(($AZ28&gt;INDEX('Methodology &amp; Sources'!$B$91:$J$98,0,7))*($AZ28-INDEX('Methodology &amp; Sources'!$B$91:$J$98,0,7))*INDEX('Methodology &amp; Sources'!$B$91:$J$98,0,7+2)),SUMPRODUCT(($AZ28&gt;INDEX('Methodology &amp; Sources'!$B$91:$J$98,0,4))*($AZ28-INDEX('Methodology &amp; Sources'!$B$91:$J$98,0,4))*INDEX('Methodology &amp; Sources'!$B$91:$J$98,0,4+2))),IF($AN28="SC",SUMPRODUCT(($AZ28&gt;INDEX('Methodology &amp; Sources'!$B$219:$J$223,0,1))*($AZ28-INDEX('Methodology &amp; Sources'!$B$219:$J$223,0,1))*INDEX('Methodology &amp; Sources'!$B$219:$J$223,0,1+2)),IF($AN28="VA",SUMPRODUCT(($AZ28&gt;INDEX('Methodology &amp; Sources'!$B$219:$J$223,0,4))*($AZ28-INDEX('Methodology &amp; Sources'!$B$219:$J$223,0,4))*INDEX('Methodology &amp; Sources'!$B$219:$J$223,0,4+2)),IF($AN28="WI",SUMPRODUCT(($AZ28&gt;INDEX('Methodology &amp; Sources'!$B$228:$J$232,0,4))*($AZ28-INDEX('Methodology &amp; Sources'!$B$228:$J$232,0,4))*INDEX('Methodology &amp; Sources'!$B$228:$J$232,0,4+2)),"")))))))</f>
      </c>
      <c r="BZ28" s="24">
        <f>IF($B28="","",IF($AN28="NJ",IF('Inputs 2'!$C$77="B",SUMPRODUCT(($AZ28&gt;=INDEX('Methodology &amp; Sources'!$B$155:$J$162,0,4))*INDEX('Methodology &amp; Sources'!$B$155:$J$162,0,4+2)),IF('Inputs 2'!$C$77="C",SUMPRODUCT(($AZ28&gt;=INDEX('Methodology &amp; Sources'!$B$155:$J$162,0,7))*INDEX('Methodology &amp; Sources'!$B$155:$J$162,0,7+2)),IF('Inputs 2'!$C$77="D",SUMPRODUCT(($AZ28&gt;=INDEX('Methodology &amp; Sources'!$B$167:$J$179,0,1))*INDEX('Methodology &amp; Sources'!$B$167:$J$179,0,1+2)),IF('Inputs 2'!$C$77="E",SUMPRODUCT(($AZ28&gt;=INDEX('Methodology &amp; Sources'!$B$167:$J$179,0,4))*INDEX('Methodology &amp; Sources'!$B$167:$J$179,0,4+2)),SUMPRODUCT(($AZ28&gt;=INDEX('Methodology &amp; Sources'!$B$155:$J$162,0,1))*INDEX('Methodology &amp; Sources'!$B$155:$J$162,0,1+2)))))),IF($AN28="OR",IF(OR($AU28="Married",AND($AU28="Single",$AS28&gt;=3)),SUMPRODUCT((MAX(0,$AY28-MIN(($P28-'Methodology &amp; Sources'!$C$10*$D28)*'Inputs 2'!$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Sources'!$B$211:$J$214,0,4))*INDEX('Methodology &amp; Sources'!$B$211:$J$214,0,4+2)),SUMPRODUCT((MAX(0,$AY28-MIN(($P28-'Methodology &amp; Sources'!$C$10*$D28)*'Inputs 2'!$C$8,IF(OR($AU28="Married",AND($AU28="Single",$AS28&gt;=3)),IF($AY28&lt;250000,8750,IF($AY28&lt;260000,7000,IF($AY28&lt;270000,5250,IF($AY28&lt;280000,3500,IF($AY28&lt;290000,1750,0))))),IF($AY28&lt;125000,8750,IF($AY28&lt;130000,7000,IF($AY28&lt;135000,5250,IF($AY28&lt;140000,3500,IF($AY28&lt;145000,1750,0)))))))-IF(OR($AU28="Married",AND($AU28="Single",$AS28&gt;=3)),5820,2910))&gt;=INDEX('Methodology &amp; Sources'!$B$211:$J$214,0,1))*INDEX('Methodology &amp; Sources'!$B$211:$J$214,0,1+2)))*IF(($P28-'Methodology &amp; Sources'!$C$10*$D28)*'Inputs 2'!$C$8&gt;=IF(OR($AU28="Married",AND($AU28="Single",$AS28&gt;=3)),IF($AY28&lt;250000,8750,IF($AY28&lt;260000,7000,IF($AY28&lt;270000,5250,IF($AY28&lt;280000,3500,IF($AY28&lt;290000,1750,0))))),IF($AY28&lt;125000,8750,IF($AY28&lt;130000,7000,IF($AY28&lt;135000,5250,IF($AY28&lt;140000,3500,IF($AY28&lt;145000,1750,0)))))),1,1-IF('Inputs 2'!$C$13,SUMPRODUCT(($AH28&gt;=INDEX('Methodology &amp; Sources'!$B$29:$J$36,0,IF('Inputs 2'!$C$12="MFJ",1,IF('Inputs 2'!$C$12="HoH",7,4))))*INDEX('Methodology &amp; Sources'!$B$29:$J$36,0,IF('Inputs 2'!$C$12="MFJ",1,IF('Inputs 2'!$C$12="HoH",7,4))+2)),SUMPRODUCT(($AH28&gt;=INDEX('Methodology &amp; Sources'!$B$19:$J$26,0,IF('Inputs 2'!$C$12="MFJ",1,IF('Inputs 2'!$C$12="HoH",7,4))))*INDEX('Methodology &amp; Sources'!$B$19:$J$26,0,IF('Inputs 2'!$C$12="MFJ",1,IF('Inputs 2'!$C$12="HoH",7,4))+2)))),IF($AN28="MI",IF($AY28&gt;5900*$AS28,0.0425,0),""))))</f>
      </c>
      <c r="CA28" s="24">
        <f>IF($B28="","",IF($AN28="AL",IF(OR($AU28="Married",$AU28="Head of household"),SUMPRODUCT(($AZ28&gt;=INDEX('Methodology &amp; Sources'!$B$82:$J$86,0,4))*INDEX('Methodology &amp; Sources'!$B$82:$J$86,0,4+2)),SUMPRODUCT(($AZ28&gt;=INDEX('Methodology &amp; Sources'!$B$82:$J$86,0,1))*INDEX('Methodology &amp; Sources'!$B$82:$J$86,0,1+2)))*(1-IF('Inputs 2'!$C$13,SUMPRODUCT(($AH28&gt;=INDEX('Methodology &amp; Sources'!$B$29:$J$36,0,IF('Inputs 2'!$C$12="MFJ",1,IF('Inputs 2'!$C$12="HoH",7,4))))*INDEX('Methodology &amp; Sources'!$B$29:$J$36,0,IF('Inputs 2'!$C$12="MFJ",1,IF('Inputs 2'!$C$12="HoH",7,4))+2)),SUMPRODUCT(($AH28&gt;=INDEX('Methodology &amp; Sources'!$B$19:$J$26,0,IF('Inputs 2'!$C$12="MFJ",1,IF('Inputs 2'!$C$12="HoH",7,4))))*INDEX('Methodology &amp; Sources'!$B$19:$J$26,0,IF('Inputs 2'!$C$12="MFJ",1,IF('Inputs 2'!$C$12="HoH",7,4))+2)))),IF($AN28="KS",IF($AU28="Married",SUMPRODUCT(($AZ28&gt;=INDEX('Methodology &amp; Sources'!$B$103:$J$109,0,4))*INDEX('Methodology &amp; Sources'!$B$103:$J$109,0,4+2)),SUMPRODUCT(($AZ28&gt;=INDEX('Methodology &amp; Sources'!$B$103:$J$109,0,1))*INDEX('Methodology &amp; Sources'!$B$103:$J$109,0,1+2))),IF($AN28="MD",IF(OR($AU28="Married",$AU28="Head of household"),SUMPRODUCT(($AZ28&gt;=INDEX('Methodology &amp; Sources'!$B$114:$J$120,0,1))*INDEX('Methodology &amp; Sources'!$B$114:$J$120,0,1+2)),SUMPRODUCT(($AZ28&gt;=INDEX('Methodology &amp; Sources'!$B$103:$J$109,0,7))*INDEX('Methodology &amp; Sources'!$B$103:$J$109,0,7+2)))+'Inputs 2'!$C$74,IF($AN28="MT",IF($AU28="Head of household",SUMPRODUCT(($AZ28&gt;=INDEX('Methodology &amp; Sources'!$B$137:$J$139,0,1))*INDEX('Methodology &amp; Sources'!$B$137:$J$139,0,1+2)),IF($AU28="Married",SUMPRODUCT(($AZ28&gt;=INDEX('Methodology &amp; Sources'!$B$125:$J$132,0,7))*INDEX('Methodology &amp; Sources'!$B$125:$J$132,0,7+2)),SUMPRODUCT(($AZ28&gt;=INDEX('Methodology &amp; Sources'!$B$125:$J$132,0,4))*INDEX('Methodology &amp; Sources'!$B$125:$J$132,0,4+2)))),IF($AN28="ND",IF($AU28="Head of household",SUMPRODUCT(($AZ28&gt;=INDEX('Methodology &amp; Sources'!$B$144:$J$150,0,1))*INDEX('Methodology &amp; Sources'!$B$144:$J$150,0,1+2)),IF($AU28="Married",SUMPRODUCT(($AZ28&gt;=INDEX('Methodology &amp; Sources'!$B$137:$J$139,0,7))*INDEX('Methodology &amp; Sources'!$B$137:$J$139,0,7+2)),SUMPRODUCT(($AZ28&gt;=INDEX('Methodology &amp; Sources'!$B$137:$J$139,0,4))*INDEX('Methodology &amp; Sources'!$B$137:$J$139,0,4+2)))),IF($AN28="NY",IF($AU28="Married",IF($AZ28&gt;=2155350,IF($AZ28&gt;25000000,0.117,IF($AZ28&gt;5000000,0.111,0.1045)),SUMPRODUCT(($AZ28&gt;=INDEX('Methodology &amp; Sources'!$B$184:$J$198,0,1))*INDEX('Methodology &amp; Sources'!$B$184:$J$198,0,1+2))),IF($AZ28&gt;=1077550,IF($AZ28&gt;25000000,0.117,IF($AZ28&gt;5000000,0.111,0.1045)),SUMPRODUCT(($AZ28&gt;=INDEX('Methodology &amp; Sources'!$B$167:$J$179,0,7))*INDEX('Methodology &amp; Sources'!$B$167:$J$179,0,7+2)))),"")))))))</f>
      </c>
      <c r="CB28" s="24">
        <f>IF($B28="","",IF($AN28="CA",SUMPRODUCT(($AJ28&gt;=INDEX('Methodology &amp; Sources'!$B$39:$J$48,0,IF($AU28="Married",4,IF($AU28="Head of household",7,1))))*INDEX('Methodology &amp; Sources'!$B$39:$J$48,0,IF($AU28="Married",4,IF($AU28="Head of household",7,1))+2)),IF($AN28="HI",IF($AU28="Married",SUMPRODUCT(($AZ28&gt;=INDEX('Methodology &amp; Sources'!$B$91:$J$98,0,7))*INDEX('Methodology &amp; Sources'!$B$91:$J$98,0,7+2)),SUMPRODUCT(($AZ28&gt;=INDEX('Methodology &amp; Sources'!$B$91:$J$98,0,4))*INDEX('Methodology &amp; Sources'!$B$91:$J$98,0,4+2))),IF($AN28="MN",IF($AU28="Married",SUMPRODUCT(($AZ28&gt;=INDEX('Methodology &amp; Sources'!$B$114:$J$120,0,7))*INDEX('Methodology &amp; Sources'!$B$114:$J$120,0,7+2)),SUMPRODUCT(($AZ28&gt;=INDEX('Methodology &amp; Sources'!$B$114:$J$120,0,4))*INDEX('Methodology &amp; Sources'!$B$114:$J$120,0,4+2))),IF($AN28="MO",SUMPRODUCT(($AZ28&gt;=INDEX('Methodology &amp; Sources'!$B$125:$J$132,0,1))*INDEX('Methodology &amp; Sources'!$B$125:$J$132,0,1+2)),IF($AN28="NE",MAX(IF($AU28="Married",SUMPRODUCT(($AZ28&gt;=INDEX('Methodology &amp; Sources'!$B$144:$J$150,0,7))*INDEX('Methodology &amp; Sources'!$B$144:$J$150,0,7+2)),SUMPRODUCT(($AZ28&gt;=INDEX('Methodology &amp; Sources'!$B$144:$J$150,0,4))*INDEX('Methodology &amp; Sources'!$B$144:$J$150,0,4+2))),0.015),IF($AN28="OH",IF($B28&gt;=DATE(2027,8,1),SUMPRODUCT(($AZ28&gt;=INDEX('Methodology &amp; Sources'!$B$203:$J$206,0,1))*INDEX('Methodology &amp; Sources'!$B$203:$J$206,0,1+2)),SUMPRODUCT(($AZ28&gt;=INDEX('Methodology &amp; Sources'!$B$184:$J$198,0,7))*INDEX('Methodology &amp; Sources'!$B$184:$J$198,0,7+2))),IF($AN28="OK",IF($AU28="Married",SUMPRODUCT(($AZ28&gt;=INDEX('Methodology &amp; Sources'!$B$203:$J$206,0,7))*INDEX('Methodology &amp; Sources'!$B$203:$J$206,0,7+2)),SUMPRODUCT(($AZ28&gt;=INDEX('Methodology &amp; Sources'!$B$203:$J$206,0,4))*INDEX('Methodology &amp; Sources'!$B$203:$J$206,0,4+2))),IF($AN28="RI",SUMPRODUCT(($AZ28&gt;=INDEX('Methodology &amp; Sources'!$B$211:$J$214,0,7))*INDEX('Methodology &amp; Sources'!$B$211:$J$214,0,7+2)),IF($AN28="SC",SUMPRODUCT(($AZ28&gt;=INDEX('Methodology &amp; Sources'!$B$219:$J$223,0,1))*INDEX('Methodology &amp; Sources'!$B$219:$J$223,0,1+2)),IF($AN28="VT",IF($AU28="Married",SUMPRODUCT(($AZ28&gt;=INDEX('Methodology &amp; Sources'!$B$228:$J$232,0,1))*INDEX('Methodology &amp; Sources'!$B$228:$J$232,0,1+2)),SUMPRODUCT(($AZ28&gt;=INDEX('Methodology &amp; Sources'!$B$219:$J$223,0,7))*INDEX('Methodology &amp; Sources'!$B$219:$J$223,0,7+2))),IF($AN28="WV",IF($AU28="Married",SUMPRODUCT(($AZ28&gt;=INDEX('Methodology &amp; Sources'!$B$237:$J$241,0,7))*INDEX('Methodology &amp; Sources'!$B$237:$J$241,0,7+2)),SUMPRODUCT(($AZ28&gt;=INDEX('Methodology &amp; Sources'!$B$228:$J$232,0,7))*INDEX('Methodology &amp; Sources'!$B$228:$J$232,0,7+2))),IF($AN28="IN",(0.0295+'Inputs 2'!$C$76),"")))))))))))))</f>
      </c>
      <c r="CC28" s="24">
        <f>IF($B28="","",IF($AN28="AR",SUMPRODUCT(($AZ28&gt;=INDEX('Methodology &amp; Sources'!$B$82:$J$86,0,7))*INDEX('Methodology &amp; Sources'!$B$82:$J$86,0,7+2)),IF($AN28="DE",SUMPRODUCT(($AZ28&gt;=INDEX('Methodology &amp; Sources'!$B$91:$J$98,0,1))*INDEX('Methodology &amp; Sources'!$B$91:$J$98,0,1+2)),IF($AN28="VA",SUMPRODUCT(($AZ28&gt;=INDEX('Methodology &amp; Sources'!$B$219:$J$223,0,4))*INDEX('Methodology &amp; Sources'!$B$219:$J$223,0,4+2)),IF($AN28="WI",SUMPRODUCT(($AZ28&gt;=INDEX('Methodology &amp; Sources'!$B$228:$J$232,0,4))*INDEX('Methodology &amp; Sources'!$B$228:$J$232,0,4+2)),IF($AN28="AZ",'Inputs 2'!$C$82,IF($AN28="CO",IF($AY28&gt;IF($AU28="Married",10000,5000),0.044,0),IF($AN28="IA",IF($AY28&gt;IF($AU28="Head of household",19500,IF($AU28="Married",26000,13000)),0.038,0),IF($AN28="ID",IF($AY28&gt;IF($AU28="Married",32000,16094),0.053,0),IF($AN28="IL",IF($AY28&gt;(2925*$AS28+1000*$AT28),0.0495,0),IF($AN28="KY",IF($AI28&gt;3360,0.035,0),IF($AN28="LA",0.0309,IF($AN28="MA",IF(MAX(0,$AY28-MIN(($BD27+$Q28+$R28+$S28),2000)-IF($AS28=0,0,IF($AS28=1,4400,1000*$AS28+3400)))&gt;=1107750,0.09,0.05),IF($AN28="MS",IF($AI28-IF($AU28="Head of household",3400,IF($AU28="Married",4600,2300))-'Inputs 2'!$C$85&gt;10000,0.04,0),IF($AN28="PA",0.0307,"")))))))))))))))</f>
      </c>
      <c r="CD28" s="21">
        <f>IF(YEAR(IF('Inputs 2'!$C$7="Weekly",'Inputs 2'!$C$9+7*(($BE27+1)-1),IF('Inputs 2'!$C$7="Biweekly",'Inputs 2'!$C$9+14*(($BE27+1)-1),IF('Inputs 2'!$C$7="Semimonthly",DATE(YEAR('Inputs 2'!$C$9),MONTH('Inputs 2'!$C$9)+INT((($BE27+1)-1)/2),MIN(DAY('Inputs 2'!$C$9),DAY(EOMONTH(DATE(YEAR('Inputs 2'!$C$9),MONTH('Inputs 2'!$C$9)+INT((($BE27+1)-1)/2),1),0))))+IF(MOD(($BE27+1)-1,2)=1,15,0),EDATE('Inputs 2'!$C$9,($BE27+1)-1)))))&lt;&gt;'Inputs 2'!$C$10,"",IF('Inputs 2'!$C$7="Weekly",'Inputs 2'!$C$9+7*(($BE27+1)-1),IF('Inputs 2'!$C$7="Biweekly",'Inputs 2'!$C$9+14*(($BE27+1)-1),IF('Inputs 2'!$C$7="Semimonthly",DATE(YEAR('Inputs 2'!$C$9),MONTH('Inputs 2'!$C$9)+INT((($BE27+1)-1)/2),MIN(DAY('Inputs 2'!$C$9),DAY(EOMONTH(DATE(YEAR('Inputs 2'!$C$9),MONTH('Inputs 2'!$C$9)+INT((($BE27+1)-1)/2),1),0))))+IF(MOD(($BE27+1)-1,2)=1,15,0),EDATE('Inputs 2'!$C$9,($BE27+1)-1)))))</f>
      </c>
      <c r="CE28" s="21">
        <f>IF(SUMPRODUCT(MIN(IF(('Inputs 2'!$C$58:$C$67&gt;MAX($B$6:$B27))*('Inputs 2'!$C$58:$C$67&gt;=DATE('Inputs 2'!$C$10,1,1))*('Inputs 2'!$C$58:$C$67&lt;=DATE('Inputs 2'!$C$10,12,31)),'Inputs 2'!$C$58:$C$67,999999)))=999999,"",SUMPRODUCT(MIN(IF(('Inputs 2'!$C$58:$C$67&gt;MAX($B$6:$B27))*('Inputs 2'!$C$58:$C$67&gt;=DATE('Inputs 2'!$C$10,1,1))*('Inputs 2'!$C$58:$C$67&lt;=DATE('Inputs 2'!$C$10,12,31)),'Inputs 2'!$C$58:$C$67,999999))))</f>
      </c>
    </row>
    <row r="29">
      <c r="A29" t="n">
        <v>24</v>
      </c>
      <c r="B29" s="21">
        <f>IF(AND($CD29="",$CE29=""),"",IF($CE29="",$CD29,IF($CD29="",$CE29,MIN($CD29,$CE29))))</f>
      </c>
      <c r="C29" s="7">
        <f>IF($B29="","",IF($BF29=0,0,IF('Inputs 2'!$C$4="Annual salary",ROUND($AK29/IF(AND('Inputs 2'!$C$88="Actual paydays",MONTH('Inputs 2'!$C$9)=1),MAX(1,MAX($BE$6:$BE$68)),'Inputs 2'!$C$8),2),$AK29)))</f>
      </c>
      <c r="D29" s="7">
        <f>IF($B29="","",SUMIF('Inputs 2'!$C$58:$C$67,$B29,'Inputs 2'!$D$58:$D$67))</f>
      </c>
      <c r="E29" s="7">
        <f>IF($B29="","",ROUND(MAX(0,MIN(IF($AL29="Percent",$AM29*($C29+$D29),$AM29),MAX(0,'Inputs 2'!$C$34-$AC28))),2))</f>
      </c>
      <c r="F29" s="7">
        <f>IF($B29="","",ROUND(MAX(0,MIN(IF('Inputs 2'!$C$32="Percent",'Inputs 2'!$D$32*($C29+$D29),'Inputs 2'!$D$32),MAX(0,'Inputs 2'!$C$34-$AC28-$E29))),2))</f>
      </c>
      <c r="G29" s="7">
        <f>IF($B29="","",IF($BF29=0,0,ROUND(MAX(0,MIN($BL29,'Inputs 2'!$C$37-'Inputs 2'!$C$54-$BI28)),2)))</f>
      </c>
      <c r="H29" s="7">
        <f>IF($B29="","",IF(OR($BF29=0,$BQ29=1),0,ROUND(MAX(0,MIN(IF($BS29=1,ROUND(MAX(0,MIN($BJ29,'Methodology &amp; Sources'!$C$13)-$BG28)/MAX(1,MAX($BE$6:$BE$68)-($BE28)),2),ROUND(MIN($BJ29,'Methodology &amp; Sources'!$C$13)/'Inputs 2'!$C$8,2)),MIN($BJ29,'Methodology &amp; Sources'!$C$13)-$BG28)),2)))</f>
      </c>
      <c r="I29" s="7">
        <f>IF($B29="","",IF(OR($BF29=0,$BR29=1),0,ROUND(MAX(0,MIN(IF($BT29=1,ROUND(MAX(0,MIN($BK29,IF('Inputs 2'!$C$12="MFJ",'Methodology &amp; Sources'!$C$14,'Methodology &amp; Sources'!$C$15))-$BH28)/MAX(1,MAX($BE$6:$BE$68)-($BE28)),2),ROUND(MIN($BK29,IF('Inputs 2'!$C$12="MFJ",'Methodology &amp; Sources'!$C$14,'Methodology &amp; Sources'!$C$15))/'Inputs 2'!$C$8,2)),MIN($BK29,IF('Inputs 2'!$C$12="MFJ",'Methodology &amp; Sources'!$C$14,'Methodology &amp; Sources'!$C$15))-$BH28)),2)))</f>
      </c>
      <c r="J29" s="7">
        <f>IF($B29="","",IF($BF29=0,0,$BM29))</f>
      </c>
      <c r="K29" s="7">
        <f>IF($B29="","",IF($BF29=0,0,$BN29+$BO29))</f>
      </c>
      <c r="L29" s="7">
        <f>IF($B29="","",IF($BF29=0,0,'Inputs 2'!$D$46))</f>
      </c>
      <c r="M29" s="7">
        <f>IF($B29="","",$C29+$D29+$L29-$E29-$G29-$H29-$I29-$J29-$K29)</f>
      </c>
      <c r="N29" s="7">
        <f>IF($B29="","",$C29+$D29+$L29-$G29-$H29-$I29-$J29-$K29)</f>
      </c>
      <c r="O29" s="7">
        <f>IF($B29="","",$C29+$D29+$L29-$E29-$H29-$I29-$J29-$K29-IF(OR($AN29="CA",$AN29="NJ"),0,$G29))</f>
      </c>
      <c r="P29" s="7">
        <f>IF($B29="","",IF('Inputs 2'!$C$18,0,ROUND(MAX(0,IF('Inputs 2'!$C$13,SUMPRODUCT(($AH29&gt;INDEX('Methodology &amp; Sources'!$B$29:$J$36,0,IF('Inputs 2'!$C$12="MFJ",1,IF('Inputs 2'!$C$12="HoH",7,4))))*($AH29-INDEX('Methodology &amp; Sources'!$B$29:$J$36,0,IF('Inputs 2'!$C$12="MFJ",1,IF('Inputs 2'!$C$12="HoH",7,4))))*INDEX('Methodology &amp; Sources'!$B$29:$J$36,0,IF('Inputs 2'!$C$12="MFJ",1,IF('Inputs 2'!$C$12="HoH",7,4))+2)),SUMPRODUCT(($AH29&gt;INDEX('Methodology &amp; Sources'!$B$19:$J$26,0,IF('Inputs 2'!$C$12="MFJ",1,IF('Inputs 2'!$C$12="HoH",7,4))))*($AH29-INDEX('Methodology &amp; Sources'!$B$19:$J$26,0,IF('Inputs 2'!$C$12="MFJ",1,IF('Inputs 2'!$C$12="HoH",7,4))))*INDEX('Methodology &amp; Sources'!$B$19:$J$26,0,IF('Inputs 2'!$C$12="MFJ",1,IF('Inputs 2'!$C$12="HoH",7,4))+2)))/'Inputs 2'!$C$8-$AO29/'Inputs 2'!$C$8)+$AR29+IF('Inputs 2'!$C$89="Aggregate",MAX(0,IF('Inputs 2'!$C$13,SUMPRODUCT((($AH29+$D29)&gt;INDEX('Methodology &amp; Sources'!$B$29:$J$36,0,IF('Inputs 2'!$C$12="MFJ",1,IF('Inputs 2'!$C$12="HoH",7,4))))*(($AH29+$D29)-INDEX('Methodology &amp; Sources'!$B$29:$J$36,0,IF('Inputs 2'!$C$12="MFJ",1,IF('Inputs 2'!$C$12="HoH",7,4))))*INDEX('Methodology &amp; Sources'!$B$29:$J$36,0,IF('Inputs 2'!$C$12="MFJ",1,IF('Inputs 2'!$C$12="HoH",7,4))+2)),SUMPRODUCT((($AH29+$D29)&gt;INDEX('Methodology &amp; Sources'!$B$19:$J$26,0,IF('Inputs 2'!$C$12="MFJ",1,IF('Inputs 2'!$C$12="HoH",7,4))))*(($AH29+$D29)-INDEX('Methodology &amp; Sources'!$B$19:$J$26,0,IF('Inputs 2'!$C$12="MFJ",1,IF('Inputs 2'!$C$12="HoH",7,4))))*INDEX('Methodology &amp; Sources'!$B$19:$J$26,0,IF('Inputs 2'!$C$12="MFJ",1,IF('Inputs 2'!$C$12="HoH",7,4))+2)))-IF('Inputs 2'!$C$13,SUMPRODUCT(($AH29&gt;INDEX('Methodology &amp; Sources'!$B$29:$J$36,0,IF('Inputs 2'!$C$12="MFJ",1,IF('Inputs 2'!$C$12="HoH",7,4))))*($AH29-INDEX('Methodology &amp; Sources'!$B$29:$J$36,0,IF('Inputs 2'!$C$12="MFJ",1,IF('Inputs 2'!$C$12="HoH",7,4))))*INDEX('Methodology &amp; Sources'!$B$29:$J$36,0,IF('Inputs 2'!$C$12="MFJ",1,IF('Inputs 2'!$C$12="HoH",7,4))+2)),SUMPRODUCT(($AH29&gt;INDEX('Methodology &amp; Sources'!$B$19:$J$26,0,IF('Inputs 2'!$C$12="MFJ",1,IF('Inputs 2'!$C$12="HoH",7,4))))*($AH29-INDEX('Methodology &amp; Sources'!$B$19:$J$26,0,IF('Inputs 2'!$C$12="MFJ",1,IF('Inputs 2'!$C$12="HoH",7,4))))*INDEX('Methodology &amp; Sources'!$B$19:$J$26,0,IF('Inputs 2'!$C$12="MFJ",1,IF('Inputs 2'!$C$12="HoH",7,4))+2)))),'Methodology &amp; Sources'!$C$10*$D29),2)))</f>
      </c>
      <c r="Q29" s="7">
        <f>IF($B29="","",ROUND('Methodology &amp; Sources'!$C$4*MIN($N29,MAX(0,'Methodology &amp; Sources'!$C$3-($AX29+$AB28-$AW29))),2))</f>
      </c>
      <c r="R29" s="7">
        <f>IF($B29="","",ROUND('Methodology &amp; Sources'!$C$5*$N29,2))</f>
      </c>
      <c r="S29" s="7">
        <f>IF($B29="","",ROUND('Methodology &amp; Sources'!$C$6*MAX(0,MIN($N29,$AG28+$N29-'Methodology &amp; Sources'!$C$7)),2))</f>
      </c>
      <c r="T29" s="7">
        <f>IF($B29="","",IF('Inputs 2'!$C$26,0,IF($AN29="CA",ROUND(IF($AI29&lt;=IF(($AS29+$AT29)&gt;=2,VLOOKUP($AN29,StateTables!$A$6:$AB$56,10,FALSE),VLOOKUP($AN29,StateTables!$A$6:$AB$56,9,FALSE)),0,MAX(0,SUMPRODUCT(($AJ29&gt;INDEX('Methodology &amp; Sources'!$B$39:$J$48,0,IF($AU29="Married",4,IF($AU29="Head of household",7,1))))*($AJ29-INDEX('Methodology &amp; Sources'!$B$39:$J$48,0,IF($AU29="Married",4,IF($AU29="Head of household",7,1))))*INDEX('Methodology &amp; Sources'!$B$39:$J$48,0,IF($AU29="Married",4,IF($AU29="Head of household",7,1))+2))-VLOOKUP($AN29,StateTables!$A$6:$AB$56,11,FALSE)*$AS29)/'Inputs 2'!$C$8)+'Inputs 2'!$C$25+VLOOKUP($AN29,StateTables!$A$6:$AB$56,13,FALSE)*$D29,2),IF(VLOOKUP($AN29,StateTables!$A$6:$AB$56,4,FALSE)="None",0,IF(ISNUMBER(SEARCH("MANUAL",VLOOKUP($AN29,StateTables!$A$6:$AB$56,5,FALSE))),'Inputs 2'!$C$28,ROUND(MAX(0,$BA29+$BB29)/'Inputs 2'!$C$8+'Inputs 2'!$C$25+$BC29,2))))))</f>
      </c>
      <c r="U29" s="7">
        <f>IF($B29="","",IF(VLOOKUP($AN29,StateTables!$A$6:$AB$56,24,FALSE)="flatq",IF(OR(MONTH($B29)=1,MONTH($B29)=4,MONTH($B29)=7,MONTH($B29)=10),VLOOKUP($AN29,StateTables!$A$6:$AB$56,25,FALSE),0),IF(VLOOKUP($AN29,StateTables!$A$6:$AB$56,24,FALSE)="dbl",MIN(ROUND(0.005*$N29,2),ROUND(0.6*52/'Inputs 2'!$C$8,2)),IF(OR(VLOOKUP($AN29,StateTables!$A$6:$AB$56,15,FALSE)="",VLOOKUP($AN29,StateTables!$A$6:$AB$56,15,FALSE)=0),0,ROUND(VLOOKUP($AN29,StateTables!$A$6:$AB$56,15,FALSE)*IF(OR(VLOOKUP($AN29,StateTables!$A$6:$AB$56,16,FALSE)="",VLOOKUP($AN29,StateTables!$A$6:$AB$56,16,FALSE)=0),$N29,MIN($N29,MAX(0,VLOOKUP($AN29,StateTables!$A$6:$AB$56,16,FALSE)-($AX29+$AB28-$AW29)))),2))))+IF(VLOOKUP($AN29,StateTables!$A$6:$AB$56,27,FALSE)="flatq",IF(OR(MONTH($B29)=1,MONTH($B29)=4,MONTH($B29)=7,MONTH($B29)=10),VLOOKUP($AN29,StateTables!$A$6:$AB$56,28,FALSE),0),IF(VLOOKUP($AN29,StateTables!$A$6:$AB$56,27,FALSE)="dbl",MIN(ROUND(0.005*$N29,2),ROUND(0.6*52/'Inputs 2'!$C$8,2)),IF(OR(VLOOKUP($AN29,StateTables!$A$6:$AB$56,18,FALSE)="",VLOOKUP($AN29,StateTables!$A$6:$AB$56,18,FALSE)=0),0,ROUND(VLOOKUP($AN29,StateTables!$A$6:$AB$56,18,FALSE)*IF(OR(VLOOKUP($AN29,StateTables!$A$6:$AB$56,19,FALSE)="",VLOOKUP($AN29,StateTables!$A$6:$AB$56,19,FALSE)=0),$N29,MIN($N29,MAX(0,VLOOKUP($AN29,StateTables!$A$6:$AB$56,19,FALSE)-($AX29+$AB28-$AW29)))),2)))))</f>
      </c>
      <c r="V29" s="7">
        <f>IF($B29="","",IF($AN29="NY",IF('Inputs 2'!$C$78,ROUND(SUMPRODUCT((MAX(0,($O29-$D29)*'Inputs 2'!$C$8-(IF($AU29="Married",5500,5000)+1000*$AS29))&gt;INDEX('Methodology &amp; Sources'!$B$184:$J$198,0,4))*(MAX(0,($O29-$D29)*'Inputs 2'!$C$8-(IF($AU29="Married",5500,5000)+1000*$AS29))-INDEX('Methodology &amp; Sources'!$B$184:$J$198,0,4))*INDEX('Methodology &amp; Sources'!$B$184:$J$198,0,4+2))/'Inputs 2'!$C$8+0.0425*$D29,2),0)+IF('Inputs 2'!$C$79="Resident",ROUND(0.1675*$T29,2),IF('Inputs 2'!$C$79="Nonresident",ROUND(0.005*MAX(0,($O29-$D29)-(IF($AU29="Married",7950,7400)+1000*$AS29)/'Inputs 2'!$C$8),2),0)),IF($AN29="PA",IF('Inputs 2'!$C$80="None",'Inputs 2'!$C$27+ROUND('Inputs 2'!$C$81*($C29+$D29),2),ROUND(IF('Inputs 2'!$C$80="Resident",IF($B29&lt;DATE(2027,7,1),0.03735,0.03735),IF($B29&lt;DATE(2027,7,1),0.03425,0.03425))*($C29+$D29),2)),IF($BF29=0,ROUND('Inputs 2'!$C$81*($C29+$D29),2),'Inputs 2'!$C$27+ROUND('Inputs 2'!$C$81*($C29+$D29),2)))))</f>
      </c>
      <c r="W29" s="7">
        <f>IF($B29="","",IF($BF29=0,0,$BP29))</f>
      </c>
      <c r="X29" s="7">
        <f>IF($B29="","",SUM($E29:$K29)+$P29+$Q29+$R29+$S29+$T29+$U29+$V29+$W29)</f>
      </c>
      <c r="Y29" s="22">
        <f>IF($B29="","",$C29+$D29-$X29)</f>
      </c>
      <c r="Z29" s="7">
        <f>IF($B29="","",$Z28+$C29+$D29)</f>
      </c>
      <c r="AA29" s="7">
        <f>IF($B29="","",$AA28+$Y29)</f>
      </c>
      <c r="AB29" s="7">
        <f>IF($B29="","",$AB28+MIN($N29,MAX(0,'Methodology &amp; Sources'!$C$3-($AX29+$AB28-$AW29))))</f>
      </c>
      <c r="AC29" s="7">
        <f>IF($B29="","",$AC28+$E29+$F29)</f>
      </c>
      <c r="AD29" s="3">
        <f>IF($B29="","",IF(AND($AB28&lt;'Methodology &amp; Sources'!$C$3,$AB29&gt;='Methodology &amp; Sources'!$C$3),"★ Social Security maxed on this check — from the next check your net rises by about $"&amp;TEXT(ROUND('Methodology &amp; Sources'!$C$4*$N29,2),"#,##0.00")&amp;". ","")&amp;IF(AND($AC28&lt;'Inputs 2'!$C$34,$AC29&gt;='Inputs 2'!$C$34),"★ 401(k) reaches the $"&amp;TEXT('Inputs 2'!$C$34,"#,##0")&amp;" cap on this check — deferrals stop and net pay rises. ","")&amp;IF(AND($AG28&lt;'Methodology &amp; Sources'!$C$7,$AG29&gt;='Methodology &amp; Sources'!$C$7),"★ Wages pass $200,000 — the 0.9% Additional Medicare Tax starts here. ","")&amp;IF(AND($BJ29&gt;0,$H29&gt;0,$BG28&lt;MIN($BJ29,'Methodology &amp; Sources'!$C$13),$BG28+$H29&gt;=MIN($BJ29,'Methodology &amp; Sources'!$C$13)),"★ Health FSA election is now fully deferred for the year. ",""))</f>
      </c>
      <c r="AE29" s="41" t="n"/>
      <c r="AF29" s="7">
        <f>IF(OR($B29="",$AE29=""),"",$AE29-$Y29)</f>
      </c>
      <c r="AG29" s="7">
        <f>IF($B29="","",$AG28+$N29)</f>
      </c>
      <c r="AH29" s="7">
        <f>IF($B29="","",MAX(0,($M29-$D29)*'Inputs 2'!$C$8+$AP29-$AQ29-IF('Inputs 2'!$C$13,0,IF('Inputs 2'!$C$12="MFJ",'Methodology &amp; Sources'!$C$8,'Methodology &amp; Sources'!$C$9))))</f>
      </c>
      <c r="AI29" s="7">
        <f>IF($B29="","",$O29*'Inputs 2'!$C$8)</f>
      </c>
      <c r="AJ29" s="7">
        <f>IF($B29="","",MAX(0,$AI29-VLOOKUP($AN29,StateTables!$A$6:$AB$56,12,FALSE)*$AT29-IF(($AS29+$AT29)&gt;=2,VLOOKUP($AN29,StateTables!$A$6:$AB$56,8,FALSE),VLOOKUP($AN29,StateTables!$A$6:$AB$56,7,FALSE))))</f>
      </c>
      <c r="AK29" s="7">
        <f>IF($B29="","",IFERROR(LOOKUP(2,1/(('Events 2'!$C$6:$C$17="Salary change")*('Events 2'!$B$6:$B$17&lt;=$B29)*('Events 2'!$B$6:$B$17&lt;&gt;"")),'Events 2'!$D$6:$D$17),IF('Inputs 2'!$C$4="Annual salary",'Inputs 2'!$C$5,'Inputs 2'!$C$6)))</f>
      </c>
      <c r="AL29">
        <f>IF($B29="","",IFERROR(LOOKUP(2,1/(('Events 2'!$C$6:$C$17="401(k) change")*('Events 2'!$B$6:$B$17&lt;=$B29)*('Events 2'!$B$6:$B$17&lt;&gt;"")),'Events 2'!$D$6:$D$17),'Inputs 2'!$C$30))</f>
      </c>
      <c r="AM29" s="7">
        <f>IF($B29="","",IFERROR(LOOKUP(2,1/(('Events 2'!$C$6:$C$17="401(k) change")*('Events 2'!$B$6:$B$17&lt;=$B29)*('Events 2'!$B$6:$B$17&lt;&gt;"")),'Events 2'!$E$6:$E$17),'Inputs 2'!$D$30))</f>
      </c>
      <c r="AN29">
        <f>IF($B29="","",IFERROR(LOOKUP(2,1/(('Events 2'!$C$6:$C$17="State move")*('Events 2'!$B$6:$B$17&lt;=$B29)*('Events 2'!$B$6:$B$17&lt;&gt;"")),'Events 2'!$D$6:$D$17),'Inputs 2'!$C$21))</f>
      </c>
      <c r="AO29" s="7">
        <f>IF($B29="","",IFERROR(LOOKUP(2,1/(('Events 2'!$C$6:$C$17="W-4 change")*('Events 2'!$B$6:$B$17&lt;=$B29)*('Events 2'!$B$6:$B$17&lt;&gt;"")),'Events 2'!$D$6:$D$17),'Inputs 2'!$C$14))</f>
      </c>
      <c r="AP29" s="7">
        <f>IF($B29="","",IFERROR(LOOKUP(2,1/(('Events 2'!$C$6:$C$17="W-4 change")*('Events 2'!$B$6:$B$17&lt;=$B29)*('Events 2'!$B$6:$B$17&lt;&gt;"")),'Events 2'!$E$6:$E$17),'Inputs 2'!$C$15))</f>
      </c>
      <c r="AQ29" s="7">
        <f>IF($B29="","",IFERROR(LOOKUP(2,1/(('Events 2'!$C$6:$C$17="W-4 change")*('Events 2'!$B$6:$B$17&lt;=$B29)*('Events 2'!$B$6:$B$17&lt;&gt;"")),'Events 2'!$F$6:$F$17),'Inputs 2'!$C$16))</f>
      </c>
      <c r="AR29" s="7">
        <f>IF($B29="","",IFERROR(LOOKUP(2,1/(('Events 2'!$C$6:$C$17="W-4 change")*('Events 2'!$B$6:$B$17&lt;=$B29)*('Events 2'!$B$6:$B$17&lt;&gt;"")),'Events 2'!$G$6:$G$17),'Inputs 2'!$C$17))</f>
      </c>
      <c r="AS29" s="6">
        <f>IF($B29="","",IFERROR(LOOKUP(2,1/((('Events 2'!$C$6:$C$17="State move")+('Events 2'!$C$6:$C$17="State cert change"))*('Events 2'!$B$6:$B$17&lt;=$B29)*('Events 2'!$B$6:$B$17&lt;&gt;"")),'Events 2'!$F$6:$F$17),'Inputs 2'!$C$23))</f>
      </c>
      <c r="AT29" s="6">
        <f>IF($B29="","",IFERROR(LOOKUP(2,1/((('Events 2'!$C$6:$C$17="State move")+('Events 2'!$C$6:$C$17="State cert change"))*('Events 2'!$B$6:$B$17&lt;=$B29)*('Events 2'!$B$6:$B$17&lt;&gt;"")),'Events 2'!$G$6:$G$17),'Inputs 2'!$C$24))</f>
      </c>
      <c r="AU29">
        <f>IF($B29="","",IFERROR(LOOKUP(2,1/(('Events 2'!$C$6:$C$17="State move")*('Events 2'!$B$6:$B$17&lt;=$B29)*('Events 2'!$B$6:$B$17&lt;&gt;"")),'Events 2'!$E$6:$E$17),'Inputs 2'!$C$22))</f>
      </c>
      <c r="AV29" s="6">
        <f>IF($B29="","",1+COUNTIFS('Events 2'!$C$6:$C$17,"Employer change",'Events 2'!$B$6:$B$17,"&lt;="&amp;$B29,'Events 2'!$B$6:$B$17,"&lt;&gt;"))</f>
      </c>
      <c r="AW29" s="7">
        <f>IF($B29="","",IF($AV29=1,'Inputs 2'!$C$49,IF(IFERROR(MATCH(IFERROR(LOOKUP(2,1/(('Events 2'!$C$6:$C$17="Employer change")*('Events 2'!$B$6:$B$17&lt;=$B29)*('Events 2'!$B$6:$B$17&lt;&gt;"")),'Events 2'!$B$6:$B$17),""),$B$6:$B$68,1),1)&lt;=1,'Inputs 2'!$C$49,INDEX($AB$6:$AB$68,MATCH(IFERROR(LOOKUP(2,1/(('Events 2'!$C$6:$C$17="Employer change")*('Events 2'!$B$6:$B$17&lt;=$B29)*('Events 2'!$B$6:$B$17&lt;&gt;"")),'Events 2'!$B$6:$B$17),""),$B$6:$B$68,1)-1))))</f>
      </c>
      <c r="AX29" s="7">
        <f>IF($B29="","",IF($AV29=1,'Inputs 2'!$C$49,IFERROR(LOOKUP(2,1/(('Events 2'!$C$6:$C$17="Employer change")*('Events 2'!$B$6:$B$17&lt;=$B29)*('Events 2'!$B$6:$B$17&lt;&gt;"")),'Events 2'!$D$6:$D$17),0)))</f>
      </c>
      <c r="AY29" s="7">
        <f>IF($B29="","",($O29-$D29)*'Inputs 2'!$C$8)</f>
      </c>
      <c r="AZ29" s="7">
        <f>IF($B29="","",IF($AN29="AL",MAX(0,$AY29-IF($AU29="Married",IF($AY29&lt;=25999,8500,MAX(5000,8500-175*CEILING(($AY29-25999)/500,1))),IF($AU29="Head of household",IF($AY29&lt;=25999,5200,MAX(2500,5200-135*CEILING(($AY29-25999)/500,1))),IF($AY29&lt;=25999,3000,MAX(2500,3000-25*CEILING(($AY29-25999)/500,1)))))-($P29-'Methodology &amp; Sources'!$C$10*$D29)*'Inputs 2'!$C$8-IF(OR($AU29="Married",$AU29="Head of household"),3000,1500)-$AT29*IF($AY29&lt;=50000,1000,IF($AY29&lt;=100000,500,300))),IF($AN29="AR",IF(MAX(0,$AY29-2470)&lt;97701,INT(MAX(0,$AY29-2470)/100)*100+50,MAX(0,$AY29-2470)),IF($AN29="DE",MAX(0,$AI29-3250),IF($AN29="HI",MAX(0,$AI29-1144*$AS29-4350),IF($AN29="KS",MAX(0,$AI29-(9160*IF($AU29="Married",2,1)+2320*$AT29+IF($AU29="Head of household",2320,0))),IF($AN29="MD",MAX(0,$AI29-3400-3200*$AS29),IF($AN29="MN",MAX(0,$AY29-5300*$AS29),IF($AN29="MO",MAX(0,$AI29-IF($AU29="Head of household",24150,IF($AU29="Married",IF('Inputs 2'!$C$83,16100,32200),16100))),IF($AN29="MT",$AY29,IF($AN29="ND",($C29+$L29)*'Inputs 2'!$C$8,IF($AN29="NE",MAX(0,$AY29-2440*$AS29),IF($AN29="NJ",MAX(0,$AY29-1000*$AS29),IF($AN29="NY",MAX(0,$AY29-(IF($AU29="Married",7950,7400)+1000*$AS29)),IF($AN29="OH",MAX(0,$AY29-650*$AS29),IF($AN29="OK",MAX(0,$AY29-1000*$AS29),IF($AN29="RI",MAX(0,$AI29-1000*$AS29),IF($AN29="SC",MAX(0,$AI29-5000*$AS29-IF($AS29=0,0,MIN(0.1*$AI29,7500))),IF($AN29="VA",MAX(0,$AI29-IF($AU29="Married",17500,8750)-930*$AS29-800*$AT29),IF($AN29="VT",MAX(0,$AI29-5400*$AS29),IF($AN29="WI",MAX(0,$AI29-MAX(0,IF($AU29="Married",9461-0.2*MAX(0,$AI29-25727),6702-0.12*MAX(0,$AI29-17780)))-400*$AS29),IF($AN29="WV",MAX(0,$AI29-2000*$AS29),$AI29))))))))))))))))))))))</f>
      </c>
      <c r="BA29" s="7">
        <f>IF($B29="","",IF($BW29&lt;&gt;"",$BW29,IF($BX29&lt;&gt;"",$BX29,IF($BY29&lt;&gt;"",$BY29,0))))</f>
      </c>
      <c r="BB29" s="7">
        <f>IF($B29="","",IF($AN29="AR",-29*$AS29,IF($AN29="DE",-110*$AS29,IF($AN29="MD",$AZ29*'Inputs 2'!$C$74,IF($AN29="AZ",'Inputs 2'!$C$82*($M29-$D29)*'Inputs 2'!$C$8,IF($AN29="CO",0.044*MAX(0,$AY29-IF($AU29="Married",10000,5000)),IF($AN29="IA",MAX(0,0.038*MAX(0,$AY29-IF($AU29="Head of household",19500,IF($AU29="Married",26000,13000)))-40*$AS29),IF($AN29="ID",0.053*MAX(0,$AY29-IF($AU29="Married",32000,16094)),IF($AN29="IL",0.0495*MAX(0,$AY29-(2925*$AS29+1000*$AT29)),IF($AN29="IN",(0.0295+'Inputs 2'!$C$76)*MAX(0,$AY29-(1000*$AS29+1500*$AT29+3000*'Inputs 2'!$C$86)),IF($AN29="KY",0.035*MAX(0,$AI29-3360),IF($AN29="LA",IF('Inputs 2'!$C$84="0",0.0309*$AI29,0.0309*MAX(0,$AI29-IF('Inputs 2'!$C$84="2",25750,12875))),IF($AN29="MA",0.05*MIN(MAX(0,$AY29-MIN(($BD28+$Q29+$R29+$S29),2000)-IF($AS29=0,0,IF($AS29=1,4400,1000*$AS29+3400))),1107750)+0.09*MAX(0,MAX(0,$AY29-MIN(($BD28+$Q29+$R29+$S29),2000)-IF($AS29=0,0,IF($AS29=1,4400,1000*$AS29+3400)))-1107750)-IF($AU29="Head of household",120,0)-110*'Inputs 2'!$C$75,IF($AN29="MI",0.0425*MAX(0,$AY29-5900*$AS29),IF($AN29="MS",0.04*MAX(0,$AI29-IF($AU29="Head of household",3400,IF($AU29="Married",4600,2300))-'Inputs 2'!$C$85-10000),IF($AN29="OR",IF(OR($AU29="Married",AND($AU29="Single",$AS29&gt;=3)),SUMPRODUCT((MAX(0,$AY29-MIN(($P29-'Methodology &amp; Sources'!$C$10*$D29)*'Inputs 2'!$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Sources'!$B$211:$J$214,0,4))*(MAX(0,$AY29-MIN(($P29-'Methodology &amp; Sources'!$C$10*$D29)*'Inputs 2'!$C$8,IF(OR($AU29="Married",AND($AU29="Single",$AS29&gt;=3)),IF($AY29&lt;250000,8750,IF($AY29&lt;260000,7000,IF($AY29&lt;270000,5250,IF($AY29&lt;280000,3500,IF($AY29&lt;290000,1750,0))))),IF($AY29&lt;125000,8750,IF($AY29&lt;130000,7000,IF($AY29&lt;135000,5250,IF($AY29&lt;140000,3500,IF($AY29&lt;145000,1750,0)))))))-IF(OR($AU29="Married",AND($AU29="Single",$AS29&gt;=3)),5820,2910))-INDEX('Methodology &amp; Sources'!$B$211:$J$214,0,4))*INDEX('Methodology &amp; Sources'!$B$211:$J$214,0,4+2)),SUMPRODUCT((MAX(0,$AY29-MIN(($P29-'Methodology &amp; Sources'!$C$10*$D29)*'Inputs 2'!$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Sources'!$B$211:$J$214,0,1))*(MAX(0,$AY29-MIN(($P29-'Methodology &amp; Sources'!$C$10*$D29)*'Inputs 2'!$C$8,IF(OR($AU29="Married",AND($AU29="Single",$AS29&gt;=3)),IF($AY29&lt;250000,8750,IF($AY29&lt;260000,7000,IF($AY29&lt;270000,5250,IF($AY29&lt;280000,3500,IF($AY29&lt;290000,1750,0))))),IF($AY29&lt;125000,8750,IF($AY29&lt;130000,7000,IF($AY29&lt;135000,5250,IF($AY29&lt;140000,3500,IF($AY29&lt;145000,1750,0)))))))-IF(OR($AU29="Married",AND($AU29="Single",$AS29&gt;=3)),5820,2910))-INDEX('Methodology &amp; Sources'!$B$211:$J$214,0,1))*INDEX('Methodology &amp; Sources'!$B$211:$J$214,0,1+2)))+263-263*IF(IF($AU29="Married",$AY29&gt;200000,$AY29&gt;100000),0,$AS29),IF($AN29="PA",0.0307*(($O29+$E29+$G29)*'Inputs 2'!$C$8),IF($AN29="NY",IF($AU29="Married",IF($AZ29&gt;=2155350,0,IF($AZ29&gt;=1077550,0.48,IF($AZ29&gt;=373200,1.21,IF($AZ29&gt;=323200,0.21,IF($AZ29&gt;=211550,-0.19,IF($AZ29&gt;=157650,-2.8,IF($AZ29&gt;=107650,-0.8,IF($AZ29&gt;=96800,0.05,IF($AZ29&gt;=80650,-0.1,IF($AZ29&gt;=13900,0.4,IF($AZ29&gt;=11700,-0.3,IF($AZ29&gt;=8500,0.5,0)))))))))))),IF($AZ29&gt;=1077550,0,IF($AZ29&gt;=265400,4.29,IF($AZ29&gt;=215400,2.29,IF($AZ29&gt;=157650,2.29,IF($AZ29&gt;=107650,0.29,IF($AZ29&gt;=96800,0.05,IF($AZ29&gt;=80650,-0.1,IF($AZ29&gt;=13900,0.4,IF($AZ29&gt;=11700,-0.3,IF($AZ29&gt;=8500,0.5,0))))))))))),0))))))))))))))))))</f>
      </c>
      <c r="BC29" s="7">
        <f>IF($B29="","",IF($AN29="AL",0.05*$D29,IF($AN29="AR",0.039*$D29,IF($AN29="ID",0.053*$D29,IF($AN29="IN",(0.0295+'Inputs 2'!$C$76)*$D29,IF($AN29="KS",0.05*$D29,IF($AN29="MA",0.09*MIN($D29,MAX(0,MAX(0,$AY29-MIN(($BD28+$Q29+$R29+$S29),2000)-IF($AS29=0,0,IF($AS29=1,4400,1000*$AS29+3400)))+$D29-1107750))+0.05*($D29-MIN($D29,MAX(0,MAX(0,$AY29-MIN(($BD28+$Q29+$R29+$S29),2000)-IF($AS29=0,0,IF($AS29=1,4400,1000*$AS29+3400)))+$D29-1107750))),IF($AN29="MD",(0.065+'Inputs 2'!$C$74)*$D29,IF($AN29="MI",0.0425*$D29,IF($AN29="MN",0.0625*$D29,IF($AN29="MO",0.047*$D29,IF($AN29="MT",0.05*$D29,IF($AN29="ND",0.015*$D29,IF($AN29="NE",0.035*$D29,IF($AN29="NJ",IF('Inputs 2'!$C$77="B",SUMPRODUCT(($D29*'Inputs 2'!$C$8&gt;INDEX('Methodology &amp; Sources'!$B$155:$J$162,0,4))*($D29*'Inputs 2'!$C$8-INDEX('Methodology &amp; Sources'!$B$155:$J$162,0,4))*INDEX('Methodology &amp; Sources'!$B$155:$J$162,0,4+2)),IF('Inputs 2'!$C$77="C",SUMPRODUCT(($D29*'Inputs 2'!$C$8&gt;INDEX('Methodology &amp; Sources'!$B$155:$J$162,0,7))*($D29*'Inputs 2'!$C$8-INDEX('Methodology &amp; Sources'!$B$155:$J$162,0,7))*INDEX('Methodology &amp; Sources'!$B$155:$J$162,0,7+2)),IF('Inputs 2'!$C$77="D",SUMPRODUCT(($D29*'Inputs 2'!$C$8&gt;INDEX('Methodology &amp; Sources'!$B$167:$J$179,0,1))*($D29*'Inputs 2'!$C$8-INDEX('Methodology &amp; Sources'!$B$167:$J$179,0,1))*INDEX('Methodology &amp; Sources'!$B$167:$J$179,0,1+2)),IF('Inputs 2'!$C$77="E",SUMPRODUCT(($D29*'Inputs 2'!$C$8&gt;INDEX('Methodology &amp; Sources'!$B$167:$J$179,0,4))*($D29*'Inputs 2'!$C$8-INDEX('Methodology &amp; Sources'!$B$167:$J$179,0,4))*INDEX('Methodology &amp; Sources'!$B$167:$J$179,0,4+2)),SUMPRODUCT(($D29*'Inputs 2'!$C$8&gt;INDEX('Methodology &amp; Sources'!$B$155:$J$162,0,1))*($D29*'Inputs 2'!$C$8-INDEX('Methodology &amp; Sources'!$B$155:$J$162,0,1))*INDEX('Methodology &amp; Sources'!$B$155:$J$162,0,1+2))))))/'Inputs 2'!$C$8,IF($AN29="NY",0.117*$D29,IF($AN29="OH",0.0275*$D29,IF($AN29="OK",0.045*$D29,IF($AN29="OR",0.08*$D29,IF($AN29="WI",IF($AY29&lt;12760,0.0354,IF($AY29&lt;25520,0.0465,IF($AY29&lt;280950,0.053,0.0765)))*$D29,0))))))))))))))))))))</f>
      </c>
      <c r="BD29" s="7">
        <f>IF($B29="","",$BD28+$Q29+$R29+$S29)</f>
      </c>
      <c r="BE29" s="6">
        <f>IF($B29="",$BE28,$BE28+$BF29)</f>
      </c>
      <c r="BF29" s="6">
        <f>IF($B29="","",IF(AND(IF(YEAR(IF('Inputs 2'!$C$7="Weekly",'Inputs 2'!$C$9+7*(($BE28+1)-1),IF('Inputs 2'!$C$7="Biweekly",'Inputs 2'!$C$9+14*(($BE28+1)-1),IF('Inputs 2'!$C$7="Semimonthly",DATE(YEAR('Inputs 2'!$C$9),MONTH('Inputs 2'!$C$9)+INT((($BE28+1)-1)/2),MIN(DAY('Inputs 2'!$C$9),DAY(EOMONTH(DATE(YEAR('Inputs 2'!$C$9),MONTH('Inputs 2'!$C$9)+INT((($BE28+1)-1)/2),1),0))))+IF(MOD(($BE28+1)-1,2)=1,15,0),EDATE('Inputs 2'!$C$9,($BE28+1)-1)))))&lt;&gt;'Inputs 2'!$C$10,"",IF('Inputs 2'!$C$7="Weekly",'Inputs 2'!$C$9+7*(($BE28+1)-1),IF('Inputs 2'!$C$7="Biweekly",'Inputs 2'!$C$9+14*(($BE28+1)-1),IF('Inputs 2'!$C$7="Semimonthly",DATE(YEAR('Inputs 2'!$C$9),MONTH('Inputs 2'!$C$9)+INT((($BE28+1)-1)/2),MIN(DAY('Inputs 2'!$C$9),DAY(EOMONTH(DATE(YEAR('Inputs 2'!$C$9),MONTH('Inputs 2'!$C$9)+INT((($BE28+1)-1)/2),1),0))))+IF(MOD(($BE28+1)-1,2)=1,15,0),EDATE('Inputs 2'!$C$9,($BE28+1)-1)))))&lt;&gt;"",$B29=IF(YEAR(IF('Inputs 2'!$C$7="Weekly",'Inputs 2'!$C$9+7*(($BE28+1)-1),IF('Inputs 2'!$C$7="Biweekly",'Inputs 2'!$C$9+14*(($BE28+1)-1),IF('Inputs 2'!$C$7="Semimonthly",DATE(YEAR('Inputs 2'!$C$9),MONTH('Inputs 2'!$C$9)+INT((($BE28+1)-1)/2),MIN(DAY('Inputs 2'!$C$9),DAY(EOMONTH(DATE(YEAR('Inputs 2'!$C$9),MONTH('Inputs 2'!$C$9)+INT((($BE28+1)-1)/2),1),0))))+IF(MOD(($BE28+1)-1,2)=1,15,0),EDATE('Inputs 2'!$C$9,($BE28+1)-1)))))&lt;&gt;'Inputs 2'!$C$10,"",IF('Inputs 2'!$C$7="Weekly",'Inputs 2'!$C$9+7*(($BE28+1)-1),IF('Inputs 2'!$C$7="Biweekly",'Inputs 2'!$C$9+14*(($BE28+1)-1),IF('Inputs 2'!$C$7="Semimonthly",DATE(YEAR('Inputs 2'!$C$9),MONTH('Inputs 2'!$C$9)+INT((($BE28+1)-1)/2),MIN(DAY('Inputs 2'!$C$9),DAY(EOMONTH(DATE(YEAR('Inputs 2'!$C$9),MONTH('Inputs 2'!$C$9)+INT((($BE28+1)-1)/2),1),0))))+IF(MOD(($BE28+1)-1,2)=1,15,0),EDATE('Inputs 2'!$C$9,($BE28+1)-1)))))),1,0))</f>
      </c>
      <c r="BG29" s="7">
        <f>IF($B29="","",$BG28+$H29)</f>
      </c>
      <c r="BH29" s="7">
        <f>IF($B29="","",$BH28+$I29)</f>
      </c>
      <c r="BI29" s="7">
        <f>IF($B29="","",$BI28+$G29)</f>
      </c>
      <c r="BJ29" s="7">
        <f>IF($B29="","",IFERROR(LOOKUP(2,1/(((('Events 2'!$C$6:$C$17="Deduction start"))*('Events 2'!$D$6:$D$17="Health FSA"))*('Events 2'!$B$6:$B$17&lt;=$B29)*('Events 2'!$B$6:$B$17&lt;&gt;"")),'Events 2'!$E$6:$E$17),'Inputs 2'!$D$38))</f>
      </c>
      <c r="BK29" s="7">
        <f>IF($B29="","",IFERROR(LOOKUP(2,1/(((('Events 2'!$C$6:$C$17="Deduction start"))*('Events 2'!$D$6:$D$17="Dependent-care FSA"))*('Events 2'!$B$6:$B$17&lt;=$B29)*('Events 2'!$B$6:$B$17&lt;&gt;"")),'Events 2'!$E$6:$E$17),'Inputs 2'!$D$39))</f>
      </c>
      <c r="BL29" s="7">
        <f>IF($B29="","",IFERROR(LOOKUP(2,1/(((('Events 2'!$C$6:$C$17="Deduction start")+('Events 2'!$C$6:$C$17="Deduction stop"))*('Events 2'!$D$6:$D$17="HSA"))*('Events 2'!$B$6:$B$17&lt;=$B29)*('Events 2'!$B$6:$B$17&lt;&gt;"")),'Events 2'!$I$6:$I$17),'Inputs 2'!$D$35))</f>
      </c>
      <c r="BM29" s="7">
        <f>IF($B29="","",IFERROR(LOOKUP(2,1/(((('Events 2'!$C$6:$C$17="Deduction start")+('Events 2'!$C$6:$C$17="Deduction stop"))*('Events 2'!$D$6:$D$17="Premiums"))*('Events 2'!$B$6:$B$17&lt;=$B29)*('Events 2'!$B$6:$B$17&lt;&gt;"")),'Events 2'!$I$6:$I$17),'Inputs 2'!$D$40+'Inputs 2'!$D$41+'Inputs 2'!$D$42))</f>
      </c>
      <c r="BN29" s="7">
        <f>IF($B29="","",IFERROR(LOOKUP(2,1/(((('Events 2'!$C$6:$C$17="Deduction start")+('Events 2'!$C$6:$C$17="Deduction stop"))*('Events 2'!$D$6:$D$17="Commuter"))*('Events 2'!$B$6:$B$17&lt;=$B29)*('Events 2'!$B$6:$B$17&lt;&gt;"")),'Events 2'!$I$6:$I$17),'Inputs 2'!$D$43))</f>
      </c>
      <c r="BO29" s="7">
        <f>IF($B29="","",IFERROR(LOOKUP(2,1/(((('Events 2'!$C$6:$C$17="Deduction start")+('Events 2'!$C$6:$C$17="Deduction stop"))*('Events 2'!$D$6:$D$17="Other pre-tax"))*('Events 2'!$B$6:$B$17&lt;=$B29)*('Events 2'!$B$6:$B$17&lt;&gt;"")),'Events 2'!$I$6:$I$17),'Inputs 2'!$D$44))</f>
      </c>
      <c r="BP29" s="7">
        <f>IF($B29="","",IFERROR(LOOKUP(2,1/(((('Events 2'!$C$6:$C$17="Deduction start")+('Events 2'!$C$6:$C$17="Deduction stop"))*('Events 2'!$D$6:$D$17="Other post-tax"))*('Events 2'!$B$6:$B$17&lt;=$B29)*('Events 2'!$B$6:$B$17&lt;&gt;"")),'Events 2'!$I$6:$I$17),'Inputs 2'!$D$45))</f>
      </c>
      <c r="BQ29" s="6">
        <f>IF($B29="","",IFERROR(LOOKUP(2,1/(((('Events 2'!$C$6:$C$17="Deduction start")+('Events 2'!$C$6:$C$17="Deduction stop"))*('Events 2'!$D$6:$D$17="Health FSA"))*('Events 2'!$B$6:$B$17&lt;=$B29)*('Events 2'!$B$6:$B$17&lt;&gt;"")),'Events 2'!$J$6:$J$17),0))</f>
      </c>
      <c r="BR29" s="6">
        <f>IF($B29="","",IFERROR(LOOKUP(2,1/(((('Events 2'!$C$6:$C$17="Deduction start")+('Events 2'!$C$6:$C$17="Deduction stop"))*('Events 2'!$D$6:$D$17="Dependent-care FSA"))*('Events 2'!$B$6:$B$17&lt;=$B29)*('Events 2'!$B$6:$B$17&lt;&gt;"")),'Events 2'!$J$6:$J$17),0))</f>
      </c>
      <c r="BS29" s="6">
        <f>IF($B29="","",IF(SUMPRODUCT(('Events 2'!$C$6:$C$17="Deduction start")*('Events 2'!$B$6:$B$17&lt;=$B29)*('Events 2'!$B$6:$B$17&lt;&gt;"")*('Events 2'!$D$6:$D$17="Health FSA"))&gt;0,1,0))</f>
      </c>
      <c r="BT29" s="6">
        <f>IF($B29="","",IF(SUMPRODUCT(('Events 2'!$C$6:$C$17="Deduction start")*('Events 2'!$B$6:$B$17&lt;=$B29)*('Events 2'!$B$6:$B$17&lt;&gt;"")*('Events 2'!$D$6:$D$17="Dependent-care FSA"))&gt;0,1,0))</f>
      </c>
      <c r="BU29" s="24">
        <f>IF($B29="","",IF('Inputs 2'!$C$13,SUMPRODUCT(($AH29&gt;=INDEX('Methodology &amp; Sources'!$B$29:$J$36,0,IF('Inputs 2'!$C$12="MFJ",1,IF('Inputs 2'!$C$12="HoH",7,4))))*INDEX('Methodology &amp; Sources'!$B$29:$J$36,0,IF('Inputs 2'!$C$12="MFJ",1,IF('Inputs 2'!$C$12="HoH",7,4))+2)),SUMPRODUCT(($AH29&gt;=INDEX('Methodology &amp; Sources'!$B$19:$J$26,0,IF('Inputs 2'!$C$12="MFJ",1,IF('Inputs 2'!$C$12="HoH",7,4))))*INDEX('Methodology &amp; Sources'!$B$19:$J$26,0,IF('Inputs 2'!$C$12="MFJ",1,IF('Inputs 2'!$C$12="HoH",7,4))+2))))</f>
      </c>
      <c r="BV29" s="24">
        <f>IF($B29="","",IF($BZ29&lt;&gt;"",$BZ29,IF($CA29&lt;&gt;"",$CA29,IF($CB29&lt;&gt;"",$CB29,IF($CC29&lt;&gt;"",$CC29,0)))))</f>
      </c>
      <c r="BW29" s="7">
        <f>IF($B29="","",IF($AN29="MD",IF(OR($AU29="Married",$AU29="Head of household"),SUMPRODUCT(($AZ29&gt;INDEX('Methodology &amp; Sources'!$B$114:$J$120,0,1))*($AZ29-INDEX('Methodology &amp; Sources'!$B$114:$J$120,0,1))*INDEX('Methodology &amp; Sources'!$B$114:$J$120,0,1+2)),SUMPRODUCT(($AZ29&gt;INDEX('Methodology &amp; Sources'!$B$103:$J$109,0,7))*($AZ29-INDEX('Methodology &amp; Sources'!$B$103:$J$109,0,7))*INDEX('Methodology &amp; Sources'!$B$103:$J$109,0,7+2))),IF($AN29="MO",SUMPRODUCT(($AZ29&gt;INDEX('Methodology &amp; Sources'!$B$125:$J$132,0,1))*($AZ29-INDEX('Methodology &amp; Sources'!$B$125:$J$132,0,1))*INDEX('Methodology &amp; Sources'!$B$125:$J$132,0,1+2)),IF($AN29="MT",IF($AU29="Head of household",SUMPRODUCT(($AZ29&gt;INDEX('Methodology &amp; Sources'!$B$137:$J$139,0,1))*($AZ29-INDEX('Methodology &amp; Sources'!$B$137:$J$139,0,1))*INDEX('Methodology &amp; Sources'!$B$137:$J$139,0,1+2)),IF($AU29="Married",SUMPRODUCT(($AZ29&gt;INDEX('Methodology &amp; Sources'!$B$125:$J$132,0,7))*($AZ29-INDEX('Methodology &amp; Sources'!$B$125:$J$132,0,7))*INDEX('Methodology &amp; Sources'!$B$125:$J$132,0,7+2)),SUMPRODUCT(($AZ29&gt;INDEX('Methodology &amp; Sources'!$B$125:$J$132,0,4))*($AZ29-INDEX('Methodology &amp; Sources'!$B$125:$J$132,0,4))*INDEX('Methodology &amp; Sources'!$B$125:$J$132,0,4+2)))),IF($AN29="ND",IF($AU29="Head of household",SUMPRODUCT(($AZ29&gt;INDEX('Methodology &amp; Sources'!$B$144:$J$150,0,1))*($AZ29-INDEX('Methodology &amp; Sources'!$B$144:$J$150,0,1))*INDEX('Methodology &amp; Sources'!$B$144:$J$150,0,1+2)),IF($AU29="Married",SUMPRODUCT(($AZ29&gt;INDEX('Methodology &amp; Sources'!$B$137:$J$139,0,7))*($AZ29-INDEX('Methodology &amp; Sources'!$B$137:$J$139,0,7))*INDEX('Methodology &amp; Sources'!$B$137:$J$139,0,7+2)),SUMPRODUCT(($AZ29&gt;INDEX('Methodology &amp; Sources'!$B$137:$J$139,0,4))*($AZ29-INDEX('Methodology &amp; Sources'!$B$137:$J$139,0,4))*INDEX('Methodology &amp; Sources'!$B$137:$J$139,0,4+2)))),IF($AN29="NJ",IF('Inputs 2'!$C$77="B",SUMPRODUCT(($AZ29&gt;INDEX('Methodology &amp; Sources'!$B$155:$J$162,0,4))*($AZ29-INDEX('Methodology &amp; Sources'!$B$155:$J$162,0,4))*INDEX('Methodology &amp; Sources'!$B$155:$J$162,0,4+2)),IF('Inputs 2'!$C$77="C",SUMPRODUCT(($AZ29&gt;INDEX('Methodology &amp; Sources'!$B$155:$J$162,0,7))*($AZ29-INDEX('Methodology &amp; Sources'!$B$155:$J$162,0,7))*INDEX('Methodology &amp; Sources'!$B$155:$J$162,0,7+2)),IF('Inputs 2'!$C$77="D",SUMPRODUCT(($AZ29&gt;INDEX('Methodology &amp; Sources'!$B$167:$J$179,0,1))*($AZ29-INDEX('Methodology &amp; Sources'!$B$167:$J$179,0,1))*INDEX('Methodology &amp; Sources'!$B$167:$J$179,0,1+2)),IF('Inputs 2'!$C$77="E",SUMPRODUCT(($AZ29&gt;INDEX('Methodology &amp; Sources'!$B$167:$J$179,0,4))*($AZ29-INDEX('Methodology &amp; Sources'!$B$167:$J$179,0,4))*INDEX('Methodology &amp; Sources'!$B$167:$J$179,0,4+2)),SUMPRODUCT(($AZ29&gt;INDEX('Methodology &amp; Sources'!$B$155:$J$162,0,1))*($AZ29-INDEX('Methodology &amp; Sources'!$B$155:$J$162,0,1))*INDEX('Methodology &amp; Sources'!$B$155:$J$162,0,1+2)))))),IF($AN29="NY",IF($AU29="Married",IF($AZ29&gt;=2155350,$AZ29*IF($AZ29&gt;25000000,0.117,IF($AZ29&gt;5000000,0.111,0.1045)),SUMPRODUCT(($AZ29&gt;INDEX('Methodology &amp; Sources'!$B$184:$J$198,0,1))*($AZ29-INDEX('Methodology &amp; Sources'!$B$184:$J$198,0,1))*INDEX('Methodology &amp; Sources'!$B$184:$J$198,0,1+2))),IF($AZ29&gt;=1077550,$AZ29*IF($AZ29&gt;25000000,0.117,IF($AZ29&gt;5000000,0.111,0.1045)),SUMPRODUCT(($AZ29&gt;INDEX('Methodology &amp; Sources'!$B$167:$J$179,0,7))*($AZ29-INDEX('Methodology &amp; Sources'!$B$167:$J$179,0,7))*INDEX('Methodology &amp; Sources'!$B$167:$J$179,0,7+2)))),"")))))))</f>
      </c>
      <c r="BX29" s="7">
        <f>IF($B29="","",IF($AN29="AL",IF(OR($AU29="Married",$AU29="Head of household"),SUMPRODUCT(($AZ29&gt;INDEX('Methodology &amp; Sources'!$B$82:$J$86,0,4))*($AZ29-INDEX('Methodology &amp; Sources'!$B$82:$J$86,0,4))*INDEX('Methodology &amp; Sources'!$B$82:$J$86,0,4+2)),SUMPRODUCT(($AZ29&gt;INDEX('Methodology &amp; Sources'!$B$82:$J$86,0,1))*($AZ29-INDEX('Methodology &amp; Sources'!$B$82:$J$86,0,1))*INDEX('Methodology &amp; Sources'!$B$82:$J$86,0,1+2))),IF($AN29="KS",IF($AU29="Married",SUMPRODUCT(($AZ29&gt;INDEX('Methodology &amp; Sources'!$B$103:$J$109,0,4))*($AZ29-INDEX('Methodology &amp; Sources'!$B$103:$J$109,0,4))*INDEX('Methodology &amp; Sources'!$B$103:$J$109,0,4+2)),SUMPRODUCT(($AZ29&gt;INDEX('Methodology &amp; Sources'!$B$103:$J$109,0,1))*($AZ29-INDEX('Methodology &amp; Sources'!$B$103:$J$109,0,1))*INDEX('Methodology &amp; Sources'!$B$103:$J$109,0,1+2))),IF($AN29="MN",IF($AU29="Married",SUMPRODUCT(($AZ29&gt;INDEX('Methodology &amp; Sources'!$B$114:$J$120,0,7))*($AZ29-INDEX('Methodology &amp; Sources'!$B$114:$J$120,0,7))*INDEX('Methodology &amp; Sources'!$B$114:$J$120,0,7+2)),SUMPRODUCT(($AZ29&gt;INDEX('Methodology &amp; Sources'!$B$114:$J$120,0,4))*($AZ29-INDEX('Methodology &amp; Sources'!$B$114:$J$120,0,4))*INDEX('Methodology &amp; Sources'!$B$114:$J$120,0,4+2))),IF($AN29="NE",MAX(IF($AU29="Married",SUMPRODUCT(($AZ29&gt;INDEX('Methodology &amp; Sources'!$B$144:$J$150,0,7))*($AZ29-INDEX('Methodology &amp; Sources'!$B$144:$J$150,0,7))*INDEX('Methodology &amp; Sources'!$B$144:$J$150,0,7+2)),SUMPRODUCT(($AZ29&gt;INDEX('Methodology &amp; Sources'!$B$144:$J$150,0,4))*($AZ29-INDEX('Methodology &amp; Sources'!$B$144:$J$150,0,4))*INDEX('Methodology &amp; Sources'!$B$144:$J$150,0,4+2))),0.015*$AZ29),IF($AN29="OH",IF($B29&gt;=DATE(2027,8,1),SUMPRODUCT(($AZ29&gt;INDEX('Methodology &amp; Sources'!$B$203:$J$206,0,1))*($AZ29-INDEX('Methodology &amp; Sources'!$B$203:$J$206,0,1))*INDEX('Methodology &amp; Sources'!$B$203:$J$206,0,1+2)),SUMPRODUCT(($AZ29&gt;INDEX('Methodology &amp; Sources'!$B$184:$J$198,0,7))*($AZ29-INDEX('Methodology &amp; Sources'!$B$184:$J$198,0,7))*INDEX('Methodology &amp; Sources'!$B$184:$J$198,0,7+2))),IF($AN29="OK",IF($AU29="Married",SUMPRODUCT(($AZ29&gt;INDEX('Methodology &amp; Sources'!$B$203:$J$206,0,7))*($AZ29-INDEX('Methodology &amp; Sources'!$B$203:$J$206,0,7))*INDEX('Methodology &amp; Sources'!$B$203:$J$206,0,7+2)),SUMPRODUCT(($AZ29&gt;INDEX('Methodology &amp; Sources'!$B$203:$J$206,0,4))*($AZ29-INDEX('Methodology &amp; Sources'!$B$203:$J$206,0,4))*INDEX('Methodology &amp; Sources'!$B$203:$J$206,0,4+2))),IF($AN29="RI",SUMPRODUCT(($AZ29&gt;INDEX('Methodology &amp; Sources'!$B$211:$J$214,0,7))*($AZ29-INDEX('Methodology &amp; Sources'!$B$211:$J$214,0,7))*INDEX('Methodology &amp; Sources'!$B$211:$J$214,0,7+2)),IF($AN29="VT",IF($AU29="Married",SUMPRODUCT(($AZ29&gt;INDEX('Methodology &amp; Sources'!$B$228:$J$232,0,1))*($AZ29-INDEX('Methodology &amp; Sources'!$B$228:$J$232,0,1))*INDEX('Methodology &amp; Sources'!$B$228:$J$232,0,1+2)),SUMPRODUCT(($AZ29&gt;INDEX('Methodology &amp; Sources'!$B$219:$J$223,0,7))*($AZ29-INDEX('Methodology &amp; Sources'!$B$219:$J$223,0,7))*INDEX('Methodology &amp; Sources'!$B$219:$J$223,0,7+2))),IF($AN29="WV",IF($AU29="Married",SUMPRODUCT(($AZ29&gt;INDEX('Methodology &amp; Sources'!$B$237:$J$241,0,7))*($AZ29-INDEX('Methodology &amp; Sources'!$B$237:$J$241,0,7))*INDEX('Methodology &amp; Sources'!$B$237:$J$241,0,7+2)),SUMPRODUCT(($AZ29&gt;INDEX('Methodology &amp; Sources'!$B$228:$J$232,0,7))*($AZ29-INDEX('Methodology &amp; Sources'!$B$228:$J$232,0,7))*INDEX('Methodology &amp; Sources'!$B$228:$J$232,0,7+2))),""))))))))))</f>
      </c>
      <c r="BY29" s="7">
        <f>IF($B29="","",IF($AN29="AR",SUMPRODUCT(($AZ29&gt;INDEX('Methodology &amp; Sources'!$B$82:$J$86,0,7))*($AZ29-INDEX('Methodology &amp; Sources'!$B$82:$J$86,0,7))*INDEX('Methodology &amp; Sources'!$B$82:$J$86,0,7+2)),IF($AN29="DE",SUMPRODUCT(($AZ29&gt;INDEX('Methodology &amp; Sources'!$B$91:$J$98,0,1))*($AZ29-INDEX('Methodology &amp; Sources'!$B$91:$J$98,0,1))*INDEX('Methodology &amp; Sources'!$B$91:$J$98,0,1+2)),IF($AN29="HI",IF($AU29="Married",SUMPRODUCT(($AZ29&gt;INDEX('Methodology &amp; Sources'!$B$91:$J$98,0,7))*($AZ29-INDEX('Methodology &amp; Sources'!$B$91:$J$98,0,7))*INDEX('Methodology &amp; Sources'!$B$91:$J$98,0,7+2)),SUMPRODUCT(($AZ29&gt;INDEX('Methodology &amp; Sources'!$B$91:$J$98,0,4))*($AZ29-INDEX('Methodology &amp; Sources'!$B$91:$J$98,0,4))*INDEX('Methodology &amp; Sources'!$B$91:$J$98,0,4+2))),IF($AN29="SC",SUMPRODUCT(($AZ29&gt;INDEX('Methodology &amp; Sources'!$B$219:$J$223,0,1))*($AZ29-INDEX('Methodology &amp; Sources'!$B$219:$J$223,0,1))*INDEX('Methodology &amp; Sources'!$B$219:$J$223,0,1+2)),IF($AN29="VA",SUMPRODUCT(($AZ29&gt;INDEX('Methodology &amp; Sources'!$B$219:$J$223,0,4))*($AZ29-INDEX('Methodology &amp; Sources'!$B$219:$J$223,0,4))*INDEX('Methodology &amp; Sources'!$B$219:$J$223,0,4+2)),IF($AN29="WI",SUMPRODUCT(($AZ29&gt;INDEX('Methodology &amp; Sources'!$B$228:$J$232,0,4))*($AZ29-INDEX('Methodology &amp; Sources'!$B$228:$J$232,0,4))*INDEX('Methodology &amp; Sources'!$B$228:$J$232,0,4+2)),"")))))))</f>
      </c>
      <c r="BZ29" s="24">
        <f>IF($B29="","",IF($AN29="NJ",IF('Inputs 2'!$C$77="B",SUMPRODUCT(($AZ29&gt;=INDEX('Methodology &amp; Sources'!$B$155:$J$162,0,4))*INDEX('Methodology &amp; Sources'!$B$155:$J$162,0,4+2)),IF('Inputs 2'!$C$77="C",SUMPRODUCT(($AZ29&gt;=INDEX('Methodology &amp; Sources'!$B$155:$J$162,0,7))*INDEX('Methodology &amp; Sources'!$B$155:$J$162,0,7+2)),IF('Inputs 2'!$C$77="D",SUMPRODUCT(($AZ29&gt;=INDEX('Methodology &amp; Sources'!$B$167:$J$179,0,1))*INDEX('Methodology &amp; Sources'!$B$167:$J$179,0,1+2)),IF('Inputs 2'!$C$77="E",SUMPRODUCT(($AZ29&gt;=INDEX('Methodology &amp; Sources'!$B$167:$J$179,0,4))*INDEX('Methodology &amp; Sources'!$B$167:$J$179,0,4+2)),SUMPRODUCT(($AZ29&gt;=INDEX('Methodology &amp; Sources'!$B$155:$J$162,0,1))*INDEX('Methodology &amp; Sources'!$B$155:$J$162,0,1+2)))))),IF($AN29="OR",IF(OR($AU29="Married",AND($AU29="Single",$AS29&gt;=3)),SUMPRODUCT((MAX(0,$AY29-MIN(($P29-'Methodology &amp; Sources'!$C$10*$D29)*'Inputs 2'!$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Sources'!$B$211:$J$214,0,4))*INDEX('Methodology &amp; Sources'!$B$211:$J$214,0,4+2)),SUMPRODUCT((MAX(0,$AY29-MIN(($P29-'Methodology &amp; Sources'!$C$10*$D29)*'Inputs 2'!$C$8,IF(OR($AU29="Married",AND($AU29="Single",$AS29&gt;=3)),IF($AY29&lt;250000,8750,IF($AY29&lt;260000,7000,IF($AY29&lt;270000,5250,IF($AY29&lt;280000,3500,IF($AY29&lt;290000,1750,0))))),IF($AY29&lt;125000,8750,IF($AY29&lt;130000,7000,IF($AY29&lt;135000,5250,IF($AY29&lt;140000,3500,IF($AY29&lt;145000,1750,0)))))))-IF(OR($AU29="Married",AND($AU29="Single",$AS29&gt;=3)),5820,2910))&gt;=INDEX('Methodology &amp; Sources'!$B$211:$J$214,0,1))*INDEX('Methodology &amp; Sources'!$B$211:$J$214,0,1+2)))*IF(($P29-'Methodology &amp; Sources'!$C$10*$D29)*'Inputs 2'!$C$8&gt;=IF(OR($AU29="Married",AND($AU29="Single",$AS29&gt;=3)),IF($AY29&lt;250000,8750,IF($AY29&lt;260000,7000,IF($AY29&lt;270000,5250,IF($AY29&lt;280000,3500,IF($AY29&lt;290000,1750,0))))),IF($AY29&lt;125000,8750,IF($AY29&lt;130000,7000,IF($AY29&lt;135000,5250,IF($AY29&lt;140000,3500,IF($AY29&lt;145000,1750,0)))))),1,1-IF('Inputs 2'!$C$13,SUMPRODUCT(($AH29&gt;=INDEX('Methodology &amp; Sources'!$B$29:$J$36,0,IF('Inputs 2'!$C$12="MFJ",1,IF('Inputs 2'!$C$12="HoH",7,4))))*INDEX('Methodology &amp; Sources'!$B$29:$J$36,0,IF('Inputs 2'!$C$12="MFJ",1,IF('Inputs 2'!$C$12="HoH",7,4))+2)),SUMPRODUCT(($AH29&gt;=INDEX('Methodology &amp; Sources'!$B$19:$J$26,0,IF('Inputs 2'!$C$12="MFJ",1,IF('Inputs 2'!$C$12="HoH",7,4))))*INDEX('Methodology &amp; Sources'!$B$19:$J$26,0,IF('Inputs 2'!$C$12="MFJ",1,IF('Inputs 2'!$C$12="HoH",7,4))+2)))),IF($AN29="MI",IF($AY29&gt;5900*$AS29,0.0425,0),""))))</f>
      </c>
      <c r="CA29" s="24">
        <f>IF($B29="","",IF($AN29="AL",IF(OR($AU29="Married",$AU29="Head of household"),SUMPRODUCT(($AZ29&gt;=INDEX('Methodology &amp; Sources'!$B$82:$J$86,0,4))*INDEX('Methodology &amp; Sources'!$B$82:$J$86,0,4+2)),SUMPRODUCT(($AZ29&gt;=INDEX('Methodology &amp; Sources'!$B$82:$J$86,0,1))*INDEX('Methodology &amp; Sources'!$B$82:$J$86,0,1+2)))*(1-IF('Inputs 2'!$C$13,SUMPRODUCT(($AH29&gt;=INDEX('Methodology &amp; Sources'!$B$29:$J$36,0,IF('Inputs 2'!$C$12="MFJ",1,IF('Inputs 2'!$C$12="HoH",7,4))))*INDEX('Methodology &amp; Sources'!$B$29:$J$36,0,IF('Inputs 2'!$C$12="MFJ",1,IF('Inputs 2'!$C$12="HoH",7,4))+2)),SUMPRODUCT(($AH29&gt;=INDEX('Methodology &amp; Sources'!$B$19:$J$26,0,IF('Inputs 2'!$C$12="MFJ",1,IF('Inputs 2'!$C$12="HoH",7,4))))*INDEX('Methodology &amp; Sources'!$B$19:$J$26,0,IF('Inputs 2'!$C$12="MFJ",1,IF('Inputs 2'!$C$12="HoH",7,4))+2)))),IF($AN29="KS",IF($AU29="Married",SUMPRODUCT(($AZ29&gt;=INDEX('Methodology &amp; Sources'!$B$103:$J$109,0,4))*INDEX('Methodology &amp; Sources'!$B$103:$J$109,0,4+2)),SUMPRODUCT(($AZ29&gt;=INDEX('Methodology &amp; Sources'!$B$103:$J$109,0,1))*INDEX('Methodology &amp; Sources'!$B$103:$J$109,0,1+2))),IF($AN29="MD",IF(OR($AU29="Married",$AU29="Head of household"),SUMPRODUCT(($AZ29&gt;=INDEX('Methodology &amp; Sources'!$B$114:$J$120,0,1))*INDEX('Methodology &amp; Sources'!$B$114:$J$120,0,1+2)),SUMPRODUCT(($AZ29&gt;=INDEX('Methodology &amp; Sources'!$B$103:$J$109,0,7))*INDEX('Methodology &amp; Sources'!$B$103:$J$109,0,7+2)))+'Inputs 2'!$C$74,IF($AN29="MT",IF($AU29="Head of household",SUMPRODUCT(($AZ29&gt;=INDEX('Methodology &amp; Sources'!$B$137:$J$139,0,1))*INDEX('Methodology &amp; Sources'!$B$137:$J$139,0,1+2)),IF($AU29="Married",SUMPRODUCT(($AZ29&gt;=INDEX('Methodology &amp; Sources'!$B$125:$J$132,0,7))*INDEX('Methodology &amp; Sources'!$B$125:$J$132,0,7+2)),SUMPRODUCT(($AZ29&gt;=INDEX('Methodology &amp; Sources'!$B$125:$J$132,0,4))*INDEX('Methodology &amp; Sources'!$B$125:$J$132,0,4+2)))),IF($AN29="ND",IF($AU29="Head of household",SUMPRODUCT(($AZ29&gt;=INDEX('Methodology &amp; Sources'!$B$144:$J$150,0,1))*INDEX('Methodology &amp; Sources'!$B$144:$J$150,0,1+2)),IF($AU29="Married",SUMPRODUCT(($AZ29&gt;=INDEX('Methodology &amp; Sources'!$B$137:$J$139,0,7))*INDEX('Methodology &amp; Sources'!$B$137:$J$139,0,7+2)),SUMPRODUCT(($AZ29&gt;=INDEX('Methodology &amp; Sources'!$B$137:$J$139,0,4))*INDEX('Methodology &amp; Sources'!$B$137:$J$139,0,4+2)))),IF($AN29="NY",IF($AU29="Married",IF($AZ29&gt;=2155350,IF($AZ29&gt;25000000,0.117,IF($AZ29&gt;5000000,0.111,0.1045)),SUMPRODUCT(($AZ29&gt;=INDEX('Methodology &amp; Sources'!$B$184:$J$198,0,1))*INDEX('Methodology &amp; Sources'!$B$184:$J$198,0,1+2))),IF($AZ29&gt;=1077550,IF($AZ29&gt;25000000,0.117,IF($AZ29&gt;5000000,0.111,0.1045)),SUMPRODUCT(($AZ29&gt;=INDEX('Methodology &amp; Sources'!$B$167:$J$179,0,7))*INDEX('Methodology &amp; Sources'!$B$167:$J$179,0,7+2)))),"")))))))</f>
      </c>
      <c r="CB29" s="24">
        <f>IF($B29="","",IF($AN29="CA",SUMPRODUCT(($AJ29&gt;=INDEX('Methodology &amp; Sources'!$B$39:$J$48,0,IF($AU29="Married",4,IF($AU29="Head of household",7,1))))*INDEX('Methodology &amp; Sources'!$B$39:$J$48,0,IF($AU29="Married",4,IF($AU29="Head of household",7,1))+2)),IF($AN29="HI",IF($AU29="Married",SUMPRODUCT(($AZ29&gt;=INDEX('Methodology &amp; Sources'!$B$91:$J$98,0,7))*INDEX('Methodology &amp; Sources'!$B$91:$J$98,0,7+2)),SUMPRODUCT(($AZ29&gt;=INDEX('Methodology &amp; Sources'!$B$91:$J$98,0,4))*INDEX('Methodology &amp; Sources'!$B$91:$J$98,0,4+2))),IF($AN29="MN",IF($AU29="Married",SUMPRODUCT(($AZ29&gt;=INDEX('Methodology &amp; Sources'!$B$114:$J$120,0,7))*INDEX('Methodology &amp; Sources'!$B$114:$J$120,0,7+2)),SUMPRODUCT(($AZ29&gt;=INDEX('Methodology &amp; Sources'!$B$114:$J$120,0,4))*INDEX('Methodology &amp; Sources'!$B$114:$J$120,0,4+2))),IF($AN29="MO",SUMPRODUCT(($AZ29&gt;=INDEX('Methodology &amp; Sources'!$B$125:$J$132,0,1))*INDEX('Methodology &amp; Sources'!$B$125:$J$132,0,1+2)),IF($AN29="NE",MAX(IF($AU29="Married",SUMPRODUCT(($AZ29&gt;=INDEX('Methodology &amp; Sources'!$B$144:$J$150,0,7))*INDEX('Methodology &amp; Sources'!$B$144:$J$150,0,7+2)),SUMPRODUCT(($AZ29&gt;=INDEX('Methodology &amp; Sources'!$B$144:$J$150,0,4))*INDEX('Methodology &amp; Sources'!$B$144:$J$150,0,4+2))),0.015),IF($AN29="OH",IF($B29&gt;=DATE(2027,8,1),SUMPRODUCT(($AZ29&gt;=INDEX('Methodology &amp; Sources'!$B$203:$J$206,0,1))*INDEX('Methodology &amp; Sources'!$B$203:$J$206,0,1+2)),SUMPRODUCT(($AZ29&gt;=INDEX('Methodology &amp; Sources'!$B$184:$J$198,0,7))*INDEX('Methodology &amp; Sources'!$B$184:$J$198,0,7+2))),IF($AN29="OK",IF($AU29="Married",SUMPRODUCT(($AZ29&gt;=INDEX('Methodology &amp; Sources'!$B$203:$J$206,0,7))*INDEX('Methodology &amp; Sources'!$B$203:$J$206,0,7+2)),SUMPRODUCT(($AZ29&gt;=INDEX('Methodology &amp; Sources'!$B$203:$J$206,0,4))*INDEX('Methodology &amp; Sources'!$B$203:$J$206,0,4+2))),IF($AN29="RI",SUMPRODUCT(($AZ29&gt;=INDEX('Methodology &amp; Sources'!$B$211:$J$214,0,7))*INDEX('Methodology &amp; Sources'!$B$211:$J$214,0,7+2)),IF($AN29="SC",SUMPRODUCT(($AZ29&gt;=INDEX('Methodology &amp; Sources'!$B$219:$J$223,0,1))*INDEX('Methodology &amp; Sources'!$B$219:$J$223,0,1+2)),IF($AN29="VT",IF($AU29="Married",SUMPRODUCT(($AZ29&gt;=INDEX('Methodology &amp; Sources'!$B$228:$J$232,0,1))*INDEX('Methodology &amp; Sources'!$B$228:$J$232,0,1+2)),SUMPRODUCT(($AZ29&gt;=INDEX('Methodology &amp; Sources'!$B$219:$J$223,0,7))*INDEX('Methodology &amp; Sources'!$B$219:$J$223,0,7+2))),IF($AN29="WV",IF($AU29="Married",SUMPRODUCT(($AZ29&gt;=INDEX('Methodology &amp; Sources'!$B$237:$J$241,0,7))*INDEX('Methodology &amp; Sources'!$B$237:$J$241,0,7+2)),SUMPRODUCT(($AZ29&gt;=INDEX('Methodology &amp; Sources'!$B$228:$J$232,0,7))*INDEX('Methodology &amp; Sources'!$B$228:$J$232,0,7+2))),IF($AN29="IN",(0.0295+'Inputs 2'!$C$76),"")))))))))))))</f>
      </c>
      <c r="CC29" s="24">
        <f>IF($B29="","",IF($AN29="AR",SUMPRODUCT(($AZ29&gt;=INDEX('Methodology &amp; Sources'!$B$82:$J$86,0,7))*INDEX('Methodology &amp; Sources'!$B$82:$J$86,0,7+2)),IF($AN29="DE",SUMPRODUCT(($AZ29&gt;=INDEX('Methodology &amp; Sources'!$B$91:$J$98,0,1))*INDEX('Methodology &amp; Sources'!$B$91:$J$98,0,1+2)),IF($AN29="VA",SUMPRODUCT(($AZ29&gt;=INDEX('Methodology &amp; Sources'!$B$219:$J$223,0,4))*INDEX('Methodology &amp; Sources'!$B$219:$J$223,0,4+2)),IF($AN29="WI",SUMPRODUCT(($AZ29&gt;=INDEX('Methodology &amp; Sources'!$B$228:$J$232,0,4))*INDEX('Methodology &amp; Sources'!$B$228:$J$232,0,4+2)),IF($AN29="AZ",'Inputs 2'!$C$82,IF($AN29="CO",IF($AY29&gt;IF($AU29="Married",10000,5000),0.044,0),IF($AN29="IA",IF($AY29&gt;IF($AU29="Head of household",19500,IF($AU29="Married",26000,13000)),0.038,0),IF($AN29="ID",IF($AY29&gt;IF($AU29="Married",32000,16094),0.053,0),IF($AN29="IL",IF($AY29&gt;(2925*$AS29+1000*$AT29),0.0495,0),IF($AN29="KY",IF($AI29&gt;3360,0.035,0),IF($AN29="LA",0.0309,IF($AN29="MA",IF(MAX(0,$AY29-MIN(($BD28+$Q29+$R29+$S29),2000)-IF($AS29=0,0,IF($AS29=1,4400,1000*$AS29+3400)))&gt;=1107750,0.09,0.05),IF($AN29="MS",IF($AI29-IF($AU29="Head of household",3400,IF($AU29="Married",4600,2300))-'Inputs 2'!$C$85&gt;10000,0.04,0),IF($AN29="PA",0.0307,"")))))))))))))))</f>
      </c>
      <c r="CD29" s="21">
        <f>IF(YEAR(IF('Inputs 2'!$C$7="Weekly",'Inputs 2'!$C$9+7*(($BE28+1)-1),IF('Inputs 2'!$C$7="Biweekly",'Inputs 2'!$C$9+14*(($BE28+1)-1),IF('Inputs 2'!$C$7="Semimonthly",DATE(YEAR('Inputs 2'!$C$9),MONTH('Inputs 2'!$C$9)+INT((($BE28+1)-1)/2),MIN(DAY('Inputs 2'!$C$9),DAY(EOMONTH(DATE(YEAR('Inputs 2'!$C$9),MONTH('Inputs 2'!$C$9)+INT((($BE28+1)-1)/2),1),0))))+IF(MOD(($BE28+1)-1,2)=1,15,0),EDATE('Inputs 2'!$C$9,($BE28+1)-1)))))&lt;&gt;'Inputs 2'!$C$10,"",IF('Inputs 2'!$C$7="Weekly",'Inputs 2'!$C$9+7*(($BE28+1)-1),IF('Inputs 2'!$C$7="Biweekly",'Inputs 2'!$C$9+14*(($BE28+1)-1),IF('Inputs 2'!$C$7="Semimonthly",DATE(YEAR('Inputs 2'!$C$9),MONTH('Inputs 2'!$C$9)+INT((($BE28+1)-1)/2),MIN(DAY('Inputs 2'!$C$9),DAY(EOMONTH(DATE(YEAR('Inputs 2'!$C$9),MONTH('Inputs 2'!$C$9)+INT((($BE28+1)-1)/2),1),0))))+IF(MOD(($BE28+1)-1,2)=1,15,0),EDATE('Inputs 2'!$C$9,($BE28+1)-1)))))</f>
      </c>
      <c r="CE29" s="21">
        <f>IF(SUMPRODUCT(MIN(IF(('Inputs 2'!$C$58:$C$67&gt;MAX($B$6:$B28))*('Inputs 2'!$C$58:$C$67&gt;=DATE('Inputs 2'!$C$10,1,1))*('Inputs 2'!$C$58:$C$67&lt;=DATE('Inputs 2'!$C$10,12,31)),'Inputs 2'!$C$58:$C$67,999999)))=999999,"",SUMPRODUCT(MIN(IF(('Inputs 2'!$C$58:$C$67&gt;MAX($B$6:$B28))*('Inputs 2'!$C$58:$C$67&gt;=DATE('Inputs 2'!$C$10,1,1))*('Inputs 2'!$C$58:$C$67&lt;=DATE('Inputs 2'!$C$10,12,31)),'Inputs 2'!$C$58:$C$67,999999))))</f>
      </c>
    </row>
    <row r="30">
      <c r="A30" t="n">
        <v>25</v>
      </c>
      <c r="B30" s="21">
        <f>IF(AND($CD30="",$CE30=""),"",IF($CE30="",$CD30,IF($CD30="",$CE30,MIN($CD30,$CE30))))</f>
      </c>
      <c r="C30" s="7">
        <f>IF($B30="","",IF($BF30=0,0,IF('Inputs 2'!$C$4="Annual salary",ROUND($AK30/IF(AND('Inputs 2'!$C$88="Actual paydays",MONTH('Inputs 2'!$C$9)=1),MAX(1,MAX($BE$6:$BE$68)),'Inputs 2'!$C$8),2),$AK30)))</f>
      </c>
      <c r="D30" s="7">
        <f>IF($B30="","",SUMIF('Inputs 2'!$C$58:$C$67,$B30,'Inputs 2'!$D$58:$D$67))</f>
      </c>
      <c r="E30" s="7">
        <f>IF($B30="","",ROUND(MAX(0,MIN(IF($AL30="Percent",$AM30*($C30+$D30),$AM30),MAX(0,'Inputs 2'!$C$34-$AC29))),2))</f>
      </c>
      <c r="F30" s="7">
        <f>IF($B30="","",ROUND(MAX(0,MIN(IF('Inputs 2'!$C$32="Percent",'Inputs 2'!$D$32*($C30+$D30),'Inputs 2'!$D$32),MAX(0,'Inputs 2'!$C$34-$AC29-$E30))),2))</f>
      </c>
      <c r="G30" s="7">
        <f>IF($B30="","",IF($BF30=0,0,ROUND(MAX(0,MIN($BL30,'Inputs 2'!$C$37-'Inputs 2'!$C$54-$BI29)),2)))</f>
      </c>
      <c r="H30" s="7">
        <f>IF($B30="","",IF(OR($BF30=0,$BQ30=1),0,ROUND(MAX(0,MIN(IF($BS30=1,ROUND(MAX(0,MIN($BJ30,'Methodology &amp; Sources'!$C$13)-$BG29)/MAX(1,MAX($BE$6:$BE$68)-($BE29)),2),ROUND(MIN($BJ30,'Methodology &amp; Sources'!$C$13)/'Inputs 2'!$C$8,2)),MIN($BJ30,'Methodology &amp; Sources'!$C$13)-$BG29)),2)))</f>
      </c>
      <c r="I30" s="7">
        <f>IF($B30="","",IF(OR($BF30=0,$BR30=1),0,ROUND(MAX(0,MIN(IF($BT30=1,ROUND(MAX(0,MIN($BK30,IF('Inputs 2'!$C$12="MFJ",'Methodology &amp; Sources'!$C$14,'Methodology &amp; Sources'!$C$15))-$BH29)/MAX(1,MAX($BE$6:$BE$68)-($BE29)),2),ROUND(MIN($BK30,IF('Inputs 2'!$C$12="MFJ",'Methodology &amp; Sources'!$C$14,'Methodology &amp; Sources'!$C$15))/'Inputs 2'!$C$8,2)),MIN($BK30,IF('Inputs 2'!$C$12="MFJ",'Methodology &amp; Sources'!$C$14,'Methodology &amp; Sources'!$C$15))-$BH29)),2)))</f>
      </c>
      <c r="J30" s="7">
        <f>IF($B30="","",IF($BF30=0,0,$BM30))</f>
      </c>
      <c r="K30" s="7">
        <f>IF($B30="","",IF($BF30=0,0,$BN30+$BO30))</f>
      </c>
      <c r="L30" s="7">
        <f>IF($B30="","",IF($BF30=0,0,'Inputs 2'!$D$46))</f>
      </c>
      <c r="M30" s="7">
        <f>IF($B30="","",$C30+$D30+$L30-$E30-$G30-$H30-$I30-$J30-$K30)</f>
      </c>
      <c r="N30" s="7">
        <f>IF($B30="","",$C30+$D30+$L30-$G30-$H30-$I30-$J30-$K30)</f>
      </c>
      <c r="O30" s="7">
        <f>IF($B30="","",$C30+$D30+$L30-$E30-$H30-$I30-$J30-$K30-IF(OR($AN30="CA",$AN30="NJ"),0,$G30))</f>
      </c>
      <c r="P30" s="7">
        <f>IF($B30="","",IF('Inputs 2'!$C$18,0,ROUND(MAX(0,IF('Inputs 2'!$C$13,SUMPRODUCT(($AH30&gt;INDEX('Methodology &amp; Sources'!$B$29:$J$36,0,IF('Inputs 2'!$C$12="MFJ",1,IF('Inputs 2'!$C$12="HoH",7,4))))*($AH30-INDEX('Methodology &amp; Sources'!$B$29:$J$36,0,IF('Inputs 2'!$C$12="MFJ",1,IF('Inputs 2'!$C$12="HoH",7,4))))*INDEX('Methodology &amp; Sources'!$B$29:$J$36,0,IF('Inputs 2'!$C$12="MFJ",1,IF('Inputs 2'!$C$12="HoH",7,4))+2)),SUMPRODUCT(($AH30&gt;INDEX('Methodology &amp; Sources'!$B$19:$J$26,0,IF('Inputs 2'!$C$12="MFJ",1,IF('Inputs 2'!$C$12="HoH",7,4))))*($AH30-INDEX('Methodology &amp; Sources'!$B$19:$J$26,0,IF('Inputs 2'!$C$12="MFJ",1,IF('Inputs 2'!$C$12="HoH",7,4))))*INDEX('Methodology &amp; Sources'!$B$19:$J$26,0,IF('Inputs 2'!$C$12="MFJ",1,IF('Inputs 2'!$C$12="HoH",7,4))+2)))/'Inputs 2'!$C$8-$AO30/'Inputs 2'!$C$8)+$AR30+IF('Inputs 2'!$C$89="Aggregate",MAX(0,IF('Inputs 2'!$C$13,SUMPRODUCT((($AH30+$D30)&gt;INDEX('Methodology &amp; Sources'!$B$29:$J$36,0,IF('Inputs 2'!$C$12="MFJ",1,IF('Inputs 2'!$C$12="HoH",7,4))))*(($AH30+$D30)-INDEX('Methodology &amp; Sources'!$B$29:$J$36,0,IF('Inputs 2'!$C$12="MFJ",1,IF('Inputs 2'!$C$12="HoH",7,4))))*INDEX('Methodology &amp; Sources'!$B$29:$J$36,0,IF('Inputs 2'!$C$12="MFJ",1,IF('Inputs 2'!$C$12="HoH",7,4))+2)),SUMPRODUCT((($AH30+$D30)&gt;INDEX('Methodology &amp; Sources'!$B$19:$J$26,0,IF('Inputs 2'!$C$12="MFJ",1,IF('Inputs 2'!$C$12="HoH",7,4))))*(($AH30+$D30)-INDEX('Methodology &amp; Sources'!$B$19:$J$26,0,IF('Inputs 2'!$C$12="MFJ",1,IF('Inputs 2'!$C$12="HoH",7,4))))*INDEX('Methodology &amp; Sources'!$B$19:$J$26,0,IF('Inputs 2'!$C$12="MFJ",1,IF('Inputs 2'!$C$12="HoH",7,4))+2)))-IF('Inputs 2'!$C$13,SUMPRODUCT(($AH30&gt;INDEX('Methodology &amp; Sources'!$B$29:$J$36,0,IF('Inputs 2'!$C$12="MFJ",1,IF('Inputs 2'!$C$12="HoH",7,4))))*($AH30-INDEX('Methodology &amp; Sources'!$B$29:$J$36,0,IF('Inputs 2'!$C$12="MFJ",1,IF('Inputs 2'!$C$12="HoH",7,4))))*INDEX('Methodology &amp; Sources'!$B$29:$J$36,0,IF('Inputs 2'!$C$12="MFJ",1,IF('Inputs 2'!$C$12="HoH",7,4))+2)),SUMPRODUCT(($AH30&gt;INDEX('Methodology &amp; Sources'!$B$19:$J$26,0,IF('Inputs 2'!$C$12="MFJ",1,IF('Inputs 2'!$C$12="HoH",7,4))))*($AH30-INDEX('Methodology &amp; Sources'!$B$19:$J$26,0,IF('Inputs 2'!$C$12="MFJ",1,IF('Inputs 2'!$C$12="HoH",7,4))))*INDEX('Methodology &amp; Sources'!$B$19:$J$26,0,IF('Inputs 2'!$C$12="MFJ",1,IF('Inputs 2'!$C$12="HoH",7,4))+2)))),'Methodology &amp; Sources'!$C$10*$D30),2)))</f>
      </c>
      <c r="Q30" s="7">
        <f>IF($B30="","",ROUND('Methodology &amp; Sources'!$C$4*MIN($N30,MAX(0,'Methodology &amp; Sources'!$C$3-($AX30+$AB29-$AW30))),2))</f>
      </c>
      <c r="R30" s="7">
        <f>IF($B30="","",ROUND('Methodology &amp; Sources'!$C$5*$N30,2))</f>
      </c>
      <c r="S30" s="7">
        <f>IF($B30="","",ROUND('Methodology &amp; Sources'!$C$6*MAX(0,MIN($N30,$AG29+$N30-'Methodology &amp; Sources'!$C$7)),2))</f>
      </c>
      <c r="T30" s="7">
        <f>IF($B30="","",IF('Inputs 2'!$C$26,0,IF($AN30="CA",ROUND(IF($AI30&lt;=IF(($AS30+$AT30)&gt;=2,VLOOKUP($AN30,StateTables!$A$6:$AB$56,10,FALSE),VLOOKUP($AN30,StateTables!$A$6:$AB$56,9,FALSE)),0,MAX(0,SUMPRODUCT(($AJ30&gt;INDEX('Methodology &amp; Sources'!$B$39:$J$48,0,IF($AU30="Married",4,IF($AU30="Head of household",7,1))))*($AJ30-INDEX('Methodology &amp; Sources'!$B$39:$J$48,0,IF($AU30="Married",4,IF($AU30="Head of household",7,1))))*INDEX('Methodology &amp; Sources'!$B$39:$J$48,0,IF($AU30="Married",4,IF($AU30="Head of household",7,1))+2))-VLOOKUP($AN30,StateTables!$A$6:$AB$56,11,FALSE)*$AS30)/'Inputs 2'!$C$8)+'Inputs 2'!$C$25+VLOOKUP($AN30,StateTables!$A$6:$AB$56,13,FALSE)*$D30,2),IF(VLOOKUP($AN30,StateTables!$A$6:$AB$56,4,FALSE)="None",0,IF(ISNUMBER(SEARCH("MANUAL",VLOOKUP($AN30,StateTables!$A$6:$AB$56,5,FALSE))),'Inputs 2'!$C$28,ROUND(MAX(0,$BA30+$BB30)/'Inputs 2'!$C$8+'Inputs 2'!$C$25+$BC30,2))))))</f>
      </c>
      <c r="U30" s="7">
        <f>IF($B30="","",IF(VLOOKUP($AN30,StateTables!$A$6:$AB$56,24,FALSE)="flatq",IF(OR(MONTH($B30)=1,MONTH($B30)=4,MONTH($B30)=7,MONTH($B30)=10),VLOOKUP($AN30,StateTables!$A$6:$AB$56,25,FALSE),0),IF(VLOOKUP($AN30,StateTables!$A$6:$AB$56,24,FALSE)="dbl",MIN(ROUND(0.005*$N30,2),ROUND(0.6*52/'Inputs 2'!$C$8,2)),IF(OR(VLOOKUP($AN30,StateTables!$A$6:$AB$56,15,FALSE)="",VLOOKUP($AN30,StateTables!$A$6:$AB$56,15,FALSE)=0),0,ROUND(VLOOKUP($AN30,StateTables!$A$6:$AB$56,15,FALSE)*IF(OR(VLOOKUP($AN30,StateTables!$A$6:$AB$56,16,FALSE)="",VLOOKUP($AN30,StateTables!$A$6:$AB$56,16,FALSE)=0),$N30,MIN($N30,MAX(0,VLOOKUP($AN30,StateTables!$A$6:$AB$56,16,FALSE)-($AX30+$AB29-$AW30)))),2))))+IF(VLOOKUP($AN30,StateTables!$A$6:$AB$56,27,FALSE)="flatq",IF(OR(MONTH($B30)=1,MONTH($B30)=4,MONTH($B30)=7,MONTH($B30)=10),VLOOKUP($AN30,StateTables!$A$6:$AB$56,28,FALSE),0),IF(VLOOKUP($AN30,StateTables!$A$6:$AB$56,27,FALSE)="dbl",MIN(ROUND(0.005*$N30,2),ROUND(0.6*52/'Inputs 2'!$C$8,2)),IF(OR(VLOOKUP($AN30,StateTables!$A$6:$AB$56,18,FALSE)="",VLOOKUP($AN30,StateTables!$A$6:$AB$56,18,FALSE)=0),0,ROUND(VLOOKUP($AN30,StateTables!$A$6:$AB$56,18,FALSE)*IF(OR(VLOOKUP($AN30,StateTables!$A$6:$AB$56,19,FALSE)="",VLOOKUP($AN30,StateTables!$A$6:$AB$56,19,FALSE)=0),$N30,MIN($N30,MAX(0,VLOOKUP($AN30,StateTables!$A$6:$AB$56,19,FALSE)-($AX30+$AB29-$AW30)))),2)))))</f>
      </c>
      <c r="V30" s="7">
        <f>IF($B30="","",IF($AN30="NY",IF('Inputs 2'!$C$78,ROUND(SUMPRODUCT((MAX(0,($O30-$D30)*'Inputs 2'!$C$8-(IF($AU30="Married",5500,5000)+1000*$AS30))&gt;INDEX('Methodology &amp; Sources'!$B$184:$J$198,0,4))*(MAX(0,($O30-$D30)*'Inputs 2'!$C$8-(IF($AU30="Married",5500,5000)+1000*$AS30))-INDEX('Methodology &amp; Sources'!$B$184:$J$198,0,4))*INDEX('Methodology &amp; Sources'!$B$184:$J$198,0,4+2))/'Inputs 2'!$C$8+0.0425*$D30,2),0)+IF('Inputs 2'!$C$79="Resident",ROUND(0.1675*$T30,2),IF('Inputs 2'!$C$79="Nonresident",ROUND(0.005*MAX(0,($O30-$D30)-(IF($AU30="Married",7950,7400)+1000*$AS30)/'Inputs 2'!$C$8),2),0)),IF($AN30="PA",IF('Inputs 2'!$C$80="None",'Inputs 2'!$C$27+ROUND('Inputs 2'!$C$81*($C30+$D30),2),ROUND(IF('Inputs 2'!$C$80="Resident",IF($B30&lt;DATE(2027,7,1),0.03735,0.03735),IF($B30&lt;DATE(2027,7,1),0.03425,0.03425))*($C30+$D30),2)),IF($BF30=0,ROUND('Inputs 2'!$C$81*($C30+$D30),2),'Inputs 2'!$C$27+ROUND('Inputs 2'!$C$81*($C30+$D30),2)))))</f>
      </c>
      <c r="W30" s="7">
        <f>IF($B30="","",IF($BF30=0,0,$BP30))</f>
      </c>
      <c r="X30" s="7">
        <f>IF($B30="","",SUM($E30:$K30)+$P30+$Q30+$R30+$S30+$T30+$U30+$V30+$W30)</f>
      </c>
      <c r="Y30" s="22">
        <f>IF($B30="","",$C30+$D30-$X30)</f>
      </c>
      <c r="Z30" s="7">
        <f>IF($B30="","",$Z29+$C30+$D30)</f>
      </c>
      <c r="AA30" s="7">
        <f>IF($B30="","",$AA29+$Y30)</f>
      </c>
      <c r="AB30" s="7">
        <f>IF($B30="","",$AB29+MIN($N30,MAX(0,'Methodology &amp; Sources'!$C$3-($AX30+$AB29-$AW30))))</f>
      </c>
      <c r="AC30" s="7">
        <f>IF($B30="","",$AC29+$E30+$F30)</f>
      </c>
      <c r="AD30" s="3">
        <f>IF($B30="","",IF(AND($AB29&lt;'Methodology &amp; Sources'!$C$3,$AB30&gt;='Methodology &amp; Sources'!$C$3),"★ Social Security maxed on this check — from the next check your net rises by about $"&amp;TEXT(ROUND('Methodology &amp; Sources'!$C$4*$N30,2),"#,##0.00")&amp;". ","")&amp;IF(AND($AC29&lt;'Inputs 2'!$C$34,$AC30&gt;='Inputs 2'!$C$34),"★ 401(k) reaches the $"&amp;TEXT('Inputs 2'!$C$34,"#,##0")&amp;" cap on this check — deferrals stop and net pay rises. ","")&amp;IF(AND($AG29&lt;'Methodology &amp; Sources'!$C$7,$AG30&gt;='Methodology &amp; Sources'!$C$7),"★ Wages pass $200,000 — the 0.9% Additional Medicare Tax starts here. ","")&amp;IF(AND($BJ30&gt;0,$H30&gt;0,$BG29&lt;MIN($BJ30,'Methodology &amp; Sources'!$C$13),$BG29+$H30&gt;=MIN($BJ30,'Methodology &amp; Sources'!$C$13)),"★ Health FSA election is now fully deferred for the year. ",""))</f>
      </c>
      <c r="AE30" s="41" t="n"/>
      <c r="AF30" s="7">
        <f>IF(OR($B30="",$AE30=""),"",$AE30-$Y30)</f>
      </c>
      <c r="AG30" s="7">
        <f>IF($B30="","",$AG29+$N30)</f>
      </c>
      <c r="AH30" s="7">
        <f>IF($B30="","",MAX(0,($M30-$D30)*'Inputs 2'!$C$8+$AP30-$AQ30-IF('Inputs 2'!$C$13,0,IF('Inputs 2'!$C$12="MFJ",'Methodology &amp; Sources'!$C$8,'Methodology &amp; Sources'!$C$9))))</f>
      </c>
      <c r="AI30" s="7">
        <f>IF($B30="","",$O30*'Inputs 2'!$C$8)</f>
      </c>
      <c r="AJ30" s="7">
        <f>IF($B30="","",MAX(0,$AI30-VLOOKUP($AN30,StateTables!$A$6:$AB$56,12,FALSE)*$AT30-IF(($AS30+$AT30)&gt;=2,VLOOKUP($AN30,StateTables!$A$6:$AB$56,8,FALSE),VLOOKUP($AN30,StateTables!$A$6:$AB$56,7,FALSE))))</f>
      </c>
      <c r="AK30" s="7">
        <f>IF($B30="","",IFERROR(LOOKUP(2,1/(('Events 2'!$C$6:$C$17="Salary change")*('Events 2'!$B$6:$B$17&lt;=$B30)*('Events 2'!$B$6:$B$17&lt;&gt;"")),'Events 2'!$D$6:$D$17),IF('Inputs 2'!$C$4="Annual salary",'Inputs 2'!$C$5,'Inputs 2'!$C$6)))</f>
      </c>
      <c r="AL30">
        <f>IF($B30="","",IFERROR(LOOKUP(2,1/(('Events 2'!$C$6:$C$17="401(k) change")*('Events 2'!$B$6:$B$17&lt;=$B30)*('Events 2'!$B$6:$B$17&lt;&gt;"")),'Events 2'!$D$6:$D$17),'Inputs 2'!$C$30))</f>
      </c>
      <c r="AM30" s="7">
        <f>IF($B30="","",IFERROR(LOOKUP(2,1/(('Events 2'!$C$6:$C$17="401(k) change")*('Events 2'!$B$6:$B$17&lt;=$B30)*('Events 2'!$B$6:$B$17&lt;&gt;"")),'Events 2'!$E$6:$E$17),'Inputs 2'!$D$30))</f>
      </c>
      <c r="AN30">
        <f>IF($B30="","",IFERROR(LOOKUP(2,1/(('Events 2'!$C$6:$C$17="State move")*('Events 2'!$B$6:$B$17&lt;=$B30)*('Events 2'!$B$6:$B$17&lt;&gt;"")),'Events 2'!$D$6:$D$17),'Inputs 2'!$C$21))</f>
      </c>
      <c r="AO30" s="7">
        <f>IF($B30="","",IFERROR(LOOKUP(2,1/(('Events 2'!$C$6:$C$17="W-4 change")*('Events 2'!$B$6:$B$17&lt;=$B30)*('Events 2'!$B$6:$B$17&lt;&gt;"")),'Events 2'!$D$6:$D$17),'Inputs 2'!$C$14))</f>
      </c>
      <c r="AP30" s="7">
        <f>IF($B30="","",IFERROR(LOOKUP(2,1/(('Events 2'!$C$6:$C$17="W-4 change")*('Events 2'!$B$6:$B$17&lt;=$B30)*('Events 2'!$B$6:$B$17&lt;&gt;"")),'Events 2'!$E$6:$E$17),'Inputs 2'!$C$15))</f>
      </c>
      <c r="AQ30" s="7">
        <f>IF($B30="","",IFERROR(LOOKUP(2,1/(('Events 2'!$C$6:$C$17="W-4 change")*('Events 2'!$B$6:$B$17&lt;=$B30)*('Events 2'!$B$6:$B$17&lt;&gt;"")),'Events 2'!$F$6:$F$17),'Inputs 2'!$C$16))</f>
      </c>
      <c r="AR30" s="7">
        <f>IF($B30="","",IFERROR(LOOKUP(2,1/(('Events 2'!$C$6:$C$17="W-4 change")*('Events 2'!$B$6:$B$17&lt;=$B30)*('Events 2'!$B$6:$B$17&lt;&gt;"")),'Events 2'!$G$6:$G$17),'Inputs 2'!$C$17))</f>
      </c>
      <c r="AS30" s="6">
        <f>IF($B30="","",IFERROR(LOOKUP(2,1/((('Events 2'!$C$6:$C$17="State move")+('Events 2'!$C$6:$C$17="State cert change"))*('Events 2'!$B$6:$B$17&lt;=$B30)*('Events 2'!$B$6:$B$17&lt;&gt;"")),'Events 2'!$F$6:$F$17),'Inputs 2'!$C$23))</f>
      </c>
      <c r="AT30" s="6">
        <f>IF($B30="","",IFERROR(LOOKUP(2,1/((('Events 2'!$C$6:$C$17="State move")+('Events 2'!$C$6:$C$17="State cert change"))*('Events 2'!$B$6:$B$17&lt;=$B30)*('Events 2'!$B$6:$B$17&lt;&gt;"")),'Events 2'!$G$6:$G$17),'Inputs 2'!$C$24))</f>
      </c>
      <c r="AU30">
        <f>IF($B30="","",IFERROR(LOOKUP(2,1/(('Events 2'!$C$6:$C$17="State move")*('Events 2'!$B$6:$B$17&lt;=$B30)*('Events 2'!$B$6:$B$17&lt;&gt;"")),'Events 2'!$E$6:$E$17),'Inputs 2'!$C$22))</f>
      </c>
      <c r="AV30" s="6">
        <f>IF($B30="","",1+COUNTIFS('Events 2'!$C$6:$C$17,"Employer change",'Events 2'!$B$6:$B$17,"&lt;="&amp;$B30,'Events 2'!$B$6:$B$17,"&lt;&gt;"))</f>
      </c>
      <c r="AW30" s="7">
        <f>IF($B30="","",IF($AV30=1,'Inputs 2'!$C$49,IF(IFERROR(MATCH(IFERROR(LOOKUP(2,1/(('Events 2'!$C$6:$C$17="Employer change")*('Events 2'!$B$6:$B$17&lt;=$B30)*('Events 2'!$B$6:$B$17&lt;&gt;"")),'Events 2'!$B$6:$B$17),""),$B$6:$B$68,1),1)&lt;=1,'Inputs 2'!$C$49,INDEX($AB$6:$AB$68,MATCH(IFERROR(LOOKUP(2,1/(('Events 2'!$C$6:$C$17="Employer change")*('Events 2'!$B$6:$B$17&lt;=$B30)*('Events 2'!$B$6:$B$17&lt;&gt;"")),'Events 2'!$B$6:$B$17),""),$B$6:$B$68,1)-1))))</f>
      </c>
      <c r="AX30" s="7">
        <f>IF($B30="","",IF($AV30=1,'Inputs 2'!$C$49,IFERROR(LOOKUP(2,1/(('Events 2'!$C$6:$C$17="Employer change")*('Events 2'!$B$6:$B$17&lt;=$B30)*('Events 2'!$B$6:$B$17&lt;&gt;"")),'Events 2'!$D$6:$D$17),0)))</f>
      </c>
      <c r="AY30" s="7">
        <f>IF($B30="","",($O30-$D30)*'Inputs 2'!$C$8)</f>
      </c>
      <c r="AZ30" s="7">
        <f>IF($B30="","",IF($AN30="AL",MAX(0,$AY30-IF($AU30="Married",IF($AY30&lt;=25999,8500,MAX(5000,8500-175*CEILING(($AY30-25999)/500,1))),IF($AU30="Head of household",IF($AY30&lt;=25999,5200,MAX(2500,5200-135*CEILING(($AY30-25999)/500,1))),IF($AY30&lt;=25999,3000,MAX(2500,3000-25*CEILING(($AY30-25999)/500,1)))))-($P30-'Methodology &amp; Sources'!$C$10*$D30)*'Inputs 2'!$C$8-IF(OR($AU30="Married",$AU30="Head of household"),3000,1500)-$AT30*IF($AY30&lt;=50000,1000,IF($AY30&lt;=100000,500,300))),IF($AN30="AR",IF(MAX(0,$AY30-2470)&lt;97701,INT(MAX(0,$AY30-2470)/100)*100+50,MAX(0,$AY30-2470)),IF($AN30="DE",MAX(0,$AI30-3250),IF($AN30="HI",MAX(0,$AI30-1144*$AS30-4350),IF($AN30="KS",MAX(0,$AI30-(9160*IF($AU30="Married",2,1)+2320*$AT30+IF($AU30="Head of household",2320,0))),IF($AN30="MD",MAX(0,$AI30-3400-3200*$AS30),IF($AN30="MN",MAX(0,$AY30-5300*$AS30),IF($AN30="MO",MAX(0,$AI30-IF($AU30="Head of household",24150,IF($AU30="Married",IF('Inputs 2'!$C$83,16100,32200),16100))),IF($AN30="MT",$AY30,IF($AN30="ND",($C30+$L30)*'Inputs 2'!$C$8,IF($AN30="NE",MAX(0,$AY30-2440*$AS30),IF($AN30="NJ",MAX(0,$AY30-1000*$AS30),IF($AN30="NY",MAX(0,$AY30-(IF($AU30="Married",7950,7400)+1000*$AS30)),IF($AN30="OH",MAX(0,$AY30-650*$AS30),IF($AN30="OK",MAX(0,$AY30-1000*$AS30),IF($AN30="RI",MAX(0,$AI30-1000*$AS30),IF($AN30="SC",MAX(0,$AI30-5000*$AS30-IF($AS30=0,0,MIN(0.1*$AI30,7500))),IF($AN30="VA",MAX(0,$AI30-IF($AU30="Married",17500,8750)-930*$AS30-800*$AT30),IF($AN30="VT",MAX(0,$AI30-5400*$AS30),IF($AN30="WI",MAX(0,$AI30-MAX(0,IF($AU30="Married",9461-0.2*MAX(0,$AI30-25727),6702-0.12*MAX(0,$AI30-17780)))-400*$AS30),IF($AN30="WV",MAX(0,$AI30-2000*$AS30),$AI30))))))))))))))))))))))</f>
      </c>
      <c r="BA30" s="7">
        <f>IF($B30="","",IF($BW30&lt;&gt;"",$BW30,IF($BX30&lt;&gt;"",$BX30,IF($BY30&lt;&gt;"",$BY30,0))))</f>
      </c>
      <c r="BB30" s="7">
        <f>IF($B30="","",IF($AN30="AR",-29*$AS30,IF($AN30="DE",-110*$AS30,IF($AN30="MD",$AZ30*'Inputs 2'!$C$74,IF($AN30="AZ",'Inputs 2'!$C$82*($M30-$D30)*'Inputs 2'!$C$8,IF($AN30="CO",0.044*MAX(0,$AY30-IF($AU30="Married",10000,5000)),IF($AN30="IA",MAX(0,0.038*MAX(0,$AY30-IF($AU30="Head of household",19500,IF($AU30="Married",26000,13000)))-40*$AS30),IF($AN30="ID",0.053*MAX(0,$AY30-IF($AU30="Married",32000,16094)),IF($AN30="IL",0.0495*MAX(0,$AY30-(2925*$AS30+1000*$AT30)),IF($AN30="IN",(0.0295+'Inputs 2'!$C$76)*MAX(0,$AY30-(1000*$AS30+1500*$AT30+3000*'Inputs 2'!$C$86)),IF($AN30="KY",0.035*MAX(0,$AI30-3360),IF($AN30="LA",IF('Inputs 2'!$C$84="0",0.0309*$AI30,0.0309*MAX(0,$AI30-IF('Inputs 2'!$C$84="2",25750,12875))),IF($AN30="MA",0.05*MIN(MAX(0,$AY30-MIN(($BD29+$Q30+$R30+$S30),2000)-IF($AS30=0,0,IF($AS30=1,4400,1000*$AS30+3400))),1107750)+0.09*MAX(0,MAX(0,$AY30-MIN(($BD29+$Q30+$R30+$S30),2000)-IF($AS30=0,0,IF($AS30=1,4400,1000*$AS30+3400)))-1107750)-IF($AU30="Head of household",120,0)-110*'Inputs 2'!$C$75,IF($AN30="MI",0.0425*MAX(0,$AY30-5900*$AS30),IF($AN30="MS",0.04*MAX(0,$AI30-IF($AU30="Head of household",3400,IF($AU30="Married",4600,2300))-'Inputs 2'!$C$85-10000),IF($AN30="OR",IF(OR($AU30="Married",AND($AU30="Single",$AS30&gt;=3)),SUMPRODUCT((MAX(0,$AY30-MIN(($P30-'Methodology &amp; Sources'!$C$10*$D30)*'Inputs 2'!$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Sources'!$B$211:$J$214,0,4))*(MAX(0,$AY30-MIN(($P30-'Methodology &amp; Sources'!$C$10*$D30)*'Inputs 2'!$C$8,IF(OR($AU30="Married",AND($AU30="Single",$AS30&gt;=3)),IF($AY30&lt;250000,8750,IF($AY30&lt;260000,7000,IF($AY30&lt;270000,5250,IF($AY30&lt;280000,3500,IF($AY30&lt;290000,1750,0))))),IF($AY30&lt;125000,8750,IF($AY30&lt;130000,7000,IF($AY30&lt;135000,5250,IF($AY30&lt;140000,3500,IF($AY30&lt;145000,1750,0)))))))-IF(OR($AU30="Married",AND($AU30="Single",$AS30&gt;=3)),5820,2910))-INDEX('Methodology &amp; Sources'!$B$211:$J$214,0,4))*INDEX('Methodology &amp; Sources'!$B$211:$J$214,0,4+2)),SUMPRODUCT((MAX(0,$AY30-MIN(($P30-'Methodology &amp; Sources'!$C$10*$D30)*'Inputs 2'!$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Sources'!$B$211:$J$214,0,1))*(MAX(0,$AY30-MIN(($P30-'Methodology &amp; Sources'!$C$10*$D30)*'Inputs 2'!$C$8,IF(OR($AU30="Married",AND($AU30="Single",$AS30&gt;=3)),IF($AY30&lt;250000,8750,IF($AY30&lt;260000,7000,IF($AY30&lt;270000,5250,IF($AY30&lt;280000,3500,IF($AY30&lt;290000,1750,0))))),IF($AY30&lt;125000,8750,IF($AY30&lt;130000,7000,IF($AY30&lt;135000,5250,IF($AY30&lt;140000,3500,IF($AY30&lt;145000,1750,0)))))))-IF(OR($AU30="Married",AND($AU30="Single",$AS30&gt;=3)),5820,2910))-INDEX('Methodology &amp; Sources'!$B$211:$J$214,0,1))*INDEX('Methodology &amp; Sources'!$B$211:$J$214,0,1+2)))+263-263*IF(IF($AU30="Married",$AY30&gt;200000,$AY30&gt;100000),0,$AS30),IF($AN30="PA",0.0307*(($O30+$E30+$G30)*'Inputs 2'!$C$8),IF($AN30="NY",IF($AU30="Married",IF($AZ30&gt;=2155350,0,IF($AZ30&gt;=1077550,0.48,IF($AZ30&gt;=373200,1.21,IF($AZ30&gt;=323200,0.21,IF($AZ30&gt;=211550,-0.19,IF($AZ30&gt;=157650,-2.8,IF($AZ30&gt;=107650,-0.8,IF($AZ30&gt;=96800,0.05,IF($AZ30&gt;=80650,-0.1,IF($AZ30&gt;=13900,0.4,IF($AZ30&gt;=11700,-0.3,IF($AZ30&gt;=8500,0.5,0)))))))))))),IF($AZ30&gt;=1077550,0,IF($AZ30&gt;=265400,4.29,IF($AZ30&gt;=215400,2.29,IF($AZ30&gt;=157650,2.29,IF($AZ30&gt;=107650,0.29,IF($AZ30&gt;=96800,0.05,IF($AZ30&gt;=80650,-0.1,IF($AZ30&gt;=13900,0.4,IF($AZ30&gt;=11700,-0.3,IF($AZ30&gt;=8500,0.5,0))))))))))),0))))))))))))))))))</f>
      </c>
      <c r="BC30" s="7">
        <f>IF($B30="","",IF($AN30="AL",0.05*$D30,IF($AN30="AR",0.039*$D30,IF($AN30="ID",0.053*$D30,IF($AN30="IN",(0.0295+'Inputs 2'!$C$76)*$D30,IF($AN30="KS",0.05*$D30,IF($AN30="MA",0.09*MIN($D30,MAX(0,MAX(0,$AY30-MIN(($BD29+$Q30+$R30+$S30),2000)-IF($AS30=0,0,IF($AS30=1,4400,1000*$AS30+3400)))+$D30-1107750))+0.05*($D30-MIN($D30,MAX(0,MAX(0,$AY30-MIN(($BD29+$Q30+$R30+$S30),2000)-IF($AS30=0,0,IF($AS30=1,4400,1000*$AS30+3400)))+$D30-1107750))),IF($AN30="MD",(0.065+'Inputs 2'!$C$74)*$D30,IF($AN30="MI",0.0425*$D30,IF($AN30="MN",0.0625*$D30,IF($AN30="MO",0.047*$D30,IF($AN30="MT",0.05*$D30,IF($AN30="ND",0.015*$D30,IF($AN30="NE",0.035*$D30,IF($AN30="NJ",IF('Inputs 2'!$C$77="B",SUMPRODUCT(($D30*'Inputs 2'!$C$8&gt;INDEX('Methodology &amp; Sources'!$B$155:$J$162,0,4))*($D30*'Inputs 2'!$C$8-INDEX('Methodology &amp; Sources'!$B$155:$J$162,0,4))*INDEX('Methodology &amp; Sources'!$B$155:$J$162,0,4+2)),IF('Inputs 2'!$C$77="C",SUMPRODUCT(($D30*'Inputs 2'!$C$8&gt;INDEX('Methodology &amp; Sources'!$B$155:$J$162,0,7))*($D30*'Inputs 2'!$C$8-INDEX('Methodology &amp; Sources'!$B$155:$J$162,0,7))*INDEX('Methodology &amp; Sources'!$B$155:$J$162,0,7+2)),IF('Inputs 2'!$C$77="D",SUMPRODUCT(($D30*'Inputs 2'!$C$8&gt;INDEX('Methodology &amp; Sources'!$B$167:$J$179,0,1))*($D30*'Inputs 2'!$C$8-INDEX('Methodology &amp; Sources'!$B$167:$J$179,0,1))*INDEX('Methodology &amp; Sources'!$B$167:$J$179,0,1+2)),IF('Inputs 2'!$C$77="E",SUMPRODUCT(($D30*'Inputs 2'!$C$8&gt;INDEX('Methodology &amp; Sources'!$B$167:$J$179,0,4))*($D30*'Inputs 2'!$C$8-INDEX('Methodology &amp; Sources'!$B$167:$J$179,0,4))*INDEX('Methodology &amp; Sources'!$B$167:$J$179,0,4+2)),SUMPRODUCT(($D30*'Inputs 2'!$C$8&gt;INDEX('Methodology &amp; Sources'!$B$155:$J$162,0,1))*($D30*'Inputs 2'!$C$8-INDEX('Methodology &amp; Sources'!$B$155:$J$162,0,1))*INDEX('Methodology &amp; Sources'!$B$155:$J$162,0,1+2))))))/'Inputs 2'!$C$8,IF($AN30="NY",0.117*$D30,IF($AN30="OH",0.0275*$D30,IF($AN30="OK",0.045*$D30,IF($AN30="OR",0.08*$D30,IF($AN30="WI",IF($AY30&lt;12760,0.0354,IF($AY30&lt;25520,0.0465,IF($AY30&lt;280950,0.053,0.0765)))*$D30,0))))))))))))))))))))</f>
      </c>
      <c r="BD30" s="7">
        <f>IF($B30="","",$BD29+$Q30+$R30+$S30)</f>
      </c>
      <c r="BE30" s="6">
        <f>IF($B30="",$BE29,$BE29+$BF30)</f>
      </c>
      <c r="BF30" s="6">
        <f>IF($B30="","",IF(AND(IF(YEAR(IF('Inputs 2'!$C$7="Weekly",'Inputs 2'!$C$9+7*(($BE29+1)-1),IF('Inputs 2'!$C$7="Biweekly",'Inputs 2'!$C$9+14*(($BE29+1)-1),IF('Inputs 2'!$C$7="Semimonthly",DATE(YEAR('Inputs 2'!$C$9),MONTH('Inputs 2'!$C$9)+INT((($BE29+1)-1)/2),MIN(DAY('Inputs 2'!$C$9),DAY(EOMONTH(DATE(YEAR('Inputs 2'!$C$9),MONTH('Inputs 2'!$C$9)+INT((($BE29+1)-1)/2),1),0))))+IF(MOD(($BE29+1)-1,2)=1,15,0),EDATE('Inputs 2'!$C$9,($BE29+1)-1)))))&lt;&gt;'Inputs 2'!$C$10,"",IF('Inputs 2'!$C$7="Weekly",'Inputs 2'!$C$9+7*(($BE29+1)-1),IF('Inputs 2'!$C$7="Biweekly",'Inputs 2'!$C$9+14*(($BE29+1)-1),IF('Inputs 2'!$C$7="Semimonthly",DATE(YEAR('Inputs 2'!$C$9),MONTH('Inputs 2'!$C$9)+INT((($BE29+1)-1)/2),MIN(DAY('Inputs 2'!$C$9),DAY(EOMONTH(DATE(YEAR('Inputs 2'!$C$9),MONTH('Inputs 2'!$C$9)+INT((($BE29+1)-1)/2),1),0))))+IF(MOD(($BE29+1)-1,2)=1,15,0),EDATE('Inputs 2'!$C$9,($BE29+1)-1)))))&lt;&gt;"",$B30=IF(YEAR(IF('Inputs 2'!$C$7="Weekly",'Inputs 2'!$C$9+7*(($BE29+1)-1),IF('Inputs 2'!$C$7="Biweekly",'Inputs 2'!$C$9+14*(($BE29+1)-1),IF('Inputs 2'!$C$7="Semimonthly",DATE(YEAR('Inputs 2'!$C$9),MONTH('Inputs 2'!$C$9)+INT((($BE29+1)-1)/2),MIN(DAY('Inputs 2'!$C$9),DAY(EOMONTH(DATE(YEAR('Inputs 2'!$C$9),MONTH('Inputs 2'!$C$9)+INT((($BE29+1)-1)/2),1),0))))+IF(MOD(($BE29+1)-1,2)=1,15,0),EDATE('Inputs 2'!$C$9,($BE29+1)-1)))))&lt;&gt;'Inputs 2'!$C$10,"",IF('Inputs 2'!$C$7="Weekly",'Inputs 2'!$C$9+7*(($BE29+1)-1),IF('Inputs 2'!$C$7="Biweekly",'Inputs 2'!$C$9+14*(($BE29+1)-1),IF('Inputs 2'!$C$7="Semimonthly",DATE(YEAR('Inputs 2'!$C$9),MONTH('Inputs 2'!$C$9)+INT((($BE29+1)-1)/2),MIN(DAY('Inputs 2'!$C$9),DAY(EOMONTH(DATE(YEAR('Inputs 2'!$C$9),MONTH('Inputs 2'!$C$9)+INT((($BE29+1)-1)/2),1),0))))+IF(MOD(($BE29+1)-1,2)=1,15,0),EDATE('Inputs 2'!$C$9,($BE29+1)-1)))))),1,0))</f>
      </c>
      <c r="BG30" s="7">
        <f>IF($B30="","",$BG29+$H30)</f>
      </c>
      <c r="BH30" s="7">
        <f>IF($B30="","",$BH29+$I30)</f>
      </c>
      <c r="BI30" s="7">
        <f>IF($B30="","",$BI29+$G30)</f>
      </c>
      <c r="BJ30" s="7">
        <f>IF($B30="","",IFERROR(LOOKUP(2,1/(((('Events 2'!$C$6:$C$17="Deduction start"))*('Events 2'!$D$6:$D$17="Health FSA"))*('Events 2'!$B$6:$B$17&lt;=$B30)*('Events 2'!$B$6:$B$17&lt;&gt;"")),'Events 2'!$E$6:$E$17),'Inputs 2'!$D$38))</f>
      </c>
      <c r="BK30" s="7">
        <f>IF($B30="","",IFERROR(LOOKUP(2,1/(((('Events 2'!$C$6:$C$17="Deduction start"))*('Events 2'!$D$6:$D$17="Dependent-care FSA"))*('Events 2'!$B$6:$B$17&lt;=$B30)*('Events 2'!$B$6:$B$17&lt;&gt;"")),'Events 2'!$E$6:$E$17),'Inputs 2'!$D$39))</f>
      </c>
      <c r="BL30" s="7">
        <f>IF($B30="","",IFERROR(LOOKUP(2,1/(((('Events 2'!$C$6:$C$17="Deduction start")+('Events 2'!$C$6:$C$17="Deduction stop"))*('Events 2'!$D$6:$D$17="HSA"))*('Events 2'!$B$6:$B$17&lt;=$B30)*('Events 2'!$B$6:$B$17&lt;&gt;"")),'Events 2'!$I$6:$I$17),'Inputs 2'!$D$35))</f>
      </c>
      <c r="BM30" s="7">
        <f>IF($B30="","",IFERROR(LOOKUP(2,1/(((('Events 2'!$C$6:$C$17="Deduction start")+('Events 2'!$C$6:$C$17="Deduction stop"))*('Events 2'!$D$6:$D$17="Premiums"))*('Events 2'!$B$6:$B$17&lt;=$B30)*('Events 2'!$B$6:$B$17&lt;&gt;"")),'Events 2'!$I$6:$I$17),'Inputs 2'!$D$40+'Inputs 2'!$D$41+'Inputs 2'!$D$42))</f>
      </c>
      <c r="BN30" s="7">
        <f>IF($B30="","",IFERROR(LOOKUP(2,1/(((('Events 2'!$C$6:$C$17="Deduction start")+('Events 2'!$C$6:$C$17="Deduction stop"))*('Events 2'!$D$6:$D$17="Commuter"))*('Events 2'!$B$6:$B$17&lt;=$B30)*('Events 2'!$B$6:$B$17&lt;&gt;"")),'Events 2'!$I$6:$I$17),'Inputs 2'!$D$43))</f>
      </c>
      <c r="BO30" s="7">
        <f>IF($B30="","",IFERROR(LOOKUP(2,1/(((('Events 2'!$C$6:$C$17="Deduction start")+('Events 2'!$C$6:$C$17="Deduction stop"))*('Events 2'!$D$6:$D$17="Other pre-tax"))*('Events 2'!$B$6:$B$17&lt;=$B30)*('Events 2'!$B$6:$B$17&lt;&gt;"")),'Events 2'!$I$6:$I$17),'Inputs 2'!$D$44))</f>
      </c>
      <c r="BP30" s="7">
        <f>IF($B30="","",IFERROR(LOOKUP(2,1/(((('Events 2'!$C$6:$C$17="Deduction start")+('Events 2'!$C$6:$C$17="Deduction stop"))*('Events 2'!$D$6:$D$17="Other post-tax"))*('Events 2'!$B$6:$B$17&lt;=$B30)*('Events 2'!$B$6:$B$17&lt;&gt;"")),'Events 2'!$I$6:$I$17),'Inputs 2'!$D$45))</f>
      </c>
      <c r="BQ30" s="6">
        <f>IF($B30="","",IFERROR(LOOKUP(2,1/(((('Events 2'!$C$6:$C$17="Deduction start")+('Events 2'!$C$6:$C$17="Deduction stop"))*('Events 2'!$D$6:$D$17="Health FSA"))*('Events 2'!$B$6:$B$17&lt;=$B30)*('Events 2'!$B$6:$B$17&lt;&gt;"")),'Events 2'!$J$6:$J$17),0))</f>
      </c>
      <c r="BR30" s="6">
        <f>IF($B30="","",IFERROR(LOOKUP(2,1/(((('Events 2'!$C$6:$C$17="Deduction start")+('Events 2'!$C$6:$C$17="Deduction stop"))*('Events 2'!$D$6:$D$17="Dependent-care FSA"))*('Events 2'!$B$6:$B$17&lt;=$B30)*('Events 2'!$B$6:$B$17&lt;&gt;"")),'Events 2'!$J$6:$J$17),0))</f>
      </c>
      <c r="BS30" s="6">
        <f>IF($B30="","",IF(SUMPRODUCT(('Events 2'!$C$6:$C$17="Deduction start")*('Events 2'!$B$6:$B$17&lt;=$B30)*('Events 2'!$B$6:$B$17&lt;&gt;"")*('Events 2'!$D$6:$D$17="Health FSA"))&gt;0,1,0))</f>
      </c>
      <c r="BT30" s="6">
        <f>IF($B30="","",IF(SUMPRODUCT(('Events 2'!$C$6:$C$17="Deduction start")*('Events 2'!$B$6:$B$17&lt;=$B30)*('Events 2'!$B$6:$B$17&lt;&gt;"")*('Events 2'!$D$6:$D$17="Dependent-care FSA"))&gt;0,1,0))</f>
      </c>
      <c r="BU30" s="24">
        <f>IF($B30="","",IF('Inputs 2'!$C$13,SUMPRODUCT(($AH30&gt;=INDEX('Methodology &amp; Sources'!$B$29:$J$36,0,IF('Inputs 2'!$C$12="MFJ",1,IF('Inputs 2'!$C$12="HoH",7,4))))*INDEX('Methodology &amp; Sources'!$B$29:$J$36,0,IF('Inputs 2'!$C$12="MFJ",1,IF('Inputs 2'!$C$12="HoH",7,4))+2)),SUMPRODUCT(($AH30&gt;=INDEX('Methodology &amp; Sources'!$B$19:$J$26,0,IF('Inputs 2'!$C$12="MFJ",1,IF('Inputs 2'!$C$12="HoH",7,4))))*INDEX('Methodology &amp; Sources'!$B$19:$J$26,0,IF('Inputs 2'!$C$12="MFJ",1,IF('Inputs 2'!$C$12="HoH",7,4))+2))))</f>
      </c>
      <c r="BV30" s="24">
        <f>IF($B30="","",IF($BZ30&lt;&gt;"",$BZ30,IF($CA30&lt;&gt;"",$CA30,IF($CB30&lt;&gt;"",$CB30,IF($CC30&lt;&gt;"",$CC30,0)))))</f>
      </c>
      <c r="BW30" s="7">
        <f>IF($B30="","",IF($AN30="MD",IF(OR($AU30="Married",$AU30="Head of household"),SUMPRODUCT(($AZ30&gt;INDEX('Methodology &amp; Sources'!$B$114:$J$120,0,1))*($AZ30-INDEX('Methodology &amp; Sources'!$B$114:$J$120,0,1))*INDEX('Methodology &amp; Sources'!$B$114:$J$120,0,1+2)),SUMPRODUCT(($AZ30&gt;INDEX('Methodology &amp; Sources'!$B$103:$J$109,0,7))*($AZ30-INDEX('Methodology &amp; Sources'!$B$103:$J$109,0,7))*INDEX('Methodology &amp; Sources'!$B$103:$J$109,0,7+2))),IF($AN30="MO",SUMPRODUCT(($AZ30&gt;INDEX('Methodology &amp; Sources'!$B$125:$J$132,0,1))*($AZ30-INDEX('Methodology &amp; Sources'!$B$125:$J$132,0,1))*INDEX('Methodology &amp; Sources'!$B$125:$J$132,0,1+2)),IF($AN30="MT",IF($AU30="Head of household",SUMPRODUCT(($AZ30&gt;INDEX('Methodology &amp; Sources'!$B$137:$J$139,0,1))*($AZ30-INDEX('Methodology &amp; Sources'!$B$137:$J$139,0,1))*INDEX('Methodology &amp; Sources'!$B$137:$J$139,0,1+2)),IF($AU30="Married",SUMPRODUCT(($AZ30&gt;INDEX('Methodology &amp; Sources'!$B$125:$J$132,0,7))*($AZ30-INDEX('Methodology &amp; Sources'!$B$125:$J$132,0,7))*INDEX('Methodology &amp; Sources'!$B$125:$J$132,0,7+2)),SUMPRODUCT(($AZ30&gt;INDEX('Methodology &amp; Sources'!$B$125:$J$132,0,4))*($AZ30-INDEX('Methodology &amp; Sources'!$B$125:$J$132,0,4))*INDEX('Methodology &amp; Sources'!$B$125:$J$132,0,4+2)))),IF($AN30="ND",IF($AU30="Head of household",SUMPRODUCT(($AZ30&gt;INDEX('Methodology &amp; Sources'!$B$144:$J$150,0,1))*($AZ30-INDEX('Methodology &amp; Sources'!$B$144:$J$150,0,1))*INDEX('Methodology &amp; Sources'!$B$144:$J$150,0,1+2)),IF($AU30="Married",SUMPRODUCT(($AZ30&gt;INDEX('Methodology &amp; Sources'!$B$137:$J$139,0,7))*($AZ30-INDEX('Methodology &amp; Sources'!$B$137:$J$139,0,7))*INDEX('Methodology &amp; Sources'!$B$137:$J$139,0,7+2)),SUMPRODUCT(($AZ30&gt;INDEX('Methodology &amp; Sources'!$B$137:$J$139,0,4))*($AZ30-INDEX('Methodology &amp; Sources'!$B$137:$J$139,0,4))*INDEX('Methodology &amp; Sources'!$B$137:$J$139,0,4+2)))),IF($AN30="NJ",IF('Inputs 2'!$C$77="B",SUMPRODUCT(($AZ30&gt;INDEX('Methodology &amp; Sources'!$B$155:$J$162,0,4))*($AZ30-INDEX('Methodology &amp; Sources'!$B$155:$J$162,0,4))*INDEX('Methodology &amp; Sources'!$B$155:$J$162,0,4+2)),IF('Inputs 2'!$C$77="C",SUMPRODUCT(($AZ30&gt;INDEX('Methodology &amp; Sources'!$B$155:$J$162,0,7))*($AZ30-INDEX('Methodology &amp; Sources'!$B$155:$J$162,0,7))*INDEX('Methodology &amp; Sources'!$B$155:$J$162,0,7+2)),IF('Inputs 2'!$C$77="D",SUMPRODUCT(($AZ30&gt;INDEX('Methodology &amp; Sources'!$B$167:$J$179,0,1))*($AZ30-INDEX('Methodology &amp; Sources'!$B$167:$J$179,0,1))*INDEX('Methodology &amp; Sources'!$B$167:$J$179,0,1+2)),IF('Inputs 2'!$C$77="E",SUMPRODUCT(($AZ30&gt;INDEX('Methodology &amp; Sources'!$B$167:$J$179,0,4))*($AZ30-INDEX('Methodology &amp; Sources'!$B$167:$J$179,0,4))*INDEX('Methodology &amp; Sources'!$B$167:$J$179,0,4+2)),SUMPRODUCT(($AZ30&gt;INDEX('Methodology &amp; Sources'!$B$155:$J$162,0,1))*($AZ30-INDEX('Methodology &amp; Sources'!$B$155:$J$162,0,1))*INDEX('Methodology &amp; Sources'!$B$155:$J$162,0,1+2)))))),IF($AN30="NY",IF($AU30="Married",IF($AZ30&gt;=2155350,$AZ30*IF($AZ30&gt;25000000,0.117,IF($AZ30&gt;5000000,0.111,0.1045)),SUMPRODUCT(($AZ30&gt;INDEX('Methodology &amp; Sources'!$B$184:$J$198,0,1))*($AZ30-INDEX('Methodology &amp; Sources'!$B$184:$J$198,0,1))*INDEX('Methodology &amp; Sources'!$B$184:$J$198,0,1+2))),IF($AZ30&gt;=1077550,$AZ30*IF($AZ30&gt;25000000,0.117,IF($AZ30&gt;5000000,0.111,0.1045)),SUMPRODUCT(($AZ30&gt;INDEX('Methodology &amp; Sources'!$B$167:$J$179,0,7))*($AZ30-INDEX('Methodology &amp; Sources'!$B$167:$J$179,0,7))*INDEX('Methodology &amp; Sources'!$B$167:$J$179,0,7+2)))),"")))))))</f>
      </c>
      <c r="BX30" s="7">
        <f>IF($B30="","",IF($AN30="AL",IF(OR($AU30="Married",$AU30="Head of household"),SUMPRODUCT(($AZ30&gt;INDEX('Methodology &amp; Sources'!$B$82:$J$86,0,4))*($AZ30-INDEX('Methodology &amp; Sources'!$B$82:$J$86,0,4))*INDEX('Methodology &amp; Sources'!$B$82:$J$86,0,4+2)),SUMPRODUCT(($AZ30&gt;INDEX('Methodology &amp; Sources'!$B$82:$J$86,0,1))*($AZ30-INDEX('Methodology &amp; Sources'!$B$82:$J$86,0,1))*INDEX('Methodology &amp; Sources'!$B$82:$J$86,0,1+2))),IF($AN30="KS",IF($AU30="Married",SUMPRODUCT(($AZ30&gt;INDEX('Methodology &amp; Sources'!$B$103:$J$109,0,4))*($AZ30-INDEX('Methodology &amp; Sources'!$B$103:$J$109,0,4))*INDEX('Methodology &amp; Sources'!$B$103:$J$109,0,4+2)),SUMPRODUCT(($AZ30&gt;INDEX('Methodology &amp; Sources'!$B$103:$J$109,0,1))*($AZ30-INDEX('Methodology &amp; Sources'!$B$103:$J$109,0,1))*INDEX('Methodology &amp; Sources'!$B$103:$J$109,0,1+2))),IF($AN30="MN",IF($AU30="Married",SUMPRODUCT(($AZ30&gt;INDEX('Methodology &amp; Sources'!$B$114:$J$120,0,7))*($AZ30-INDEX('Methodology &amp; Sources'!$B$114:$J$120,0,7))*INDEX('Methodology &amp; Sources'!$B$114:$J$120,0,7+2)),SUMPRODUCT(($AZ30&gt;INDEX('Methodology &amp; Sources'!$B$114:$J$120,0,4))*($AZ30-INDEX('Methodology &amp; Sources'!$B$114:$J$120,0,4))*INDEX('Methodology &amp; Sources'!$B$114:$J$120,0,4+2))),IF($AN30="NE",MAX(IF($AU30="Married",SUMPRODUCT(($AZ30&gt;INDEX('Methodology &amp; Sources'!$B$144:$J$150,0,7))*($AZ30-INDEX('Methodology &amp; Sources'!$B$144:$J$150,0,7))*INDEX('Methodology &amp; Sources'!$B$144:$J$150,0,7+2)),SUMPRODUCT(($AZ30&gt;INDEX('Methodology &amp; Sources'!$B$144:$J$150,0,4))*($AZ30-INDEX('Methodology &amp; Sources'!$B$144:$J$150,0,4))*INDEX('Methodology &amp; Sources'!$B$144:$J$150,0,4+2))),0.015*$AZ30),IF($AN30="OH",IF($B30&gt;=DATE(2027,8,1),SUMPRODUCT(($AZ30&gt;INDEX('Methodology &amp; Sources'!$B$203:$J$206,0,1))*($AZ30-INDEX('Methodology &amp; Sources'!$B$203:$J$206,0,1))*INDEX('Methodology &amp; Sources'!$B$203:$J$206,0,1+2)),SUMPRODUCT(($AZ30&gt;INDEX('Methodology &amp; Sources'!$B$184:$J$198,0,7))*($AZ30-INDEX('Methodology &amp; Sources'!$B$184:$J$198,0,7))*INDEX('Methodology &amp; Sources'!$B$184:$J$198,0,7+2))),IF($AN30="OK",IF($AU30="Married",SUMPRODUCT(($AZ30&gt;INDEX('Methodology &amp; Sources'!$B$203:$J$206,0,7))*($AZ30-INDEX('Methodology &amp; Sources'!$B$203:$J$206,0,7))*INDEX('Methodology &amp; Sources'!$B$203:$J$206,0,7+2)),SUMPRODUCT(($AZ30&gt;INDEX('Methodology &amp; Sources'!$B$203:$J$206,0,4))*($AZ30-INDEX('Methodology &amp; Sources'!$B$203:$J$206,0,4))*INDEX('Methodology &amp; Sources'!$B$203:$J$206,0,4+2))),IF($AN30="RI",SUMPRODUCT(($AZ30&gt;INDEX('Methodology &amp; Sources'!$B$211:$J$214,0,7))*($AZ30-INDEX('Methodology &amp; Sources'!$B$211:$J$214,0,7))*INDEX('Methodology &amp; Sources'!$B$211:$J$214,0,7+2)),IF($AN30="VT",IF($AU30="Married",SUMPRODUCT(($AZ30&gt;INDEX('Methodology &amp; Sources'!$B$228:$J$232,0,1))*($AZ30-INDEX('Methodology &amp; Sources'!$B$228:$J$232,0,1))*INDEX('Methodology &amp; Sources'!$B$228:$J$232,0,1+2)),SUMPRODUCT(($AZ30&gt;INDEX('Methodology &amp; Sources'!$B$219:$J$223,0,7))*($AZ30-INDEX('Methodology &amp; Sources'!$B$219:$J$223,0,7))*INDEX('Methodology &amp; Sources'!$B$219:$J$223,0,7+2))),IF($AN30="WV",IF($AU30="Married",SUMPRODUCT(($AZ30&gt;INDEX('Methodology &amp; Sources'!$B$237:$J$241,0,7))*($AZ30-INDEX('Methodology &amp; Sources'!$B$237:$J$241,0,7))*INDEX('Methodology &amp; Sources'!$B$237:$J$241,0,7+2)),SUMPRODUCT(($AZ30&gt;INDEX('Methodology &amp; Sources'!$B$228:$J$232,0,7))*($AZ30-INDEX('Methodology &amp; Sources'!$B$228:$J$232,0,7))*INDEX('Methodology &amp; Sources'!$B$228:$J$232,0,7+2))),""))))))))))</f>
      </c>
      <c r="BY30" s="7">
        <f>IF($B30="","",IF($AN30="AR",SUMPRODUCT(($AZ30&gt;INDEX('Methodology &amp; Sources'!$B$82:$J$86,0,7))*($AZ30-INDEX('Methodology &amp; Sources'!$B$82:$J$86,0,7))*INDEX('Methodology &amp; Sources'!$B$82:$J$86,0,7+2)),IF($AN30="DE",SUMPRODUCT(($AZ30&gt;INDEX('Methodology &amp; Sources'!$B$91:$J$98,0,1))*($AZ30-INDEX('Methodology &amp; Sources'!$B$91:$J$98,0,1))*INDEX('Methodology &amp; Sources'!$B$91:$J$98,0,1+2)),IF($AN30="HI",IF($AU30="Married",SUMPRODUCT(($AZ30&gt;INDEX('Methodology &amp; Sources'!$B$91:$J$98,0,7))*($AZ30-INDEX('Methodology &amp; Sources'!$B$91:$J$98,0,7))*INDEX('Methodology &amp; Sources'!$B$91:$J$98,0,7+2)),SUMPRODUCT(($AZ30&gt;INDEX('Methodology &amp; Sources'!$B$91:$J$98,0,4))*($AZ30-INDEX('Methodology &amp; Sources'!$B$91:$J$98,0,4))*INDEX('Methodology &amp; Sources'!$B$91:$J$98,0,4+2))),IF($AN30="SC",SUMPRODUCT(($AZ30&gt;INDEX('Methodology &amp; Sources'!$B$219:$J$223,0,1))*($AZ30-INDEX('Methodology &amp; Sources'!$B$219:$J$223,0,1))*INDEX('Methodology &amp; Sources'!$B$219:$J$223,0,1+2)),IF($AN30="VA",SUMPRODUCT(($AZ30&gt;INDEX('Methodology &amp; Sources'!$B$219:$J$223,0,4))*($AZ30-INDEX('Methodology &amp; Sources'!$B$219:$J$223,0,4))*INDEX('Methodology &amp; Sources'!$B$219:$J$223,0,4+2)),IF($AN30="WI",SUMPRODUCT(($AZ30&gt;INDEX('Methodology &amp; Sources'!$B$228:$J$232,0,4))*($AZ30-INDEX('Methodology &amp; Sources'!$B$228:$J$232,0,4))*INDEX('Methodology &amp; Sources'!$B$228:$J$232,0,4+2)),"")))))))</f>
      </c>
      <c r="BZ30" s="24">
        <f>IF($B30="","",IF($AN30="NJ",IF('Inputs 2'!$C$77="B",SUMPRODUCT(($AZ30&gt;=INDEX('Methodology &amp; Sources'!$B$155:$J$162,0,4))*INDEX('Methodology &amp; Sources'!$B$155:$J$162,0,4+2)),IF('Inputs 2'!$C$77="C",SUMPRODUCT(($AZ30&gt;=INDEX('Methodology &amp; Sources'!$B$155:$J$162,0,7))*INDEX('Methodology &amp; Sources'!$B$155:$J$162,0,7+2)),IF('Inputs 2'!$C$77="D",SUMPRODUCT(($AZ30&gt;=INDEX('Methodology &amp; Sources'!$B$167:$J$179,0,1))*INDEX('Methodology &amp; Sources'!$B$167:$J$179,0,1+2)),IF('Inputs 2'!$C$77="E",SUMPRODUCT(($AZ30&gt;=INDEX('Methodology &amp; Sources'!$B$167:$J$179,0,4))*INDEX('Methodology &amp; Sources'!$B$167:$J$179,0,4+2)),SUMPRODUCT(($AZ30&gt;=INDEX('Methodology &amp; Sources'!$B$155:$J$162,0,1))*INDEX('Methodology &amp; Sources'!$B$155:$J$162,0,1+2)))))),IF($AN30="OR",IF(OR($AU30="Married",AND($AU30="Single",$AS30&gt;=3)),SUMPRODUCT((MAX(0,$AY30-MIN(($P30-'Methodology &amp; Sources'!$C$10*$D30)*'Inputs 2'!$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Sources'!$B$211:$J$214,0,4))*INDEX('Methodology &amp; Sources'!$B$211:$J$214,0,4+2)),SUMPRODUCT((MAX(0,$AY30-MIN(($P30-'Methodology &amp; Sources'!$C$10*$D30)*'Inputs 2'!$C$8,IF(OR($AU30="Married",AND($AU30="Single",$AS30&gt;=3)),IF($AY30&lt;250000,8750,IF($AY30&lt;260000,7000,IF($AY30&lt;270000,5250,IF($AY30&lt;280000,3500,IF($AY30&lt;290000,1750,0))))),IF($AY30&lt;125000,8750,IF($AY30&lt;130000,7000,IF($AY30&lt;135000,5250,IF($AY30&lt;140000,3500,IF($AY30&lt;145000,1750,0)))))))-IF(OR($AU30="Married",AND($AU30="Single",$AS30&gt;=3)),5820,2910))&gt;=INDEX('Methodology &amp; Sources'!$B$211:$J$214,0,1))*INDEX('Methodology &amp; Sources'!$B$211:$J$214,0,1+2)))*IF(($P30-'Methodology &amp; Sources'!$C$10*$D30)*'Inputs 2'!$C$8&gt;=IF(OR($AU30="Married",AND($AU30="Single",$AS30&gt;=3)),IF($AY30&lt;250000,8750,IF($AY30&lt;260000,7000,IF($AY30&lt;270000,5250,IF($AY30&lt;280000,3500,IF($AY30&lt;290000,1750,0))))),IF($AY30&lt;125000,8750,IF($AY30&lt;130000,7000,IF($AY30&lt;135000,5250,IF($AY30&lt;140000,3500,IF($AY30&lt;145000,1750,0)))))),1,1-IF('Inputs 2'!$C$13,SUMPRODUCT(($AH30&gt;=INDEX('Methodology &amp; Sources'!$B$29:$J$36,0,IF('Inputs 2'!$C$12="MFJ",1,IF('Inputs 2'!$C$12="HoH",7,4))))*INDEX('Methodology &amp; Sources'!$B$29:$J$36,0,IF('Inputs 2'!$C$12="MFJ",1,IF('Inputs 2'!$C$12="HoH",7,4))+2)),SUMPRODUCT(($AH30&gt;=INDEX('Methodology &amp; Sources'!$B$19:$J$26,0,IF('Inputs 2'!$C$12="MFJ",1,IF('Inputs 2'!$C$12="HoH",7,4))))*INDEX('Methodology &amp; Sources'!$B$19:$J$26,0,IF('Inputs 2'!$C$12="MFJ",1,IF('Inputs 2'!$C$12="HoH",7,4))+2)))),IF($AN30="MI",IF($AY30&gt;5900*$AS30,0.0425,0),""))))</f>
      </c>
      <c r="CA30" s="24">
        <f>IF($B30="","",IF($AN30="AL",IF(OR($AU30="Married",$AU30="Head of household"),SUMPRODUCT(($AZ30&gt;=INDEX('Methodology &amp; Sources'!$B$82:$J$86,0,4))*INDEX('Methodology &amp; Sources'!$B$82:$J$86,0,4+2)),SUMPRODUCT(($AZ30&gt;=INDEX('Methodology &amp; Sources'!$B$82:$J$86,0,1))*INDEX('Methodology &amp; Sources'!$B$82:$J$86,0,1+2)))*(1-IF('Inputs 2'!$C$13,SUMPRODUCT(($AH30&gt;=INDEX('Methodology &amp; Sources'!$B$29:$J$36,0,IF('Inputs 2'!$C$12="MFJ",1,IF('Inputs 2'!$C$12="HoH",7,4))))*INDEX('Methodology &amp; Sources'!$B$29:$J$36,0,IF('Inputs 2'!$C$12="MFJ",1,IF('Inputs 2'!$C$12="HoH",7,4))+2)),SUMPRODUCT(($AH30&gt;=INDEX('Methodology &amp; Sources'!$B$19:$J$26,0,IF('Inputs 2'!$C$12="MFJ",1,IF('Inputs 2'!$C$12="HoH",7,4))))*INDEX('Methodology &amp; Sources'!$B$19:$J$26,0,IF('Inputs 2'!$C$12="MFJ",1,IF('Inputs 2'!$C$12="HoH",7,4))+2)))),IF($AN30="KS",IF($AU30="Married",SUMPRODUCT(($AZ30&gt;=INDEX('Methodology &amp; Sources'!$B$103:$J$109,0,4))*INDEX('Methodology &amp; Sources'!$B$103:$J$109,0,4+2)),SUMPRODUCT(($AZ30&gt;=INDEX('Methodology &amp; Sources'!$B$103:$J$109,0,1))*INDEX('Methodology &amp; Sources'!$B$103:$J$109,0,1+2))),IF($AN30="MD",IF(OR($AU30="Married",$AU30="Head of household"),SUMPRODUCT(($AZ30&gt;=INDEX('Methodology &amp; Sources'!$B$114:$J$120,0,1))*INDEX('Methodology &amp; Sources'!$B$114:$J$120,0,1+2)),SUMPRODUCT(($AZ30&gt;=INDEX('Methodology &amp; Sources'!$B$103:$J$109,0,7))*INDEX('Methodology &amp; Sources'!$B$103:$J$109,0,7+2)))+'Inputs 2'!$C$74,IF($AN30="MT",IF($AU30="Head of household",SUMPRODUCT(($AZ30&gt;=INDEX('Methodology &amp; Sources'!$B$137:$J$139,0,1))*INDEX('Methodology &amp; Sources'!$B$137:$J$139,0,1+2)),IF($AU30="Married",SUMPRODUCT(($AZ30&gt;=INDEX('Methodology &amp; Sources'!$B$125:$J$132,0,7))*INDEX('Methodology &amp; Sources'!$B$125:$J$132,0,7+2)),SUMPRODUCT(($AZ30&gt;=INDEX('Methodology &amp; Sources'!$B$125:$J$132,0,4))*INDEX('Methodology &amp; Sources'!$B$125:$J$132,0,4+2)))),IF($AN30="ND",IF($AU30="Head of household",SUMPRODUCT(($AZ30&gt;=INDEX('Methodology &amp; Sources'!$B$144:$J$150,0,1))*INDEX('Methodology &amp; Sources'!$B$144:$J$150,0,1+2)),IF($AU30="Married",SUMPRODUCT(($AZ30&gt;=INDEX('Methodology &amp; Sources'!$B$137:$J$139,0,7))*INDEX('Methodology &amp; Sources'!$B$137:$J$139,0,7+2)),SUMPRODUCT(($AZ30&gt;=INDEX('Methodology &amp; Sources'!$B$137:$J$139,0,4))*INDEX('Methodology &amp; Sources'!$B$137:$J$139,0,4+2)))),IF($AN30="NY",IF($AU30="Married",IF($AZ30&gt;=2155350,IF($AZ30&gt;25000000,0.117,IF($AZ30&gt;5000000,0.111,0.1045)),SUMPRODUCT(($AZ30&gt;=INDEX('Methodology &amp; Sources'!$B$184:$J$198,0,1))*INDEX('Methodology &amp; Sources'!$B$184:$J$198,0,1+2))),IF($AZ30&gt;=1077550,IF($AZ30&gt;25000000,0.117,IF($AZ30&gt;5000000,0.111,0.1045)),SUMPRODUCT(($AZ30&gt;=INDEX('Methodology &amp; Sources'!$B$167:$J$179,0,7))*INDEX('Methodology &amp; Sources'!$B$167:$J$179,0,7+2)))),"")))))))</f>
      </c>
      <c r="CB30" s="24">
        <f>IF($B30="","",IF($AN30="CA",SUMPRODUCT(($AJ30&gt;=INDEX('Methodology &amp; Sources'!$B$39:$J$48,0,IF($AU30="Married",4,IF($AU30="Head of household",7,1))))*INDEX('Methodology &amp; Sources'!$B$39:$J$48,0,IF($AU30="Married",4,IF($AU30="Head of household",7,1))+2)),IF($AN30="HI",IF($AU30="Married",SUMPRODUCT(($AZ30&gt;=INDEX('Methodology &amp; Sources'!$B$91:$J$98,0,7))*INDEX('Methodology &amp; Sources'!$B$91:$J$98,0,7+2)),SUMPRODUCT(($AZ30&gt;=INDEX('Methodology &amp; Sources'!$B$91:$J$98,0,4))*INDEX('Methodology &amp; Sources'!$B$91:$J$98,0,4+2))),IF($AN30="MN",IF($AU30="Married",SUMPRODUCT(($AZ30&gt;=INDEX('Methodology &amp; Sources'!$B$114:$J$120,0,7))*INDEX('Methodology &amp; Sources'!$B$114:$J$120,0,7+2)),SUMPRODUCT(($AZ30&gt;=INDEX('Methodology &amp; Sources'!$B$114:$J$120,0,4))*INDEX('Methodology &amp; Sources'!$B$114:$J$120,0,4+2))),IF($AN30="MO",SUMPRODUCT(($AZ30&gt;=INDEX('Methodology &amp; Sources'!$B$125:$J$132,0,1))*INDEX('Methodology &amp; Sources'!$B$125:$J$132,0,1+2)),IF($AN30="NE",MAX(IF($AU30="Married",SUMPRODUCT(($AZ30&gt;=INDEX('Methodology &amp; Sources'!$B$144:$J$150,0,7))*INDEX('Methodology &amp; Sources'!$B$144:$J$150,0,7+2)),SUMPRODUCT(($AZ30&gt;=INDEX('Methodology &amp; Sources'!$B$144:$J$150,0,4))*INDEX('Methodology &amp; Sources'!$B$144:$J$150,0,4+2))),0.015),IF($AN30="OH",IF($B30&gt;=DATE(2027,8,1),SUMPRODUCT(($AZ30&gt;=INDEX('Methodology &amp; Sources'!$B$203:$J$206,0,1))*INDEX('Methodology &amp; Sources'!$B$203:$J$206,0,1+2)),SUMPRODUCT(($AZ30&gt;=INDEX('Methodology &amp; Sources'!$B$184:$J$198,0,7))*INDEX('Methodology &amp; Sources'!$B$184:$J$198,0,7+2))),IF($AN30="OK",IF($AU30="Married",SUMPRODUCT(($AZ30&gt;=INDEX('Methodology &amp; Sources'!$B$203:$J$206,0,7))*INDEX('Methodology &amp; Sources'!$B$203:$J$206,0,7+2)),SUMPRODUCT(($AZ30&gt;=INDEX('Methodology &amp; Sources'!$B$203:$J$206,0,4))*INDEX('Methodology &amp; Sources'!$B$203:$J$206,0,4+2))),IF($AN30="RI",SUMPRODUCT(($AZ30&gt;=INDEX('Methodology &amp; Sources'!$B$211:$J$214,0,7))*INDEX('Methodology &amp; Sources'!$B$211:$J$214,0,7+2)),IF($AN30="SC",SUMPRODUCT(($AZ30&gt;=INDEX('Methodology &amp; Sources'!$B$219:$J$223,0,1))*INDEX('Methodology &amp; Sources'!$B$219:$J$223,0,1+2)),IF($AN30="VT",IF($AU30="Married",SUMPRODUCT(($AZ30&gt;=INDEX('Methodology &amp; Sources'!$B$228:$J$232,0,1))*INDEX('Methodology &amp; Sources'!$B$228:$J$232,0,1+2)),SUMPRODUCT(($AZ30&gt;=INDEX('Methodology &amp; Sources'!$B$219:$J$223,0,7))*INDEX('Methodology &amp; Sources'!$B$219:$J$223,0,7+2))),IF($AN30="WV",IF($AU30="Married",SUMPRODUCT(($AZ30&gt;=INDEX('Methodology &amp; Sources'!$B$237:$J$241,0,7))*INDEX('Methodology &amp; Sources'!$B$237:$J$241,0,7+2)),SUMPRODUCT(($AZ30&gt;=INDEX('Methodology &amp; Sources'!$B$228:$J$232,0,7))*INDEX('Methodology &amp; Sources'!$B$228:$J$232,0,7+2))),IF($AN30="IN",(0.0295+'Inputs 2'!$C$76),"")))))))))))))</f>
      </c>
      <c r="CC30" s="24">
        <f>IF($B30="","",IF($AN30="AR",SUMPRODUCT(($AZ30&gt;=INDEX('Methodology &amp; Sources'!$B$82:$J$86,0,7))*INDEX('Methodology &amp; Sources'!$B$82:$J$86,0,7+2)),IF($AN30="DE",SUMPRODUCT(($AZ30&gt;=INDEX('Methodology &amp; Sources'!$B$91:$J$98,0,1))*INDEX('Methodology &amp; Sources'!$B$91:$J$98,0,1+2)),IF($AN30="VA",SUMPRODUCT(($AZ30&gt;=INDEX('Methodology &amp; Sources'!$B$219:$J$223,0,4))*INDEX('Methodology &amp; Sources'!$B$219:$J$223,0,4+2)),IF($AN30="WI",SUMPRODUCT(($AZ30&gt;=INDEX('Methodology &amp; Sources'!$B$228:$J$232,0,4))*INDEX('Methodology &amp; Sources'!$B$228:$J$232,0,4+2)),IF($AN30="AZ",'Inputs 2'!$C$82,IF($AN30="CO",IF($AY30&gt;IF($AU30="Married",10000,5000),0.044,0),IF($AN30="IA",IF($AY30&gt;IF($AU30="Head of household",19500,IF($AU30="Married",26000,13000)),0.038,0),IF($AN30="ID",IF($AY30&gt;IF($AU30="Married",32000,16094),0.053,0),IF($AN30="IL",IF($AY30&gt;(2925*$AS30+1000*$AT30),0.0495,0),IF($AN30="KY",IF($AI30&gt;3360,0.035,0),IF($AN30="LA",0.0309,IF($AN30="MA",IF(MAX(0,$AY30-MIN(($BD29+$Q30+$R30+$S30),2000)-IF($AS30=0,0,IF($AS30=1,4400,1000*$AS30+3400)))&gt;=1107750,0.09,0.05),IF($AN30="MS",IF($AI30-IF($AU30="Head of household",3400,IF($AU30="Married",4600,2300))-'Inputs 2'!$C$85&gt;10000,0.04,0),IF($AN30="PA",0.0307,"")))))))))))))))</f>
      </c>
      <c r="CD30" s="21">
        <f>IF(YEAR(IF('Inputs 2'!$C$7="Weekly",'Inputs 2'!$C$9+7*(($BE29+1)-1),IF('Inputs 2'!$C$7="Biweekly",'Inputs 2'!$C$9+14*(($BE29+1)-1),IF('Inputs 2'!$C$7="Semimonthly",DATE(YEAR('Inputs 2'!$C$9),MONTH('Inputs 2'!$C$9)+INT((($BE29+1)-1)/2),MIN(DAY('Inputs 2'!$C$9),DAY(EOMONTH(DATE(YEAR('Inputs 2'!$C$9),MONTH('Inputs 2'!$C$9)+INT((($BE29+1)-1)/2),1),0))))+IF(MOD(($BE29+1)-1,2)=1,15,0),EDATE('Inputs 2'!$C$9,($BE29+1)-1)))))&lt;&gt;'Inputs 2'!$C$10,"",IF('Inputs 2'!$C$7="Weekly",'Inputs 2'!$C$9+7*(($BE29+1)-1),IF('Inputs 2'!$C$7="Biweekly",'Inputs 2'!$C$9+14*(($BE29+1)-1),IF('Inputs 2'!$C$7="Semimonthly",DATE(YEAR('Inputs 2'!$C$9),MONTH('Inputs 2'!$C$9)+INT((($BE29+1)-1)/2),MIN(DAY('Inputs 2'!$C$9),DAY(EOMONTH(DATE(YEAR('Inputs 2'!$C$9),MONTH('Inputs 2'!$C$9)+INT((($BE29+1)-1)/2),1),0))))+IF(MOD(($BE29+1)-1,2)=1,15,0),EDATE('Inputs 2'!$C$9,($BE29+1)-1)))))</f>
      </c>
      <c r="CE30" s="21">
        <f>IF(SUMPRODUCT(MIN(IF(('Inputs 2'!$C$58:$C$67&gt;MAX($B$6:$B29))*('Inputs 2'!$C$58:$C$67&gt;=DATE('Inputs 2'!$C$10,1,1))*('Inputs 2'!$C$58:$C$67&lt;=DATE('Inputs 2'!$C$10,12,31)),'Inputs 2'!$C$58:$C$67,999999)))=999999,"",SUMPRODUCT(MIN(IF(('Inputs 2'!$C$58:$C$67&gt;MAX($B$6:$B29))*('Inputs 2'!$C$58:$C$67&gt;=DATE('Inputs 2'!$C$10,1,1))*('Inputs 2'!$C$58:$C$67&lt;=DATE('Inputs 2'!$C$10,12,31)),'Inputs 2'!$C$58:$C$67,999999))))</f>
      </c>
    </row>
    <row r="31">
      <c r="A31" t="n">
        <v>26</v>
      </c>
      <c r="B31" s="21">
        <f>IF(AND($CD31="",$CE31=""),"",IF($CE31="",$CD31,IF($CD31="",$CE31,MIN($CD31,$CE31))))</f>
      </c>
      <c r="C31" s="7">
        <f>IF($B31="","",IF($BF31=0,0,IF('Inputs 2'!$C$4="Annual salary",ROUND($AK31/IF(AND('Inputs 2'!$C$88="Actual paydays",MONTH('Inputs 2'!$C$9)=1),MAX(1,MAX($BE$6:$BE$68)),'Inputs 2'!$C$8),2),$AK31)))</f>
      </c>
      <c r="D31" s="7">
        <f>IF($B31="","",SUMIF('Inputs 2'!$C$58:$C$67,$B31,'Inputs 2'!$D$58:$D$67))</f>
      </c>
      <c r="E31" s="7">
        <f>IF($B31="","",ROUND(MAX(0,MIN(IF($AL31="Percent",$AM31*($C31+$D31),$AM31),MAX(0,'Inputs 2'!$C$34-$AC30))),2))</f>
      </c>
      <c r="F31" s="7">
        <f>IF($B31="","",ROUND(MAX(0,MIN(IF('Inputs 2'!$C$32="Percent",'Inputs 2'!$D$32*($C31+$D31),'Inputs 2'!$D$32),MAX(0,'Inputs 2'!$C$34-$AC30-$E31))),2))</f>
      </c>
      <c r="G31" s="7">
        <f>IF($B31="","",IF($BF31=0,0,ROUND(MAX(0,MIN($BL31,'Inputs 2'!$C$37-'Inputs 2'!$C$54-$BI30)),2)))</f>
      </c>
      <c r="H31" s="7">
        <f>IF($B31="","",IF(OR($BF31=0,$BQ31=1),0,ROUND(MAX(0,MIN(IF($BS31=1,ROUND(MAX(0,MIN($BJ31,'Methodology &amp; Sources'!$C$13)-$BG30)/MAX(1,MAX($BE$6:$BE$68)-($BE30)),2),ROUND(MIN($BJ31,'Methodology &amp; Sources'!$C$13)/'Inputs 2'!$C$8,2)),MIN($BJ31,'Methodology &amp; Sources'!$C$13)-$BG30)),2)))</f>
      </c>
      <c r="I31" s="7">
        <f>IF($B31="","",IF(OR($BF31=0,$BR31=1),0,ROUND(MAX(0,MIN(IF($BT31=1,ROUND(MAX(0,MIN($BK31,IF('Inputs 2'!$C$12="MFJ",'Methodology &amp; Sources'!$C$14,'Methodology &amp; Sources'!$C$15))-$BH30)/MAX(1,MAX($BE$6:$BE$68)-($BE30)),2),ROUND(MIN($BK31,IF('Inputs 2'!$C$12="MFJ",'Methodology &amp; Sources'!$C$14,'Methodology &amp; Sources'!$C$15))/'Inputs 2'!$C$8,2)),MIN($BK31,IF('Inputs 2'!$C$12="MFJ",'Methodology &amp; Sources'!$C$14,'Methodology &amp; Sources'!$C$15))-$BH30)),2)))</f>
      </c>
      <c r="J31" s="7">
        <f>IF($B31="","",IF($BF31=0,0,$BM31))</f>
      </c>
      <c r="K31" s="7">
        <f>IF($B31="","",IF($BF31=0,0,$BN31+$BO31))</f>
      </c>
      <c r="L31" s="7">
        <f>IF($B31="","",IF($BF31=0,0,'Inputs 2'!$D$46))</f>
      </c>
      <c r="M31" s="7">
        <f>IF($B31="","",$C31+$D31+$L31-$E31-$G31-$H31-$I31-$J31-$K31)</f>
      </c>
      <c r="N31" s="7">
        <f>IF($B31="","",$C31+$D31+$L31-$G31-$H31-$I31-$J31-$K31)</f>
      </c>
      <c r="O31" s="7">
        <f>IF($B31="","",$C31+$D31+$L31-$E31-$H31-$I31-$J31-$K31-IF(OR($AN31="CA",$AN31="NJ"),0,$G31))</f>
      </c>
      <c r="P31" s="7">
        <f>IF($B31="","",IF('Inputs 2'!$C$18,0,ROUND(MAX(0,IF('Inputs 2'!$C$13,SUMPRODUCT(($AH31&gt;INDEX('Methodology &amp; Sources'!$B$29:$J$36,0,IF('Inputs 2'!$C$12="MFJ",1,IF('Inputs 2'!$C$12="HoH",7,4))))*($AH31-INDEX('Methodology &amp; Sources'!$B$29:$J$36,0,IF('Inputs 2'!$C$12="MFJ",1,IF('Inputs 2'!$C$12="HoH",7,4))))*INDEX('Methodology &amp; Sources'!$B$29:$J$36,0,IF('Inputs 2'!$C$12="MFJ",1,IF('Inputs 2'!$C$12="HoH",7,4))+2)),SUMPRODUCT(($AH31&gt;INDEX('Methodology &amp; Sources'!$B$19:$J$26,0,IF('Inputs 2'!$C$12="MFJ",1,IF('Inputs 2'!$C$12="HoH",7,4))))*($AH31-INDEX('Methodology &amp; Sources'!$B$19:$J$26,0,IF('Inputs 2'!$C$12="MFJ",1,IF('Inputs 2'!$C$12="HoH",7,4))))*INDEX('Methodology &amp; Sources'!$B$19:$J$26,0,IF('Inputs 2'!$C$12="MFJ",1,IF('Inputs 2'!$C$12="HoH",7,4))+2)))/'Inputs 2'!$C$8-$AO31/'Inputs 2'!$C$8)+$AR31+IF('Inputs 2'!$C$89="Aggregate",MAX(0,IF('Inputs 2'!$C$13,SUMPRODUCT((($AH31+$D31)&gt;INDEX('Methodology &amp; Sources'!$B$29:$J$36,0,IF('Inputs 2'!$C$12="MFJ",1,IF('Inputs 2'!$C$12="HoH",7,4))))*(($AH31+$D31)-INDEX('Methodology &amp; Sources'!$B$29:$J$36,0,IF('Inputs 2'!$C$12="MFJ",1,IF('Inputs 2'!$C$12="HoH",7,4))))*INDEX('Methodology &amp; Sources'!$B$29:$J$36,0,IF('Inputs 2'!$C$12="MFJ",1,IF('Inputs 2'!$C$12="HoH",7,4))+2)),SUMPRODUCT((($AH31+$D31)&gt;INDEX('Methodology &amp; Sources'!$B$19:$J$26,0,IF('Inputs 2'!$C$12="MFJ",1,IF('Inputs 2'!$C$12="HoH",7,4))))*(($AH31+$D31)-INDEX('Methodology &amp; Sources'!$B$19:$J$26,0,IF('Inputs 2'!$C$12="MFJ",1,IF('Inputs 2'!$C$12="HoH",7,4))))*INDEX('Methodology &amp; Sources'!$B$19:$J$26,0,IF('Inputs 2'!$C$12="MFJ",1,IF('Inputs 2'!$C$12="HoH",7,4))+2)))-IF('Inputs 2'!$C$13,SUMPRODUCT(($AH31&gt;INDEX('Methodology &amp; Sources'!$B$29:$J$36,0,IF('Inputs 2'!$C$12="MFJ",1,IF('Inputs 2'!$C$12="HoH",7,4))))*($AH31-INDEX('Methodology &amp; Sources'!$B$29:$J$36,0,IF('Inputs 2'!$C$12="MFJ",1,IF('Inputs 2'!$C$12="HoH",7,4))))*INDEX('Methodology &amp; Sources'!$B$29:$J$36,0,IF('Inputs 2'!$C$12="MFJ",1,IF('Inputs 2'!$C$12="HoH",7,4))+2)),SUMPRODUCT(($AH31&gt;INDEX('Methodology &amp; Sources'!$B$19:$J$26,0,IF('Inputs 2'!$C$12="MFJ",1,IF('Inputs 2'!$C$12="HoH",7,4))))*($AH31-INDEX('Methodology &amp; Sources'!$B$19:$J$26,0,IF('Inputs 2'!$C$12="MFJ",1,IF('Inputs 2'!$C$12="HoH",7,4))))*INDEX('Methodology &amp; Sources'!$B$19:$J$26,0,IF('Inputs 2'!$C$12="MFJ",1,IF('Inputs 2'!$C$12="HoH",7,4))+2)))),'Methodology &amp; Sources'!$C$10*$D31),2)))</f>
      </c>
      <c r="Q31" s="7">
        <f>IF($B31="","",ROUND('Methodology &amp; Sources'!$C$4*MIN($N31,MAX(0,'Methodology &amp; Sources'!$C$3-($AX31+$AB30-$AW31))),2))</f>
      </c>
      <c r="R31" s="7">
        <f>IF($B31="","",ROUND('Methodology &amp; Sources'!$C$5*$N31,2))</f>
      </c>
      <c r="S31" s="7">
        <f>IF($B31="","",ROUND('Methodology &amp; Sources'!$C$6*MAX(0,MIN($N31,$AG30+$N31-'Methodology &amp; Sources'!$C$7)),2))</f>
      </c>
      <c r="T31" s="7">
        <f>IF($B31="","",IF('Inputs 2'!$C$26,0,IF($AN31="CA",ROUND(IF($AI31&lt;=IF(($AS31+$AT31)&gt;=2,VLOOKUP($AN31,StateTables!$A$6:$AB$56,10,FALSE),VLOOKUP($AN31,StateTables!$A$6:$AB$56,9,FALSE)),0,MAX(0,SUMPRODUCT(($AJ31&gt;INDEX('Methodology &amp; Sources'!$B$39:$J$48,0,IF($AU31="Married",4,IF($AU31="Head of household",7,1))))*($AJ31-INDEX('Methodology &amp; Sources'!$B$39:$J$48,0,IF($AU31="Married",4,IF($AU31="Head of household",7,1))))*INDEX('Methodology &amp; Sources'!$B$39:$J$48,0,IF($AU31="Married",4,IF($AU31="Head of household",7,1))+2))-VLOOKUP($AN31,StateTables!$A$6:$AB$56,11,FALSE)*$AS31)/'Inputs 2'!$C$8)+'Inputs 2'!$C$25+VLOOKUP($AN31,StateTables!$A$6:$AB$56,13,FALSE)*$D31,2),IF(VLOOKUP($AN31,StateTables!$A$6:$AB$56,4,FALSE)="None",0,IF(ISNUMBER(SEARCH("MANUAL",VLOOKUP($AN31,StateTables!$A$6:$AB$56,5,FALSE))),'Inputs 2'!$C$28,ROUND(MAX(0,$BA31+$BB31)/'Inputs 2'!$C$8+'Inputs 2'!$C$25+$BC31,2))))))</f>
      </c>
      <c r="U31" s="7">
        <f>IF($B31="","",IF(VLOOKUP($AN31,StateTables!$A$6:$AB$56,24,FALSE)="flatq",IF(OR(MONTH($B31)=1,MONTH($B31)=4,MONTH($B31)=7,MONTH($B31)=10),VLOOKUP($AN31,StateTables!$A$6:$AB$56,25,FALSE),0),IF(VLOOKUP($AN31,StateTables!$A$6:$AB$56,24,FALSE)="dbl",MIN(ROUND(0.005*$N31,2),ROUND(0.6*52/'Inputs 2'!$C$8,2)),IF(OR(VLOOKUP($AN31,StateTables!$A$6:$AB$56,15,FALSE)="",VLOOKUP($AN31,StateTables!$A$6:$AB$56,15,FALSE)=0),0,ROUND(VLOOKUP($AN31,StateTables!$A$6:$AB$56,15,FALSE)*IF(OR(VLOOKUP($AN31,StateTables!$A$6:$AB$56,16,FALSE)="",VLOOKUP($AN31,StateTables!$A$6:$AB$56,16,FALSE)=0),$N31,MIN($N31,MAX(0,VLOOKUP($AN31,StateTables!$A$6:$AB$56,16,FALSE)-($AX31+$AB30-$AW31)))),2))))+IF(VLOOKUP($AN31,StateTables!$A$6:$AB$56,27,FALSE)="flatq",IF(OR(MONTH($B31)=1,MONTH($B31)=4,MONTH($B31)=7,MONTH($B31)=10),VLOOKUP($AN31,StateTables!$A$6:$AB$56,28,FALSE),0),IF(VLOOKUP($AN31,StateTables!$A$6:$AB$56,27,FALSE)="dbl",MIN(ROUND(0.005*$N31,2),ROUND(0.6*52/'Inputs 2'!$C$8,2)),IF(OR(VLOOKUP($AN31,StateTables!$A$6:$AB$56,18,FALSE)="",VLOOKUP($AN31,StateTables!$A$6:$AB$56,18,FALSE)=0),0,ROUND(VLOOKUP($AN31,StateTables!$A$6:$AB$56,18,FALSE)*IF(OR(VLOOKUP($AN31,StateTables!$A$6:$AB$56,19,FALSE)="",VLOOKUP($AN31,StateTables!$A$6:$AB$56,19,FALSE)=0),$N31,MIN($N31,MAX(0,VLOOKUP($AN31,StateTables!$A$6:$AB$56,19,FALSE)-($AX31+$AB30-$AW31)))),2)))))</f>
      </c>
      <c r="V31" s="7">
        <f>IF($B31="","",IF($AN31="NY",IF('Inputs 2'!$C$78,ROUND(SUMPRODUCT((MAX(0,($O31-$D31)*'Inputs 2'!$C$8-(IF($AU31="Married",5500,5000)+1000*$AS31))&gt;INDEX('Methodology &amp; Sources'!$B$184:$J$198,0,4))*(MAX(0,($O31-$D31)*'Inputs 2'!$C$8-(IF($AU31="Married",5500,5000)+1000*$AS31))-INDEX('Methodology &amp; Sources'!$B$184:$J$198,0,4))*INDEX('Methodology &amp; Sources'!$B$184:$J$198,0,4+2))/'Inputs 2'!$C$8+0.0425*$D31,2),0)+IF('Inputs 2'!$C$79="Resident",ROUND(0.1675*$T31,2),IF('Inputs 2'!$C$79="Nonresident",ROUND(0.005*MAX(0,($O31-$D31)-(IF($AU31="Married",7950,7400)+1000*$AS31)/'Inputs 2'!$C$8),2),0)),IF($AN31="PA",IF('Inputs 2'!$C$80="None",'Inputs 2'!$C$27+ROUND('Inputs 2'!$C$81*($C31+$D31),2),ROUND(IF('Inputs 2'!$C$80="Resident",IF($B31&lt;DATE(2027,7,1),0.03735,0.03735),IF($B31&lt;DATE(2027,7,1),0.03425,0.03425))*($C31+$D31),2)),IF($BF31=0,ROUND('Inputs 2'!$C$81*($C31+$D31),2),'Inputs 2'!$C$27+ROUND('Inputs 2'!$C$81*($C31+$D31),2)))))</f>
      </c>
      <c r="W31" s="7">
        <f>IF($B31="","",IF($BF31=0,0,$BP31))</f>
      </c>
      <c r="X31" s="7">
        <f>IF($B31="","",SUM($E31:$K31)+$P31+$Q31+$R31+$S31+$T31+$U31+$V31+$W31)</f>
      </c>
      <c r="Y31" s="22">
        <f>IF($B31="","",$C31+$D31-$X31)</f>
      </c>
      <c r="Z31" s="7">
        <f>IF($B31="","",$Z30+$C31+$D31)</f>
      </c>
      <c r="AA31" s="7">
        <f>IF($B31="","",$AA30+$Y31)</f>
      </c>
      <c r="AB31" s="7">
        <f>IF($B31="","",$AB30+MIN($N31,MAX(0,'Methodology &amp; Sources'!$C$3-($AX31+$AB30-$AW31))))</f>
      </c>
      <c r="AC31" s="7">
        <f>IF($B31="","",$AC30+$E31+$F31)</f>
      </c>
      <c r="AD31" s="3">
        <f>IF($B31="","",IF(AND($AB30&lt;'Methodology &amp; Sources'!$C$3,$AB31&gt;='Methodology &amp; Sources'!$C$3),"★ Social Security maxed on this check — from the next check your net rises by about $"&amp;TEXT(ROUND('Methodology &amp; Sources'!$C$4*$N31,2),"#,##0.00")&amp;". ","")&amp;IF(AND($AC30&lt;'Inputs 2'!$C$34,$AC31&gt;='Inputs 2'!$C$34),"★ 401(k) reaches the $"&amp;TEXT('Inputs 2'!$C$34,"#,##0")&amp;" cap on this check — deferrals stop and net pay rises. ","")&amp;IF(AND($AG30&lt;'Methodology &amp; Sources'!$C$7,$AG31&gt;='Methodology &amp; Sources'!$C$7),"★ Wages pass $200,000 — the 0.9% Additional Medicare Tax starts here. ","")&amp;IF(AND($BJ31&gt;0,$H31&gt;0,$BG30&lt;MIN($BJ31,'Methodology &amp; Sources'!$C$13),$BG30+$H31&gt;=MIN($BJ31,'Methodology &amp; Sources'!$C$13)),"★ Health FSA election is now fully deferred for the year. ",""))</f>
      </c>
      <c r="AE31" s="41" t="n"/>
      <c r="AF31" s="7">
        <f>IF(OR($B31="",$AE31=""),"",$AE31-$Y31)</f>
      </c>
      <c r="AG31" s="7">
        <f>IF($B31="","",$AG30+$N31)</f>
      </c>
      <c r="AH31" s="7">
        <f>IF($B31="","",MAX(0,($M31-$D31)*'Inputs 2'!$C$8+$AP31-$AQ31-IF('Inputs 2'!$C$13,0,IF('Inputs 2'!$C$12="MFJ",'Methodology &amp; Sources'!$C$8,'Methodology &amp; Sources'!$C$9))))</f>
      </c>
      <c r="AI31" s="7">
        <f>IF($B31="","",$O31*'Inputs 2'!$C$8)</f>
      </c>
      <c r="AJ31" s="7">
        <f>IF($B31="","",MAX(0,$AI31-VLOOKUP($AN31,StateTables!$A$6:$AB$56,12,FALSE)*$AT31-IF(($AS31+$AT31)&gt;=2,VLOOKUP($AN31,StateTables!$A$6:$AB$56,8,FALSE),VLOOKUP($AN31,StateTables!$A$6:$AB$56,7,FALSE))))</f>
      </c>
      <c r="AK31" s="7">
        <f>IF($B31="","",IFERROR(LOOKUP(2,1/(('Events 2'!$C$6:$C$17="Salary change")*('Events 2'!$B$6:$B$17&lt;=$B31)*('Events 2'!$B$6:$B$17&lt;&gt;"")),'Events 2'!$D$6:$D$17),IF('Inputs 2'!$C$4="Annual salary",'Inputs 2'!$C$5,'Inputs 2'!$C$6)))</f>
      </c>
      <c r="AL31">
        <f>IF($B31="","",IFERROR(LOOKUP(2,1/(('Events 2'!$C$6:$C$17="401(k) change")*('Events 2'!$B$6:$B$17&lt;=$B31)*('Events 2'!$B$6:$B$17&lt;&gt;"")),'Events 2'!$D$6:$D$17),'Inputs 2'!$C$30))</f>
      </c>
      <c r="AM31" s="7">
        <f>IF($B31="","",IFERROR(LOOKUP(2,1/(('Events 2'!$C$6:$C$17="401(k) change")*('Events 2'!$B$6:$B$17&lt;=$B31)*('Events 2'!$B$6:$B$17&lt;&gt;"")),'Events 2'!$E$6:$E$17),'Inputs 2'!$D$30))</f>
      </c>
      <c r="AN31">
        <f>IF($B31="","",IFERROR(LOOKUP(2,1/(('Events 2'!$C$6:$C$17="State move")*('Events 2'!$B$6:$B$17&lt;=$B31)*('Events 2'!$B$6:$B$17&lt;&gt;"")),'Events 2'!$D$6:$D$17),'Inputs 2'!$C$21))</f>
      </c>
      <c r="AO31" s="7">
        <f>IF($B31="","",IFERROR(LOOKUP(2,1/(('Events 2'!$C$6:$C$17="W-4 change")*('Events 2'!$B$6:$B$17&lt;=$B31)*('Events 2'!$B$6:$B$17&lt;&gt;"")),'Events 2'!$D$6:$D$17),'Inputs 2'!$C$14))</f>
      </c>
      <c r="AP31" s="7">
        <f>IF($B31="","",IFERROR(LOOKUP(2,1/(('Events 2'!$C$6:$C$17="W-4 change")*('Events 2'!$B$6:$B$17&lt;=$B31)*('Events 2'!$B$6:$B$17&lt;&gt;"")),'Events 2'!$E$6:$E$17),'Inputs 2'!$C$15))</f>
      </c>
      <c r="AQ31" s="7">
        <f>IF($B31="","",IFERROR(LOOKUP(2,1/(('Events 2'!$C$6:$C$17="W-4 change")*('Events 2'!$B$6:$B$17&lt;=$B31)*('Events 2'!$B$6:$B$17&lt;&gt;"")),'Events 2'!$F$6:$F$17),'Inputs 2'!$C$16))</f>
      </c>
      <c r="AR31" s="7">
        <f>IF($B31="","",IFERROR(LOOKUP(2,1/(('Events 2'!$C$6:$C$17="W-4 change")*('Events 2'!$B$6:$B$17&lt;=$B31)*('Events 2'!$B$6:$B$17&lt;&gt;"")),'Events 2'!$G$6:$G$17),'Inputs 2'!$C$17))</f>
      </c>
      <c r="AS31" s="6">
        <f>IF($B31="","",IFERROR(LOOKUP(2,1/((('Events 2'!$C$6:$C$17="State move")+('Events 2'!$C$6:$C$17="State cert change"))*('Events 2'!$B$6:$B$17&lt;=$B31)*('Events 2'!$B$6:$B$17&lt;&gt;"")),'Events 2'!$F$6:$F$17),'Inputs 2'!$C$23))</f>
      </c>
      <c r="AT31" s="6">
        <f>IF($B31="","",IFERROR(LOOKUP(2,1/((('Events 2'!$C$6:$C$17="State move")+('Events 2'!$C$6:$C$17="State cert change"))*('Events 2'!$B$6:$B$17&lt;=$B31)*('Events 2'!$B$6:$B$17&lt;&gt;"")),'Events 2'!$G$6:$G$17),'Inputs 2'!$C$24))</f>
      </c>
      <c r="AU31">
        <f>IF($B31="","",IFERROR(LOOKUP(2,1/(('Events 2'!$C$6:$C$17="State move")*('Events 2'!$B$6:$B$17&lt;=$B31)*('Events 2'!$B$6:$B$17&lt;&gt;"")),'Events 2'!$E$6:$E$17),'Inputs 2'!$C$22))</f>
      </c>
      <c r="AV31" s="6">
        <f>IF($B31="","",1+COUNTIFS('Events 2'!$C$6:$C$17,"Employer change",'Events 2'!$B$6:$B$17,"&lt;="&amp;$B31,'Events 2'!$B$6:$B$17,"&lt;&gt;"))</f>
      </c>
      <c r="AW31" s="7">
        <f>IF($B31="","",IF($AV31=1,'Inputs 2'!$C$49,IF(IFERROR(MATCH(IFERROR(LOOKUP(2,1/(('Events 2'!$C$6:$C$17="Employer change")*('Events 2'!$B$6:$B$17&lt;=$B31)*('Events 2'!$B$6:$B$17&lt;&gt;"")),'Events 2'!$B$6:$B$17),""),$B$6:$B$68,1),1)&lt;=1,'Inputs 2'!$C$49,INDEX($AB$6:$AB$68,MATCH(IFERROR(LOOKUP(2,1/(('Events 2'!$C$6:$C$17="Employer change")*('Events 2'!$B$6:$B$17&lt;=$B31)*('Events 2'!$B$6:$B$17&lt;&gt;"")),'Events 2'!$B$6:$B$17),""),$B$6:$B$68,1)-1))))</f>
      </c>
      <c r="AX31" s="7">
        <f>IF($B31="","",IF($AV31=1,'Inputs 2'!$C$49,IFERROR(LOOKUP(2,1/(('Events 2'!$C$6:$C$17="Employer change")*('Events 2'!$B$6:$B$17&lt;=$B31)*('Events 2'!$B$6:$B$17&lt;&gt;"")),'Events 2'!$D$6:$D$17),0)))</f>
      </c>
      <c r="AY31" s="7">
        <f>IF($B31="","",($O31-$D31)*'Inputs 2'!$C$8)</f>
      </c>
      <c r="AZ31" s="7">
        <f>IF($B31="","",IF($AN31="AL",MAX(0,$AY31-IF($AU31="Married",IF($AY31&lt;=25999,8500,MAX(5000,8500-175*CEILING(($AY31-25999)/500,1))),IF($AU31="Head of household",IF($AY31&lt;=25999,5200,MAX(2500,5200-135*CEILING(($AY31-25999)/500,1))),IF($AY31&lt;=25999,3000,MAX(2500,3000-25*CEILING(($AY31-25999)/500,1)))))-($P31-'Methodology &amp; Sources'!$C$10*$D31)*'Inputs 2'!$C$8-IF(OR($AU31="Married",$AU31="Head of household"),3000,1500)-$AT31*IF($AY31&lt;=50000,1000,IF($AY31&lt;=100000,500,300))),IF($AN31="AR",IF(MAX(0,$AY31-2470)&lt;97701,INT(MAX(0,$AY31-2470)/100)*100+50,MAX(0,$AY31-2470)),IF($AN31="DE",MAX(0,$AI31-3250),IF($AN31="HI",MAX(0,$AI31-1144*$AS31-4350),IF($AN31="KS",MAX(0,$AI31-(9160*IF($AU31="Married",2,1)+2320*$AT31+IF($AU31="Head of household",2320,0))),IF($AN31="MD",MAX(0,$AI31-3400-3200*$AS31),IF($AN31="MN",MAX(0,$AY31-5300*$AS31),IF($AN31="MO",MAX(0,$AI31-IF($AU31="Head of household",24150,IF($AU31="Married",IF('Inputs 2'!$C$83,16100,32200),16100))),IF($AN31="MT",$AY31,IF($AN31="ND",($C31+$L31)*'Inputs 2'!$C$8,IF($AN31="NE",MAX(0,$AY31-2440*$AS31),IF($AN31="NJ",MAX(0,$AY31-1000*$AS31),IF($AN31="NY",MAX(0,$AY31-(IF($AU31="Married",7950,7400)+1000*$AS31)),IF($AN31="OH",MAX(0,$AY31-650*$AS31),IF($AN31="OK",MAX(0,$AY31-1000*$AS31),IF($AN31="RI",MAX(0,$AI31-1000*$AS31),IF($AN31="SC",MAX(0,$AI31-5000*$AS31-IF($AS31=0,0,MIN(0.1*$AI31,7500))),IF($AN31="VA",MAX(0,$AI31-IF($AU31="Married",17500,8750)-930*$AS31-800*$AT31),IF($AN31="VT",MAX(0,$AI31-5400*$AS31),IF($AN31="WI",MAX(0,$AI31-MAX(0,IF($AU31="Married",9461-0.2*MAX(0,$AI31-25727),6702-0.12*MAX(0,$AI31-17780)))-400*$AS31),IF($AN31="WV",MAX(0,$AI31-2000*$AS31),$AI31))))))))))))))))))))))</f>
      </c>
      <c r="BA31" s="7">
        <f>IF($B31="","",IF($BW31&lt;&gt;"",$BW31,IF($BX31&lt;&gt;"",$BX31,IF($BY31&lt;&gt;"",$BY31,0))))</f>
      </c>
      <c r="BB31" s="7">
        <f>IF($B31="","",IF($AN31="AR",-29*$AS31,IF($AN31="DE",-110*$AS31,IF($AN31="MD",$AZ31*'Inputs 2'!$C$74,IF($AN31="AZ",'Inputs 2'!$C$82*($M31-$D31)*'Inputs 2'!$C$8,IF($AN31="CO",0.044*MAX(0,$AY31-IF($AU31="Married",10000,5000)),IF($AN31="IA",MAX(0,0.038*MAX(0,$AY31-IF($AU31="Head of household",19500,IF($AU31="Married",26000,13000)))-40*$AS31),IF($AN31="ID",0.053*MAX(0,$AY31-IF($AU31="Married",32000,16094)),IF($AN31="IL",0.0495*MAX(0,$AY31-(2925*$AS31+1000*$AT31)),IF($AN31="IN",(0.0295+'Inputs 2'!$C$76)*MAX(0,$AY31-(1000*$AS31+1500*$AT31+3000*'Inputs 2'!$C$86)),IF($AN31="KY",0.035*MAX(0,$AI31-3360),IF($AN31="LA",IF('Inputs 2'!$C$84="0",0.0309*$AI31,0.0309*MAX(0,$AI31-IF('Inputs 2'!$C$84="2",25750,12875))),IF($AN31="MA",0.05*MIN(MAX(0,$AY31-MIN(($BD30+$Q31+$R31+$S31),2000)-IF($AS31=0,0,IF($AS31=1,4400,1000*$AS31+3400))),1107750)+0.09*MAX(0,MAX(0,$AY31-MIN(($BD30+$Q31+$R31+$S31),2000)-IF($AS31=0,0,IF($AS31=1,4400,1000*$AS31+3400)))-1107750)-IF($AU31="Head of household",120,0)-110*'Inputs 2'!$C$75,IF($AN31="MI",0.0425*MAX(0,$AY31-5900*$AS31),IF($AN31="MS",0.04*MAX(0,$AI31-IF($AU31="Head of household",3400,IF($AU31="Married",4600,2300))-'Inputs 2'!$C$85-10000),IF($AN31="OR",IF(OR($AU31="Married",AND($AU31="Single",$AS31&gt;=3)),SUMPRODUCT((MAX(0,$AY31-MIN(($P31-'Methodology &amp; Sources'!$C$10*$D31)*'Inputs 2'!$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Sources'!$B$211:$J$214,0,4))*(MAX(0,$AY31-MIN(($P31-'Methodology &amp; Sources'!$C$10*$D31)*'Inputs 2'!$C$8,IF(OR($AU31="Married",AND($AU31="Single",$AS31&gt;=3)),IF($AY31&lt;250000,8750,IF($AY31&lt;260000,7000,IF($AY31&lt;270000,5250,IF($AY31&lt;280000,3500,IF($AY31&lt;290000,1750,0))))),IF($AY31&lt;125000,8750,IF($AY31&lt;130000,7000,IF($AY31&lt;135000,5250,IF($AY31&lt;140000,3500,IF($AY31&lt;145000,1750,0)))))))-IF(OR($AU31="Married",AND($AU31="Single",$AS31&gt;=3)),5820,2910))-INDEX('Methodology &amp; Sources'!$B$211:$J$214,0,4))*INDEX('Methodology &amp; Sources'!$B$211:$J$214,0,4+2)),SUMPRODUCT((MAX(0,$AY31-MIN(($P31-'Methodology &amp; Sources'!$C$10*$D31)*'Inputs 2'!$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Sources'!$B$211:$J$214,0,1))*(MAX(0,$AY31-MIN(($P31-'Methodology &amp; Sources'!$C$10*$D31)*'Inputs 2'!$C$8,IF(OR($AU31="Married",AND($AU31="Single",$AS31&gt;=3)),IF($AY31&lt;250000,8750,IF($AY31&lt;260000,7000,IF($AY31&lt;270000,5250,IF($AY31&lt;280000,3500,IF($AY31&lt;290000,1750,0))))),IF($AY31&lt;125000,8750,IF($AY31&lt;130000,7000,IF($AY31&lt;135000,5250,IF($AY31&lt;140000,3500,IF($AY31&lt;145000,1750,0)))))))-IF(OR($AU31="Married",AND($AU31="Single",$AS31&gt;=3)),5820,2910))-INDEX('Methodology &amp; Sources'!$B$211:$J$214,0,1))*INDEX('Methodology &amp; Sources'!$B$211:$J$214,0,1+2)))+263-263*IF(IF($AU31="Married",$AY31&gt;200000,$AY31&gt;100000),0,$AS31),IF($AN31="PA",0.0307*(($O31+$E31+$G31)*'Inputs 2'!$C$8),IF($AN31="NY",IF($AU31="Married",IF($AZ31&gt;=2155350,0,IF($AZ31&gt;=1077550,0.48,IF($AZ31&gt;=373200,1.21,IF($AZ31&gt;=323200,0.21,IF($AZ31&gt;=211550,-0.19,IF($AZ31&gt;=157650,-2.8,IF($AZ31&gt;=107650,-0.8,IF($AZ31&gt;=96800,0.05,IF($AZ31&gt;=80650,-0.1,IF($AZ31&gt;=13900,0.4,IF($AZ31&gt;=11700,-0.3,IF($AZ31&gt;=8500,0.5,0)))))))))))),IF($AZ31&gt;=1077550,0,IF($AZ31&gt;=265400,4.29,IF($AZ31&gt;=215400,2.29,IF($AZ31&gt;=157650,2.29,IF($AZ31&gt;=107650,0.29,IF($AZ31&gt;=96800,0.05,IF($AZ31&gt;=80650,-0.1,IF($AZ31&gt;=13900,0.4,IF($AZ31&gt;=11700,-0.3,IF($AZ31&gt;=8500,0.5,0))))))))))),0))))))))))))))))))</f>
      </c>
      <c r="BC31" s="7">
        <f>IF($B31="","",IF($AN31="AL",0.05*$D31,IF($AN31="AR",0.039*$D31,IF($AN31="ID",0.053*$D31,IF($AN31="IN",(0.0295+'Inputs 2'!$C$76)*$D31,IF($AN31="KS",0.05*$D31,IF($AN31="MA",0.09*MIN($D31,MAX(0,MAX(0,$AY31-MIN(($BD30+$Q31+$R31+$S31),2000)-IF($AS31=0,0,IF($AS31=1,4400,1000*$AS31+3400)))+$D31-1107750))+0.05*($D31-MIN($D31,MAX(0,MAX(0,$AY31-MIN(($BD30+$Q31+$R31+$S31),2000)-IF($AS31=0,0,IF($AS31=1,4400,1000*$AS31+3400)))+$D31-1107750))),IF($AN31="MD",(0.065+'Inputs 2'!$C$74)*$D31,IF($AN31="MI",0.0425*$D31,IF($AN31="MN",0.0625*$D31,IF($AN31="MO",0.047*$D31,IF($AN31="MT",0.05*$D31,IF($AN31="ND",0.015*$D31,IF($AN31="NE",0.035*$D31,IF($AN31="NJ",IF('Inputs 2'!$C$77="B",SUMPRODUCT(($D31*'Inputs 2'!$C$8&gt;INDEX('Methodology &amp; Sources'!$B$155:$J$162,0,4))*($D31*'Inputs 2'!$C$8-INDEX('Methodology &amp; Sources'!$B$155:$J$162,0,4))*INDEX('Methodology &amp; Sources'!$B$155:$J$162,0,4+2)),IF('Inputs 2'!$C$77="C",SUMPRODUCT(($D31*'Inputs 2'!$C$8&gt;INDEX('Methodology &amp; Sources'!$B$155:$J$162,0,7))*($D31*'Inputs 2'!$C$8-INDEX('Methodology &amp; Sources'!$B$155:$J$162,0,7))*INDEX('Methodology &amp; Sources'!$B$155:$J$162,0,7+2)),IF('Inputs 2'!$C$77="D",SUMPRODUCT(($D31*'Inputs 2'!$C$8&gt;INDEX('Methodology &amp; Sources'!$B$167:$J$179,0,1))*($D31*'Inputs 2'!$C$8-INDEX('Methodology &amp; Sources'!$B$167:$J$179,0,1))*INDEX('Methodology &amp; Sources'!$B$167:$J$179,0,1+2)),IF('Inputs 2'!$C$77="E",SUMPRODUCT(($D31*'Inputs 2'!$C$8&gt;INDEX('Methodology &amp; Sources'!$B$167:$J$179,0,4))*($D31*'Inputs 2'!$C$8-INDEX('Methodology &amp; Sources'!$B$167:$J$179,0,4))*INDEX('Methodology &amp; Sources'!$B$167:$J$179,0,4+2)),SUMPRODUCT(($D31*'Inputs 2'!$C$8&gt;INDEX('Methodology &amp; Sources'!$B$155:$J$162,0,1))*($D31*'Inputs 2'!$C$8-INDEX('Methodology &amp; Sources'!$B$155:$J$162,0,1))*INDEX('Methodology &amp; Sources'!$B$155:$J$162,0,1+2))))))/'Inputs 2'!$C$8,IF($AN31="NY",0.117*$D31,IF($AN31="OH",0.0275*$D31,IF($AN31="OK",0.045*$D31,IF($AN31="OR",0.08*$D31,IF($AN31="WI",IF($AY31&lt;12760,0.0354,IF($AY31&lt;25520,0.0465,IF($AY31&lt;280950,0.053,0.0765)))*$D31,0))))))))))))))))))))</f>
      </c>
      <c r="BD31" s="7">
        <f>IF($B31="","",$BD30+$Q31+$R31+$S31)</f>
      </c>
      <c r="BE31" s="6">
        <f>IF($B31="",$BE30,$BE30+$BF31)</f>
      </c>
      <c r="BF31" s="6">
        <f>IF($B31="","",IF(AND(IF(YEAR(IF('Inputs 2'!$C$7="Weekly",'Inputs 2'!$C$9+7*(($BE30+1)-1),IF('Inputs 2'!$C$7="Biweekly",'Inputs 2'!$C$9+14*(($BE30+1)-1),IF('Inputs 2'!$C$7="Semimonthly",DATE(YEAR('Inputs 2'!$C$9),MONTH('Inputs 2'!$C$9)+INT((($BE30+1)-1)/2),MIN(DAY('Inputs 2'!$C$9),DAY(EOMONTH(DATE(YEAR('Inputs 2'!$C$9),MONTH('Inputs 2'!$C$9)+INT((($BE30+1)-1)/2),1),0))))+IF(MOD(($BE30+1)-1,2)=1,15,0),EDATE('Inputs 2'!$C$9,($BE30+1)-1)))))&lt;&gt;'Inputs 2'!$C$10,"",IF('Inputs 2'!$C$7="Weekly",'Inputs 2'!$C$9+7*(($BE30+1)-1),IF('Inputs 2'!$C$7="Biweekly",'Inputs 2'!$C$9+14*(($BE30+1)-1),IF('Inputs 2'!$C$7="Semimonthly",DATE(YEAR('Inputs 2'!$C$9),MONTH('Inputs 2'!$C$9)+INT((($BE30+1)-1)/2),MIN(DAY('Inputs 2'!$C$9),DAY(EOMONTH(DATE(YEAR('Inputs 2'!$C$9),MONTH('Inputs 2'!$C$9)+INT((($BE30+1)-1)/2),1),0))))+IF(MOD(($BE30+1)-1,2)=1,15,0),EDATE('Inputs 2'!$C$9,($BE30+1)-1)))))&lt;&gt;"",$B31=IF(YEAR(IF('Inputs 2'!$C$7="Weekly",'Inputs 2'!$C$9+7*(($BE30+1)-1),IF('Inputs 2'!$C$7="Biweekly",'Inputs 2'!$C$9+14*(($BE30+1)-1),IF('Inputs 2'!$C$7="Semimonthly",DATE(YEAR('Inputs 2'!$C$9),MONTH('Inputs 2'!$C$9)+INT((($BE30+1)-1)/2),MIN(DAY('Inputs 2'!$C$9),DAY(EOMONTH(DATE(YEAR('Inputs 2'!$C$9),MONTH('Inputs 2'!$C$9)+INT((($BE30+1)-1)/2),1),0))))+IF(MOD(($BE30+1)-1,2)=1,15,0),EDATE('Inputs 2'!$C$9,($BE30+1)-1)))))&lt;&gt;'Inputs 2'!$C$10,"",IF('Inputs 2'!$C$7="Weekly",'Inputs 2'!$C$9+7*(($BE30+1)-1),IF('Inputs 2'!$C$7="Biweekly",'Inputs 2'!$C$9+14*(($BE30+1)-1),IF('Inputs 2'!$C$7="Semimonthly",DATE(YEAR('Inputs 2'!$C$9),MONTH('Inputs 2'!$C$9)+INT((($BE30+1)-1)/2),MIN(DAY('Inputs 2'!$C$9),DAY(EOMONTH(DATE(YEAR('Inputs 2'!$C$9),MONTH('Inputs 2'!$C$9)+INT((($BE30+1)-1)/2),1),0))))+IF(MOD(($BE30+1)-1,2)=1,15,0),EDATE('Inputs 2'!$C$9,($BE30+1)-1)))))),1,0))</f>
      </c>
      <c r="BG31" s="7">
        <f>IF($B31="","",$BG30+$H31)</f>
      </c>
      <c r="BH31" s="7">
        <f>IF($B31="","",$BH30+$I31)</f>
      </c>
      <c r="BI31" s="7">
        <f>IF($B31="","",$BI30+$G31)</f>
      </c>
      <c r="BJ31" s="7">
        <f>IF($B31="","",IFERROR(LOOKUP(2,1/(((('Events 2'!$C$6:$C$17="Deduction start"))*('Events 2'!$D$6:$D$17="Health FSA"))*('Events 2'!$B$6:$B$17&lt;=$B31)*('Events 2'!$B$6:$B$17&lt;&gt;"")),'Events 2'!$E$6:$E$17),'Inputs 2'!$D$38))</f>
      </c>
      <c r="BK31" s="7">
        <f>IF($B31="","",IFERROR(LOOKUP(2,1/(((('Events 2'!$C$6:$C$17="Deduction start"))*('Events 2'!$D$6:$D$17="Dependent-care FSA"))*('Events 2'!$B$6:$B$17&lt;=$B31)*('Events 2'!$B$6:$B$17&lt;&gt;"")),'Events 2'!$E$6:$E$17),'Inputs 2'!$D$39))</f>
      </c>
      <c r="BL31" s="7">
        <f>IF($B31="","",IFERROR(LOOKUP(2,1/(((('Events 2'!$C$6:$C$17="Deduction start")+('Events 2'!$C$6:$C$17="Deduction stop"))*('Events 2'!$D$6:$D$17="HSA"))*('Events 2'!$B$6:$B$17&lt;=$B31)*('Events 2'!$B$6:$B$17&lt;&gt;"")),'Events 2'!$I$6:$I$17),'Inputs 2'!$D$35))</f>
      </c>
      <c r="BM31" s="7">
        <f>IF($B31="","",IFERROR(LOOKUP(2,1/(((('Events 2'!$C$6:$C$17="Deduction start")+('Events 2'!$C$6:$C$17="Deduction stop"))*('Events 2'!$D$6:$D$17="Premiums"))*('Events 2'!$B$6:$B$17&lt;=$B31)*('Events 2'!$B$6:$B$17&lt;&gt;"")),'Events 2'!$I$6:$I$17),'Inputs 2'!$D$40+'Inputs 2'!$D$41+'Inputs 2'!$D$42))</f>
      </c>
      <c r="BN31" s="7">
        <f>IF($B31="","",IFERROR(LOOKUP(2,1/(((('Events 2'!$C$6:$C$17="Deduction start")+('Events 2'!$C$6:$C$17="Deduction stop"))*('Events 2'!$D$6:$D$17="Commuter"))*('Events 2'!$B$6:$B$17&lt;=$B31)*('Events 2'!$B$6:$B$17&lt;&gt;"")),'Events 2'!$I$6:$I$17),'Inputs 2'!$D$43))</f>
      </c>
      <c r="BO31" s="7">
        <f>IF($B31="","",IFERROR(LOOKUP(2,1/(((('Events 2'!$C$6:$C$17="Deduction start")+('Events 2'!$C$6:$C$17="Deduction stop"))*('Events 2'!$D$6:$D$17="Other pre-tax"))*('Events 2'!$B$6:$B$17&lt;=$B31)*('Events 2'!$B$6:$B$17&lt;&gt;"")),'Events 2'!$I$6:$I$17),'Inputs 2'!$D$44))</f>
      </c>
      <c r="BP31" s="7">
        <f>IF($B31="","",IFERROR(LOOKUP(2,1/(((('Events 2'!$C$6:$C$17="Deduction start")+('Events 2'!$C$6:$C$17="Deduction stop"))*('Events 2'!$D$6:$D$17="Other post-tax"))*('Events 2'!$B$6:$B$17&lt;=$B31)*('Events 2'!$B$6:$B$17&lt;&gt;"")),'Events 2'!$I$6:$I$17),'Inputs 2'!$D$45))</f>
      </c>
      <c r="BQ31" s="6">
        <f>IF($B31="","",IFERROR(LOOKUP(2,1/(((('Events 2'!$C$6:$C$17="Deduction start")+('Events 2'!$C$6:$C$17="Deduction stop"))*('Events 2'!$D$6:$D$17="Health FSA"))*('Events 2'!$B$6:$B$17&lt;=$B31)*('Events 2'!$B$6:$B$17&lt;&gt;"")),'Events 2'!$J$6:$J$17),0))</f>
      </c>
      <c r="BR31" s="6">
        <f>IF($B31="","",IFERROR(LOOKUP(2,1/(((('Events 2'!$C$6:$C$17="Deduction start")+('Events 2'!$C$6:$C$17="Deduction stop"))*('Events 2'!$D$6:$D$17="Dependent-care FSA"))*('Events 2'!$B$6:$B$17&lt;=$B31)*('Events 2'!$B$6:$B$17&lt;&gt;"")),'Events 2'!$J$6:$J$17),0))</f>
      </c>
      <c r="BS31" s="6">
        <f>IF($B31="","",IF(SUMPRODUCT(('Events 2'!$C$6:$C$17="Deduction start")*('Events 2'!$B$6:$B$17&lt;=$B31)*('Events 2'!$B$6:$B$17&lt;&gt;"")*('Events 2'!$D$6:$D$17="Health FSA"))&gt;0,1,0))</f>
      </c>
      <c r="BT31" s="6">
        <f>IF($B31="","",IF(SUMPRODUCT(('Events 2'!$C$6:$C$17="Deduction start")*('Events 2'!$B$6:$B$17&lt;=$B31)*('Events 2'!$B$6:$B$17&lt;&gt;"")*('Events 2'!$D$6:$D$17="Dependent-care FSA"))&gt;0,1,0))</f>
      </c>
      <c r="BU31" s="24">
        <f>IF($B31="","",IF('Inputs 2'!$C$13,SUMPRODUCT(($AH31&gt;=INDEX('Methodology &amp; Sources'!$B$29:$J$36,0,IF('Inputs 2'!$C$12="MFJ",1,IF('Inputs 2'!$C$12="HoH",7,4))))*INDEX('Methodology &amp; Sources'!$B$29:$J$36,0,IF('Inputs 2'!$C$12="MFJ",1,IF('Inputs 2'!$C$12="HoH",7,4))+2)),SUMPRODUCT(($AH31&gt;=INDEX('Methodology &amp; Sources'!$B$19:$J$26,0,IF('Inputs 2'!$C$12="MFJ",1,IF('Inputs 2'!$C$12="HoH",7,4))))*INDEX('Methodology &amp; Sources'!$B$19:$J$26,0,IF('Inputs 2'!$C$12="MFJ",1,IF('Inputs 2'!$C$12="HoH",7,4))+2))))</f>
      </c>
      <c r="BV31" s="24">
        <f>IF($B31="","",IF($BZ31&lt;&gt;"",$BZ31,IF($CA31&lt;&gt;"",$CA31,IF($CB31&lt;&gt;"",$CB31,IF($CC31&lt;&gt;"",$CC31,0)))))</f>
      </c>
      <c r="BW31" s="7">
        <f>IF($B31="","",IF($AN31="MD",IF(OR($AU31="Married",$AU31="Head of household"),SUMPRODUCT(($AZ31&gt;INDEX('Methodology &amp; Sources'!$B$114:$J$120,0,1))*($AZ31-INDEX('Methodology &amp; Sources'!$B$114:$J$120,0,1))*INDEX('Methodology &amp; Sources'!$B$114:$J$120,0,1+2)),SUMPRODUCT(($AZ31&gt;INDEX('Methodology &amp; Sources'!$B$103:$J$109,0,7))*($AZ31-INDEX('Methodology &amp; Sources'!$B$103:$J$109,0,7))*INDEX('Methodology &amp; Sources'!$B$103:$J$109,0,7+2))),IF($AN31="MO",SUMPRODUCT(($AZ31&gt;INDEX('Methodology &amp; Sources'!$B$125:$J$132,0,1))*($AZ31-INDEX('Methodology &amp; Sources'!$B$125:$J$132,0,1))*INDEX('Methodology &amp; Sources'!$B$125:$J$132,0,1+2)),IF($AN31="MT",IF($AU31="Head of household",SUMPRODUCT(($AZ31&gt;INDEX('Methodology &amp; Sources'!$B$137:$J$139,0,1))*($AZ31-INDEX('Methodology &amp; Sources'!$B$137:$J$139,0,1))*INDEX('Methodology &amp; Sources'!$B$137:$J$139,0,1+2)),IF($AU31="Married",SUMPRODUCT(($AZ31&gt;INDEX('Methodology &amp; Sources'!$B$125:$J$132,0,7))*($AZ31-INDEX('Methodology &amp; Sources'!$B$125:$J$132,0,7))*INDEX('Methodology &amp; Sources'!$B$125:$J$132,0,7+2)),SUMPRODUCT(($AZ31&gt;INDEX('Methodology &amp; Sources'!$B$125:$J$132,0,4))*($AZ31-INDEX('Methodology &amp; Sources'!$B$125:$J$132,0,4))*INDEX('Methodology &amp; Sources'!$B$125:$J$132,0,4+2)))),IF($AN31="ND",IF($AU31="Head of household",SUMPRODUCT(($AZ31&gt;INDEX('Methodology &amp; Sources'!$B$144:$J$150,0,1))*($AZ31-INDEX('Methodology &amp; Sources'!$B$144:$J$150,0,1))*INDEX('Methodology &amp; Sources'!$B$144:$J$150,0,1+2)),IF($AU31="Married",SUMPRODUCT(($AZ31&gt;INDEX('Methodology &amp; Sources'!$B$137:$J$139,0,7))*($AZ31-INDEX('Methodology &amp; Sources'!$B$137:$J$139,0,7))*INDEX('Methodology &amp; Sources'!$B$137:$J$139,0,7+2)),SUMPRODUCT(($AZ31&gt;INDEX('Methodology &amp; Sources'!$B$137:$J$139,0,4))*($AZ31-INDEX('Methodology &amp; Sources'!$B$137:$J$139,0,4))*INDEX('Methodology &amp; Sources'!$B$137:$J$139,0,4+2)))),IF($AN31="NJ",IF('Inputs 2'!$C$77="B",SUMPRODUCT(($AZ31&gt;INDEX('Methodology &amp; Sources'!$B$155:$J$162,0,4))*($AZ31-INDEX('Methodology &amp; Sources'!$B$155:$J$162,0,4))*INDEX('Methodology &amp; Sources'!$B$155:$J$162,0,4+2)),IF('Inputs 2'!$C$77="C",SUMPRODUCT(($AZ31&gt;INDEX('Methodology &amp; Sources'!$B$155:$J$162,0,7))*($AZ31-INDEX('Methodology &amp; Sources'!$B$155:$J$162,0,7))*INDEX('Methodology &amp; Sources'!$B$155:$J$162,0,7+2)),IF('Inputs 2'!$C$77="D",SUMPRODUCT(($AZ31&gt;INDEX('Methodology &amp; Sources'!$B$167:$J$179,0,1))*($AZ31-INDEX('Methodology &amp; Sources'!$B$167:$J$179,0,1))*INDEX('Methodology &amp; Sources'!$B$167:$J$179,0,1+2)),IF('Inputs 2'!$C$77="E",SUMPRODUCT(($AZ31&gt;INDEX('Methodology &amp; Sources'!$B$167:$J$179,0,4))*($AZ31-INDEX('Methodology &amp; Sources'!$B$167:$J$179,0,4))*INDEX('Methodology &amp; Sources'!$B$167:$J$179,0,4+2)),SUMPRODUCT(($AZ31&gt;INDEX('Methodology &amp; Sources'!$B$155:$J$162,0,1))*($AZ31-INDEX('Methodology &amp; Sources'!$B$155:$J$162,0,1))*INDEX('Methodology &amp; Sources'!$B$155:$J$162,0,1+2)))))),IF($AN31="NY",IF($AU31="Married",IF($AZ31&gt;=2155350,$AZ31*IF($AZ31&gt;25000000,0.117,IF($AZ31&gt;5000000,0.111,0.1045)),SUMPRODUCT(($AZ31&gt;INDEX('Methodology &amp; Sources'!$B$184:$J$198,0,1))*($AZ31-INDEX('Methodology &amp; Sources'!$B$184:$J$198,0,1))*INDEX('Methodology &amp; Sources'!$B$184:$J$198,0,1+2))),IF($AZ31&gt;=1077550,$AZ31*IF($AZ31&gt;25000000,0.117,IF($AZ31&gt;5000000,0.111,0.1045)),SUMPRODUCT(($AZ31&gt;INDEX('Methodology &amp; Sources'!$B$167:$J$179,0,7))*($AZ31-INDEX('Methodology &amp; Sources'!$B$167:$J$179,0,7))*INDEX('Methodology &amp; Sources'!$B$167:$J$179,0,7+2)))),"")))))))</f>
      </c>
      <c r="BX31" s="7">
        <f>IF($B31="","",IF($AN31="AL",IF(OR($AU31="Married",$AU31="Head of household"),SUMPRODUCT(($AZ31&gt;INDEX('Methodology &amp; Sources'!$B$82:$J$86,0,4))*($AZ31-INDEX('Methodology &amp; Sources'!$B$82:$J$86,0,4))*INDEX('Methodology &amp; Sources'!$B$82:$J$86,0,4+2)),SUMPRODUCT(($AZ31&gt;INDEX('Methodology &amp; Sources'!$B$82:$J$86,0,1))*($AZ31-INDEX('Methodology &amp; Sources'!$B$82:$J$86,0,1))*INDEX('Methodology &amp; Sources'!$B$82:$J$86,0,1+2))),IF($AN31="KS",IF($AU31="Married",SUMPRODUCT(($AZ31&gt;INDEX('Methodology &amp; Sources'!$B$103:$J$109,0,4))*($AZ31-INDEX('Methodology &amp; Sources'!$B$103:$J$109,0,4))*INDEX('Methodology &amp; Sources'!$B$103:$J$109,0,4+2)),SUMPRODUCT(($AZ31&gt;INDEX('Methodology &amp; Sources'!$B$103:$J$109,0,1))*($AZ31-INDEX('Methodology &amp; Sources'!$B$103:$J$109,0,1))*INDEX('Methodology &amp; Sources'!$B$103:$J$109,0,1+2))),IF($AN31="MN",IF($AU31="Married",SUMPRODUCT(($AZ31&gt;INDEX('Methodology &amp; Sources'!$B$114:$J$120,0,7))*($AZ31-INDEX('Methodology &amp; Sources'!$B$114:$J$120,0,7))*INDEX('Methodology &amp; Sources'!$B$114:$J$120,0,7+2)),SUMPRODUCT(($AZ31&gt;INDEX('Methodology &amp; Sources'!$B$114:$J$120,0,4))*($AZ31-INDEX('Methodology &amp; Sources'!$B$114:$J$120,0,4))*INDEX('Methodology &amp; Sources'!$B$114:$J$120,0,4+2))),IF($AN31="NE",MAX(IF($AU31="Married",SUMPRODUCT(($AZ31&gt;INDEX('Methodology &amp; Sources'!$B$144:$J$150,0,7))*($AZ31-INDEX('Methodology &amp; Sources'!$B$144:$J$150,0,7))*INDEX('Methodology &amp; Sources'!$B$144:$J$150,0,7+2)),SUMPRODUCT(($AZ31&gt;INDEX('Methodology &amp; Sources'!$B$144:$J$150,0,4))*($AZ31-INDEX('Methodology &amp; Sources'!$B$144:$J$150,0,4))*INDEX('Methodology &amp; Sources'!$B$144:$J$150,0,4+2))),0.015*$AZ31),IF($AN31="OH",IF($B31&gt;=DATE(2027,8,1),SUMPRODUCT(($AZ31&gt;INDEX('Methodology &amp; Sources'!$B$203:$J$206,0,1))*($AZ31-INDEX('Methodology &amp; Sources'!$B$203:$J$206,0,1))*INDEX('Methodology &amp; Sources'!$B$203:$J$206,0,1+2)),SUMPRODUCT(($AZ31&gt;INDEX('Methodology &amp; Sources'!$B$184:$J$198,0,7))*($AZ31-INDEX('Methodology &amp; Sources'!$B$184:$J$198,0,7))*INDEX('Methodology &amp; Sources'!$B$184:$J$198,0,7+2))),IF($AN31="OK",IF($AU31="Married",SUMPRODUCT(($AZ31&gt;INDEX('Methodology &amp; Sources'!$B$203:$J$206,0,7))*($AZ31-INDEX('Methodology &amp; Sources'!$B$203:$J$206,0,7))*INDEX('Methodology &amp; Sources'!$B$203:$J$206,0,7+2)),SUMPRODUCT(($AZ31&gt;INDEX('Methodology &amp; Sources'!$B$203:$J$206,0,4))*($AZ31-INDEX('Methodology &amp; Sources'!$B$203:$J$206,0,4))*INDEX('Methodology &amp; Sources'!$B$203:$J$206,0,4+2))),IF($AN31="RI",SUMPRODUCT(($AZ31&gt;INDEX('Methodology &amp; Sources'!$B$211:$J$214,0,7))*($AZ31-INDEX('Methodology &amp; Sources'!$B$211:$J$214,0,7))*INDEX('Methodology &amp; Sources'!$B$211:$J$214,0,7+2)),IF($AN31="VT",IF($AU31="Married",SUMPRODUCT(($AZ31&gt;INDEX('Methodology &amp; Sources'!$B$228:$J$232,0,1))*($AZ31-INDEX('Methodology &amp; Sources'!$B$228:$J$232,0,1))*INDEX('Methodology &amp; Sources'!$B$228:$J$232,0,1+2)),SUMPRODUCT(($AZ31&gt;INDEX('Methodology &amp; Sources'!$B$219:$J$223,0,7))*($AZ31-INDEX('Methodology &amp; Sources'!$B$219:$J$223,0,7))*INDEX('Methodology &amp; Sources'!$B$219:$J$223,0,7+2))),IF($AN31="WV",IF($AU31="Married",SUMPRODUCT(($AZ31&gt;INDEX('Methodology &amp; Sources'!$B$237:$J$241,0,7))*($AZ31-INDEX('Methodology &amp; Sources'!$B$237:$J$241,0,7))*INDEX('Methodology &amp; Sources'!$B$237:$J$241,0,7+2)),SUMPRODUCT(($AZ31&gt;INDEX('Methodology &amp; Sources'!$B$228:$J$232,0,7))*($AZ31-INDEX('Methodology &amp; Sources'!$B$228:$J$232,0,7))*INDEX('Methodology &amp; Sources'!$B$228:$J$232,0,7+2))),""))))))))))</f>
      </c>
      <c r="BY31" s="7">
        <f>IF($B31="","",IF($AN31="AR",SUMPRODUCT(($AZ31&gt;INDEX('Methodology &amp; Sources'!$B$82:$J$86,0,7))*($AZ31-INDEX('Methodology &amp; Sources'!$B$82:$J$86,0,7))*INDEX('Methodology &amp; Sources'!$B$82:$J$86,0,7+2)),IF($AN31="DE",SUMPRODUCT(($AZ31&gt;INDEX('Methodology &amp; Sources'!$B$91:$J$98,0,1))*($AZ31-INDEX('Methodology &amp; Sources'!$B$91:$J$98,0,1))*INDEX('Methodology &amp; Sources'!$B$91:$J$98,0,1+2)),IF($AN31="HI",IF($AU31="Married",SUMPRODUCT(($AZ31&gt;INDEX('Methodology &amp; Sources'!$B$91:$J$98,0,7))*($AZ31-INDEX('Methodology &amp; Sources'!$B$91:$J$98,0,7))*INDEX('Methodology &amp; Sources'!$B$91:$J$98,0,7+2)),SUMPRODUCT(($AZ31&gt;INDEX('Methodology &amp; Sources'!$B$91:$J$98,0,4))*($AZ31-INDEX('Methodology &amp; Sources'!$B$91:$J$98,0,4))*INDEX('Methodology &amp; Sources'!$B$91:$J$98,0,4+2))),IF($AN31="SC",SUMPRODUCT(($AZ31&gt;INDEX('Methodology &amp; Sources'!$B$219:$J$223,0,1))*($AZ31-INDEX('Methodology &amp; Sources'!$B$219:$J$223,0,1))*INDEX('Methodology &amp; Sources'!$B$219:$J$223,0,1+2)),IF($AN31="VA",SUMPRODUCT(($AZ31&gt;INDEX('Methodology &amp; Sources'!$B$219:$J$223,0,4))*($AZ31-INDEX('Methodology &amp; Sources'!$B$219:$J$223,0,4))*INDEX('Methodology &amp; Sources'!$B$219:$J$223,0,4+2)),IF($AN31="WI",SUMPRODUCT(($AZ31&gt;INDEX('Methodology &amp; Sources'!$B$228:$J$232,0,4))*($AZ31-INDEX('Methodology &amp; Sources'!$B$228:$J$232,0,4))*INDEX('Methodology &amp; Sources'!$B$228:$J$232,0,4+2)),"")))))))</f>
      </c>
      <c r="BZ31" s="24">
        <f>IF($B31="","",IF($AN31="NJ",IF('Inputs 2'!$C$77="B",SUMPRODUCT(($AZ31&gt;=INDEX('Methodology &amp; Sources'!$B$155:$J$162,0,4))*INDEX('Methodology &amp; Sources'!$B$155:$J$162,0,4+2)),IF('Inputs 2'!$C$77="C",SUMPRODUCT(($AZ31&gt;=INDEX('Methodology &amp; Sources'!$B$155:$J$162,0,7))*INDEX('Methodology &amp; Sources'!$B$155:$J$162,0,7+2)),IF('Inputs 2'!$C$77="D",SUMPRODUCT(($AZ31&gt;=INDEX('Methodology &amp; Sources'!$B$167:$J$179,0,1))*INDEX('Methodology &amp; Sources'!$B$167:$J$179,0,1+2)),IF('Inputs 2'!$C$77="E",SUMPRODUCT(($AZ31&gt;=INDEX('Methodology &amp; Sources'!$B$167:$J$179,0,4))*INDEX('Methodology &amp; Sources'!$B$167:$J$179,0,4+2)),SUMPRODUCT(($AZ31&gt;=INDEX('Methodology &amp; Sources'!$B$155:$J$162,0,1))*INDEX('Methodology &amp; Sources'!$B$155:$J$162,0,1+2)))))),IF($AN31="OR",IF(OR($AU31="Married",AND($AU31="Single",$AS31&gt;=3)),SUMPRODUCT((MAX(0,$AY31-MIN(($P31-'Methodology &amp; Sources'!$C$10*$D31)*'Inputs 2'!$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Sources'!$B$211:$J$214,0,4))*INDEX('Methodology &amp; Sources'!$B$211:$J$214,0,4+2)),SUMPRODUCT((MAX(0,$AY31-MIN(($P31-'Methodology &amp; Sources'!$C$10*$D31)*'Inputs 2'!$C$8,IF(OR($AU31="Married",AND($AU31="Single",$AS31&gt;=3)),IF($AY31&lt;250000,8750,IF($AY31&lt;260000,7000,IF($AY31&lt;270000,5250,IF($AY31&lt;280000,3500,IF($AY31&lt;290000,1750,0))))),IF($AY31&lt;125000,8750,IF($AY31&lt;130000,7000,IF($AY31&lt;135000,5250,IF($AY31&lt;140000,3500,IF($AY31&lt;145000,1750,0)))))))-IF(OR($AU31="Married",AND($AU31="Single",$AS31&gt;=3)),5820,2910))&gt;=INDEX('Methodology &amp; Sources'!$B$211:$J$214,0,1))*INDEX('Methodology &amp; Sources'!$B$211:$J$214,0,1+2)))*IF(($P31-'Methodology &amp; Sources'!$C$10*$D31)*'Inputs 2'!$C$8&gt;=IF(OR($AU31="Married",AND($AU31="Single",$AS31&gt;=3)),IF($AY31&lt;250000,8750,IF($AY31&lt;260000,7000,IF($AY31&lt;270000,5250,IF($AY31&lt;280000,3500,IF($AY31&lt;290000,1750,0))))),IF($AY31&lt;125000,8750,IF($AY31&lt;130000,7000,IF($AY31&lt;135000,5250,IF($AY31&lt;140000,3500,IF($AY31&lt;145000,1750,0)))))),1,1-IF('Inputs 2'!$C$13,SUMPRODUCT(($AH31&gt;=INDEX('Methodology &amp; Sources'!$B$29:$J$36,0,IF('Inputs 2'!$C$12="MFJ",1,IF('Inputs 2'!$C$12="HoH",7,4))))*INDEX('Methodology &amp; Sources'!$B$29:$J$36,0,IF('Inputs 2'!$C$12="MFJ",1,IF('Inputs 2'!$C$12="HoH",7,4))+2)),SUMPRODUCT(($AH31&gt;=INDEX('Methodology &amp; Sources'!$B$19:$J$26,0,IF('Inputs 2'!$C$12="MFJ",1,IF('Inputs 2'!$C$12="HoH",7,4))))*INDEX('Methodology &amp; Sources'!$B$19:$J$26,0,IF('Inputs 2'!$C$12="MFJ",1,IF('Inputs 2'!$C$12="HoH",7,4))+2)))),IF($AN31="MI",IF($AY31&gt;5900*$AS31,0.0425,0),""))))</f>
      </c>
      <c r="CA31" s="24">
        <f>IF($B31="","",IF($AN31="AL",IF(OR($AU31="Married",$AU31="Head of household"),SUMPRODUCT(($AZ31&gt;=INDEX('Methodology &amp; Sources'!$B$82:$J$86,0,4))*INDEX('Methodology &amp; Sources'!$B$82:$J$86,0,4+2)),SUMPRODUCT(($AZ31&gt;=INDEX('Methodology &amp; Sources'!$B$82:$J$86,0,1))*INDEX('Methodology &amp; Sources'!$B$82:$J$86,0,1+2)))*(1-IF('Inputs 2'!$C$13,SUMPRODUCT(($AH31&gt;=INDEX('Methodology &amp; Sources'!$B$29:$J$36,0,IF('Inputs 2'!$C$12="MFJ",1,IF('Inputs 2'!$C$12="HoH",7,4))))*INDEX('Methodology &amp; Sources'!$B$29:$J$36,0,IF('Inputs 2'!$C$12="MFJ",1,IF('Inputs 2'!$C$12="HoH",7,4))+2)),SUMPRODUCT(($AH31&gt;=INDEX('Methodology &amp; Sources'!$B$19:$J$26,0,IF('Inputs 2'!$C$12="MFJ",1,IF('Inputs 2'!$C$12="HoH",7,4))))*INDEX('Methodology &amp; Sources'!$B$19:$J$26,0,IF('Inputs 2'!$C$12="MFJ",1,IF('Inputs 2'!$C$12="HoH",7,4))+2)))),IF($AN31="KS",IF($AU31="Married",SUMPRODUCT(($AZ31&gt;=INDEX('Methodology &amp; Sources'!$B$103:$J$109,0,4))*INDEX('Methodology &amp; Sources'!$B$103:$J$109,0,4+2)),SUMPRODUCT(($AZ31&gt;=INDEX('Methodology &amp; Sources'!$B$103:$J$109,0,1))*INDEX('Methodology &amp; Sources'!$B$103:$J$109,0,1+2))),IF($AN31="MD",IF(OR($AU31="Married",$AU31="Head of household"),SUMPRODUCT(($AZ31&gt;=INDEX('Methodology &amp; Sources'!$B$114:$J$120,0,1))*INDEX('Methodology &amp; Sources'!$B$114:$J$120,0,1+2)),SUMPRODUCT(($AZ31&gt;=INDEX('Methodology &amp; Sources'!$B$103:$J$109,0,7))*INDEX('Methodology &amp; Sources'!$B$103:$J$109,0,7+2)))+'Inputs 2'!$C$74,IF($AN31="MT",IF($AU31="Head of household",SUMPRODUCT(($AZ31&gt;=INDEX('Methodology &amp; Sources'!$B$137:$J$139,0,1))*INDEX('Methodology &amp; Sources'!$B$137:$J$139,0,1+2)),IF($AU31="Married",SUMPRODUCT(($AZ31&gt;=INDEX('Methodology &amp; Sources'!$B$125:$J$132,0,7))*INDEX('Methodology &amp; Sources'!$B$125:$J$132,0,7+2)),SUMPRODUCT(($AZ31&gt;=INDEX('Methodology &amp; Sources'!$B$125:$J$132,0,4))*INDEX('Methodology &amp; Sources'!$B$125:$J$132,0,4+2)))),IF($AN31="ND",IF($AU31="Head of household",SUMPRODUCT(($AZ31&gt;=INDEX('Methodology &amp; Sources'!$B$144:$J$150,0,1))*INDEX('Methodology &amp; Sources'!$B$144:$J$150,0,1+2)),IF($AU31="Married",SUMPRODUCT(($AZ31&gt;=INDEX('Methodology &amp; Sources'!$B$137:$J$139,0,7))*INDEX('Methodology &amp; Sources'!$B$137:$J$139,0,7+2)),SUMPRODUCT(($AZ31&gt;=INDEX('Methodology &amp; Sources'!$B$137:$J$139,0,4))*INDEX('Methodology &amp; Sources'!$B$137:$J$139,0,4+2)))),IF($AN31="NY",IF($AU31="Married",IF($AZ31&gt;=2155350,IF($AZ31&gt;25000000,0.117,IF($AZ31&gt;5000000,0.111,0.1045)),SUMPRODUCT(($AZ31&gt;=INDEX('Methodology &amp; Sources'!$B$184:$J$198,0,1))*INDEX('Methodology &amp; Sources'!$B$184:$J$198,0,1+2))),IF($AZ31&gt;=1077550,IF($AZ31&gt;25000000,0.117,IF($AZ31&gt;5000000,0.111,0.1045)),SUMPRODUCT(($AZ31&gt;=INDEX('Methodology &amp; Sources'!$B$167:$J$179,0,7))*INDEX('Methodology &amp; Sources'!$B$167:$J$179,0,7+2)))),"")))))))</f>
      </c>
      <c r="CB31" s="24">
        <f>IF($B31="","",IF($AN31="CA",SUMPRODUCT(($AJ31&gt;=INDEX('Methodology &amp; Sources'!$B$39:$J$48,0,IF($AU31="Married",4,IF($AU31="Head of household",7,1))))*INDEX('Methodology &amp; Sources'!$B$39:$J$48,0,IF($AU31="Married",4,IF($AU31="Head of household",7,1))+2)),IF($AN31="HI",IF($AU31="Married",SUMPRODUCT(($AZ31&gt;=INDEX('Methodology &amp; Sources'!$B$91:$J$98,0,7))*INDEX('Methodology &amp; Sources'!$B$91:$J$98,0,7+2)),SUMPRODUCT(($AZ31&gt;=INDEX('Methodology &amp; Sources'!$B$91:$J$98,0,4))*INDEX('Methodology &amp; Sources'!$B$91:$J$98,0,4+2))),IF($AN31="MN",IF($AU31="Married",SUMPRODUCT(($AZ31&gt;=INDEX('Methodology &amp; Sources'!$B$114:$J$120,0,7))*INDEX('Methodology &amp; Sources'!$B$114:$J$120,0,7+2)),SUMPRODUCT(($AZ31&gt;=INDEX('Methodology &amp; Sources'!$B$114:$J$120,0,4))*INDEX('Methodology &amp; Sources'!$B$114:$J$120,0,4+2))),IF($AN31="MO",SUMPRODUCT(($AZ31&gt;=INDEX('Methodology &amp; Sources'!$B$125:$J$132,0,1))*INDEX('Methodology &amp; Sources'!$B$125:$J$132,0,1+2)),IF($AN31="NE",MAX(IF($AU31="Married",SUMPRODUCT(($AZ31&gt;=INDEX('Methodology &amp; Sources'!$B$144:$J$150,0,7))*INDEX('Methodology &amp; Sources'!$B$144:$J$150,0,7+2)),SUMPRODUCT(($AZ31&gt;=INDEX('Methodology &amp; Sources'!$B$144:$J$150,0,4))*INDEX('Methodology &amp; Sources'!$B$144:$J$150,0,4+2))),0.015),IF($AN31="OH",IF($B31&gt;=DATE(2027,8,1),SUMPRODUCT(($AZ31&gt;=INDEX('Methodology &amp; Sources'!$B$203:$J$206,0,1))*INDEX('Methodology &amp; Sources'!$B$203:$J$206,0,1+2)),SUMPRODUCT(($AZ31&gt;=INDEX('Methodology &amp; Sources'!$B$184:$J$198,0,7))*INDEX('Methodology &amp; Sources'!$B$184:$J$198,0,7+2))),IF($AN31="OK",IF($AU31="Married",SUMPRODUCT(($AZ31&gt;=INDEX('Methodology &amp; Sources'!$B$203:$J$206,0,7))*INDEX('Methodology &amp; Sources'!$B$203:$J$206,0,7+2)),SUMPRODUCT(($AZ31&gt;=INDEX('Methodology &amp; Sources'!$B$203:$J$206,0,4))*INDEX('Methodology &amp; Sources'!$B$203:$J$206,0,4+2))),IF($AN31="RI",SUMPRODUCT(($AZ31&gt;=INDEX('Methodology &amp; Sources'!$B$211:$J$214,0,7))*INDEX('Methodology &amp; Sources'!$B$211:$J$214,0,7+2)),IF($AN31="SC",SUMPRODUCT(($AZ31&gt;=INDEX('Methodology &amp; Sources'!$B$219:$J$223,0,1))*INDEX('Methodology &amp; Sources'!$B$219:$J$223,0,1+2)),IF($AN31="VT",IF($AU31="Married",SUMPRODUCT(($AZ31&gt;=INDEX('Methodology &amp; Sources'!$B$228:$J$232,0,1))*INDEX('Methodology &amp; Sources'!$B$228:$J$232,0,1+2)),SUMPRODUCT(($AZ31&gt;=INDEX('Methodology &amp; Sources'!$B$219:$J$223,0,7))*INDEX('Methodology &amp; Sources'!$B$219:$J$223,0,7+2))),IF($AN31="WV",IF($AU31="Married",SUMPRODUCT(($AZ31&gt;=INDEX('Methodology &amp; Sources'!$B$237:$J$241,0,7))*INDEX('Methodology &amp; Sources'!$B$237:$J$241,0,7+2)),SUMPRODUCT(($AZ31&gt;=INDEX('Methodology &amp; Sources'!$B$228:$J$232,0,7))*INDEX('Methodology &amp; Sources'!$B$228:$J$232,0,7+2))),IF($AN31="IN",(0.0295+'Inputs 2'!$C$76),"")))))))))))))</f>
      </c>
      <c r="CC31" s="24">
        <f>IF($B31="","",IF($AN31="AR",SUMPRODUCT(($AZ31&gt;=INDEX('Methodology &amp; Sources'!$B$82:$J$86,0,7))*INDEX('Methodology &amp; Sources'!$B$82:$J$86,0,7+2)),IF($AN31="DE",SUMPRODUCT(($AZ31&gt;=INDEX('Methodology &amp; Sources'!$B$91:$J$98,0,1))*INDEX('Methodology &amp; Sources'!$B$91:$J$98,0,1+2)),IF($AN31="VA",SUMPRODUCT(($AZ31&gt;=INDEX('Methodology &amp; Sources'!$B$219:$J$223,0,4))*INDEX('Methodology &amp; Sources'!$B$219:$J$223,0,4+2)),IF($AN31="WI",SUMPRODUCT(($AZ31&gt;=INDEX('Methodology &amp; Sources'!$B$228:$J$232,0,4))*INDEX('Methodology &amp; Sources'!$B$228:$J$232,0,4+2)),IF($AN31="AZ",'Inputs 2'!$C$82,IF($AN31="CO",IF($AY31&gt;IF($AU31="Married",10000,5000),0.044,0),IF($AN31="IA",IF($AY31&gt;IF($AU31="Head of household",19500,IF($AU31="Married",26000,13000)),0.038,0),IF($AN31="ID",IF($AY31&gt;IF($AU31="Married",32000,16094),0.053,0),IF($AN31="IL",IF($AY31&gt;(2925*$AS31+1000*$AT31),0.0495,0),IF($AN31="KY",IF($AI31&gt;3360,0.035,0),IF($AN31="LA",0.0309,IF($AN31="MA",IF(MAX(0,$AY31-MIN(($BD30+$Q31+$R31+$S31),2000)-IF($AS31=0,0,IF($AS31=1,4400,1000*$AS31+3400)))&gt;=1107750,0.09,0.05),IF($AN31="MS",IF($AI31-IF($AU31="Head of household",3400,IF($AU31="Married",4600,2300))-'Inputs 2'!$C$85&gt;10000,0.04,0),IF($AN31="PA",0.0307,"")))))))))))))))</f>
      </c>
      <c r="CD31" s="21">
        <f>IF(YEAR(IF('Inputs 2'!$C$7="Weekly",'Inputs 2'!$C$9+7*(($BE30+1)-1),IF('Inputs 2'!$C$7="Biweekly",'Inputs 2'!$C$9+14*(($BE30+1)-1),IF('Inputs 2'!$C$7="Semimonthly",DATE(YEAR('Inputs 2'!$C$9),MONTH('Inputs 2'!$C$9)+INT((($BE30+1)-1)/2),MIN(DAY('Inputs 2'!$C$9),DAY(EOMONTH(DATE(YEAR('Inputs 2'!$C$9),MONTH('Inputs 2'!$C$9)+INT((($BE30+1)-1)/2),1),0))))+IF(MOD(($BE30+1)-1,2)=1,15,0),EDATE('Inputs 2'!$C$9,($BE30+1)-1)))))&lt;&gt;'Inputs 2'!$C$10,"",IF('Inputs 2'!$C$7="Weekly",'Inputs 2'!$C$9+7*(($BE30+1)-1),IF('Inputs 2'!$C$7="Biweekly",'Inputs 2'!$C$9+14*(($BE30+1)-1),IF('Inputs 2'!$C$7="Semimonthly",DATE(YEAR('Inputs 2'!$C$9),MONTH('Inputs 2'!$C$9)+INT((($BE30+1)-1)/2),MIN(DAY('Inputs 2'!$C$9),DAY(EOMONTH(DATE(YEAR('Inputs 2'!$C$9),MONTH('Inputs 2'!$C$9)+INT((($BE30+1)-1)/2),1),0))))+IF(MOD(($BE30+1)-1,2)=1,15,0),EDATE('Inputs 2'!$C$9,($BE30+1)-1)))))</f>
      </c>
      <c r="CE31" s="21">
        <f>IF(SUMPRODUCT(MIN(IF(('Inputs 2'!$C$58:$C$67&gt;MAX($B$6:$B30))*('Inputs 2'!$C$58:$C$67&gt;=DATE('Inputs 2'!$C$10,1,1))*('Inputs 2'!$C$58:$C$67&lt;=DATE('Inputs 2'!$C$10,12,31)),'Inputs 2'!$C$58:$C$67,999999)))=999999,"",SUMPRODUCT(MIN(IF(('Inputs 2'!$C$58:$C$67&gt;MAX($B$6:$B30))*('Inputs 2'!$C$58:$C$67&gt;=DATE('Inputs 2'!$C$10,1,1))*('Inputs 2'!$C$58:$C$67&lt;=DATE('Inputs 2'!$C$10,12,31)),'Inputs 2'!$C$58:$C$67,999999))))</f>
      </c>
    </row>
    <row r="32">
      <c r="A32" t="n">
        <v>27</v>
      </c>
      <c r="B32" s="21">
        <f>IF(AND($CD32="",$CE32=""),"",IF($CE32="",$CD32,IF($CD32="",$CE32,MIN($CD32,$CE32))))</f>
      </c>
      <c r="C32" s="7">
        <f>IF($B32="","",IF($BF32=0,0,IF('Inputs 2'!$C$4="Annual salary",ROUND($AK32/IF(AND('Inputs 2'!$C$88="Actual paydays",MONTH('Inputs 2'!$C$9)=1),MAX(1,MAX($BE$6:$BE$68)),'Inputs 2'!$C$8),2),$AK32)))</f>
      </c>
      <c r="D32" s="7">
        <f>IF($B32="","",SUMIF('Inputs 2'!$C$58:$C$67,$B32,'Inputs 2'!$D$58:$D$67))</f>
      </c>
      <c r="E32" s="7">
        <f>IF($B32="","",ROUND(MAX(0,MIN(IF($AL32="Percent",$AM32*($C32+$D32),$AM32),MAX(0,'Inputs 2'!$C$34-$AC31))),2))</f>
      </c>
      <c r="F32" s="7">
        <f>IF($B32="","",ROUND(MAX(0,MIN(IF('Inputs 2'!$C$32="Percent",'Inputs 2'!$D$32*($C32+$D32),'Inputs 2'!$D$32),MAX(0,'Inputs 2'!$C$34-$AC31-$E32))),2))</f>
      </c>
      <c r="G32" s="7">
        <f>IF($B32="","",IF($BF32=0,0,ROUND(MAX(0,MIN($BL32,'Inputs 2'!$C$37-'Inputs 2'!$C$54-$BI31)),2)))</f>
      </c>
      <c r="H32" s="7">
        <f>IF($B32="","",IF(OR($BF32=0,$BQ32=1),0,ROUND(MAX(0,MIN(IF($BS32=1,ROUND(MAX(0,MIN($BJ32,'Methodology &amp; Sources'!$C$13)-$BG31)/MAX(1,MAX($BE$6:$BE$68)-($BE31)),2),ROUND(MIN($BJ32,'Methodology &amp; Sources'!$C$13)/'Inputs 2'!$C$8,2)),MIN($BJ32,'Methodology &amp; Sources'!$C$13)-$BG31)),2)))</f>
      </c>
      <c r="I32" s="7">
        <f>IF($B32="","",IF(OR($BF32=0,$BR32=1),0,ROUND(MAX(0,MIN(IF($BT32=1,ROUND(MAX(0,MIN($BK32,IF('Inputs 2'!$C$12="MFJ",'Methodology &amp; Sources'!$C$14,'Methodology &amp; Sources'!$C$15))-$BH31)/MAX(1,MAX($BE$6:$BE$68)-($BE31)),2),ROUND(MIN($BK32,IF('Inputs 2'!$C$12="MFJ",'Methodology &amp; Sources'!$C$14,'Methodology &amp; Sources'!$C$15))/'Inputs 2'!$C$8,2)),MIN($BK32,IF('Inputs 2'!$C$12="MFJ",'Methodology &amp; Sources'!$C$14,'Methodology &amp; Sources'!$C$15))-$BH31)),2)))</f>
      </c>
      <c r="J32" s="7">
        <f>IF($B32="","",IF($BF32=0,0,$BM32))</f>
      </c>
      <c r="K32" s="7">
        <f>IF($B32="","",IF($BF32=0,0,$BN32+$BO32))</f>
      </c>
      <c r="L32" s="7">
        <f>IF($B32="","",IF($BF32=0,0,'Inputs 2'!$D$46))</f>
      </c>
      <c r="M32" s="7">
        <f>IF($B32="","",$C32+$D32+$L32-$E32-$G32-$H32-$I32-$J32-$K32)</f>
      </c>
      <c r="N32" s="7">
        <f>IF($B32="","",$C32+$D32+$L32-$G32-$H32-$I32-$J32-$K32)</f>
      </c>
      <c r="O32" s="7">
        <f>IF($B32="","",$C32+$D32+$L32-$E32-$H32-$I32-$J32-$K32-IF(OR($AN32="CA",$AN32="NJ"),0,$G32))</f>
      </c>
      <c r="P32" s="7">
        <f>IF($B32="","",IF('Inputs 2'!$C$18,0,ROUND(MAX(0,IF('Inputs 2'!$C$13,SUMPRODUCT(($AH32&gt;INDEX('Methodology &amp; Sources'!$B$29:$J$36,0,IF('Inputs 2'!$C$12="MFJ",1,IF('Inputs 2'!$C$12="HoH",7,4))))*($AH32-INDEX('Methodology &amp; Sources'!$B$29:$J$36,0,IF('Inputs 2'!$C$12="MFJ",1,IF('Inputs 2'!$C$12="HoH",7,4))))*INDEX('Methodology &amp; Sources'!$B$29:$J$36,0,IF('Inputs 2'!$C$12="MFJ",1,IF('Inputs 2'!$C$12="HoH",7,4))+2)),SUMPRODUCT(($AH32&gt;INDEX('Methodology &amp; Sources'!$B$19:$J$26,0,IF('Inputs 2'!$C$12="MFJ",1,IF('Inputs 2'!$C$12="HoH",7,4))))*($AH32-INDEX('Methodology &amp; Sources'!$B$19:$J$26,0,IF('Inputs 2'!$C$12="MFJ",1,IF('Inputs 2'!$C$12="HoH",7,4))))*INDEX('Methodology &amp; Sources'!$B$19:$J$26,0,IF('Inputs 2'!$C$12="MFJ",1,IF('Inputs 2'!$C$12="HoH",7,4))+2)))/'Inputs 2'!$C$8-$AO32/'Inputs 2'!$C$8)+$AR32+IF('Inputs 2'!$C$89="Aggregate",MAX(0,IF('Inputs 2'!$C$13,SUMPRODUCT((($AH32+$D32)&gt;INDEX('Methodology &amp; Sources'!$B$29:$J$36,0,IF('Inputs 2'!$C$12="MFJ",1,IF('Inputs 2'!$C$12="HoH",7,4))))*(($AH32+$D32)-INDEX('Methodology &amp; Sources'!$B$29:$J$36,0,IF('Inputs 2'!$C$12="MFJ",1,IF('Inputs 2'!$C$12="HoH",7,4))))*INDEX('Methodology &amp; Sources'!$B$29:$J$36,0,IF('Inputs 2'!$C$12="MFJ",1,IF('Inputs 2'!$C$12="HoH",7,4))+2)),SUMPRODUCT((($AH32+$D32)&gt;INDEX('Methodology &amp; Sources'!$B$19:$J$26,0,IF('Inputs 2'!$C$12="MFJ",1,IF('Inputs 2'!$C$12="HoH",7,4))))*(($AH32+$D32)-INDEX('Methodology &amp; Sources'!$B$19:$J$26,0,IF('Inputs 2'!$C$12="MFJ",1,IF('Inputs 2'!$C$12="HoH",7,4))))*INDEX('Methodology &amp; Sources'!$B$19:$J$26,0,IF('Inputs 2'!$C$12="MFJ",1,IF('Inputs 2'!$C$12="HoH",7,4))+2)))-IF('Inputs 2'!$C$13,SUMPRODUCT(($AH32&gt;INDEX('Methodology &amp; Sources'!$B$29:$J$36,0,IF('Inputs 2'!$C$12="MFJ",1,IF('Inputs 2'!$C$12="HoH",7,4))))*($AH32-INDEX('Methodology &amp; Sources'!$B$29:$J$36,0,IF('Inputs 2'!$C$12="MFJ",1,IF('Inputs 2'!$C$12="HoH",7,4))))*INDEX('Methodology &amp; Sources'!$B$29:$J$36,0,IF('Inputs 2'!$C$12="MFJ",1,IF('Inputs 2'!$C$12="HoH",7,4))+2)),SUMPRODUCT(($AH32&gt;INDEX('Methodology &amp; Sources'!$B$19:$J$26,0,IF('Inputs 2'!$C$12="MFJ",1,IF('Inputs 2'!$C$12="HoH",7,4))))*($AH32-INDEX('Methodology &amp; Sources'!$B$19:$J$26,0,IF('Inputs 2'!$C$12="MFJ",1,IF('Inputs 2'!$C$12="HoH",7,4))))*INDEX('Methodology &amp; Sources'!$B$19:$J$26,0,IF('Inputs 2'!$C$12="MFJ",1,IF('Inputs 2'!$C$12="HoH",7,4))+2)))),'Methodology &amp; Sources'!$C$10*$D32),2)))</f>
      </c>
      <c r="Q32" s="7">
        <f>IF($B32="","",ROUND('Methodology &amp; Sources'!$C$4*MIN($N32,MAX(0,'Methodology &amp; Sources'!$C$3-($AX32+$AB31-$AW32))),2))</f>
      </c>
      <c r="R32" s="7">
        <f>IF($B32="","",ROUND('Methodology &amp; Sources'!$C$5*$N32,2))</f>
      </c>
      <c r="S32" s="7">
        <f>IF($B32="","",ROUND('Methodology &amp; Sources'!$C$6*MAX(0,MIN($N32,$AG31+$N32-'Methodology &amp; Sources'!$C$7)),2))</f>
      </c>
      <c r="T32" s="7">
        <f>IF($B32="","",IF('Inputs 2'!$C$26,0,IF($AN32="CA",ROUND(IF($AI32&lt;=IF(($AS32+$AT32)&gt;=2,VLOOKUP($AN32,StateTables!$A$6:$AB$56,10,FALSE),VLOOKUP($AN32,StateTables!$A$6:$AB$56,9,FALSE)),0,MAX(0,SUMPRODUCT(($AJ32&gt;INDEX('Methodology &amp; Sources'!$B$39:$J$48,0,IF($AU32="Married",4,IF($AU32="Head of household",7,1))))*($AJ32-INDEX('Methodology &amp; Sources'!$B$39:$J$48,0,IF($AU32="Married",4,IF($AU32="Head of household",7,1))))*INDEX('Methodology &amp; Sources'!$B$39:$J$48,0,IF($AU32="Married",4,IF($AU32="Head of household",7,1))+2))-VLOOKUP($AN32,StateTables!$A$6:$AB$56,11,FALSE)*$AS32)/'Inputs 2'!$C$8)+'Inputs 2'!$C$25+VLOOKUP($AN32,StateTables!$A$6:$AB$56,13,FALSE)*$D32,2),IF(VLOOKUP($AN32,StateTables!$A$6:$AB$56,4,FALSE)="None",0,IF(ISNUMBER(SEARCH("MANUAL",VLOOKUP($AN32,StateTables!$A$6:$AB$56,5,FALSE))),'Inputs 2'!$C$28,ROUND(MAX(0,$BA32+$BB32)/'Inputs 2'!$C$8+'Inputs 2'!$C$25+$BC32,2))))))</f>
      </c>
      <c r="U32" s="7">
        <f>IF($B32="","",IF(VLOOKUP($AN32,StateTables!$A$6:$AB$56,24,FALSE)="flatq",IF(OR(MONTH($B32)=1,MONTH($B32)=4,MONTH($B32)=7,MONTH($B32)=10),VLOOKUP($AN32,StateTables!$A$6:$AB$56,25,FALSE),0),IF(VLOOKUP($AN32,StateTables!$A$6:$AB$56,24,FALSE)="dbl",MIN(ROUND(0.005*$N32,2),ROUND(0.6*52/'Inputs 2'!$C$8,2)),IF(OR(VLOOKUP($AN32,StateTables!$A$6:$AB$56,15,FALSE)="",VLOOKUP($AN32,StateTables!$A$6:$AB$56,15,FALSE)=0),0,ROUND(VLOOKUP($AN32,StateTables!$A$6:$AB$56,15,FALSE)*IF(OR(VLOOKUP($AN32,StateTables!$A$6:$AB$56,16,FALSE)="",VLOOKUP($AN32,StateTables!$A$6:$AB$56,16,FALSE)=0),$N32,MIN($N32,MAX(0,VLOOKUP($AN32,StateTables!$A$6:$AB$56,16,FALSE)-($AX32+$AB31-$AW32)))),2))))+IF(VLOOKUP($AN32,StateTables!$A$6:$AB$56,27,FALSE)="flatq",IF(OR(MONTH($B32)=1,MONTH($B32)=4,MONTH($B32)=7,MONTH($B32)=10),VLOOKUP($AN32,StateTables!$A$6:$AB$56,28,FALSE),0),IF(VLOOKUP($AN32,StateTables!$A$6:$AB$56,27,FALSE)="dbl",MIN(ROUND(0.005*$N32,2),ROUND(0.6*52/'Inputs 2'!$C$8,2)),IF(OR(VLOOKUP($AN32,StateTables!$A$6:$AB$56,18,FALSE)="",VLOOKUP($AN32,StateTables!$A$6:$AB$56,18,FALSE)=0),0,ROUND(VLOOKUP($AN32,StateTables!$A$6:$AB$56,18,FALSE)*IF(OR(VLOOKUP($AN32,StateTables!$A$6:$AB$56,19,FALSE)="",VLOOKUP($AN32,StateTables!$A$6:$AB$56,19,FALSE)=0),$N32,MIN($N32,MAX(0,VLOOKUP($AN32,StateTables!$A$6:$AB$56,19,FALSE)-($AX32+$AB31-$AW32)))),2)))))</f>
      </c>
      <c r="V32" s="7">
        <f>IF($B32="","",IF($AN32="NY",IF('Inputs 2'!$C$78,ROUND(SUMPRODUCT((MAX(0,($O32-$D32)*'Inputs 2'!$C$8-(IF($AU32="Married",5500,5000)+1000*$AS32))&gt;INDEX('Methodology &amp; Sources'!$B$184:$J$198,0,4))*(MAX(0,($O32-$D32)*'Inputs 2'!$C$8-(IF($AU32="Married",5500,5000)+1000*$AS32))-INDEX('Methodology &amp; Sources'!$B$184:$J$198,0,4))*INDEX('Methodology &amp; Sources'!$B$184:$J$198,0,4+2))/'Inputs 2'!$C$8+0.0425*$D32,2),0)+IF('Inputs 2'!$C$79="Resident",ROUND(0.1675*$T32,2),IF('Inputs 2'!$C$79="Nonresident",ROUND(0.005*MAX(0,($O32-$D32)-(IF($AU32="Married",7950,7400)+1000*$AS32)/'Inputs 2'!$C$8),2),0)),IF($AN32="PA",IF('Inputs 2'!$C$80="None",'Inputs 2'!$C$27+ROUND('Inputs 2'!$C$81*($C32+$D32),2),ROUND(IF('Inputs 2'!$C$80="Resident",IF($B32&lt;DATE(2027,7,1),0.03735,0.03735),IF($B32&lt;DATE(2027,7,1),0.03425,0.03425))*($C32+$D32),2)),IF($BF32=0,ROUND('Inputs 2'!$C$81*($C32+$D32),2),'Inputs 2'!$C$27+ROUND('Inputs 2'!$C$81*($C32+$D32),2)))))</f>
      </c>
      <c r="W32" s="7">
        <f>IF($B32="","",IF($BF32=0,0,$BP32))</f>
      </c>
      <c r="X32" s="7">
        <f>IF($B32="","",SUM($E32:$K32)+$P32+$Q32+$R32+$S32+$T32+$U32+$V32+$W32)</f>
      </c>
      <c r="Y32" s="22">
        <f>IF($B32="","",$C32+$D32-$X32)</f>
      </c>
      <c r="Z32" s="7">
        <f>IF($B32="","",$Z31+$C32+$D32)</f>
      </c>
      <c r="AA32" s="7">
        <f>IF($B32="","",$AA31+$Y32)</f>
      </c>
      <c r="AB32" s="7">
        <f>IF($B32="","",$AB31+MIN($N32,MAX(0,'Methodology &amp; Sources'!$C$3-($AX32+$AB31-$AW32))))</f>
      </c>
      <c r="AC32" s="7">
        <f>IF($B32="","",$AC31+$E32+$F32)</f>
      </c>
      <c r="AD32" s="3">
        <f>IF($B32="","",IF(AND($AB31&lt;'Methodology &amp; Sources'!$C$3,$AB32&gt;='Methodology &amp; Sources'!$C$3),"★ Social Security maxed on this check — from the next check your net rises by about $"&amp;TEXT(ROUND('Methodology &amp; Sources'!$C$4*$N32,2),"#,##0.00")&amp;". ","")&amp;IF(AND($AC31&lt;'Inputs 2'!$C$34,$AC32&gt;='Inputs 2'!$C$34),"★ 401(k) reaches the $"&amp;TEXT('Inputs 2'!$C$34,"#,##0")&amp;" cap on this check — deferrals stop and net pay rises. ","")&amp;IF(AND($AG31&lt;'Methodology &amp; Sources'!$C$7,$AG32&gt;='Methodology &amp; Sources'!$C$7),"★ Wages pass $200,000 — the 0.9% Additional Medicare Tax starts here. ","")&amp;IF(AND($BJ32&gt;0,$H32&gt;0,$BG31&lt;MIN($BJ32,'Methodology &amp; Sources'!$C$13),$BG31+$H32&gt;=MIN($BJ32,'Methodology &amp; Sources'!$C$13)),"★ Health FSA election is now fully deferred for the year. ",""))</f>
      </c>
      <c r="AE32" s="41" t="n"/>
      <c r="AF32" s="7">
        <f>IF(OR($B32="",$AE32=""),"",$AE32-$Y32)</f>
      </c>
      <c r="AG32" s="7">
        <f>IF($B32="","",$AG31+$N32)</f>
      </c>
      <c r="AH32" s="7">
        <f>IF($B32="","",MAX(0,($M32-$D32)*'Inputs 2'!$C$8+$AP32-$AQ32-IF('Inputs 2'!$C$13,0,IF('Inputs 2'!$C$12="MFJ",'Methodology &amp; Sources'!$C$8,'Methodology &amp; Sources'!$C$9))))</f>
      </c>
      <c r="AI32" s="7">
        <f>IF($B32="","",$O32*'Inputs 2'!$C$8)</f>
      </c>
      <c r="AJ32" s="7">
        <f>IF($B32="","",MAX(0,$AI32-VLOOKUP($AN32,StateTables!$A$6:$AB$56,12,FALSE)*$AT32-IF(($AS32+$AT32)&gt;=2,VLOOKUP($AN32,StateTables!$A$6:$AB$56,8,FALSE),VLOOKUP($AN32,StateTables!$A$6:$AB$56,7,FALSE))))</f>
      </c>
      <c r="AK32" s="7">
        <f>IF($B32="","",IFERROR(LOOKUP(2,1/(('Events 2'!$C$6:$C$17="Salary change")*('Events 2'!$B$6:$B$17&lt;=$B32)*('Events 2'!$B$6:$B$17&lt;&gt;"")),'Events 2'!$D$6:$D$17),IF('Inputs 2'!$C$4="Annual salary",'Inputs 2'!$C$5,'Inputs 2'!$C$6)))</f>
      </c>
      <c r="AL32">
        <f>IF($B32="","",IFERROR(LOOKUP(2,1/(('Events 2'!$C$6:$C$17="401(k) change")*('Events 2'!$B$6:$B$17&lt;=$B32)*('Events 2'!$B$6:$B$17&lt;&gt;"")),'Events 2'!$D$6:$D$17),'Inputs 2'!$C$30))</f>
      </c>
      <c r="AM32" s="7">
        <f>IF($B32="","",IFERROR(LOOKUP(2,1/(('Events 2'!$C$6:$C$17="401(k) change")*('Events 2'!$B$6:$B$17&lt;=$B32)*('Events 2'!$B$6:$B$17&lt;&gt;"")),'Events 2'!$E$6:$E$17),'Inputs 2'!$D$30))</f>
      </c>
      <c r="AN32">
        <f>IF($B32="","",IFERROR(LOOKUP(2,1/(('Events 2'!$C$6:$C$17="State move")*('Events 2'!$B$6:$B$17&lt;=$B32)*('Events 2'!$B$6:$B$17&lt;&gt;"")),'Events 2'!$D$6:$D$17),'Inputs 2'!$C$21))</f>
      </c>
      <c r="AO32" s="7">
        <f>IF($B32="","",IFERROR(LOOKUP(2,1/(('Events 2'!$C$6:$C$17="W-4 change")*('Events 2'!$B$6:$B$17&lt;=$B32)*('Events 2'!$B$6:$B$17&lt;&gt;"")),'Events 2'!$D$6:$D$17),'Inputs 2'!$C$14))</f>
      </c>
      <c r="AP32" s="7">
        <f>IF($B32="","",IFERROR(LOOKUP(2,1/(('Events 2'!$C$6:$C$17="W-4 change")*('Events 2'!$B$6:$B$17&lt;=$B32)*('Events 2'!$B$6:$B$17&lt;&gt;"")),'Events 2'!$E$6:$E$17),'Inputs 2'!$C$15))</f>
      </c>
      <c r="AQ32" s="7">
        <f>IF($B32="","",IFERROR(LOOKUP(2,1/(('Events 2'!$C$6:$C$17="W-4 change")*('Events 2'!$B$6:$B$17&lt;=$B32)*('Events 2'!$B$6:$B$17&lt;&gt;"")),'Events 2'!$F$6:$F$17),'Inputs 2'!$C$16))</f>
      </c>
      <c r="AR32" s="7">
        <f>IF($B32="","",IFERROR(LOOKUP(2,1/(('Events 2'!$C$6:$C$17="W-4 change")*('Events 2'!$B$6:$B$17&lt;=$B32)*('Events 2'!$B$6:$B$17&lt;&gt;"")),'Events 2'!$G$6:$G$17),'Inputs 2'!$C$17))</f>
      </c>
      <c r="AS32" s="6">
        <f>IF($B32="","",IFERROR(LOOKUP(2,1/((('Events 2'!$C$6:$C$17="State move")+('Events 2'!$C$6:$C$17="State cert change"))*('Events 2'!$B$6:$B$17&lt;=$B32)*('Events 2'!$B$6:$B$17&lt;&gt;"")),'Events 2'!$F$6:$F$17),'Inputs 2'!$C$23))</f>
      </c>
      <c r="AT32" s="6">
        <f>IF($B32="","",IFERROR(LOOKUP(2,1/((('Events 2'!$C$6:$C$17="State move")+('Events 2'!$C$6:$C$17="State cert change"))*('Events 2'!$B$6:$B$17&lt;=$B32)*('Events 2'!$B$6:$B$17&lt;&gt;"")),'Events 2'!$G$6:$G$17),'Inputs 2'!$C$24))</f>
      </c>
      <c r="AU32">
        <f>IF($B32="","",IFERROR(LOOKUP(2,1/(('Events 2'!$C$6:$C$17="State move")*('Events 2'!$B$6:$B$17&lt;=$B32)*('Events 2'!$B$6:$B$17&lt;&gt;"")),'Events 2'!$E$6:$E$17),'Inputs 2'!$C$22))</f>
      </c>
      <c r="AV32" s="6">
        <f>IF($B32="","",1+COUNTIFS('Events 2'!$C$6:$C$17,"Employer change",'Events 2'!$B$6:$B$17,"&lt;="&amp;$B32,'Events 2'!$B$6:$B$17,"&lt;&gt;"))</f>
      </c>
      <c r="AW32" s="7">
        <f>IF($B32="","",IF($AV32=1,'Inputs 2'!$C$49,IF(IFERROR(MATCH(IFERROR(LOOKUP(2,1/(('Events 2'!$C$6:$C$17="Employer change")*('Events 2'!$B$6:$B$17&lt;=$B32)*('Events 2'!$B$6:$B$17&lt;&gt;"")),'Events 2'!$B$6:$B$17),""),$B$6:$B$68,1),1)&lt;=1,'Inputs 2'!$C$49,INDEX($AB$6:$AB$68,MATCH(IFERROR(LOOKUP(2,1/(('Events 2'!$C$6:$C$17="Employer change")*('Events 2'!$B$6:$B$17&lt;=$B32)*('Events 2'!$B$6:$B$17&lt;&gt;"")),'Events 2'!$B$6:$B$17),""),$B$6:$B$68,1)-1))))</f>
      </c>
      <c r="AX32" s="7">
        <f>IF($B32="","",IF($AV32=1,'Inputs 2'!$C$49,IFERROR(LOOKUP(2,1/(('Events 2'!$C$6:$C$17="Employer change")*('Events 2'!$B$6:$B$17&lt;=$B32)*('Events 2'!$B$6:$B$17&lt;&gt;"")),'Events 2'!$D$6:$D$17),0)))</f>
      </c>
      <c r="AY32" s="7">
        <f>IF($B32="","",($O32-$D32)*'Inputs 2'!$C$8)</f>
      </c>
      <c r="AZ32" s="7">
        <f>IF($B32="","",IF($AN32="AL",MAX(0,$AY32-IF($AU32="Married",IF($AY32&lt;=25999,8500,MAX(5000,8500-175*CEILING(($AY32-25999)/500,1))),IF($AU32="Head of household",IF($AY32&lt;=25999,5200,MAX(2500,5200-135*CEILING(($AY32-25999)/500,1))),IF($AY32&lt;=25999,3000,MAX(2500,3000-25*CEILING(($AY32-25999)/500,1)))))-($P32-'Methodology &amp; Sources'!$C$10*$D32)*'Inputs 2'!$C$8-IF(OR($AU32="Married",$AU32="Head of household"),3000,1500)-$AT32*IF($AY32&lt;=50000,1000,IF($AY32&lt;=100000,500,300))),IF($AN32="AR",IF(MAX(0,$AY32-2470)&lt;97701,INT(MAX(0,$AY32-2470)/100)*100+50,MAX(0,$AY32-2470)),IF($AN32="DE",MAX(0,$AI32-3250),IF($AN32="HI",MAX(0,$AI32-1144*$AS32-4350),IF($AN32="KS",MAX(0,$AI32-(9160*IF($AU32="Married",2,1)+2320*$AT32+IF($AU32="Head of household",2320,0))),IF($AN32="MD",MAX(0,$AI32-3400-3200*$AS32),IF($AN32="MN",MAX(0,$AY32-5300*$AS32),IF($AN32="MO",MAX(0,$AI32-IF($AU32="Head of household",24150,IF($AU32="Married",IF('Inputs 2'!$C$83,16100,32200),16100))),IF($AN32="MT",$AY32,IF($AN32="ND",($C32+$L32)*'Inputs 2'!$C$8,IF($AN32="NE",MAX(0,$AY32-2440*$AS32),IF($AN32="NJ",MAX(0,$AY32-1000*$AS32),IF($AN32="NY",MAX(0,$AY32-(IF($AU32="Married",7950,7400)+1000*$AS32)),IF($AN32="OH",MAX(0,$AY32-650*$AS32),IF($AN32="OK",MAX(0,$AY32-1000*$AS32),IF($AN32="RI",MAX(0,$AI32-1000*$AS32),IF($AN32="SC",MAX(0,$AI32-5000*$AS32-IF($AS32=0,0,MIN(0.1*$AI32,7500))),IF($AN32="VA",MAX(0,$AI32-IF($AU32="Married",17500,8750)-930*$AS32-800*$AT32),IF($AN32="VT",MAX(0,$AI32-5400*$AS32),IF($AN32="WI",MAX(0,$AI32-MAX(0,IF($AU32="Married",9461-0.2*MAX(0,$AI32-25727),6702-0.12*MAX(0,$AI32-17780)))-400*$AS32),IF($AN32="WV",MAX(0,$AI32-2000*$AS32),$AI32))))))))))))))))))))))</f>
      </c>
      <c r="BA32" s="7">
        <f>IF($B32="","",IF($BW32&lt;&gt;"",$BW32,IF($BX32&lt;&gt;"",$BX32,IF($BY32&lt;&gt;"",$BY32,0))))</f>
      </c>
      <c r="BB32" s="7">
        <f>IF($B32="","",IF($AN32="AR",-29*$AS32,IF($AN32="DE",-110*$AS32,IF($AN32="MD",$AZ32*'Inputs 2'!$C$74,IF($AN32="AZ",'Inputs 2'!$C$82*($M32-$D32)*'Inputs 2'!$C$8,IF($AN32="CO",0.044*MAX(0,$AY32-IF($AU32="Married",10000,5000)),IF($AN32="IA",MAX(0,0.038*MAX(0,$AY32-IF($AU32="Head of household",19500,IF($AU32="Married",26000,13000)))-40*$AS32),IF($AN32="ID",0.053*MAX(0,$AY32-IF($AU32="Married",32000,16094)),IF($AN32="IL",0.0495*MAX(0,$AY32-(2925*$AS32+1000*$AT32)),IF($AN32="IN",(0.0295+'Inputs 2'!$C$76)*MAX(0,$AY32-(1000*$AS32+1500*$AT32+3000*'Inputs 2'!$C$86)),IF($AN32="KY",0.035*MAX(0,$AI32-3360),IF($AN32="LA",IF('Inputs 2'!$C$84="0",0.0309*$AI32,0.0309*MAX(0,$AI32-IF('Inputs 2'!$C$84="2",25750,12875))),IF($AN32="MA",0.05*MIN(MAX(0,$AY32-MIN(($BD31+$Q32+$R32+$S32),2000)-IF($AS32=0,0,IF($AS32=1,4400,1000*$AS32+3400))),1107750)+0.09*MAX(0,MAX(0,$AY32-MIN(($BD31+$Q32+$R32+$S32),2000)-IF($AS32=0,0,IF($AS32=1,4400,1000*$AS32+3400)))-1107750)-IF($AU32="Head of household",120,0)-110*'Inputs 2'!$C$75,IF($AN32="MI",0.0425*MAX(0,$AY32-5900*$AS32),IF($AN32="MS",0.04*MAX(0,$AI32-IF($AU32="Head of household",3400,IF($AU32="Married",4600,2300))-'Inputs 2'!$C$85-10000),IF($AN32="OR",IF(OR($AU32="Married",AND($AU32="Single",$AS32&gt;=3)),SUMPRODUCT((MAX(0,$AY32-MIN(($P32-'Methodology &amp; Sources'!$C$10*$D32)*'Inputs 2'!$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Sources'!$B$211:$J$214,0,4))*(MAX(0,$AY32-MIN(($P32-'Methodology &amp; Sources'!$C$10*$D32)*'Inputs 2'!$C$8,IF(OR($AU32="Married",AND($AU32="Single",$AS32&gt;=3)),IF($AY32&lt;250000,8750,IF($AY32&lt;260000,7000,IF($AY32&lt;270000,5250,IF($AY32&lt;280000,3500,IF($AY32&lt;290000,1750,0))))),IF($AY32&lt;125000,8750,IF($AY32&lt;130000,7000,IF($AY32&lt;135000,5250,IF($AY32&lt;140000,3500,IF($AY32&lt;145000,1750,0)))))))-IF(OR($AU32="Married",AND($AU32="Single",$AS32&gt;=3)),5820,2910))-INDEX('Methodology &amp; Sources'!$B$211:$J$214,0,4))*INDEX('Methodology &amp; Sources'!$B$211:$J$214,0,4+2)),SUMPRODUCT((MAX(0,$AY32-MIN(($P32-'Methodology &amp; Sources'!$C$10*$D32)*'Inputs 2'!$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Sources'!$B$211:$J$214,0,1))*(MAX(0,$AY32-MIN(($P32-'Methodology &amp; Sources'!$C$10*$D32)*'Inputs 2'!$C$8,IF(OR($AU32="Married",AND($AU32="Single",$AS32&gt;=3)),IF($AY32&lt;250000,8750,IF($AY32&lt;260000,7000,IF($AY32&lt;270000,5250,IF($AY32&lt;280000,3500,IF($AY32&lt;290000,1750,0))))),IF($AY32&lt;125000,8750,IF($AY32&lt;130000,7000,IF($AY32&lt;135000,5250,IF($AY32&lt;140000,3500,IF($AY32&lt;145000,1750,0)))))))-IF(OR($AU32="Married",AND($AU32="Single",$AS32&gt;=3)),5820,2910))-INDEX('Methodology &amp; Sources'!$B$211:$J$214,0,1))*INDEX('Methodology &amp; Sources'!$B$211:$J$214,0,1+2)))+263-263*IF(IF($AU32="Married",$AY32&gt;200000,$AY32&gt;100000),0,$AS32),IF($AN32="PA",0.0307*(($O32+$E32+$G32)*'Inputs 2'!$C$8),IF($AN32="NY",IF($AU32="Married",IF($AZ32&gt;=2155350,0,IF($AZ32&gt;=1077550,0.48,IF($AZ32&gt;=373200,1.21,IF($AZ32&gt;=323200,0.21,IF($AZ32&gt;=211550,-0.19,IF($AZ32&gt;=157650,-2.8,IF($AZ32&gt;=107650,-0.8,IF($AZ32&gt;=96800,0.05,IF($AZ32&gt;=80650,-0.1,IF($AZ32&gt;=13900,0.4,IF($AZ32&gt;=11700,-0.3,IF($AZ32&gt;=8500,0.5,0)))))))))))),IF($AZ32&gt;=1077550,0,IF($AZ32&gt;=265400,4.29,IF($AZ32&gt;=215400,2.29,IF($AZ32&gt;=157650,2.29,IF($AZ32&gt;=107650,0.29,IF($AZ32&gt;=96800,0.05,IF($AZ32&gt;=80650,-0.1,IF($AZ32&gt;=13900,0.4,IF($AZ32&gt;=11700,-0.3,IF($AZ32&gt;=8500,0.5,0))))))))))),0))))))))))))))))))</f>
      </c>
      <c r="BC32" s="7">
        <f>IF($B32="","",IF($AN32="AL",0.05*$D32,IF($AN32="AR",0.039*$D32,IF($AN32="ID",0.053*$D32,IF($AN32="IN",(0.0295+'Inputs 2'!$C$76)*$D32,IF($AN32="KS",0.05*$D32,IF($AN32="MA",0.09*MIN($D32,MAX(0,MAX(0,$AY32-MIN(($BD31+$Q32+$R32+$S32),2000)-IF($AS32=0,0,IF($AS32=1,4400,1000*$AS32+3400)))+$D32-1107750))+0.05*($D32-MIN($D32,MAX(0,MAX(0,$AY32-MIN(($BD31+$Q32+$R32+$S32),2000)-IF($AS32=0,0,IF($AS32=1,4400,1000*$AS32+3400)))+$D32-1107750))),IF($AN32="MD",(0.065+'Inputs 2'!$C$74)*$D32,IF($AN32="MI",0.0425*$D32,IF($AN32="MN",0.0625*$D32,IF($AN32="MO",0.047*$D32,IF($AN32="MT",0.05*$D32,IF($AN32="ND",0.015*$D32,IF($AN32="NE",0.035*$D32,IF($AN32="NJ",IF('Inputs 2'!$C$77="B",SUMPRODUCT(($D32*'Inputs 2'!$C$8&gt;INDEX('Methodology &amp; Sources'!$B$155:$J$162,0,4))*($D32*'Inputs 2'!$C$8-INDEX('Methodology &amp; Sources'!$B$155:$J$162,0,4))*INDEX('Methodology &amp; Sources'!$B$155:$J$162,0,4+2)),IF('Inputs 2'!$C$77="C",SUMPRODUCT(($D32*'Inputs 2'!$C$8&gt;INDEX('Methodology &amp; Sources'!$B$155:$J$162,0,7))*($D32*'Inputs 2'!$C$8-INDEX('Methodology &amp; Sources'!$B$155:$J$162,0,7))*INDEX('Methodology &amp; Sources'!$B$155:$J$162,0,7+2)),IF('Inputs 2'!$C$77="D",SUMPRODUCT(($D32*'Inputs 2'!$C$8&gt;INDEX('Methodology &amp; Sources'!$B$167:$J$179,0,1))*($D32*'Inputs 2'!$C$8-INDEX('Methodology &amp; Sources'!$B$167:$J$179,0,1))*INDEX('Methodology &amp; Sources'!$B$167:$J$179,0,1+2)),IF('Inputs 2'!$C$77="E",SUMPRODUCT(($D32*'Inputs 2'!$C$8&gt;INDEX('Methodology &amp; Sources'!$B$167:$J$179,0,4))*($D32*'Inputs 2'!$C$8-INDEX('Methodology &amp; Sources'!$B$167:$J$179,0,4))*INDEX('Methodology &amp; Sources'!$B$167:$J$179,0,4+2)),SUMPRODUCT(($D32*'Inputs 2'!$C$8&gt;INDEX('Methodology &amp; Sources'!$B$155:$J$162,0,1))*($D32*'Inputs 2'!$C$8-INDEX('Methodology &amp; Sources'!$B$155:$J$162,0,1))*INDEX('Methodology &amp; Sources'!$B$155:$J$162,0,1+2))))))/'Inputs 2'!$C$8,IF($AN32="NY",0.117*$D32,IF($AN32="OH",0.0275*$D32,IF($AN32="OK",0.045*$D32,IF($AN32="OR",0.08*$D32,IF($AN32="WI",IF($AY32&lt;12760,0.0354,IF($AY32&lt;25520,0.0465,IF($AY32&lt;280950,0.053,0.0765)))*$D32,0))))))))))))))))))))</f>
      </c>
      <c r="BD32" s="7">
        <f>IF($B32="","",$BD31+$Q32+$R32+$S32)</f>
      </c>
      <c r="BE32" s="6">
        <f>IF($B32="",$BE31,$BE31+$BF32)</f>
      </c>
      <c r="BF32" s="6">
        <f>IF($B32="","",IF(AND(IF(YEAR(IF('Inputs 2'!$C$7="Weekly",'Inputs 2'!$C$9+7*(($BE31+1)-1),IF('Inputs 2'!$C$7="Biweekly",'Inputs 2'!$C$9+14*(($BE31+1)-1),IF('Inputs 2'!$C$7="Semimonthly",DATE(YEAR('Inputs 2'!$C$9),MONTH('Inputs 2'!$C$9)+INT((($BE31+1)-1)/2),MIN(DAY('Inputs 2'!$C$9),DAY(EOMONTH(DATE(YEAR('Inputs 2'!$C$9),MONTH('Inputs 2'!$C$9)+INT((($BE31+1)-1)/2),1),0))))+IF(MOD(($BE31+1)-1,2)=1,15,0),EDATE('Inputs 2'!$C$9,($BE31+1)-1)))))&lt;&gt;'Inputs 2'!$C$10,"",IF('Inputs 2'!$C$7="Weekly",'Inputs 2'!$C$9+7*(($BE31+1)-1),IF('Inputs 2'!$C$7="Biweekly",'Inputs 2'!$C$9+14*(($BE31+1)-1),IF('Inputs 2'!$C$7="Semimonthly",DATE(YEAR('Inputs 2'!$C$9),MONTH('Inputs 2'!$C$9)+INT((($BE31+1)-1)/2),MIN(DAY('Inputs 2'!$C$9),DAY(EOMONTH(DATE(YEAR('Inputs 2'!$C$9),MONTH('Inputs 2'!$C$9)+INT((($BE31+1)-1)/2),1),0))))+IF(MOD(($BE31+1)-1,2)=1,15,0),EDATE('Inputs 2'!$C$9,($BE31+1)-1)))))&lt;&gt;"",$B32=IF(YEAR(IF('Inputs 2'!$C$7="Weekly",'Inputs 2'!$C$9+7*(($BE31+1)-1),IF('Inputs 2'!$C$7="Biweekly",'Inputs 2'!$C$9+14*(($BE31+1)-1),IF('Inputs 2'!$C$7="Semimonthly",DATE(YEAR('Inputs 2'!$C$9),MONTH('Inputs 2'!$C$9)+INT((($BE31+1)-1)/2),MIN(DAY('Inputs 2'!$C$9),DAY(EOMONTH(DATE(YEAR('Inputs 2'!$C$9),MONTH('Inputs 2'!$C$9)+INT((($BE31+1)-1)/2),1),0))))+IF(MOD(($BE31+1)-1,2)=1,15,0),EDATE('Inputs 2'!$C$9,($BE31+1)-1)))))&lt;&gt;'Inputs 2'!$C$10,"",IF('Inputs 2'!$C$7="Weekly",'Inputs 2'!$C$9+7*(($BE31+1)-1),IF('Inputs 2'!$C$7="Biweekly",'Inputs 2'!$C$9+14*(($BE31+1)-1),IF('Inputs 2'!$C$7="Semimonthly",DATE(YEAR('Inputs 2'!$C$9),MONTH('Inputs 2'!$C$9)+INT((($BE31+1)-1)/2),MIN(DAY('Inputs 2'!$C$9),DAY(EOMONTH(DATE(YEAR('Inputs 2'!$C$9),MONTH('Inputs 2'!$C$9)+INT((($BE31+1)-1)/2),1),0))))+IF(MOD(($BE31+1)-1,2)=1,15,0),EDATE('Inputs 2'!$C$9,($BE31+1)-1)))))),1,0))</f>
      </c>
      <c r="BG32" s="7">
        <f>IF($B32="","",$BG31+$H32)</f>
      </c>
      <c r="BH32" s="7">
        <f>IF($B32="","",$BH31+$I32)</f>
      </c>
      <c r="BI32" s="7">
        <f>IF($B32="","",$BI31+$G32)</f>
      </c>
      <c r="BJ32" s="7">
        <f>IF($B32="","",IFERROR(LOOKUP(2,1/(((('Events 2'!$C$6:$C$17="Deduction start"))*('Events 2'!$D$6:$D$17="Health FSA"))*('Events 2'!$B$6:$B$17&lt;=$B32)*('Events 2'!$B$6:$B$17&lt;&gt;"")),'Events 2'!$E$6:$E$17),'Inputs 2'!$D$38))</f>
      </c>
      <c r="BK32" s="7">
        <f>IF($B32="","",IFERROR(LOOKUP(2,1/(((('Events 2'!$C$6:$C$17="Deduction start"))*('Events 2'!$D$6:$D$17="Dependent-care FSA"))*('Events 2'!$B$6:$B$17&lt;=$B32)*('Events 2'!$B$6:$B$17&lt;&gt;"")),'Events 2'!$E$6:$E$17),'Inputs 2'!$D$39))</f>
      </c>
      <c r="BL32" s="7">
        <f>IF($B32="","",IFERROR(LOOKUP(2,1/(((('Events 2'!$C$6:$C$17="Deduction start")+('Events 2'!$C$6:$C$17="Deduction stop"))*('Events 2'!$D$6:$D$17="HSA"))*('Events 2'!$B$6:$B$17&lt;=$B32)*('Events 2'!$B$6:$B$17&lt;&gt;"")),'Events 2'!$I$6:$I$17),'Inputs 2'!$D$35))</f>
      </c>
      <c r="BM32" s="7">
        <f>IF($B32="","",IFERROR(LOOKUP(2,1/(((('Events 2'!$C$6:$C$17="Deduction start")+('Events 2'!$C$6:$C$17="Deduction stop"))*('Events 2'!$D$6:$D$17="Premiums"))*('Events 2'!$B$6:$B$17&lt;=$B32)*('Events 2'!$B$6:$B$17&lt;&gt;"")),'Events 2'!$I$6:$I$17),'Inputs 2'!$D$40+'Inputs 2'!$D$41+'Inputs 2'!$D$42))</f>
      </c>
      <c r="BN32" s="7">
        <f>IF($B32="","",IFERROR(LOOKUP(2,1/(((('Events 2'!$C$6:$C$17="Deduction start")+('Events 2'!$C$6:$C$17="Deduction stop"))*('Events 2'!$D$6:$D$17="Commuter"))*('Events 2'!$B$6:$B$17&lt;=$B32)*('Events 2'!$B$6:$B$17&lt;&gt;"")),'Events 2'!$I$6:$I$17),'Inputs 2'!$D$43))</f>
      </c>
      <c r="BO32" s="7">
        <f>IF($B32="","",IFERROR(LOOKUP(2,1/(((('Events 2'!$C$6:$C$17="Deduction start")+('Events 2'!$C$6:$C$17="Deduction stop"))*('Events 2'!$D$6:$D$17="Other pre-tax"))*('Events 2'!$B$6:$B$17&lt;=$B32)*('Events 2'!$B$6:$B$17&lt;&gt;"")),'Events 2'!$I$6:$I$17),'Inputs 2'!$D$44))</f>
      </c>
      <c r="BP32" s="7">
        <f>IF($B32="","",IFERROR(LOOKUP(2,1/(((('Events 2'!$C$6:$C$17="Deduction start")+('Events 2'!$C$6:$C$17="Deduction stop"))*('Events 2'!$D$6:$D$17="Other post-tax"))*('Events 2'!$B$6:$B$17&lt;=$B32)*('Events 2'!$B$6:$B$17&lt;&gt;"")),'Events 2'!$I$6:$I$17),'Inputs 2'!$D$45))</f>
      </c>
      <c r="BQ32" s="6">
        <f>IF($B32="","",IFERROR(LOOKUP(2,1/(((('Events 2'!$C$6:$C$17="Deduction start")+('Events 2'!$C$6:$C$17="Deduction stop"))*('Events 2'!$D$6:$D$17="Health FSA"))*('Events 2'!$B$6:$B$17&lt;=$B32)*('Events 2'!$B$6:$B$17&lt;&gt;"")),'Events 2'!$J$6:$J$17),0))</f>
      </c>
      <c r="BR32" s="6">
        <f>IF($B32="","",IFERROR(LOOKUP(2,1/(((('Events 2'!$C$6:$C$17="Deduction start")+('Events 2'!$C$6:$C$17="Deduction stop"))*('Events 2'!$D$6:$D$17="Dependent-care FSA"))*('Events 2'!$B$6:$B$17&lt;=$B32)*('Events 2'!$B$6:$B$17&lt;&gt;"")),'Events 2'!$J$6:$J$17),0))</f>
      </c>
      <c r="BS32" s="6">
        <f>IF($B32="","",IF(SUMPRODUCT(('Events 2'!$C$6:$C$17="Deduction start")*('Events 2'!$B$6:$B$17&lt;=$B32)*('Events 2'!$B$6:$B$17&lt;&gt;"")*('Events 2'!$D$6:$D$17="Health FSA"))&gt;0,1,0))</f>
      </c>
      <c r="BT32" s="6">
        <f>IF($B32="","",IF(SUMPRODUCT(('Events 2'!$C$6:$C$17="Deduction start")*('Events 2'!$B$6:$B$17&lt;=$B32)*('Events 2'!$B$6:$B$17&lt;&gt;"")*('Events 2'!$D$6:$D$17="Dependent-care FSA"))&gt;0,1,0))</f>
      </c>
      <c r="BU32" s="24">
        <f>IF($B32="","",IF('Inputs 2'!$C$13,SUMPRODUCT(($AH32&gt;=INDEX('Methodology &amp; Sources'!$B$29:$J$36,0,IF('Inputs 2'!$C$12="MFJ",1,IF('Inputs 2'!$C$12="HoH",7,4))))*INDEX('Methodology &amp; Sources'!$B$29:$J$36,0,IF('Inputs 2'!$C$12="MFJ",1,IF('Inputs 2'!$C$12="HoH",7,4))+2)),SUMPRODUCT(($AH32&gt;=INDEX('Methodology &amp; Sources'!$B$19:$J$26,0,IF('Inputs 2'!$C$12="MFJ",1,IF('Inputs 2'!$C$12="HoH",7,4))))*INDEX('Methodology &amp; Sources'!$B$19:$J$26,0,IF('Inputs 2'!$C$12="MFJ",1,IF('Inputs 2'!$C$12="HoH",7,4))+2))))</f>
      </c>
      <c r="BV32" s="24">
        <f>IF($B32="","",IF($BZ32&lt;&gt;"",$BZ32,IF($CA32&lt;&gt;"",$CA32,IF($CB32&lt;&gt;"",$CB32,IF($CC32&lt;&gt;"",$CC32,0)))))</f>
      </c>
      <c r="BW32" s="7">
        <f>IF($B32="","",IF($AN32="MD",IF(OR($AU32="Married",$AU32="Head of household"),SUMPRODUCT(($AZ32&gt;INDEX('Methodology &amp; Sources'!$B$114:$J$120,0,1))*($AZ32-INDEX('Methodology &amp; Sources'!$B$114:$J$120,0,1))*INDEX('Methodology &amp; Sources'!$B$114:$J$120,0,1+2)),SUMPRODUCT(($AZ32&gt;INDEX('Methodology &amp; Sources'!$B$103:$J$109,0,7))*($AZ32-INDEX('Methodology &amp; Sources'!$B$103:$J$109,0,7))*INDEX('Methodology &amp; Sources'!$B$103:$J$109,0,7+2))),IF($AN32="MO",SUMPRODUCT(($AZ32&gt;INDEX('Methodology &amp; Sources'!$B$125:$J$132,0,1))*($AZ32-INDEX('Methodology &amp; Sources'!$B$125:$J$132,0,1))*INDEX('Methodology &amp; Sources'!$B$125:$J$132,0,1+2)),IF($AN32="MT",IF($AU32="Head of household",SUMPRODUCT(($AZ32&gt;INDEX('Methodology &amp; Sources'!$B$137:$J$139,0,1))*($AZ32-INDEX('Methodology &amp; Sources'!$B$137:$J$139,0,1))*INDEX('Methodology &amp; Sources'!$B$137:$J$139,0,1+2)),IF($AU32="Married",SUMPRODUCT(($AZ32&gt;INDEX('Methodology &amp; Sources'!$B$125:$J$132,0,7))*($AZ32-INDEX('Methodology &amp; Sources'!$B$125:$J$132,0,7))*INDEX('Methodology &amp; Sources'!$B$125:$J$132,0,7+2)),SUMPRODUCT(($AZ32&gt;INDEX('Methodology &amp; Sources'!$B$125:$J$132,0,4))*($AZ32-INDEX('Methodology &amp; Sources'!$B$125:$J$132,0,4))*INDEX('Methodology &amp; Sources'!$B$125:$J$132,0,4+2)))),IF($AN32="ND",IF($AU32="Head of household",SUMPRODUCT(($AZ32&gt;INDEX('Methodology &amp; Sources'!$B$144:$J$150,0,1))*($AZ32-INDEX('Methodology &amp; Sources'!$B$144:$J$150,0,1))*INDEX('Methodology &amp; Sources'!$B$144:$J$150,0,1+2)),IF($AU32="Married",SUMPRODUCT(($AZ32&gt;INDEX('Methodology &amp; Sources'!$B$137:$J$139,0,7))*($AZ32-INDEX('Methodology &amp; Sources'!$B$137:$J$139,0,7))*INDEX('Methodology &amp; Sources'!$B$137:$J$139,0,7+2)),SUMPRODUCT(($AZ32&gt;INDEX('Methodology &amp; Sources'!$B$137:$J$139,0,4))*($AZ32-INDEX('Methodology &amp; Sources'!$B$137:$J$139,0,4))*INDEX('Methodology &amp; Sources'!$B$137:$J$139,0,4+2)))),IF($AN32="NJ",IF('Inputs 2'!$C$77="B",SUMPRODUCT(($AZ32&gt;INDEX('Methodology &amp; Sources'!$B$155:$J$162,0,4))*($AZ32-INDEX('Methodology &amp; Sources'!$B$155:$J$162,0,4))*INDEX('Methodology &amp; Sources'!$B$155:$J$162,0,4+2)),IF('Inputs 2'!$C$77="C",SUMPRODUCT(($AZ32&gt;INDEX('Methodology &amp; Sources'!$B$155:$J$162,0,7))*($AZ32-INDEX('Methodology &amp; Sources'!$B$155:$J$162,0,7))*INDEX('Methodology &amp; Sources'!$B$155:$J$162,0,7+2)),IF('Inputs 2'!$C$77="D",SUMPRODUCT(($AZ32&gt;INDEX('Methodology &amp; Sources'!$B$167:$J$179,0,1))*($AZ32-INDEX('Methodology &amp; Sources'!$B$167:$J$179,0,1))*INDEX('Methodology &amp; Sources'!$B$167:$J$179,0,1+2)),IF('Inputs 2'!$C$77="E",SUMPRODUCT(($AZ32&gt;INDEX('Methodology &amp; Sources'!$B$167:$J$179,0,4))*($AZ32-INDEX('Methodology &amp; Sources'!$B$167:$J$179,0,4))*INDEX('Methodology &amp; Sources'!$B$167:$J$179,0,4+2)),SUMPRODUCT(($AZ32&gt;INDEX('Methodology &amp; Sources'!$B$155:$J$162,0,1))*($AZ32-INDEX('Methodology &amp; Sources'!$B$155:$J$162,0,1))*INDEX('Methodology &amp; Sources'!$B$155:$J$162,0,1+2)))))),IF($AN32="NY",IF($AU32="Married",IF($AZ32&gt;=2155350,$AZ32*IF($AZ32&gt;25000000,0.117,IF($AZ32&gt;5000000,0.111,0.1045)),SUMPRODUCT(($AZ32&gt;INDEX('Methodology &amp; Sources'!$B$184:$J$198,0,1))*($AZ32-INDEX('Methodology &amp; Sources'!$B$184:$J$198,0,1))*INDEX('Methodology &amp; Sources'!$B$184:$J$198,0,1+2))),IF($AZ32&gt;=1077550,$AZ32*IF($AZ32&gt;25000000,0.117,IF($AZ32&gt;5000000,0.111,0.1045)),SUMPRODUCT(($AZ32&gt;INDEX('Methodology &amp; Sources'!$B$167:$J$179,0,7))*($AZ32-INDEX('Methodology &amp; Sources'!$B$167:$J$179,0,7))*INDEX('Methodology &amp; Sources'!$B$167:$J$179,0,7+2)))),"")))))))</f>
      </c>
      <c r="BX32" s="7">
        <f>IF($B32="","",IF($AN32="AL",IF(OR($AU32="Married",$AU32="Head of household"),SUMPRODUCT(($AZ32&gt;INDEX('Methodology &amp; Sources'!$B$82:$J$86,0,4))*($AZ32-INDEX('Methodology &amp; Sources'!$B$82:$J$86,0,4))*INDEX('Methodology &amp; Sources'!$B$82:$J$86,0,4+2)),SUMPRODUCT(($AZ32&gt;INDEX('Methodology &amp; Sources'!$B$82:$J$86,0,1))*($AZ32-INDEX('Methodology &amp; Sources'!$B$82:$J$86,0,1))*INDEX('Methodology &amp; Sources'!$B$82:$J$86,0,1+2))),IF($AN32="KS",IF($AU32="Married",SUMPRODUCT(($AZ32&gt;INDEX('Methodology &amp; Sources'!$B$103:$J$109,0,4))*($AZ32-INDEX('Methodology &amp; Sources'!$B$103:$J$109,0,4))*INDEX('Methodology &amp; Sources'!$B$103:$J$109,0,4+2)),SUMPRODUCT(($AZ32&gt;INDEX('Methodology &amp; Sources'!$B$103:$J$109,0,1))*($AZ32-INDEX('Methodology &amp; Sources'!$B$103:$J$109,0,1))*INDEX('Methodology &amp; Sources'!$B$103:$J$109,0,1+2))),IF($AN32="MN",IF($AU32="Married",SUMPRODUCT(($AZ32&gt;INDEX('Methodology &amp; Sources'!$B$114:$J$120,0,7))*($AZ32-INDEX('Methodology &amp; Sources'!$B$114:$J$120,0,7))*INDEX('Methodology &amp; Sources'!$B$114:$J$120,0,7+2)),SUMPRODUCT(($AZ32&gt;INDEX('Methodology &amp; Sources'!$B$114:$J$120,0,4))*($AZ32-INDEX('Methodology &amp; Sources'!$B$114:$J$120,0,4))*INDEX('Methodology &amp; Sources'!$B$114:$J$120,0,4+2))),IF($AN32="NE",MAX(IF($AU32="Married",SUMPRODUCT(($AZ32&gt;INDEX('Methodology &amp; Sources'!$B$144:$J$150,0,7))*($AZ32-INDEX('Methodology &amp; Sources'!$B$144:$J$150,0,7))*INDEX('Methodology &amp; Sources'!$B$144:$J$150,0,7+2)),SUMPRODUCT(($AZ32&gt;INDEX('Methodology &amp; Sources'!$B$144:$J$150,0,4))*($AZ32-INDEX('Methodology &amp; Sources'!$B$144:$J$150,0,4))*INDEX('Methodology &amp; Sources'!$B$144:$J$150,0,4+2))),0.015*$AZ32),IF($AN32="OH",IF($B32&gt;=DATE(2027,8,1),SUMPRODUCT(($AZ32&gt;INDEX('Methodology &amp; Sources'!$B$203:$J$206,0,1))*($AZ32-INDEX('Methodology &amp; Sources'!$B$203:$J$206,0,1))*INDEX('Methodology &amp; Sources'!$B$203:$J$206,0,1+2)),SUMPRODUCT(($AZ32&gt;INDEX('Methodology &amp; Sources'!$B$184:$J$198,0,7))*($AZ32-INDEX('Methodology &amp; Sources'!$B$184:$J$198,0,7))*INDEX('Methodology &amp; Sources'!$B$184:$J$198,0,7+2))),IF($AN32="OK",IF($AU32="Married",SUMPRODUCT(($AZ32&gt;INDEX('Methodology &amp; Sources'!$B$203:$J$206,0,7))*($AZ32-INDEX('Methodology &amp; Sources'!$B$203:$J$206,0,7))*INDEX('Methodology &amp; Sources'!$B$203:$J$206,0,7+2)),SUMPRODUCT(($AZ32&gt;INDEX('Methodology &amp; Sources'!$B$203:$J$206,0,4))*($AZ32-INDEX('Methodology &amp; Sources'!$B$203:$J$206,0,4))*INDEX('Methodology &amp; Sources'!$B$203:$J$206,0,4+2))),IF($AN32="RI",SUMPRODUCT(($AZ32&gt;INDEX('Methodology &amp; Sources'!$B$211:$J$214,0,7))*($AZ32-INDEX('Methodology &amp; Sources'!$B$211:$J$214,0,7))*INDEX('Methodology &amp; Sources'!$B$211:$J$214,0,7+2)),IF($AN32="VT",IF($AU32="Married",SUMPRODUCT(($AZ32&gt;INDEX('Methodology &amp; Sources'!$B$228:$J$232,0,1))*($AZ32-INDEX('Methodology &amp; Sources'!$B$228:$J$232,0,1))*INDEX('Methodology &amp; Sources'!$B$228:$J$232,0,1+2)),SUMPRODUCT(($AZ32&gt;INDEX('Methodology &amp; Sources'!$B$219:$J$223,0,7))*($AZ32-INDEX('Methodology &amp; Sources'!$B$219:$J$223,0,7))*INDEX('Methodology &amp; Sources'!$B$219:$J$223,0,7+2))),IF($AN32="WV",IF($AU32="Married",SUMPRODUCT(($AZ32&gt;INDEX('Methodology &amp; Sources'!$B$237:$J$241,0,7))*($AZ32-INDEX('Methodology &amp; Sources'!$B$237:$J$241,0,7))*INDEX('Methodology &amp; Sources'!$B$237:$J$241,0,7+2)),SUMPRODUCT(($AZ32&gt;INDEX('Methodology &amp; Sources'!$B$228:$J$232,0,7))*($AZ32-INDEX('Methodology &amp; Sources'!$B$228:$J$232,0,7))*INDEX('Methodology &amp; Sources'!$B$228:$J$232,0,7+2))),""))))))))))</f>
      </c>
      <c r="BY32" s="7">
        <f>IF($B32="","",IF($AN32="AR",SUMPRODUCT(($AZ32&gt;INDEX('Methodology &amp; Sources'!$B$82:$J$86,0,7))*($AZ32-INDEX('Methodology &amp; Sources'!$B$82:$J$86,0,7))*INDEX('Methodology &amp; Sources'!$B$82:$J$86,0,7+2)),IF($AN32="DE",SUMPRODUCT(($AZ32&gt;INDEX('Methodology &amp; Sources'!$B$91:$J$98,0,1))*($AZ32-INDEX('Methodology &amp; Sources'!$B$91:$J$98,0,1))*INDEX('Methodology &amp; Sources'!$B$91:$J$98,0,1+2)),IF($AN32="HI",IF($AU32="Married",SUMPRODUCT(($AZ32&gt;INDEX('Methodology &amp; Sources'!$B$91:$J$98,0,7))*($AZ32-INDEX('Methodology &amp; Sources'!$B$91:$J$98,0,7))*INDEX('Methodology &amp; Sources'!$B$91:$J$98,0,7+2)),SUMPRODUCT(($AZ32&gt;INDEX('Methodology &amp; Sources'!$B$91:$J$98,0,4))*($AZ32-INDEX('Methodology &amp; Sources'!$B$91:$J$98,0,4))*INDEX('Methodology &amp; Sources'!$B$91:$J$98,0,4+2))),IF($AN32="SC",SUMPRODUCT(($AZ32&gt;INDEX('Methodology &amp; Sources'!$B$219:$J$223,0,1))*($AZ32-INDEX('Methodology &amp; Sources'!$B$219:$J$223,0,1))*INDEX('Methodology &amp; Sources'!$B$219:$J$223,0,1+2)),IF($AN32="VA",SUMPRODUCT(($AZ32&gt;INDEX('Methodology &amp; Sources'!$B$219:$J$223,0,4))*($AZ32-INDEX('Methodology &amp; Sources'!$B$219:$J$223,0,4))*INDEX('Methodology &amp; Sources'!$B$219:$J$223,0,4+2)),IF($AN32="WI",SUMPRODUCT(($AZ32&gt;INDEX('Methodology &amp; Sources'!$B$228:$J$232,0,4))*($AZ32-INDEX('Methodology &amp; Sources'!$B$228:$J$232,0,4))*INDEX('Methodology &amp; Sources'!$B$228:$J$232,0,4+2)),"")))))))</f>
      </c>
      <c r="BZ32" s="24">
        <f>IF($B32="","",IF($AN32="NJ",IF('Inputs 2'!$C$77="B",SUMPRODUCT(($AZ32&gt;=INDEX('Methodology &amp; Sources'!$B$155:$J$162,0,4))*INDEX('Methodology &amp; Sources'!$B$155:$J$162,0,4+2)),IF('Inputs 2'!$C$77="C",SUMPRODUCT(($AZ32&gt;=INDEX('Methodology &amp; Sources'!$B$155:$J$162,0,7))*INDEX('Methodology &amp; Sources'!$B$155:$J$162,0,7+2)),IF('Inputs 2'!$C$77="D",SUMPRODUCT(($AZ32&gt;=INDEX('Methodology &amp; Sources'!$B$167:$J$179,0,1))*INDEX('Methodology &amp; Sources'!$B$167:$J$179,0,1+2)),IF('Inputs 2'!$C$77="E",SUMPRODUCT(($AZ32&gt;=INDEX('Methodology &amp; Sources'!$B$167:$J$179,0,4))*INDEX('Methodology &amp; Sources'!$B$167:$J$179,0,4+2)),SUMPRODUCT(($AZ32&gt;=INDEX('Methodology &amp; Sources'!$B$155:$J$162,0,1))*INDEX('Methodology &amp; Sources'!$B$155:$J$162,0,1+2)))))),IF($AN32="OR",IF(OR($AU32="Married",AND($AU32="Single",$AS32&gt;=3)),SUMPRODUCT((MAX(0,$AY32-MIN(($P32-'Methodology &amp; Sources'!$C$10*$D32)*'Inputs 2'!$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Sources'!$B$211:$J$214,0,4))*INDEX('Methodology &amp; Sources'!$B$211:$J$214,0,4+2)),SUMPRODUCT((MAX(0,$AY32-MIN(($P32-'Methodology &amp; Sources'!$C$10*$D32)*'Inputs 2'!$C$8,IF(OR($AU32="Married",AND($AU32="Single",$AS32&gt;=3)),IF($AY32&lt;250000,8750,IF($AY32&lt;260000,7000,IF($AY32&lt;270000,5250,IF($AY32&lt;280000,3500,IF($AY32&lt;290000,1750,0))))),IF($AY32&lt;125000,8750,IF($AY32&lt;130000,7000,IF($AY32&lt;135000,5250,IF($AY32&lt;140000,3500,IF($AY32&lt;145000,1750,0)))))))-IF(OR($AU32="Married",AND($AU32="Single",$AS32&gt;=3)),5820,2910))&gt;=INDEX('Methodology &amp; Sources'!$B$211:$J$214,0,1))*INDEX('Methodology &amp; Sources'!$B$211:$J$214,0,1+2)))*IF(($P32-'Methodology &amp; Sources'!$C$10*$D32)*'Inputs 2'!$C$8&gt;=IF(OR($AU32="Married",AND($AU32="Single",$AS32&gt;=3)),IF($AY32&lt;250000,8750,IF($AY32&lt;260000,7000,IF($AY32&lt;270000,5250,IF($AY32&lt;280000,3500,IF($AY32&lt;290000,1750,0))))),IF($AY32&lt;125000,8750,IF($AY32&lt;130000,7000,IF($AY32&lt;135000,5250,IF($AY32&lt;140000,3500,IF($AY32&lt;145000,1750,0)))))),1,1-IF('Inputs 2'!$C$13,SUMPRODUCT(($AH32&gt;=INDEX('Methodology &amp; Sources'!$B$29:$J$36,0,IF('Inputs 2'!$C$12="MFJ",1,IF('Inputs 2'!$C$12="HoH",7,4))))*INDEX('Methodology &amp; Sources'!$B$29:$J$36,0,IF('Inputs 2'!$C$12="MFJ",1,IF('Inputs 2'!$C$12="HoH",7,4))+2)),SUMPRODUCT(($AH32&gt;=INDEX('Methodology &amp; Sources'!$B$19:$J$26,0,IF('Inputs 2'!$C$12="MFJ",1,IF('Inputs 2'!$C$12="HoH",7,4))))*INDEX('Methodology &amp; Sources'!$B$19:$J$26,0,IF('Inputs 2'!$C$12="MFJ",1,IF('Inputs 2'!$C$12="HoH",7,4))+2)))),IF($AN32="MI",IF($AY32&gt;5900*$AS32,0.0425,0),""))))</f>
      </c>
      <c r="CA32" s="24">
        <f>IF($B32="","",IF($AN32="AL",IF(OR($AU32="Married",$AU32="Head of household"),SUMPRODUCT(($AZ32&gt;=INDEX('Methodology &amp; Sources'!$B$82:$J$86,0,4))*INDEX('Methodology &amp; Sources'!$B$82:$J$86,0,4+2)),SUMPRODUCT(($AZ32&gt;=INDEX('Methodology &amp; Sources'!$B$82:$J$86,0,1))*INDEX('Methodology &amp; Sources'!$B$82:$J$86,0,1+2)))*(1-IF('Inputs 2'!$C$13,SUMPRODUCT(($AH32&gt;=INDEX('Methodology &amp; Sources'!$B$29:$J$36,0,IF('Inputs 2'!$C$12="MFJ",1,IF('Inputs 2'!$C$12="HoH",7,4))))*INDEX('Methodology &amp; Sources'!$B$29:$J$36,0,IF('Inputs 2'!$C$12="MFJ",1,IF('Inputs 2'!$C$12="HoH",7,4))+2)),SUMPRODUCT(($AH32&gt;=INDEX('Methodology &amp; Sources'!$B$19:$J$26,0,IF('Inputs 2'!$C$12="MFJ",1,IF('Inputs 2'!$C$12="HoH",7,4))))*INDEX('Methodology &amp; Sources'!$B$19:$J$26,0,IF('Inputs 2'!$C$12="MFJ",1,IF('Inputs 2'!$C$12="HoH",7,4))+2)))),IF($AN32="KS",IF($AU32="Married",SUMPRODUCT(($AZ32&gt;=INDEX('Methodology &amp; Sources'!$B$103:$J$109,0,4))*INDEX('Methodology &amp; Sources'!$B$103:$J$109,0,4+2)),SUMPRODUCT(($AZ32&gt;=INDEX('Methodology &amp; Sources'!$B$103:$J$109,0,1))*INDEX('Methodology &amp; Sources'!$B$103:$J$109,0,1+2))),IF($AN32="MD",IF(OR($AU32="Married",$AU32="Head of household"),SUMPRODUCT(($AZ32&gt;=INDEX('Methodology &amp; Sources'!$B$114:$J$120,0,1))*INDEX('Methodology &amp; Sources'!$B$114:$J$120,0,1+2)),SUMPRODUCT(($AZ32&gt;=INDEX('Methodology &amp; Sources'!$B$103:$J$109,0,7))*INDEX('Methodology &amp; Sources'!$B$103:$J$109,0,7+2)))+'Inputs 2'!$C$74,IF($AN32="MT",IF($AU32="Head of household",SUMPRODUCT(($AZ32&gt;=INDEX('Methodology &amp; Sources'!$B$137:$J$139,0,1))*INDEX('Methodology &amp; Sources'!$B$137:$J$139,0,1+2)),IF($AU32="Married",SUMPRODUCT(($AZ32&gt;=INDEX('Methodology &amp; Sources'!$B$125:$J$132,0,7))*INDEX('Methodology &amp; Sources'!$B$125:$J$132,0,7+2)),SUMPRODUCT(($AZ32&gt;=INDEX('Methodology &amp; Sources'!$B$125:$J$132,0,4))*INDEX('Methodology &amp; Sources'!$B$125:$J$132,0,4+2)))),IF($AN32="ND",IF($AU32="Head of household",SUMPRODUCT(($AZ32&gt;=INDEX('Methodology &amp; Sources'!$B$144:$J$150,0,1))*INDEX('Methodology &amp; Sources'!$B$144:$J$150,0,1+2)),IF($AU32="Married",SUMPRODUCT(($AZ32&gt;=INDEX('Methodology &amp; Sources'!$B$137:$J$139,0,7))*INDEX('Methodology &amp; Sources'!$B$137:$J$139,0,7+2)),SUMPRODUCT(($AZ32&gt;=INDEX('Methodology &amp; Sources'!$B$137:$J$139,0,4))*INDEX('Methodology &amp; Sources'!$B$137:$J$139,0,4+2)))),IF($AN32="NY",IF($AU32="Married",IF($AZ32&gt;=2155350,IF($AZ32&gt;25000000,0.117,IF($AZ32&gt;5000000,0.111,0.1045)),SUMPRODUCT(($AZ32&gt;=INDEX('Methodology &amp; Sources'!$B$184:$J$198,0,1))*INDEX('Methodology &amp; Sources'!$B$184:$J$198,0,1+2))),IF($AZ32&gt;=1077550,IF($AZ32&gt;25000000,0.117,IF($AZ32&gt;5000000,0.111,0.1045)),SUMPRODUCT(($AZ32&gt;=INDEX('Methodology &amp; Sources'!$B$167:$J$179,0,7))*INDEX('Methodology &amp; Sources'!$B$167:$J$179,0,7+2)))),"")))))))</f>
      </c>
      <c r="CB32" s="24">
        <f>IF($B32="","",IF($AN32="CA",SUMPRODUCT(($AJ32&gt;=INDEX('Methodology &amp; Sources'!$B$39:$J$48,0,IF($AU32="Married",4,IF($AU32="Head of household",7,1))))*INDEX('Methodology &amp; Sources'!$B$39:$J$48,0,IF($AU32="Married",4,IF($AU32="Head of household",7,1))+2)),IF($AN32="HI",IF($AU32="Married",SUMPRODUCT(($AZ32&gt;=INDEX('Methodology &amp; Sources'!$B$91:$J$98,0,7))*INDEX('Methodology &amp; Sources'!$B$91:$J$98,0,7+2)),SUMPRODUCT(($AZ32&gt;=INDEX('Methodology &amp; Sources'!$B$91:$J$98,0,4))*INDEX('Methodology &amp; Sources'!$B$91:$J$98,0,4+2))),IF($AN32="MN",IF($AU32="Married",SUMPRODUCT(($AZ32&gt;=INDEX('Methodology &amp; Sources'!$B$114:$J$120,0,7))*INDEX('Methodology &amp; Sources'!$B$114:$J$120,0,7+2)),SUMPRODUCT(($AZ32&gt;=INDEX('Methodology &amp; Sources'!$B$114:$J$120,0,4))*INDEX('Methodology &amp; Sources'!$B$114:$J$120,0,4+2))),IF($AN32="MO",SUMPRODUCT(($AZ32&gt;=INDEX('Methodology &amp; Sources'!$B$125:$J$132,0,1))*INDEX('Methodology &amp; Sources'!$B$125:$J$132,0,1+2)),IF($AN32="NE",MAX(IF($AU32="Married",SUMPRODUCT(($AZ32&gt;=INDEX('Methodology &amp; Sources'!$B$144:$J$150,0,7))*INDEX('Methodology &amp; Sources'!$B$144:$J$150,0,7+2)),SUMPRODUCT(($AZ32&gt;=INDEX('Methodology &amp; Sources'!$B$144:$J$150,0,4))*INDEX('Methodology &amp; Sources'!$B$144:$J$150,0,4+2))),0.015),IF($AN32="OH",IF($B32&gt;=DATE(2027,8,1),SUMPRODUCT(($AZ32&gt;=INDEX('Methodology &amp; Sources'!$B$203:$J$206,0,1))*INDEX('Methodology &amp; Sources'!$B$203:$J$206,0,1+2)),SUMPRODUCT(($AZ32&gt;=INDEX('Methodology &amp; Sources'!$B$184:$J$198,0,7))*INDEX('Methodology &amp; Sources'!$B$184:$J$198,0,7+2))),IF($AN32="OK",IF($AU32="Married",SUMPRODUCT(($AZ32&gt;=INDEX('Methodology &amp; Sources'!$B$203:$J$206,0,7))*INDEX('Methodology &amp; Sources'!$B$203:$J$206,0,7+2)),SUMPRODUCT(($AZ32&gt;=INDEX('Methodology &amp; Sources'!$B$203:$J$206,0,4))*INDEX('Methodology &amp; Sources'!$B$203:$J$206,0,4+2))),IF($AN32="RI",SUMPRODUCT(($AZ32&gt;=INDEX('Methodology &amp; Sources'!$B$211:$J$214,0,7))*INDEX('Methodology &amp; Sources'!$B$211:$J$214,0,7+2)),IF($AN32="SC",SUMPRODUCT(($AZ32&gt;=INDEX('Methodology &amp; Sources'!$B$219:$J$223,0,1))*INDEX('Methodology &amp; Sources'!$B$219:$J$223,0,1+2)),IF($AN32="VT",IF($AU32="Married",SUMPRODUCT(($AZ32&gt;=INDEX('Methodology &amp; Sources'!$B$228:$J$232,0,1))*INDEX('Methodology &amp; Sources'!$B$228:$J$232,0,1+2)),SUMPRODUCT(($AZ32&gt;=INDEX('Methodology &amp; Sources'!$B$219:$J$223,0,7))*INDEX('Methodology &amp; Sources'!$B$219:$J$223,0,7+2))),IF($AN32="WV",IF($AU32="Married",SUMPRODUCT(($AZ32&gt;=INDEX('Methodology &amp; Sources'!$B$237:$J$241,0,7))*INDEX('Methodology &amp; Sources'!$B$237:$J$241,0,7+2)),SUMPRODUCT(($AZ32&gt;=INDEX('Methodology &amp; Sources'!$B$228:$J$232,0,7))*INDEX('Methodology &amp; Sources'!$B$228:$J$232,0,7+2))),IF($AN32="IN",(0.0295+'Inputs 2'!$C$76),"")))))))))))))</f>
      </c>
      <c r="CC32" s="24">
        <f>IF($B32="","",IF($AN32="AR",SUMPRODUCT(($AZ32&gt;=INDEX('Methodology &amp; Sources'!$B$82:$J$86,0,7))*INDEX('Methodology &amp; Sources'!$B$82:$J$86,0,7+2)),IF($AN32="DE",SUMPRODUCT(($AZ32&gt;=INDEX('Methodology &amp; Sources'!$B$91:$J$98,0,1))*INDEX('Methodology &amp; Sources'!$B$91:$J$98,0,1+2)),IF($AN32="VA",SUMPRODUCT(($AZ32&gt;=INDEX('Methodology &amp; Sources'!$B$219:$J$223,0,4))*INDEX('Methodology &amp; Sources'!$B$219:$J$223,0,4+2)),IF($AN32="WI",SUMPRODUCT(($AZ32&gt;=INDEX('Methodology &amp; Sources'!$B$228:$J$232,0,4))*INDEX('Methodology &amp; Sources'!$B$228:$J$232,0,4+2)),IF($AN32="AZ",'Inputs 2'!$C$82,IF($AN32="CO",IF($AY32&gt;IF($AU32="Married",10000,5000),0.044,0),IF($AN32="IA",IF($AY32&gt;IF($AU32="Head of household",19500,IF($AU32="Married",26000,13000)),0.038,0),IF($AN32="ID",IF($AY32&gt;IF($AU32="Married",32000,16094),0.053,0),IF($AN32="IL",IF($AY32&gt;(2925*$AS32+1000*$AT32),0.0495,0),IF($AN32="KY",IF($AI32&gt;3360,0.035,0),IF($AN32="LA",0.0309,IF($AN32="MA",IF(MAX(0,$AY32-MIN(($BD31+$Q32+$R32+$S32),2000)-IF($AS32=0,0,IF($AS32=1,4400,1000*$AS32+3400)))&gt;=1107750,0.09,0.05),IF($AN32="MS",IF($AI32-IF($AU32="Head of household",3400,IF($AU32="Married",4600,2300))-'Inputs 2'!$C$85&gt;10000,0.04,0),IF($AN32="PA",0.0307,"")))))))))))))))</f>
      </c>
      <c r="CD32" s="21">
        <f>IF(YEAR(IF('Inputs 2'!$C$7="Weekly",'Inputs 2'!$C$9+7*(($BE31+1)-1),IF('Inputs 2'!$C$7="Biweekly",'Inputs 2'!$C$9+14*(($BE31+1)-1),IF('Inputs 2'!$C$7="Semimonthly",DATE(YEAR('Inputs 2'!$C$9),MONTH('Inputs 2'!$C$9)+INT((($BE31+1)-1)/2),MIN(DAY('Inputs 2'!$C$9),DAY(EOMONTH(DATE(YEAR('Inputs 2'!$C$9),MONTH('Inputs 2'!$C$9)+INT((($BE31+1)-1)/2),1),0))))+IF(MOD(($BE31+1)-1,2)=1,15,0),EDATE('Inputs 2'!$C$9,($BE31+1)-1)))))&lt;&gt;'Inputs 2'!$C$10,"",IF('Inputs 2'!$C$7="Weekly",'Inputs 2'!$C$9+7*(($BE31+1)-1),IF('Inputs 2'!$C$7="Biweekly",'Inputs 2'!$C$9+14*(($BE31+1)-1),IF('Inputs 2'!$C$7="Semimonthly",DATE(YEAR('Inputs 2'!$C$9),MONTH('Inputs 2'!$C$9)+INT((($BE31+1)-1)/2),MIN(DAY('Inputs 2'!$C$9),DAY(EOMONTH(DATE(YEAR('Inputs 2'!$C$9),MONTH('Inputs 2'!$C$9)+INT((($BE31+1)-1)/2),1),0))))+IF(MOD(($BE31+1)-1,2)=1,15,0),EDATE('Inputs 2'!$C$9,($BE31+1)-1)))))</f>
      </c>
      <c r="CE32" s="21">
        <f>IF(SUMPRODUCT(MIN(IF(('Inputs 2'!$C$58:$C$67&gt;MAX($B$6:$B31))*('Inputs 2'!$C$58:$C$67&gt;=DATE('Inputs 2'!$C$10,1,1))*('Inputs 2'!$C$58:$C$67&lt;=DATE('Inputs 2'!$C$10,12,31)),'Inputs 2'!$C$58:$C$67,999999)))=999999,"",SUMPRODUCT(MIN(IF(('Inputs 2'!$C$58:$C$67&gt;MAX($B$6:$B31))*('Inputs 2'!$C$58:$C$67&gt;=DATE('Inputs 2'!$C$10,1,1))*('Inputs 2'!$C$58:$C$67&lt;=DATE('Inputs 2'!$C$10,12,31)),'Inputs 2'!$C$58:$C$67,999999))))</f>
      </c>
    </row>
    <row r="33">
      <c r="A33" t="n">
        <v>28</v>
      </c>
      <c r="B33" s="21">
        <f>IF(AND($CD33="",$CE33=""),"",IF($CE33="",$CD33,IF($CD33="",$CE33,MIN($CD33,$CE33))))</f>
      </c>
      <c r="C33" s="7">
        <f>IF($B33="","",IF($BF33=0,0,IF('Inputs 2'!$C$4="Annual salary",ROUND($AK33/IF(AND('Inputs 2'!$C$88="Actual paydays",MONTH('Inputs 2'!$C$9)=1),MAX(1,MAX($BE$6:$BE$68)),'Inputs 2'!$C$8),2),$AK33)))</f>
      </c>
      <c r="D33" s="7">
        <f>IF($B33="","",SUMIF('Inputs 2'!$C$58:$C$67,$B33,'Inputs 2'!$D$58:$D$67))</f>
      </c>
      <c r="E33" s="7">
        <f>IF($B33="","",ROUND(MAX(0,MIN(IF($AL33="Percent",$AM33*($C33+$D33),$AM33),MAX(0,'Inputs 2'!$C$34-$AC32))),2))</f>
      </c>
      <c r="F33" s="7">
        <f>IF($B33="","",ROUND(MAX(0,MIN(IF('Inputs 2'!$C$32="Percent",'Inputs 2'!$D$32*($C33+$D33),'Inputs 2'!$D$32),MAX(0,'Inputs 2'!$C$34-$AC32-$E33))),2))</f>
      </c>
      <c r="G33" s="7">
        <f>IF($B33="","",IF($BF33=0,0,ROUND(MAX(0,MIN($BL33,'Inputs 2'!$C$37-'Inputs 2'!$C$54-$BI32)),2)))</f>
      </c>
      <c r="H33" s="7">
        <f>IF($B33="","",IF(OR($BF33=0,$BQ33=1),0,ROUND(MAX(0,MIN(IF($BS33=1,ROUND(MAX(0,MIN($BJ33,'Methodology &amp; Sources'!$C$13)-$BG32)/MAX(1,MAX($BE$6:$BE$68)-($BE32)),2),ROUND(MIN($BJ33,'Methodology &amp; Sources'!$C$13)/'Inputs 2'!$C$8,2)),MIN($BJ33,'Methodology &amp; Sources'!$C$13)-$BG32)),2)))</f>
      </c>
      <c r="I33" s="7">
        <f>IF($B33="","",IF(OR($BF33=0,$BR33=1),0,ROUND(MAX(0,MIN(IF($BT33=1,ROUND(MAX(0,MIN($BK33,IF('Inputs 2'!$C$12="MFJ",'Methodology &amp; Sources'!$C$14,'Methodology &amp; Sources'!$C$15))-$BH32)/MAX(1,MAX($BE$6:$BE$68)-($BE32)),2),ROUND(MIN($BK33,IF('Inputs 2'!$C$12="MFJ",'Methodology &amp; Sources'!$C$14,'Methodology &amp; Sources'!$C$15))/'Inputs 2'!$C$8,2)),MIN($BK33,IF('Inputs 2'!$C$12="MFJ",'Methodology &amp; Sources'!$C$14,'Methodology &amp; Sources'!$C$15))-$BH32)),2)))</f>
      </c>
      <c r="J33" s="7">
        <f>IF($B33="","",IF($BF33=0,0,$BM33))</f>
      </c>
      <c r="K33" s="7">
        <f>IF($B33="","",IF($BF33=0,0,$BN33+$BO33))</f>
      </c>
      <c r="L33" s="7">
        <f>IF($B33="","",IF($BF33=0,0,'Inputs 2'!$D$46))</f>
      </c>
      <c r="M33" s="7">
        <f>IF($B33="","",$C33+$D33+$L33-$E33-$G33-$H33-$I33-$J33-$K33)</f>
      </c>
      <c r="N33" s="7">
        <f>IF($B33="","",$C33+$D33+$L33-$G33-$H33-$I33-$J33-$K33)</f>
      </c>
      <c r="O33" s="7">
        <f>IF($B33="","",$C33+$D33+$L33-$E33-$H33-$I33-$J33-$K33-IF(OR($AN33="CA",$AN33="NJ"),0,$G33))</f>
      </c>
      <c r="P33" s="7">
        <f>IF($B33="","",IF('Inputs 2'!$C$18,0,ROUND(MAX(0,IF('Inputs 2'!$C$13,SUMPRODUCT(($AH33&gt;INDEX('Methodology &amp; Sources'!$B$29:$J$36,0,IF('Inputs 2'!$C$12="MFJ",1,IF('Inputs 2'!$C$12="HoH",7,4))))*($AH33-INDEX('Methodology &amp; Sources'!$B$29:$J$36,0,IF('Inputs 2'!$C$12="MFJ",1,IF('Inputs 2'!$C$12="HoH",7,4))))*INDEX('Methodology &amp; Sources'!$B$29:$J$36,0,IF('Inputs 2'!$C$12="MFJ",1,IF('Inputs 2'!$C$12="HoH",7,4))+2)),SUMPRODUCT(($AH33&gt;INDEX('Methodology &amp; Sources'!$B$19:$J$26,0,IF('Inputs 2'!$C$12="MFJ",1,IF('Inputs 2'!$C$12="HoH",7,4))))*($AH33-INDEX('Methodology &amp; Sources'!$B$19:$J$26,0,IF('Inputs 2'!$C$12="MFJ",1,IF('Inputs 2'!$C$12="HoH",7,4))))*INDEX('Methodology &amp; Sources'!$B$19:$J$26,0,IF('Inputs 2'!$C$12="MFJ",1,IF('Inputs 2'!$C$12="HoH",7,4))+2)))/'Inputs 2'!$C$8-$AO33/'Inputs 2'!$C$8)+$AR33+IF('Inputs 2'!$C$89="Aggregate",MAX(0,IF('Inputs 2'!$C$13,SUMPRODUCT((($AH33+$D33)&gt;INDEX('Methodology &amp; Sources'!$B$29:$J$36,0,IF('Inputs 2'!$C$12="MFJ",1,IF('Inputs 2'!$C$12="HoH",7,4))))*(($AH33+$D33)-INDEX('Methodology &amp; Sources'!$B$29:$J$36,0,IF('Inputs 2'!$C$12="MFJ",1,IF('Inputs 2'!$C$12="HoH",7,4))))*INDEX('Methodology &amp; Sources'!$B$29:$J$36,0,IF('Inputs 2'!$C$12="MFJ",1,IF('Inputs 2'!$C$12="HoH",7,4))+2)),SUMPRODUCT((($AH33+$D33)&gt;INDEX('Methodology &amp; Sources'!$B$19:$J$26,0,IF('Inputs 2'!$C$12="MFJ",1,IF('Inputs 2'!$C$12="HoH",7,4))))*(($AH33+$D33)-INDEX('Methodology &amp; Sources'!$B$19:$J$26,0,IF('Inputs 2'!$C$12="MFJ",1,IF('Inputs 2'!$C$12="HoH",7,4))))*INDEX('Methodology &amp; Sources'!$B$19:$J$26,0,IF('Inputs 2'!$C$12="MFJ",1,IF('Inputs 2'!$C$12="HoH",7,4))+2)))-IF('Inputs 2'!$C$13,SUMPRODUCT(($AH33&gt;INDEX('Methodology &amp; Sources'!$B$29:$J$36,0,IF('Inputs 2'!$C$12="MFJ",1,IF('Inputs 2'!$C$12="HoH",7,4))))*($AH33-INDEX('Methodology &amp; Sources'!$B$29:$J$36,0,IF('Inputs 2'!$C$12="MFJ",1,IF('Inputs 2'!$C$12="HoH",7,4))))*INDEX('Methodology &amp; Sources'!$B$29:$J$36,0,IF('Inputs 2'!$C$12="MFJ",1,IF('Inputs 2'!$C$12="HoH",7,4))+2)),SUMPRODUCT(($AH33&gt;INDEX('Methodology &amp; Sources'!$B$19:$J$26,0,IF('Inputs 2'!$C$12="MFJ",1,IF('Inputs 2'!$C$12="HoH",7,4))))*($AH33-INDEX('Methodology &amp; Sources'!$B$19:$J$26,0,IF('Inputs 2'!$C$12="MFJ",1,IF('Inputs 2'!$C$12="HoH",7,4))))*INDEX('Methodology &amp; Sources'!$B$19:$J$26,0,IF('Inputs 2'!$C$12="MFJ",1,IF('Inputs 2'!$C$12="HoH",7,4))+2)))),'Methodology &amp; Sources'!$C$10*$D33),2)))</f>
      </c>
      <c r="Q33" s="7">
        <f>IF($B33="","",ROUND('Methodology &amp; Sources'!$C$4*MIN($N33,MAX(0,'Methodology &amp; Sources'!$C$3-($AX33+$AB32-$AW33))),2))</f>
      </c>
      <c r="R33" s="7">
        <f>IF($B33="","",ROUND('Methodology &amp; Sources'!$C$5*$N33,2))</f>
      </c>
      <c r="S33" s="7">
        <f>IF($B33="","",ROUND('Methodology &amp; Sources'!$C$6*MAX(0,MIN($N33,$AG32+$N33-'Methodology &amp; Sources'!$C$7)),2))</f>
      </c>
      <c r="T33" s="7">
        <f>IF($B33="","",IF('Inputs 2'!$C$26,0,IF($AN33="CA",ROUND(IF($AI33&lt;=IF(($AS33+$AT33)&gt;=2,VLOOKUP($AN33,StateTables!$A$6:$AB$56,10,FALSE),VLOOKUP($AN33,StateTables!$A$6:$AB$56,9,FALSE)),0,MAX(0,SUMPRODUCT(($AJ33&gt;INDEX('Methodology &amp; Sources'!$B$39:$J$48,0,IF($AU33="Married",4,IF($AU33="Head of household",7,1))))*($AJ33-INDEX('Methodology &amp; Sources'!$B$39:$J$48,0,IF($AU33="Married",4,IF($AU33="Head of household",7,1))))*INDEX('Methodology &amp; Sources'!$B$39:$J$48,0,IF($AU33="Married",4,IF($AU33="Head of household",7,1))+2))-VLOOKUP($AN33,StateTables!$A$6:$AB$56,11,FALSE)*$AS33)/'Inputs 2'!$C$8)+'Inputs 2'!$C$25+VLOOKUP($AN33,StateTables!$A$6:$AB$56,13,FALSE)*$D33,2),IF(VLOOKUP($AN33,StateTables!$A$6:$AB$56,4,FALSE)="None",0,IF(ISNUMBER(SEARCH("MANUAL",VLOOKUP($AN33,StateTables!$A$6:$AB$56,5,FALSE))),'Inputs 2'!$C$28,ROUND(MAX(0,$BA33+$BB33)/'Inputs 2'!$C$8+'Inputs 2'!$C$25+$BC33,2))))))</f>
      </c>
      <c r="U33" s="7">
        <f>IF($B33="","",IF(VLOOKUP($AN33,StateTables!$A$6:$AB$56,24,FALSE)="flatq",IF(OR(MONTH($B33)=1,MONTH($B33)=4,MONTH($B33)=7,MONTH($B33)=10),VLOOKUP($AN33,StateTables!$A$6:$AB$56,25,FALSE),0),IF(VLOOKUP($AN33,StateTables!$A$6:$AB$56,24,FALSE)="dbl",MIN(ROUND(0.005*$N33,2),ROUND(0.6*52/'Inputs 2'!$C$8,2)),IF(OR(VLOOKUP($AN33,StateTables!$A$6:$AB$56,15,FALSE)="",VLOOKUP($AN33,StateTables!$A$6:$AB$56,15,FALSE)=0),0,ROUND(VLOOKUP($AN33,StateTables!$A$6:$AB$56,15,FALSE)*IF(OR(VLOOKUP($AN33,StateTables!$A$6:$AB$56,16,FALSE)="",VLOOKUP($AN33,StateTables!$A$6:$AB$56,16,FALSE)=0),$N33,MIN($N33,MAX(0,VLOOKUP($AN33,StateTables!$A$6:$AB$56,16,FALSE)-($AX33+$AB32-$AW33)))),2))))+IF(VLOOKUP($AN33,StateTables!$A$6:$AB$56,27,FALSE)="flatq",IF(OR(MONTH($B33)=1,MONTH($B33)=4,MONTH($B33)=7,MONTH($B33)=10),VLOOKUP($AN33,StateTables!$A$6:$AB$56,28,FALSE),0),IF(VLOOKUP($AN33,StateTables!$A$6:$AB$56,27,FALSE)="dbl",MIN(ROUND(0.005*$N33,2),ROUND(0.6*52/'Inputs 2'!$C$8,2)),IF(OR(VLOOKUP($AN33,StateTables!$A$6:$AB$56,18,FALSE)="",VLOOKUP($AN33,StateTables!$A$6:$AB$56,18,FALSE)=0),0,ROUND(VLOOKUP($AN33,StateTables!$A$6:$AB$56,18,FALSE)*IF(OR(VLOOKUP($AN33,StateTables!$A$6:$AB$56,19,FALSE)="",VLOOKUP($AN33,StateTables!$A$6:$AB$56,19,FALSE)=0),$N33,MIN($N33,MAX(0,VLOOKUP($AN33,StateTables!$A$6:$AB$56,19,FALSE)-($AX33+$AB32-$AW33)))),2)))))</f>
      </c>
      <c r="V33" s="7">
        <f>IF($B33="","",IF($AN33="NY",IF('Inputs 2'!$C$78,ROUND(SUMPRODUCT((MAX(0,($O33-$D33)*'Inputs 2'!$C$8-(IF($AU33="Married",5500,5000)+1000*$AS33))&gt;INDEX('Methodology &amp; Sources'!$B$184:$J$198,0,4))*(MAX(0,($O33-$D33)*'Inputs 2'!$C$8-(IF($AU33="Married",5500,5000)+1000*$AS33))-INDEX('Methodology &amp; Sources'!$B$184:$J$198,0,4))*INDEX('Methodology &amp; Sources'!$B$184:$J$198,0,4+2))/'Inputs 2'!$C$8+0.0425*$D33,2),0)+IF('Inputs 2'!$C$79="Resident",ROUND(0.1675*$T33,2),IF('Inputs 2'!$C$79="Nonresident",ROUND(0.005*MAX(0,($O33-$D33)-(IF($AU33="Married",7950,7400)+1000*$AS33)/'Inputs 2'!$C$8),2),0)),IF($AN33="PA",IF('Inputs 2'!$C$80="None",'Inputs 2'!$C$27+ROUND('Inputs 2'!$C$81*($C33+$D33),2),ROUND(IF('Inputs 2'!$C$80="Resident",IF($B33&lt;DATE(2027,7,1),0.03735,0.03735),IF($B33&lt;DATE(2027,7,1),0.03425,0.03425))*($C33+$D33),2)),IF($BF33=0,ROUND('Inputs 2'!$C$81*($C33+$D33),2),'Inputs 2'!$C$27+ROUND('Inputs 2'!$C$81*($C33+$D33),2)))))</f>
      </c>
      <c r="W33" s="7">
        <f>IF($B33="","",IF($BF33=0,0,$BP33))</f>
      </c>
      <c r="X33" s="7">
        <f>IF($B33="","",SUM($E33:$K33)+$P33+$Q33+$R33+$S33+$T33+$U33+$V33+$W33)</f>
      </c>
      <c r="Y33" s="22">
        <f>IF($B33="","",$C33+$D33-$X33)</f>
      </c>
      <c r="Z33" s="7">
        <f>IF($B33="","",$Z32+$C33+$D33)</f>
      </c>
      <c r="AA33" s="7">
        <f>IF($B33="","",$AA32+$Y33)</f>
      </c>
      <c r="AB33" s="7">
        <f>IF($B33="","",$AB32+MIN($N33,MAX(0,'Methodology &amp; Sources'!$C$3-($AX33+$AB32-$AW33))))</f>
      </c>
      <c r="AC33" s="7">
        <f>IF($B33="","",$AC32+$E33+$F33)</f>
      </c>
      <c r="AD33" s="3">
        <f>IF($B33="","",IF(AND($AB32&lt;'Methodology &amp; Sources'!$C$3,$AB33&gt;='Methodology &amp; Sources'!$C$3),"★ Social Security maxed on this check — from the next check your net rises by about $"&amp;TEXT(ROUND('Methodology &amp; Sources'!$C$4*$N33,2),"#,##0.00")&amp;". ","")&amp;IF(AND($AC32&lt;'Inputs 2'!$C$34,$AC33&gt;='Inputs 2'!$C$34),"★ 401(k) reaches the $"&amp;TEXT('Inputs 2'!$C$34,"#,##0")&amp;" cap on this check — deferrals stop and net pay rises. ","")&amp;IF(AND($AG32&lt;'Methodology &amp; Sources'!$C$7,$AG33&gt;='Methodology &amp; Sources'!$C$7),"★ Wages pass $200,000 — the 0.9% Additional Medicare Tax starts here. ","")&amp;IF(AND($BJ33&gt;0,$H33&gt;0,$BG32&lt;MIN($BJ33,'Methodology &amp; Sources'!$C$13),$BG32+$H33&gt;=MIN($BJ33,'Methodology &amp; Sources'!$C$13)),"★ Health FSA election is now fully deferred for the year. ",""))</f>
      </c>
      <c r="AE33" s="41" t="n"/>
      <c r="AF33" s="7">
        <f>IF(OR($B33="",$AE33=""),"",$AE33-$Y33)</f>
      </c>
      <c r="AG33" s="7">
        <f>IF($B33="","",$AG32+$N33)</f>
      </c>
      <c r="AH33" s="7">
        <f>IF($B33="","",MAX(0,($M33-$D33)*'Inputs 2'!$C$8+$AP33-$AQ33-IF('Inputs 2'!$C$13,0,IF('Inputs 2'!$C$12="MFJ",'Methodology &amp; Sources'!$C$8,'Methodology &amp; Sources'!$C$9))))</f>
      </c>
      <c r="AI33" s="7">
        <f>IF($B33="","",$O33*'Inputs 2'!$C$8)</f>
      </c>
      <c r="AJ33" s="7">
        <f>IF($B33="","",MAX(0,$AI33-VLOOKUP($AN33,StateTables!$A$6:$AB$56,12,FALSE)*$AT33-IF(($AS33+$AT33)&gt;=2,VLOOKUP($AN33,StateTables!$A$6:$AB$56,8,FALSE),VLOOKUP($AN33,StateTables!$A$6:$AB$56,7,FALSE))))</f>
      </c>
      <c r="AK33" s="7">
        <f>IF($B33="","",IFERROR(LOOKUP(2,1/(('Events 2'!$C$6:$C$17="Salary change")*('Events 2'!$B$6:$B$17&lt;=$B33)*('Events 2'!$B$6:$B$17&lt;&gt;"")),'Events 2'!$D$6:$D$17),IF('Inputs 2'!$C$4="Annual salary",'Inputs 2'!$C$5,'Inputs 2'!$C$6)))</f>
      </c>
      <c r="AL33">
        <f>IF($B33="","",IFERROR(LOOKUP(2,1/(('Events 2'!$C$6:$C$17="401(k) change")*('Events 2'!$B$6:$B$17&lt;=$B33)*('Events 2'!$B$6:$B$17&lt;&gt;"")),'Events 2'!$D$6:$D$17),'Inputs 2'!$C$30))</f>
      </c>
      <c r="AM33" s="7">
        <f>IF($B33="","",IFERROR(LOOKUP(2,1/(('Events 2'!$C$6:$C$17="401(k) change")*('Events 2'!$B$6:$B$17&lt;=$B33)*('Events 2'!$B$6:$B$17&lt;&gt;"")),'Events 2'!$E$6:$E$17),'Inputs 2'!$D$30))</f>
      </c>
      <c r="AN33">
        <f>IF($B33="","",IFERROR(LOOKUP(2,1/(('Events 2'!$C$6:$C$17="State move")*('Events 2'!$B$6:$B$17&lt;=$B33)*('Events 2'!$B$6:$B$17&lt;&gt;"")),'Events 2'!$D$6:$D$17),'Inputs 2'!$C$21))</f>
      </c>
      <c r="AO33" s="7">
        <f>IF($B33="","",IFERROR(LOOKUP(2,1/(('Events 2'!$C$6:$C$17="W-4 change")*('Events 2'!$B$6:$B$17&lt;=$B33)*('Events 2'!$B$6:$B$17&lt;&gt;"")),'Events 2'!$D$6:$D$17),'Inputs 2'!$C$14))</f>
      </c>
      <c r="AP33" s="7">
        <f>IF($B33="","",IFERROR(LOOKUP(2,1/(('Events 2'!$C$6:$C$17="W-4 change")*('Events 2'!$B$6:$B$17&lt;=$B33)*('Events 2'!$B$6:$B$17&lt;&gt;"")),'Events 2'!$E$6:$E$17),'Inputs 2'!$C$15))</f>
      </c>
      <c r="AQ33" s="7">
        <f>IF($B33="","",IFERROR(LOOKUP(2,1/(('Events 2'!$C$6:$C$17="W-4 change")*('Events 2'!$B$6:$B$17&lt;=$B33)*('Events 2'!$B$6:$B$17&lt;&gt;"")),'Events 2'!$F$6:$F$17),'Inputs 2'!$C$16))</f>
      </c>
      <c r="AR33" s="7">
        <f>IF($B33="","",IFERROR(LOOKUP(2,1/(('Events 2'!$C$6:$C$17="W-4 change")*('Events 2'!$B$6:$B$17&lt;=$B33)*('Events 2'!$B$6:$B$17&lt;&gt;"")),'Events 2'!$G$6:$G$17),'Inputs 2'!$C$17))</f>
      </c>
      <c r="AS33" s="6">
        <f>IF($B33="","",IFERROR(LOOKUP(2,1/((('Events 2'!$C$6:$C$17="State move")+('Events 2'!$C$6:$C$17="State cert change"))*('Events 2'!$B$6:$B$17&lt;=$B33)*('Events 2'!$B$6:$B$17&lt;&gt;"")),'Events 2'!$F$6:$F$17),'Inputs 2'!$C$23))</f>
      </c>
      <c r="AT33" s="6">
        <f>IF($B33="","",IFERROR(LOOKUP(2,1/((('Events 2'!$C$6:$C$17="State move")+('Events 2'!$C$6:$C$17="State cert change"))*('Events 2'!$B$6:$B$17&lt;=$B33)*('Events 2'!$B$6:$B$17&lt;&gt;"")),'Events 2'!$G$6:$G$17),'Inputs 2'!$C$24))</f>
      </c>
      <c r="AU33">
        <f>IF($B33="","",IFERROR(LOOKUP(2,1/(('Events 2'!$C$6:$C$17="State move")*('Events 2'!$B$6:$B$17&lt;=$B33)*('Events 2'!$B$6:$B$17&lt;&gt;"")),'Events 2'!$E$6:$E$17),'Inputs 2'!$C$22))</f>
      </c>
      <c r="AV33" s="6">
        <f>IF($B33="","",1+COUNTIFS('Events 2'!$C$6:$C$17,"Employer change",'Events 2'!$B$6:$B$17,"&lt;="&amp;$B33,'Events 2'!$B$6:$B$17,"&lt;&gt;"))</f>
      </c>
      <c r="AW33" s="7">
        <f>IF($B33="","",IF($AV33=1,'Inputs 2'!$C$49,IF(IFERROR(MATCH(IFERROR(LOOKUP(2,1/(('Events 2'!$C$6:$C$17="Employer change")*('Events 2'!$B$6:$B$17&lt;=$B33)*('Events 2'!$B$6:$B$17&lt;&gt;"")),'Events 2'!$B$6:$B$17),""),$B$6:$B$68,1),1)&lt;=1,'Inputs 2'!$C$49,INDEX($AB$6:$AB$68,MATCH(IFERROR(LOOKUP(2,1/(('Events 2'!$C$6:$C$17="Employer change")*('Events 2'!$B$6:$B$17&lt;=$B33)*('Events 2'!$B$6:$B$17&lt;&gt;"")),'Events 2'!$B$6:$B$17),""),$B$6:$B$68,1)-1))))</f>
      </c>
      <c r="AX33" s="7">
        <f>IF($B33="","",IF($AV33=1,'Inputs 2'!$C$49,IFERROR(LOOKUP(2,1/(('Events 2'!$C$6:$C$17="Employer change")*('Events 2'!$B$6:$B$17&lt;=$B33)*('Events 2'!$B$6:$B$17&lt;&gt;"")),'Events 2'!$D$6:$D$17),0)))</f>
      </c>
      <c r="AY33" s="7">
        <f>IF($B33="","",($O33-$D33)*'Inputs 2'!$C$8)</f>
      </c>
      <c r="AZ33" s="7">
        <f>IF($B33="","",IF($AN33="AL",MAX(0,$AY33-IF($AU33="Married",IF($AY33&lt;=25999,8500,MAX(5000,8500-175*CEILING(($AY33-25999)/500,1))),IF($AU33="Head of household",IF($AY33&lt;=25999,5200,MAX(2500,5200-135*CEILING(($AY33-25999)/500,1))),IF($AY33&lt;=25999,3000,MAX(2500,3000-25*CEILING(($AY33-25999)/500,1)))))-($P33-'Methodology &amp; Sources'!$C$10*$D33)*'Inputs 2'!$C$8-IF(OR($AU33="Married",$AU33="Head of household"),3000,1500)-$AT33*IF($AY33&lt;=50000,1000,IF($AY33&lt;=100000,500,300))),IF($AN33="AR",IF(MAX(0,$AY33-2470)&lt;97701,INT(MAX(0,$AY33-2470)/100)*100+50,MAX(0,$AY33-2470)),IF($AN33="DE",MAX(0,$AI33-3250),IF($AN33="HI",MAX(0,$AI33-1144*$AS33-4350),IF($AN33="KS",MAX(0,$AI33-(9160*IF($AU33="Married",2,1)+2320*$AT33+IF($AU33="Head of household",2320,0))),IF($AN33="MD",MAX(0,$AI33-3400-3200*$AS33),IF($AN33="MN",MAX(0,$AY33-5300*$AS33),IF($AN33="MO",MAX(0,$AI33-IF($AU33="Head of household",24150,IF($AU33="Married",IF('Inputs 2'!$C$83,16100,32200),16100))),IF($AN33="MT",$AY33,IF($AN33="ND",($C33+$L33)*'Inputs 2'!$C$8,IF($AN33="NE",MAX(0,$AY33-2440*$AS33),IF($AN33="NJ",MAX(0,$AY33-1000*$AS33),IF($AN33="NY",MAX(0,$AY33-(IF($AU33="Married",7950,7400)+1000*$AS33)),IF($AN33="OH",MAX(0,$AY33-650*$AS33),IF($AN33="OK",MAX(0,$AY33-1000*$AS33),IF($AN33="RI",MAX(0,$AI33-1000*$AS33),IF($AN33="SC",MAX(0,$AI33-5000*$AS33-IF($AS33=0,0,MIN(0.1*$AI33,7500))),IF($AN33="VA",MAX(0,$AI33-IF($AU33="Married",17500,8750)-930*$AS33-800*$AT33),IF($AN33="VT",MAX(0,$AI33-5400*$AS33),IF($AN33="WI",MAX(0,$AI33-MAX(0,IF($AU33="Married",9461-0.2*MAX(0,$AI33-25727),6702-0.12*MAX(0,$AI33-17780)))-400*$AS33),IF($AN33="WV",MAX(0,$AI33-2000*$AS33),$AI33))))))))))))))))))))))</f>
      </c>
      <c r="BA33" s="7">
        <f>IF($B33="","",IF($BW33&lt;&gt;"",$BW33,IF($BX33&lt;&gt;"",$BX33,IF($BY33&lt;&gt;"",$BY33,0))))</f>
      </c>
      <c r="BB33" s="7">
        <f>IF($B33="","",IF($AN33="AR",-29*$AS33,IF($AN33="DE",-110*$AS33,IF($AN33="MD",$AZ33*'Inputs 2'!$C$74,IF($AN33="AZ",'Inputs 2'!$C$82*($M33-$D33)*'Inputs 2'!$C$8,IF($AN33="CO",0.044*MAX(0,$AY33-IF($AU33="Married",10000,5000)),IF($AN33="IA",MAX(0,0.038*MAX(0,$AY33-IF($AU33="Head of household",19500,IF($AU33="Married",26000,13000)))-40*$AS33),IF($AN33="ID",0.053*MAX(0,$AY33-IF($AU33="Married",32000,16094)),IF($AN33="IL",0.0495*MAX(0,$AY33-(2925*$AS33+1000*$AT33)),IF($AN33="IN",(0.0295+'Inputs 2'!$C$76)*MAX(0,$AY33-(1000*$AS33+1500*$AT33+3000*'Inputs 2'!$C$86)),IF($AN33="KY",0.035*MAX(0,$AI33-3360),IF($AN33="LA",IF('Inputs 2'!$C$84="0",0.0309*$AI33,0.0309*MAX(0,$AI33-IF('Inputs 2'!$C$84="2",25750,12875))),IF($AN33="MA",0.05*MIN(MAX(0,$AY33-MIN(($BD32+$Q33+$R33+$S33),2000)-IF($AS33=0,0,IF($AS33=1,4400,1000*$AS33+3400))),1107750)+0.09*MAX(0,MAX(0,$AY33-MIN(($BD32+$Q33+$R33+$S33),2000)-IF($AS33=0,0,IF($AS33=1,4400,1000*$AS33+3400)))-1107750)-IF($AU33="Head of household",120,0)-110*'Inputs 2'!$C$75,IF($AN33="MI",0.0425*MAX(0,$AY33-5900*$AS33),IF($AN33="MS",0.04*MAX(0,$AI33-IF($AU33="Head of household",3400,IF($AU33="Married",4600,2300))-'Inputs 2'!$C$85-10000),IF($AN33="OR",IF(OR($AU33="Married",AND($AU33="Single",$AS33&gt;=3)),SUMPRODUCT((MAX(0,$AY33-MIN(($P33-'Methodology &amp; Sources'!$C$10*$D33)*'Inputs 2'!$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Sources'!$B$211:$J$214,0,4))*(MAX(0,$AY33-MIN(($P33-'Methodology &amp; Sources'!$C$10*$D33)*'Inputs 2'!$C$8,IF(OR($AU33="Married",AND($AU33="Single",$AS33&gt;=3)),IF($AY33&lt;250000,8750,IF($AY33&lt;260000,7000,IF($AY33&lt;270000,5250,IF($AY33&lt;280000,3500,IF($AY33&lt;290000,1750,0))))),IF($AY33&lt;125000,8750,IF($AY33&lt;130000,7000,IF($AY33&lt;135000,5250,IF($AY33&lt;140000,3500,IF($AY33&lt;145000,1750,0)))))))-IF(OR($AU33="Married",AND($AU33="Single",$AS33&gt;=3)),5820,2910))-INDEX('Methodology &amp; Sources'!$B$211:$J$214,0,4))*INDEX('Methodology &amp; Sources'!$B$211:$J$214,0,4+2)),SUMPRODUCT((MAX(0,$AY33-MIN(($P33-'Methodology &amp; Sources'!$C$10*$D33)*'Inputs 2'!$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Sources'!$B$211:$J$214,0,1))*(MAX(0,$AY33-MIN(($P33-'Methodology &amp; Sources'!$C$10*$D33)*'Inputs 2'!$C$8,IF(OR($AU33="Married",AND($AU33="Single",$AS33&gt;=3)),IF($AY33&lt;250000,8750,IF($AY33&lt;260000,7000,IF($AY33&lt;270000,5250,IF($AY33&lt;280000,3500,IF($AY33&lt;290000,1750,0))))),IF($AY33&lt;125000,8750,IF($AY33&lt;130000,7000,IF($AY33&lt;135000,5250,IF($AY33&lt;140000,3500,IF($AY33&lt;145000,1750,0)))))))-IF(OR($AU33="Married",AND($AU33="Single",$AS33&gt;=3)),5820,2910))-INDEX('Methodology &amp; Sources'!$B$211:$J$214,0,1))*INDEX('Methodology &amp; Sources'!$B$211:$J$214,0,1+2)))+263-263*IF(IF($AU33="Married",$AY33&gt;200000,$AY33&gt;100000),0,$AS33),IF($AN33="PA",0.0307*(($O33+$E33+$G33)*'Inputs 2'!$C$8),IF($AN33="NY",IF($AU33="Married",IF($AZ33&gt;=2155350,0,IF($AZ33&gt;=1077550,0.48,IF($AZ33&gt;=373200,1.21,IF($AZ33&gt;=323200,0.21,IF($AZ33&gt;=211550,-0.19,IF($AZ33&gt;=157650,-2.8,IF($AZ33&gt;=107650,-0.8,IF($AZ33&gt;=96800,0.05,IF($AZ33&gt;=80650,-0.1,IF($AZ33&gt;=13900,0.4,IF($AZ33&gt;=11700,-0.3,IF($AZ33&gt;=8500,0.5,0)))))))))))),IF($AZ33&gt;=1077550,0,IF($AZ33&gt;=265400,4.29,IF($AZ33&gt;=215400,2.29,IF($AZ33&gt;=157650,2.29,IF($AZ33&gt;=107650,0.29,IF($AZ33&gt;=96800,0.05,IF($AZ33&gt;=80650,-0.1,IF($AZ33&gt;=13900,0.4,IF($AZ33&gt;=11700,-0.3,IF($AZ33&gt;=8500,0.5,0))))))))))),0))))))))))))))))))</f>
      </c>
      <c r="BC33" s="7">
        <f>IF($B33="","",IF($AN33="AL",0.05*$D33,IF($AN33="AR",0.039*$D33,IF($AN33="ID",0.053*$D33,IF($AN33="IN",(0.0295+'Inputs 2'!$C$76)*$D33,IF($AN33="KS",0.05*$D33,IF($AN33="MA",0.09*MIN($D33,MAX(0,MAX(0,$AY33-MIN(($BD32+$Q33+$R33+$S33),2000)-IF($AS33=0,0,IF($AS33=1,4400,1000*$AS33+3400)))+$D33-1107750))+0.05*($D33-MIN($D33,MAX(0,MAX(0,$AY33-MIN(($BD32+$Q33+$R33+$S33),2000)-IF($AS33=0,0,IF($AS33=1,4400,1000*$AS33+3400)))+$D33-1107750))),IF($AN33="MD",(0.065+'Inputs 2'!$C$74)*$D33,IF($AN33="MI",0.0425*$D33,IF($AN33="MN",0.0625*$D33,IF($AN33="MO",0.047*$D33,IF($AN33="MT",0.05*$D33,IF($AN33="ND",0.015*$D33,IF($AN33="NE",0.035*$D33,IF($AN33="NJ",IF('Inputs 2'!$C$77="B",SUMPRODUCT(($D33*'Inputs 2'!$C$8&gt;INDEX('Methodology &amp; Sources'!$B$155:$J$162,0,4))*($D33*'Inputs 2'!$C$8-INDEX('Methodology &amp; Sources'!$B$155:$J$162,0,4))*INDEX('Methodology &amp; Sources'!$B$155:$J$162,0,4+2)),IF('Inputs 2'!$C$77="C",SUMPRODUCT(($D33*'Inputs 2'!$C$8&gt;INDEX('Methodology &amp; Sources'!$B$155:$J$162,0,7))*($D33*'Inputs 2'!$C$8-INDEX('Methodology &amp; Sources'!$B$155:$J$162,0,7))*INDEX('Methodology &amp; Sources'!$B$155:$J$162,0,7+2)),IF('Inputs 2'!$C$77="D",SUMPRODUCT(($D33*'Inputs 2'!$C$8&gt;INDEX('Methodology &amp; Sources'!$B$167:$J$179,0,1))*($D33*'Inputs 2'!$C$8-INDEX('Methodology &amp; Sources'!$B$167:$J$179,0,1))*INDEX('Methodology &amp; Sources'!$B$167:$J$179,0,1+2)),IF('Inputs 2'!$C$77="E",SUMPRODUCT(($D33*'Inputs 2'!$C$8&gt;INDEX('Methodology &amp; Sources'!$B$167:$J$179,0,4))*($D33*'Inputs 2'!$C$8-INDEX('Methodology &amp; Sources'!$B$167:$J$179,0,4))*INDEX('Methodology &amp; Sources'!$B$167:$J$179,0,4+2)),SUMPRODUCT(($D33*'Inputs 2'!$C$8&gt;INDEX('Methodology &amp; Sources'!$B$155:$J$162,0,1))*($D33*'Inputs 2'!$C$8-INDEX('Methodology &amp; Sources'!$B$155:$J$162,0,1))*INDEX('Methodology &amp; Sources'!$B$155:$J$162,0,1+2))))))/'Inputs 2'!$C$8,IF($AN33="NY",0.117*$D33,IF($AN33="OH",0.0275*$D33,IF($AN33="OK",0.045*$D33,IF($AN33="OR",0.08*$D33,IF($AN33="WI",IF($AY33&lt;12760,0.0354,IF($AY33&lt;25520,0.0465,IF($AY33&lt;280950,0.053,0.0765)))*$D33,0))))))))))))))))))))</f>
      </c>
      <c r="BD33" s="7">
        <f>IF($B33="","",$BD32+$Q33+$R33+$S33)</f>
      </c>
      <c r="BE33" s="6">
        <f>IF($B33="",$BE32,$BE32+$BF33)</f>
      </c>
      <c r="BF33" s="6">
        <f>IF($B33="","",IF(AND(IF(YEAR(IF('Inputs 2'!$C$7="Weekly",'Inputs 2'!$C$9+7*(($BE32+1)-1),IF('Inputs 2'!$C$7="Biweekly",'Inputs 2'!$C$9+14*(($BE32+1)-1),IF('Inputs 2'!$C$7="Semimonthly",DATE(YEAR('Inputs 2'!$C$9),MONTH('Inputs 2'!$C$9)+INT((($BE32+1)-1)/2),MIN(DAY('Inputs 2'!$C$9),DAY(EOMONTH(DATE(YEAR('Inputs 2'!$C$9),MONTH('Inputs 2'!$C$9)+INT((($BE32+1)-1)/2),1),0))))+IF(MOD(($BE32+1)-1,2)=1,15,0),EDATE('Inputs 2'!$C$9,($BE32+1)-1)))))&lt;&gt;'Inputs 2'!$C$10,"",IF('Inputs 2'!$C$7="Weekly",'Inputs 2'!$C$9+7*(($BE32+1)-1),IF('Inputs 2'!$C$7="Biweekly",'Inputs 2'!$C$9+14*(($BE32+1)-1),IF('Inputs 2'!$C$7="Semimonthly",DATE(YEAR('Inputs 2'!$C$9),MONTH('Inputs 2'!$C$9)+INT((($BE32+1)-1)/2),MIN(DAY('Inputs 2'!$C$9),DAY(EOMONTH(DATE(YEAR('Inputs 2'!$C$9),MONTH('Inputs 2'!$C$9)+INT((($BE32+1)-1)/2),1),0))))+IF(MOD(($BE32+1)-1,2)=1,15,0),EDATE('Inputs 2'!$C$9,($BE32+1)-1)))))&lt;&gt;"",$B33=IF(YEAR(IF('Inputs 2'!$C$7="Weekly",'Inputs 2'!$C$9+7*(($BE32+1)-1),IF('Inputs 2'!$C$7="Biweekly",'Inputs 2'!$C$9+14*(($BE32+1)-1),IF('Inputs 2'!$C$7="Semimonthly",DATE(YEAR('Inputs 2'!$C$9),MONTH('Inputs 2'!$C$9)+INT((($BE32+1)-1)/2),MIN(DAY('Inputs 2'!$C$9),DAY(EOMONTH(DATE(YEAR('Inputs 2'!$C$9),MONTH('Inputs 2'!$C$9)+INT((($BE32+1)-1)/2),1),0))))+IF(MOD(($BE32+1)-1,2)=1,15,0),EDATE('Inputs 2'!$C$9,($BE32+1)-1)))))&lt;&gt;'Inputs 2'!$C$10,"",IF('Inputs 2'!$C$7="Weekly",'Inputs 2'!$C$9+7*(($BE32+1)-1),IF('Inputs 2'!$C$7="Biweekly",'Inputs 2'!$C$9+14*(($BE32+1)-1),IF('Inputs 2'!$C$7="Semimonthly",DATE(YEAR('Inputs 2'!$C$9),MONTH('Inputs 2'!$C$9)+INT((($BE32+1)-1)/2),MIN(DAY('Inputs 2'!$C$9),DAY(EOMONTH(DATE(YEAR('Inputs 2'!$C$9),MONTH('Inputs 2'!$C$9)+INT((($BE32+1)-1)/2),1),0))))+IF(MOD(($BE32+1)-1,2)=1,15,0),EDATE('Inputs 2'!$C$9,($BE32+1)-1)))))),1,0))</f>
      </c>
      <c r="BG33" s="7">
        <f>IF($B33="","",$BG32+$H33)</f>
      </c>
      <c r="BH33" s="7">
        <f>IF($B33="","",$BH32+$I33)</f>
      </c>
      <c r="BI33" s="7">
        <f>IF($B33="","",$BI32+$G33)</f>
      </c>
      <c r="BJ33" s="7">
        <f>IF($B33="","",IFERROR(LOOKUP(2,1/(((('Events 2'!$C$6:$C$17="Deduction start"))*('Events 2'!$D$6:$D$17="Health FSA"))*('Events 2'!$B$6:$B$17&lt;=$B33)*('Events 2'!$B$6:$B$17&lt;&gt;"")),'Events 2'!$E$6:$E$17),'Inputs 2'!$D$38))</f>
      </c>
      <c r="BK33" s="7">
        <f>IF($B33="","",IFERROR(LOOKUP(2,1/(((('Events 2'!$C$6:$C$17="Deduction start"))*('Events 2'!$D$6:$D$17="Dependent-care FSA"))*('Events 2'!$B$6:$B$17&lt;=$B33)*('Events 2'!$B$6:$B$17&lt;&gt;"")),'Events 2'!$E$6:$E$17),'Inputs 2'!$D$39))</f>
      </c>
      <c r="BL33" s="7">
        <f>IF($B33="","",IFERROR(LOOKUP(2,1/(((('Events 2'!$C$6:$C$17="Deduction start")+('Events 2'!$C$6:$C$17="Deduction stop"))*('Events 2'!$D$6:$D$17="HSA"))*('Events 2'!$B$6:$B$17&lt;=$B33)*('Events 2'!$B$6:$B$17&lt;&gt;"")),'Events 2'!$I$6:$I$17),'Inputs 2'!$D$35))</f>
      </c>
      <c r="BM33" s="7">
        <f>IF($B33="","",IFERROR(LOOKUP(2,1/(((('Events 2'!$C$6:$C$17="Deduction start")+('Events 2'!$C$6:$C$17="Deduction stop"))*('Events 2'!$D$6:$D$17="Premiums"))*('Events 2'!$B$6:$B$17&lt;=$B33)*('Events 2'!$B$6:$B$17&lt;&gt;"")),'Events 2'!$I$6:$I$17),'Inputs 2'!$D$40+'Inputs 2'!$D$41+'Inputs 2'!$D$42))</f>
      </c>
      <c r="BN33" s="7">
        <f>IF($B33="","",IFERROR(LOOKUP(2,1/(((('Events 2'!$C$6:$C$17="Deduction start")+('Events 2'!$C$6:$C$17="Deduction stop"))*('Events 2'!$D$6:$D$17="Commuter"))*('Events 2'!$B$6:$B$17&lt;=$B33)*('Events 2'!$B$6:$B$17&lt;&gt;"")),'Events 2'!$I$6:$I$17),'Inputs 2'!$D$43))</f>
      </c>
      <c r="BO33" s="7">
        <f>IF($B33="","",IFERROR(LOOKUP(2,1/(((('Events 2'!$C$6:$C$17="Deduction start")+('Events 2'!$C$6:$C$17="Deduction stop"))*('Events 2'!$D$6:$D$17="Other pre-tax"))*('Events 2'!$B$6:$B$17&lt;=$B33)*('Events 2'!$B$6:$B$17&lt;&gt;"")),'Events 2'!$I$6:$I$17),'Inputs 2'!$D$44))</f>
      </c>
      <c r="BP33" s="7">
        <f>IF($B33="","",IFERROR(LOOKUP(2,1/(((('Events 2'!$C$6:$C$17="Deduction start")+('Events 2'!$C$6:$C$17="Deduction stop"))*('Events 2'!$D$6:$D$17="Other post-tax"))*('Events 2'!$B$6:$B$17&lt;=$B33)*('Events 2'!$B$6:$B$17&lt;&gt;"")),'Events 2'!$I$6:$I$17),'Inputs 2'!$D$45))</f>
      </c>
      <c r="BQ33" s="6">
        <f>IF($B33="","",IFERROR(LOOKUP(2,1/(((('Events 2'!$C$6:$C$17="Deduction start")+('Events 2'!$C$6:$C$17="Deduction stop"))*('Events 2'!$D$6:$D$17="Health FSA"))*('Events 2'!$B$6:$B$17&lt;=$B33)*('Events 2'!$B$6:$B$17&lt;&gt;"")),'Events 2'!$J$6:$J$17),0))</f>
      </c>
      <c r="BR33" s="6">
        <f>IF($B33="","",IFERROR(LOOKUP(2,1/(((('Events 2'!$C$6:$C$17="Deduction start")+('Events 2'!$C$6:$C$17="Deduction stop"))*('Events 2'!$D$6:$D$17="Dependent-care FSA"))*('Events 2'!$B$6:$B$17&lt;=$B33)*('Events 2'!$B$6:$B$17&lt;&gt;"")),'Events 2'!$J$6:$J$17),0))</f>
      </c>
      <c r="BS33" s="6">
        <f>IF($B33="","",IF(SUMPRODUCT(('Events 2'!$C$6:$C$17="Deduction start")*('Events 2'!$B$6:$B$17&lt;=$B33)*('Events 2'!$B$6:$B$17&lt;&gt;"")*('Events 2'!$D$6:$D$17="Health FSA"))&gt;0,1,0))</f>
      </c>
      <c r="BT33" s="6">
        <f>IF($B33="","",IF(SUMPRODUCT(('Events 2'!$C$6:$C$17="Deduction start")*('Events 2'!$B$6:$B$17&lt;=$B33)*('Events 2'!$B$6:$B$17&lt;&gt;"")*('Events 2'!$D$6:$D$17="Dependent-care FSA"))&gt;0,1,0))</f>
      </c>
      <c r="BU33" s="24">
        <f>IF($B33="","",IF('Inputs 2'!$C$13,SUMPRODUCT(($AH33&gt;=INDEX('Methodology &amp; Sources'!$B$29:$J$36,0,IF('Inputs 2'!$C$12="MFJ",1,IF('Inputs 2'!$C$12="HoH",7,4))))*INDEX('Methodology &amp; Sources'!$B$29:$J$36,0,IF('Inputs 2'!$C$12="MFJ",1,IF('Inputs 2'!$C$12="HoH",7,4))+2)),SUMPRODUCT(($AH33&gt;=INDEX('Methodology &amp; Sources'!$B$19:$J$26,0,IF('Inputs 2'!$C$12="MFJ",1,IF('Inputs 2'!$C$12="HoH",7,4))))*INDEX('Methodology &amp; Sources'!$B$19:$J$26,0,IF('Inputs 2'!$C$12="MFJ",1,IF('Inputs 2'!$C$12="HoH",7,4))+2))))</f>
      </c>
      <c r="BV33" s="24">
        <f>IF($B33="","",IF($BZ33&lt;&gt;"",$BZ33,IF($CA33&lt;&gt;"",$CA33,IF($CB33&lt;&gt;"",$CB33,IF($CC33&lt;&gt;"",$CC33,0)))))</f>
      </c>
      <c r="BW33" s="7">
        <f>IF($B33="","",IF($AN33="MD",IF(OR($AU33="Married",$AU33="Head of household"),SUMPRODUCT(($AZ33&gt;INDEX('Methodology &amp; Sources'!$B$114:$J$120,0,1))*($AZ33-INDEX('Methodology &amp; Sources'!$B$114:$J$120,0,1))*INDEX('Methodology &amp; Sources'!$B$114:$J$120,0,1+2)),SUMPRODUCT(($AZ33&gt;INDEX('Methodology &amp; Sources'!$B$103:$J$109,0,7))*($AZ33-INDEX('Methodology &amp; Sources'!$B$103:$J$109,0,7))*INDEX('Methodology &amp; Sources'!$B$103:$J$109,0,7+2))),IF($AN33="MO",SUMPRODUCT(($AZ33&gt;INDEX('Methodology &amp; Sources'!$B$125:$J$132,0,1))*($AZ33-INDEX('Methodology &amp; Sources'!$B$125:$J$132,0,1))*INDEX('Methodology &amp; Sources'!$B$125:$J$132,0,1+2)),IF($AN33="MT",IF($AU33="Head of household",SUMPRODUCT(($AZ33&gt;INDEX('Methodology &amp; Sources'!$B$137:$J$139,0,1))*($AZ33-INDEX('Methodology &amp; Sources'!$B$137:$J$139,0,1))*INDEX('Methodology &amp; Sources'!$B$137:$J$139,0,1+2)),IF($AU33="Married",SUMPRODUCT(($AZ33&gt;INDEX('Methodology &amp; Sources'!$B$125:$J$132,0,7))*($AZ33-INDEX('Methodology &amp; Sources'!$B$125:$J$132,0,7))*INDEX('Methodology &amp; Sources'!$B$125:$J$132,0,7+2)),SUMPRODUCT(($AZ33&gt;INDEX('Methodology &amp; Sources'!$B$125:$J$132,0,4))*($AZ33-INDEX('Methodology &amp; Sources'!$B$125:$J$132,0,4))*INDEX('Methodology &amp; Sources'!$B$125:$J$132,0,4+2)))),IF($AN33="ND",IF($AU33="Head of household",SUMPRODUCT(($AZ33&gt;INDEX('Methodology &amp; Sources'!$B$144:$J$150,0,1))*($AZ33-INDEX('Methodology &amp; Sources'!$B$144:$J$150,0,1))*INDEX('Methodology &amp; Sources'!$B$144:$J$150,0,1+2)),IF($AU33="Married",SUMPRODUCT(($AZ33&gt;INDEX('Methodology &amp; Sources'!$B$137:$J$139,0,7))*($AZ33-INDEX('Methodology &amp; Sources'!$B$137:$J$139,0,7))*INDEX('Methodology &amp; Sources'!$B$137:$J$139,0,7+2)),SUMPRODUCT(($AZ33&gt;INDEX('Methodology &amp; Sources'!$B$137:$J$139,0,4))*($AZ33-INDEX('Methodology &amp; Sources'!$B$137:$J$139,0,4))*INDEX('Methodology &amp; Sources'!$B$137:$J$139,0,4+2)))),IF($AN33="NJ",IF('Inputs 2'!$C$77="B",SUMPRODUCT(($AZ33&gt;INDEX('Methodology &amp; Sources'!$B$155:$J$162,0,4))*($AZ33-INDEX('Methodology &amp; Sources'!$B$155:$J$162,0,4))*INDEX('Methodology &amp; Sources'!$B$155:$J$162,0,4+2)),IF('Inputs 2'!$C$77="C",SUMPRODUCT(($AZ33&gt;INDEX('Methodology &amp; Sources'!$B$155:$J$162,0,7))*($AZ33-INDEX('Methodology &amp; Sources'!$B$155:$J$162,0,7))*INDEX('Methodology &amp; Sources'!$B$155:$J$162,0,7+2)),IF('Inputs 2'!$C$77="D",SUMPRODUCT(($AZ33&gt;INDEX('Methodology &amp; Sources'!$B$167:$J$179,0,1))*($AZ33-INDEX('Methodology &amp; Sources'!$B$167:$J$179,0,1))*INDEX('Methodology &amp; Sources'!$B$167:$J$179,0,1+2)),IF('Inputs 2'!$C$77="E",SUMPRODUCT(($AZ33&gt;INDEX('Methodology &amp; Sources'!$B$167:$J$179,0,4))*($AZ33-INDEX('Methodology &amp; Sources'!$B$167:$J$179,0,4))*INDEX('Methodology &amp; Sources'!$B$167:$J$179,0,4+2)),SUMPRODUCT(($AZ33&gt;INDEX('Methodology &amp; Sources'!$B$155:$J$162,0,1))*($AZ33-INDEX('Methodology &amp; Sources'!$B$155:$J$162,0,1))*INDEX('Methodology &amp; Sources'!$B$155:$J$162,0,1+2)))))),IF($AN33="NY",IF($AU33="Married",IF($AZ33&gt;=2155350,$AZ33*IF($AZ33&gt;25000000,0.117,IF($AZ33&gt;5000000,0.111,0.1045)),SUMPRODUCT(($AZ33&gt;INDEX('Methodology &amp; Sources'!$B$184:$J$198,0,1))*($AZ33-INDEX('Methodology &amp; Sources'!$B$184:$J$198,0,1))*INDEX('Methodology &amp; Sources'!$B$184:$J$198,0,1+2))),IF($AZ33&gt;=1077550,$AZ33*IF($AZ33&gt;25000000,0.117,IF($AZ33&gt;5000000,0.111,0.1045)),SUMPRODUCT(($AZ33&gt;INDEX('Methodology &amp; Sources'!$B$167:$J$179,0,7))*($AZ33-INDEX('Methodology &amp; Sources'!$B$167:$J$179,0,7))*INDEX('Methodology &amp; Sources'!$B$167:$J$179,0,7+2)))),"")))))))</f>
      </c>
      <c r="BX33" s="7">
        <f>IF($B33="","",IF($AN33="AL",IF(OR($AU33="Married",$AU33="Head of household"),SUMPRODUCT(($AZ33&gt;INDEX('Methodology &amp; Sources'!$B$82:$J$86,0,4))*($AZ33-INDEX('Methodology &amp; Sources'!$B$82:$J$86,0,4))*INDEX('Methodology &amp; Sources'!$B$82:$J$86,0,4+2)),SUMPRODUCT(($AZ33&gt;INDEX('Methodology &amp; Sources'!$B$82:$J$86,0,1))*($AZ33-INDEX('Methodology &amp; Sources'!$B$82:$J$86,0,1))*INDEX('Methodology &amp; Sources'!$B$82:$J$86,0,1+2))),IF($AN33="KS",IF($AU33="Married",SUMPRODUCT(($AZ33&gt;INDEX('Methodology &amp; Sources'!$B$103:$J$109,0,4))*($AZ33-INDEX('Methodology &amp; Sources'!$B$103:$J$109,0,4))*INDEX('Methodology &amp; Sources'!$B$103:$J$109,0,4+2)),SUMPRODUCT(($AZ33&gt;INDEX('Methodology &amp; Sources'!$B$103:$J$109,0,1))*($AZ33-INDEX('Methodology &amp; Sources'!$B$103:$J$109,0,1))*INDEX('Methodology &amp; Sources'!$B$103:$J$109,0,1+2))),IF($AN33="MN",IF($AU33="Married",SUMPRODUCT(($AZ33&gt;INDEX('Methodology &amp; Sources'!$B$114:$J$120,0,7))*($AZ33-INDEX('Methodology &amp; Sources'!$B$114:$J$120,0,7))*INDEX('Methodology &amp; Sources'!$B$114:$J$120,0,7+2)),SUMPRODUCT(($AZ33&gt;INDEX('Methodology &amp; Sources'!$B$114:$J$120,0,4))*($AZ33-INDEX('Methodology &amp; Sources'!$B$114:$J$120,0,4))*INDEX('Methodology &amp; Sources'!$B$114:$J$120,0,4+2))),IF($AN33="NE",MAX(IF($AU33="Married",SUMPRODUCT(($AZ33&gt;INDEX('Methodology &amp; Sources'!$B$144:$J$150,0,7))*($AZ33-INDEX('Methodology &amp; Sources'!$B$144:$J$150,0,7))*INDEX('Methodology &amp; Sources'!$B$144:$J$150,0,7+2)),SUMPRODUCT(($AZ33&gt;INDEX('Methodology &amp; Sources'!$B$144:$J$150,0,4))*($AZ33-INDEX('Methodology &amp; Sources'!$B$144:$J$150,0,4))*INDEX('Methodology &amp; Sources'!$B$144:$J$150,0,4+2))),0.015*$AZ33),IF($AN33="OH",IF($B33&gt;=DATE(2027,8,1),SUMPRODUCT(($AZ33&gt;INDEX('Methodology &amp; Sources'!$B$203:$J$206,0,1))*($AZ33-INDEX('Methodology &amp; Sources'!$B$203:$J$206,0,1))*INDEX('Methodology &amp; Sources'!$B$203:$J$206,0,1+2)),SUMPRODUCT(($AZ33&gt;INDEX('Methodology &amp; Sources'!$B$184:$J$198,0,7))*($AZ33-INDEX('Methodology &amp; Sources'!$B$184:$J$198,0,7))*INDEX('Methodology &amp; Sources'!$B$184:$J$198,0,7+2))),IF($AN33="OK",IF($AU33="Married",SUMPRODUCT(($AZ33&gt;INDEX('Methodology &amp; Sources'!$B$203:$J$206,0,7))*($AZ33-INDEX('Methodology &amp; Sources'!$B$203:$J$206,0,7))*INDEX('Methodology &amp; Sources'!$B$203:$J$206,0,7+2)),SUMPRODUCT(($AZ33&gt;INDEX('Methodology &amp; Sources'!$B$203:$J$206,0,4))*($AZ33-INDEX('Methodology &amp; Sources'!$B$203:$J$206,0,4))*INDEX('Methodology &amp; Sources'!$B$203:$J$206,0,4+2))),IF($AN33="RI",SUMPRODUCT(($AZ33&gt;INDEX('Methodology &amp; Sources'!$B$211:$J$214,0,7))*($AZ33-INDEX('Methodology &amp; Sources'!$B$211:$J$214,0,7))*INDEX('Methodology &amp; Sources'!$B$211:$J$214,0,7+2)),IF($AN33="VT",IF($AU33="Married",SUMPRODUCT(($AZ33&gt;INDEX('Methodology &amp; Sources'!$B$228:$J$232,0,1))*($AZ33-INDEX('Methodology &amp; Sources'!$B$228:$J$232,0,1))*INDEX('Methodology &amp; Sources'!$B$228:$J$232,0,1+2)),SUMPRODUCT(($AZ33&gt;INDEX('Methodology &amp; Sources'!$B$219:$J$223,0,7))*($AZ33-INDEX('Methodology &amp; Sources'!$B$219:$J$223,0,7))*INDEX('Methodology &amp; Sources'!$B$219:$J$223,0,7+2))),IF($AN33="WV",IF($AU33="Married",SUMPRODUCT(($AZ33&gt;INDEX('Methodology &amp; Sources'!$B$237:$J$241,0,7))*($AZ33-INDEX('Methodology &amp; Sources'!$B$237:$J$241,0,7))*INDEX('Methodology &amp; Sources'!$B$237:$J$241,0,7+2)),SUMPRODUCT(($AZ33&gt;INDEX('Methodology &amp; Sources'!$B$228:$J$232,0,7))*($AZ33-INDEX('Methodology &amp; Sources'!$B$228:$J$232,0,7))*INDEX('Methodology &amp; Sources'!$B$228:$J$232,0,7+2))),""))))))))))</f>
      </c>
      <c r="BY33" s="7">
        <f>IF($B33="","",IF($AN33="AR",SUMPRODUCT(($AZ33&gt;INDEX('Methodology &amp; Sources'!$B$82:$J$86,0,7))*($AZ33-INDEX('Methodology &amp; Sources'!$B$82:$J$86,0,7))*INDEX('Methodology &amp; Sources'!$B$82:$J$86,0,7+2)),IF($AN33="DE",SUMPRODUCT(($AZ33&gt;INDEX('Methodology &amp; Sources'!$B$91:$J$98,0,1))*($AZ33-INDEX('Methodology &amp; Sources'!$B$91:$J$98,0,1))*INDEX('Methodology &amp; Sources'!$B$91:$J$98,0,1+2)),IF($AN33="HI",IF($AU33="Married",SUMPRODUCT(($AZ33&gt;INDEX('Methodology &amp; Sources'!$B$91:$J$98,0,7))*($AZ33-INDEX('Methodology &amp; Sources'!$B$91:$J$98,0,7))*INDEX('Methodology &amp; Sources'!$B$91:$J$98,0,7+2)),SUMPRODUCT(($AZ33&gt;INDEX('Methodology &amp; Sources'!$B$91:$J$98,0,4))*($AZ33-INDEX('Methodology &amp; Sources'!$B$91:$J$98,0,4))*INDEX('Methodology &amp; Sources'!$B$91:$J$98,0,4+2))),IF($AN33="SC",SUMPRODUCT(($AZ33&gt;INDEX('Methodology &amp; Sources'!$B$219:$J$223,0,1))*($AZ33-INDEX('Methodology &amp; Sources'!$B$219:$J$223,0,1))*INDEX('Methodology &amp; Sources'!$B$219:$J$223,0,1+2)),IF($AN33="VA",SUMPRODUCT(($AZ33&gt;INDEX('Methodology &amp; Sources'!$B$219:$J$223,0,4))*($AZ33-INDEX('Methodology &amp; Sources'!$B$219:$J$223,0,4))*INDEX('Methodology &amp; Sources'!$B$219:$J$223,0,4+2)),IF($AN33="WI",SUMPRODUCT(($AZ33&gt;INDEX('Methodology &amp; Sources'!$B$228:$J$232,0,4))*($AZ33-INDEX('Methodology &amp; Sources'!$B$228:$J$232,0,4))*INDEX('Methodology &amp; Sources'!$B$228:$J$232,0,4+2)),"")))))))</f>
      </c>
      <c r="BZ33" s="24">
        <f>IF($B33="","",IF($AN33="NJ",IF('Inputs 2'!$C$77="B",SUMPRODUCT(($AZ33&gt;=INDEX('Methodology &amp; Sources'!$B$155:$J$162,0,4))*INDEX('Methodology &amp; Sources'!$B$155:$J$162,0,4+2)),IF('Inputs 2'!$C$77="C",SUMPRODUCT(($AZ33&gt;=INDEX('Methodology &amp; Sources'!$B$155:$J$162,0,7))*INDEX('Methodology &amp; Sources'!$B$155:$J$162,0,7+2)),IF('Inputs 2'!$C$77="D",SUMPRODUCT(($AZ33&gt;=INDEX('Methodology &amp; Sources'!$B$167:$J$179,0,1))*INDEX('Methodology &amp; Sources'!$B$167:$J$179,0,1+2)),IF('Inputs 2'!$C$77="E",SUMPRODUCT(($AZ33&gt;=INDEX('Methodology &amp; Sources'!$B$167:$J$179,0,4))*INDEX('Methodology &amp; Sources'!$B$167:$J$179,0,4+2)),SUMPRODUCT(($AZ33&gt;=INDEX('Methodology &amp; Sources'!$B$155:$J$162,0,1))*INDEX('Methodology &amp; Sources'!$B$155:$J$162,0,1+2)))))),IF($AN33="OR",IF(OR($AU33="Married",AND($AU33="Single",$AS33&gt;=3)),SUMPRODUCT((MAX(0,$AY33-MIN(($P33-'Methodology &amp; Sources'!$C$10*$D33)*'Inputs 2'!$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Sources'!$B$211:$J$214,0,4))*INDEX('Methodology &amp; Sources'!$B$211:$J$214,0,4+2)),SUMPRODUCT((MAX(0,$AY33-MIN(($P33-'Methodology &amp; Sources'!$C$10*$D33)*'Inputs 2'!$C$8,IF(OR($AU33="Married",AND($AU33="Single",$AS33&gt;=3)),IF($AY33&lt;250000,8750,IF($AY33&lt;260000,7000,IF($AY33&lt;270000,5250,IF($AY33&lt;280000,3500,IF($AY33&lt;290000,1750,0))))),IF($AY33&lt;125000,8750,IF($AY33&lt;130000,7000,IF($AY33&lt;135000,5250,IF($AY33&lt;140000,3500,IF($AY33&lt;145000,1750,0)))))))-IF(OR($AU33="Married",AND($AU33="Single",$AS33&gt;=3)),5820,2910))&gt;=INDEX('Methodology &amp; Sources'!$B$211:$J$214,0,1))*INDEX('Methodology &amp; Sources'!$B$211:$J$214,0,1+2)))*IF(($P33-'Methodology &amp; Sources'!$C$10*$D33)*'Inputs 2'!$C$8&gt;=IF(OR($AU33="Married",AND($AU33="Single",$AS33&gt;=3)),IF($AY33&lt;250000,8750,IF($AY33&lt;260000,7000,IF($AY33&lt;270000,5250,IF($AY33&lt;280000,3500,IF($AY33&lt;290000,1750,0))))),IF($AY33&lt;125000,8750,IF($AY33&lt;130000,7000,IF($AY33&lt;135000,5250,IF($AY33&lt;140000,3500,IF($AY33&lt;145000,1750,0)))))),1,1-IF('Inputs 2'!$C$13,SUMPRODUCT(($AH33&gt;=INDEX('Methodology &amp; Sources'!$B$29:$J$36,0,IF('Inputs 2'!$C$12="MFJ",1,IF('Inputs 2'!$C$12="HoH",7,4))))*INDEX('Methodology &amp; Sources'!$B$29:$J$36,0,IF('Inputs 2'!$C$12="MFJ",1,IF('Inputs 2'!$C$12="HoH",7,4))+2)),SUMPRODUCT(($AH33&gt;=INDEX('Methodology &amp; Sources'!$B$19:$J$26,0,IF('Inputs 2'!$C$12="MFJ",1,IF('Inputs 2'!$C$12="HoH",7,4))))*INDEX('Methodology &amp; Sources'!$B$19:$J$26,0,IF('Inputs 2'!$C$12="MFJ",1,IF('Inputs 2'!$C$12="HoH",7,4))+2)))),IF($AN33="MI",IF($AY33&gt;5900*$AS33,0.0425,0),""))))</f>
      </c>
      <c r="CA33" s="24">
        <f>IF($B33="","",IF($AN33="AL",IF(OR($AU33="Married",$AU33="Head of household"),SUMPRODUCT(($AZ33&gt;=INDEX('Methodology &amp; Sources'!$B$82:$J$86,0,4))*INDEX('Methodology &amp; Sources'!$B$82:$J$86,0,4+2)),SUMPRODUCT(($AZ33&gt;=INDEX('Methodology &amp; Sources'!$B$82:$J$86,0,1))*INDEX('Methodology &amp; Sources'!$B$82:$J$86,0,1+2)))*(1-IF('Inputs 2'!$C$13,SUMPRODUCT(($AH33&gt;=INDEX('Methodology &amp; Sources'!$B$29:$J$36,0,IF('Inputs 2'!$C$12="MFJ",1,IF('Inputs 2'!$C$12="HoH",7,4))))*INDEX('Methodology &amp; Sources'!$B$29:$J$36,0,IF('Inputs 2'!$C$12="MFJ",1,IF('Inputs 2'!$C$12="HoH",7,4))+2)),SUMPRODUCT(($AH33&gt;=INDEX('Methodology &amp; Sources'!$B$19:$J$26,0,IF('Inputs 2'!$C$12="MFJ",1,IF('Inputs 2'!$C$12="HoH",7,4))))*INDEX('Methodology &amp; Sources'!$B$19:$J$26,0,IF('Inputs 2'!$C$12="MFJ",1,IF('Inputs 2'!$C$12="HoH",7,4))+2)))),IF($AN33="KS",IF($AU33="Married",SUMPRODUCT(($AZ33&gt;=INDEX('Methodology &amp; Sources'!$B$103:$J$109,0,4))*INDEX('Methodology &amp; Sources'!$B$103:$J$109,0,4+2)),SUMPRODUCT(($AZ33&gt;=INDEX('Methodology &amp; Sources'!$B$103:$J$109,0,1))*INDEX('Methodology &amp; Sources'!$B$103:$J$109,0,1+2))),IF($AN33="MD",IF(OR($AU33="Married",$AU33="Head of household"),SUMPRODUCT(($AZ33&gt;=INDEX('Methodology &amp; Sources'!$B$114:$J$120,0,1))*INDEX('Methodology &amp; Sources'!$B$114:$J$120,0,1+2)),SUMPRODUCT(($AZ33&gt;=INDEX('Methodology &amp; Sources'!$B$103:$J$109,0,7))*INDEX('Methodology &amp; Sources'!$B$103:$J$109,0,7+2)))+'Inputs 2'!$C$74,IF($AN33="MT",IF($AU33="Head of household",SUMPRODUCT(($AZ33&gt;=INDEX('Methodology &amp; Sources'!$B$137:$J$139,0,1))*INDEX('Methodology &amp; Sources'!$B$137:$J$139,0,1+2)),IF($AU33="Married",SUMPRODUCT(($AZ33&gt;=INDEX('Methodology &amp; Sources'!$B$125:$J$132,0,7))*INDEX('Methodology &amp; Sources'!$B$125:$J$132,0,7+2)),SUMPRODUCT(($AZ33&gt;=INDEX('Methodology &amp; Sources'!$B$125:$J$132,0,4))*INDEX('Methodology &amp; Sources'!$B$125:$J$132,0,4+2)))),IF($AN33="ND",IF($AU33="Head of household",SUMPRODUCT(($AZ33&gt;=INDEX('Methodology &amp; Sources'!$B$144:$J$150,0,1))*INDEX('Methodology &amp; Sources'!$B$144:$J$150,0,1+2)),IF($AU33="Married",SUMPRODUCT(($AZ33&gt;=INDEX('Methodology &amp; Sources'!$B$137:$J$139,0,7))*INDEX('Methodology &amp; Sources'!$B$137:$J$139,0,7+2)),SUMPRODUCT(($AZ33&gt;=INDEX('Methodology &amp; Sources'!$B$137:$J$139,0,4))*INDEX('Methodology &amp; Sources'!$B$137:$J$139,0,4+2)))),IF($AN33="NY",IF($AU33="Married",IF($AZ33&gt;=2155350,IF($AZ33&gt;25000000,0.117,IF($AZ33&gt;5000000,0.111,0.1045)),SUMPRODUCT(($AZ33&gt;=INDEX('Methodology &amp; Sources'!$B$184:$J$198,0,1))*INDEX('Methodology &amp; Sources'!$B$184:$J$198,0,1+2))),IF($AZ33&gt;=1077550,IF($AZ33&gt;25000000,0.117,IF($AZ33&gt;5000000,0.111,0.1045)),SUMPRODUCT(($AZ33&gt;=INDEX('Methodology &amp; Sources'!$B$167:$J$179,0,7))*INDEX('Methodology &amp; Sources'!$B$167:$J$179,0,7+2)))),"")))))))</f>
      </c>
      <c r="CB33" s="24">
        <f>IF($B33="","",IF($AN33="CA",SUMPRODUCT(($AJ33&gt;=INDEX('Methodology &amp; Sources'!$B$39:$J$48,0,IF($AU33="Married",4,IF($AU33="Head of household",7,1))))*INDEX('Methodology &amp; Sources'!$B$39:$J$48,0,IF($AU33="Married",4,IF($AU33="Head of household",7,1))+2)),IF($AN33="HI",IF($AU33="Married",SUMPRODUCT(($AZ33&gt;=INDEX('Methodology &amp; Sources'!$B$91:$J$98,0,7))*INDEX('Methodology &amp; Sources'!$B$91:$J$98,0,7+2)),SUMPRODUCT(($AZ33&gt;=INDEX('Methodology &amp; Sources'!$B$91:$J$98,0,4))*INDEX('Methodology &amp; Sources'!$B$91:$J$98,0,4+2))),IF($AN33="MN",IF($AU33="Married",SUMPRODUCT(($AZ33&gt;=INDEX('Methodology &amp; Sources'!$B$114:$J$120,0,7))*INDEX('Methodology &amp; Sources'!$B$114:$J$120,0,7+2)),SUMPRODUCT(($AZ33&gt;=INDEX('Methodology &amp; Sources'!$B$114:$J$120,0,4))*INDEX('Methodology &amp; Sources'!$B$114:$J$120,0,4+2))),IF($AN33="MO",SUMPRODUCT(($AZ33&gt;=INDEX('Methodology &amp; Sources'!$B$125:$J$132,0,1))*INDEX('Methodology &amp; Sources'!$B$125:$J$132,0,1+2)),IF($AN33="NE",MAX(IF($AU33="Married",SUMPRODUCT(($AZ33&gt;=INDEX('Methodology &amp; Sources'!$B$144:$J$150,0,7))*INDEX('Methodology &amp; Sources'!$B$144:$J$150,0,7+2)),SUMPRODUCT(($AZ33&gt;=INDEX('Methodology &amp; Sources'!$B$144:$J$150,0,4))*INDEX('Methodology &amp; Sources'!$B$144:$J$150,0,4+2))),0.015),IF($AN33="OH",IF($B33&gt;=DATE(2027,8,1),SUMPRODUCT(($AZ33&gt;=INDEX('Methodology &amp; Sources'!$B$203:$J$206,0,1))*INDEX('Methodology &amp; Sources'!$B$203:$J$206,0,1+2)),SUMPRODUCT(($AZ33&gt;=INDEX('Methodology &amp; Sources'!$B$184:$J$198,0,7))*INDEX('Methodology &amp; Sources'!$B$184:$J$198,0,7+2))),IF($AN33="OK",IF($AU33="Married",SUMPRODUCT(($AZ33&gt;=INDEX('Methodology &amp; Sources'!$B$203:$J$206,0,7))*INDEX('Methodology &amp; Sources'!$B$203:$J$206,0,7+2)),SUMPRODUCT(($AZ33&gt;=INDEX('Methodology &amp; Sources'!$B$203:$J$206,0,4))*INDEX('Methodology &amp; Sources'!$B$203:$J$206,0,4+2))),IF($AN33="RI",SUMPRODUCT(($AZ33&gt;=INDEX('Methodology &amp; Sources'!$B$211:$J$214,0,7))*INDEX('Methodology &amp; Sources'!$B$211:$J$214,0,7+2)),IF($AN33="SC",SUMPRODUCT(($AZ33&gt;=INDEX('Methodology &amp; Sources'!$B$219:$J$223,0,1))*INDEX('Methodology &amp; Sources'!$B$219:$J$223,0,1+2)),IF($AN33="VT",IF($AU33="Married",SUMPRODUCT(($AZ33&gt;=INDEX('Methodology &amp; Sources'!$B$228:$J$232,0,1))*INDEX('Methodology &amp; Sources'!$B$228:$J$232,0,1+2)),SUMPRODUCT(($AZ33&gt;=INDEX('Methodology &amp; Sources'!$B$219:$J$223,0,7))*INDEX('Methodology &amp; Sources'!$B$219:$J$223,0,7+2))),IF($AN33="WV",IF($AU33="Married",SUMPRODUCT(($AZ33&gt;=INDEX('Methodology &amp; Sources'!$B$237:$J$241,0,7))*INDEX('Methodology &amp; Sources'!$B$237:$J$241,0,7+2)),SUMPRODUCT(($AZ33&gt;=INDEX('Methodology &amp; Sources'!$B$228:$J$232,0,7))*INDEX('Methodology &amp; Sources'!$B$228:$J$232,0,7+2))),IF($AN33="IN",(0.0295+'Inputs 2'!$C$76),"")))))))))))))</f>
      </c>
      <c r="CC33" s="24">
        <f>IF($B33="","",IF($AN33="AR",SUMPRODUCT(($AZ33&gt;=INDEX('Methodology &amp; Sources'!$B$82:$J$86,0,7))*INDEX('Methodology &amp; Sources'!$B$82:$J$86,0,7+2)),IF($AN33="DE",SUMPRODUCT(($AZ33&gt;=INDEX('Methodology &amp; Sources'!$B$91:$J$98,0,1))*INDEX('Methodology &amp; Sources'!$B$91:$J$98,0,1+2)),IF($AN33="VA",SUMPRODUCT(($AZ33&gt;=INDEX('Methodology &amp; Sources'!$B$219:$J$223,0,4))*INDEX('Methodology &amp; Sources'!$B$219:$J$223,0,4+2)),IF($AN33="WI",SUMPRODUCT(($AZ33&gt;=INDEX('Methodology &amp; Sources'!$B$228:$J$232,0,4))*INDEX('Methodology &amp; Sources'!$B$228:$J$232,0,4+2)),IF($AN33="AZ",'Inputs 2'!$C$82,IF($AN33="CO",IF($AY33&gt;IF($AU33="Married",10000,5000),0.044,0),IF($AN33="IA",IF($AY33&gt;IF($AU33="Head of household",19500,IF($AU33="Married",26000,13000)),0.038,0),IF($AN33="ID",IF($AY33&gt;IF($AU33="Married",32000,16094),0.053,0),IF($AN33="IL",IF($AY33&gt;(2925*$AS33+1000*$AT33),0.0495,0),IF($AN33="KY",IF($AI33&gt;3360,0.035,0),IF($AN33="LA",0.0309,IF($AN33="MA",IF(MAX(0,$AY33-MIN(($BD32+$Q33+$R33+$S33),2000)-IF($AS33=0,0,IF($AS33=1,4400,1000*$AS33+3400)))&gt;=1107750,0.09,0.05),IF($AN33="MS",IF($AI33-IF($AU33="Head of household",3400,IF($AU33="Married",4600,2300))-'Inputs 2'!$C$85&gt;10000,0.04,0),IF($AN33="PA",0.0307,"")))))))))))))))</f>
      </c>
      <c r="CD33" s="21">
        <f>IF(YEAR(IF('Inputs 2'!$C$7="Weekly",'Inputs 2'!$C$9+7*(($BE32+1)-1),IF('Inputs 2'!$C$7="Biweekly",'Inputs 2'!$C$9+14*(($BE32+1)-1),IF('Inputs 2'!$C$7="Semimonthly",DATE(YEAR('Inputs 2'!$C$9),MONTH('Inputs 2'!$C$9)+INT((($BE32+1)-1)/2),MIN(DAY('Inputs 2'!$C$9),DAY(EOMONTH(DATE(YEAR('Inputs 2'!$C$9),MONTH('Inputs 2'!$C$9)+INT((($BE32+1)-1)/2),1),0))))+IF(MOD(($BE32+1)-1,2)=1,15,0),EDATE('Inputs 2'!$C$9,($BE32+1)-1)))))&lt;&gt;'Inputs 2'!$C$10,"",IF('Inputs 2'!$C$7="Weekly",'Inputs 2'!$C$9+7*(($BE32+1)-1),IF('Inputs 2'!$C$7="Biweekly",'Inputs 2'!$C$9+14*(($BE32+1)-1),IF('Inputs 2'!$C$7="Semimonthly",DATE(YEAR('Inputs 2'!$C$9),MONTH('Inputs 2'!$C$9)+INT((($BE32+1)-1)/2),MIN(DAY('Inputs 2'!$C$9),DAY(EOMONTH(DATE(YEAR('Inputs 2'!$C$9),MONTH('Inputs 2'!$C$9)+INT((($BE32+1)-1)/2),1),0))))+IF(MOD(($BE32+1)-1,2)=1,15,0),EDATE('Inputs 2'!$C$9,($BE32+1)-1)))))</f>
      </c>
      <c r="CE33" s="21">
        <f>IF(SUMPRODUCT(MIN(IF(('Inputs 2'!$C$58:$C$67&gt;MAX($B$6:$B32))*('Inputs 2'!$C$58:$C$67&gt;=DATE('Inputs 2'!$C$10,1,1))*('Inputs 2'!$C$58:$C$67&lt;=DATE('Inputs 2'!$C$10,12,31)),'Inputs 2'!$C$58:$C$67,999999)))=999999,"",SUMPRODUCT(MIN(IF(('Inputs 2'!$C$58:$C$67&gt;MAX($B$6:$B32))*('Inputs 2'!$C$58:$C$67&gt;=DATE('Inputs 2'!$C$10,1,1))*('Inputs 2'!$C$58:$C$67&lt;=DATE('Inputs 2'!$C$10,12,31)),'Inputs 2'!$C$58:$C$67,999999))))</f>
      </c>
    </row>
    <row r="34">
      <c r="A34" t="n">
        <v>29</v>
      </c>
      <c r="B34" s="21">
        <f>IF(AND($CD34="",$CE34=""),"",IF($CE34="",$CD34,IF($CD34="",$CE34,MIN($CD34,$CE34))))</f>
      </c>
      <c r="C34" s="7">
        <f>IF($B34="","",IF($BF34=0,0,IF('Inputs 2'!$C$4="Annual salary",ROUND($AK34/IF(AND('Inputs 2'!$C$88="Actual paydays",MONTH('Inputs 2'!$C$9)=1),MAX(1,MAX($BE$6:$BE$68)),'Inputs 2'!$C$8),2),$AK34)))</f>
      </c>
      <c r="D34" s="7">
        <f>IF($B34="","",SUMIF('Inputs 2'!$C$58:$C$67,$B34,'Inputs 2'!$D$58:$D$67))</f>
      </c>
      <c r="E34" s="7">
        <f>IF($B34="","",ROUND(MAX(0,MIN(IF($AL34="Percent",$AM34*($C34+$D34),$AM34),MAX(0,'Inputs 2'!$C$34-$AC33))),2))</f>
      </c>
      <c r="F34" s="7">
        <f>IF($B34="","",ROUND(MAX(0,MIN(IF('Inputs 2'!$C$32="Percent",'Inputs 2'!$D$32*($C34+$D34),'Inputs 2'!$D$32),MAX(0,'Inputs 2'!$C$34-$AC33-$E34))),2))</f>
      </c>
      <c r="G34" s="7">
        <f>IF($B34="","",IF($BF34=0,0,ROUND(MAX(0,MIN($BL34,'Inputs 2'!$C$37-'Inputs 2'!$C$54-$BI33)),2)))</f>
      </c>
      <c r="H34" s="7">
        <f>IF($B34="","",IF(OR($BF34=0,$BQ34=1),0,ROUND(MAX(0,MIN(IF($BS34=1,ROUND(MAX(0,MIN($BJ34,'Methodology &amp; Sources'!$C$13)-$BG33)/MAX(1,MAX($BE$6:$BE$68)-($BE33)),2),ROUND(MIN($BJ34,'Methodology &amp; Sources'!$C$13)/'Inputs 2'!$C$8,2)),MIN($BJ34,'Methodology &amp; Sources'!$C$13)-$BG33)),2)))</f>
      </c>
      <c r="I34" s="7">
        <f>IF($B34="","",IF(OR($BF34=0,$BR34=1),0,ROUND(MAX(0,MIN(IF($BT34=1,ROUND(MAX(0,MIN($BK34,IF('Inputs 2'!$C$12="MFJ",'Methodology &amp; Sources'!$C$14,'Methodology &amp; Sources'!$C$15))-$BH33)/MAX(1,MAX($BE$6:$BE$68)-($BE33)),2),ROUND(MIN($BK34,IF('Inputs 2'!$C$12="MFJ",'Methodology &amp; Sources'!$C$14,'Methodology &amp; Sources'!$C$15))/'Inputs 2'!$C$8,2)),MIN($BK34,IF('Inputs 2'!$C$12="MFJ",'Methodology &amp; Sources'!$C$14,'Methodology &amp; Sources'!$C$15))-$BH33)),2)))</f>
      </c>
      <c r="J34" s="7">
        <f>IF($B34="","",IF($BF34=0,0,$BM34))</f>
      </c>
      <c r="K34" s="7">
        <f>IF($B34="","",IF($BF34=0,0,$BN34+$BO34))</f>
      </c>
      <c r="L34" s="7">
        <f>IF($B34="","",IF($BF34=0,0,'Inputs 2'!$D$46))</f>
      </c>
      <c r="M34" s="7">
        <f>IF($B34="","",$C34+$D34+$L34-$E34-$G34-$H34-$I34-$J34-$K34)</f>
      </c>
      <c r="N34" s="7">
        <f>IF($B34="","",$C34+$D34+$L34-$G34-$H34-$I34-$J34-$K34)</f>
      </c>
      <c r="O34" s="7">
        <f>IF($B34="","",$C34+$D34+$L34-$E34-$H34-$I34-$J34-$K34-IF(OR($AN34="CA",$AN34="NJ"),0,$G34))</f>
      </c>
      <c r="P34" s="7">
        <f>IF($B34="","",IF('Inputs 2'!$C$18,0,ROUND(MAX(0,IF('Inputs 2'!$C$13,SUMPRODUCT(($AH34&gt;INDEX('Methodology &amp; Sources'!$B$29:$J$36,0,IF('Inputs 2'!$C$12="MFJ",1,IF('Inputs 2'!$C$12="HoH",7,4))))*($AH34-INDEX('Methodology &amp; Sources'!$B$29:$J$36,0,IF('Inputs 2'!$C$12="MFJ",1,IF('Inputs 2'!$C$12="HoH",7,4))))*INDEX('Methodology &amp; Sources'!$B$29:$J$36,0,IF('Inputs 2'!$C$12="MFJ",1,IF('Inputs 2'!$C$12="HoH",7,4))+2)),SUMPRODUCT(($AH34&gt;INDEX('Methodology &amp; Sources'!$B$19:$J$26,0,IF('Inputs 2'!$C$12="MFJ",1,IF('Inputs 2'!$C$12="HoH",7,4))))*($AH34-INDEX('Methodology &amp; Sources'!$B$19:$J$26,0,IF('Inputs 2'!$C$12="MFJ",1,IF('Inputs 2'!$C$12="HoH",7,4))))*INDEX('Methodology &amp; Sources'!$B$19:$J$26,0,IF('Inputs 2'!$C$12="MFJ",1,IF('Inputs 2'!$C$12="HoH",7,4))+2)))/'Inputs 2'!$C$8-$AO34/'Inputs 2'!$C$8)+$AR34+IF('Inputs 2'!$C$89="Aggregate",MAX(0,IF('Inputs 2'!$C$13,SUMPRODUCT((($AH34+$D34)&gt;INDEX('Methodology &amp; Sources'!$B$29:$J$36,0,IF('Inputs 2'!$C$12="MFJ",1,IF('Inputs 2'!$C$12="HoH",7,4))))*(($AH34+$D34)-INDEX('Methodology &amp; Sources'!$B$29:$J$36,0,IF('Inputs 2'!$C$12="MFJ",1,IF('Inputs 2'!$C$12="HoH",7,4))))*INDEX('Methodology &amp; Sources'!$B$29:$J$36,0,IF('Inputs 2'!$C$12="MFJ",1,IF('Inputs 2'!$C$12="HoH",7,4))+2)),SUMPRODUCT((($AH34+$D34)&gt;INDEX('Methodology &amp; Sources'!$B$19:$J$26,0,IF('Inputs 2'!$C$12="MFJ",1,IF('Inputs 2'!$C$12="HoH",7,4))))*(($AH34+$D34)-INDEX('Methodology &amp; Sources'!$B$19:$J$26,0,IF('Inputs 2'!$C$12="MFJ",1,IF('Inputs 2'!$C$12="HoH",7,4))))*INDEX('Methodology &amp; Sources'!$B$19:$J$26,0,IF('Inputs 2'!$C$12="MFJ",1,IF('Inputs 2'!$C$12="HoH",7,4))+2)))-IF('Inputs 2'!$C$13,SUMPRODUCT(($AH34&gt;INDEX('Methodology &amp; Sources'!$B$29:$J$36,0,IF('Inputs 2'!$C$12="MFJ",1,IF('Inputs 2'!$C$12="HoH",7,4))))*($AH34-INDEX('Methodology &amp; Sources'!$B$29:$J$36,0,IF('Inputs 2'!$C$12="MFJ",1,IF('Inputs 2'!$C$12="HoH",7,4))))*INDEX('Methodology &amp; Sources'!$B$29:$J$36,0,IF('Inputs 2'!$C$12="MFJ",1,IF('Inputs 2'!$C$12="HoH",7,4))+2)),SUMPRODUCT(($AH34&gt;INDEX('Methodology &amp; Sources'!$B$19:$J$26,0,IF('Inputs 2'!$C$12="MFJ",1,IF('Inputs 2'!$C$12="HoH",7,4))))*($AH34-INDEX('Methodology &amp; Sources'!$B$19:$J$26,0,IF('Inputs 2'!$C$12="MFJ",1,IF('Inputs 2'!$C$12="HoH",7,4))))*INDEX('Methodology &amp; Sources'!$B$19:$J$26,0,IF('Inputs 2'!$C$12="MFJ",1,IF('Inputs 2'!$C$12="HoH",7,4))+2)))),'Methodology &amp; Sources'!$C$10*$D34),2)))</f>
      </c>
      <c r="Q34" s="7">
        <f>IF($B34="","",ROUND('Methodology &amp; Sources'!$C$4*MIN($N34,MAX(0,'Methodology &amp; Sources'!$C$3-($AX34+$AB33-$AW34))),2))</f>
      </c>
      <c r="R34" s="7">
        <f>IF($B34="","",ROUND('Methodology &amp; Sources'!$C$5*$N34,2))</f>
      </c>
      <c r="S34" s="7">
        <f>IF($B34="","",ROUND('Methodology &amp; Sources'!$C$6*MAX(0,MIN($N34,$AG33+$N34-'Methodology &amp; Sources'!$C$7)),2))</f>
      </c>
      <c r="T34" s="7">
        <f>IF($B34="","",IF('Inputs 2'!$C$26,0,IF($AN34="CA",ROUND(IF($AI34&lt;=IF(($AS34+$AT34)&gt;=2,VLOOKUP($AN34,StateTables!$A$6:$AB$56,10,FALSE),VLOOKUP($AN34,StateTables!$A$6:$AB$56,9,FALSE)),0,MAX(0,SUMPRODUCT(($AJ34&gt;INDEX('Methodology &amp; Sources'!$B$39:$J$48,0,IF($AU34="Married",4,IF($AU34="Head of household",7,1))))*($AJ34-INDEX('Methodology &amp; Sources'!$B$39:$J$48,0,IF($AU34="Married",4,IF($AU34="Head of household",7,1))))*INDEX('Methodology &amp; Sources'!$B$39:$J$48,0,IF($AU34="Married",4,IF($AU34="Head of household",7,1))+2))-VLOOKUP($AN34,StateTables!$A$6:$AB$56,11,FALSE)*$AS34)/'Inputs 2'!$C$8)+'Inputs 2'!$C$25+VLOOKUP($AN34,StateTables!$A$6:$AB$56,13,FALSE)*$D34,2),IF(VLOOKUP($AN34,StateTables!$A$6:$AB$56,4,FALSE)="None",0,IF(ISNUMBER(SEARCH("MANUAL",VLOOKUP($AN34,StateTables!$A$6:$AB$56,5,FALSE))),'Inputs 2'!$C$28,ROUND(MAX(0,$BA34+$BB34)/'Inputs 2'!$C$8+'Inputs 2'!$C$25+$BC34,2))))))</f>
      </c>
      <c r="U34" s="7">
        <f>IF($B34="","",IF(VLOOKUP($AN34,StateTables!$A$6:$AB$56,24,FALSE)="flatq",IF(OR(MONTH($B34)=1,MONTH($B34)=4,MONTH($B34)=7,MONTH($B34)=10),VLOOKUP($AN34,StateTables!$A$6:$AB$56,25,FALSE),0),IF(VLOOKUP($AN34,StateTables!$A$6:$AB$56,24,FALSE)="dbl",MIN(ROUND(0.005*$N34,2),ROUND(0.6*52/'Inputs 2'!$C$8,2)),IF(OR(VLOOKUP($AN34,StateTables!$A$6:$AB$56,15,FALSE)="",VLOOKUP($AN34,StateTables!$A$6:$AB$56,15,FALSE)=0),0,ROUND(VLOOKUP($AN34,StateTables!$A$6:$AB$56,15,FALSE)*IF(OR(VLOOKUP($AN34,StateTables!$A$6:$AB$56,16,FALSE)="",VLOOKUP($AN34,StateTables!$A$6:$AB$56,16,FALSE)=0),$N34,MIN($N34,MAX(0,VLOOKUP($AN34,StateTables!$A$6:$AB$56,16,FALSE)-($AX34+$AB33-$AW34)))),2))))+IF(VLOOKUP($AN34,StateTables!$A$6:$AB$56,27,FALSE)="flatq",IF(OR(MONTH($B34)=1,MONTH($B34)=4,MONTH($B34)=7,MONTH($B34)=10),VLOOKUP($AN34,StateTables!$A$6:$AB$56,28,FALSE),0),IF(VLOOKUP($AN34,StateTables!$A$6:$AB$56,27,FALSE)="dbl",MIN(ROUND(0.005*$N34,2),ROUND(0.6*52/'Inputs 2'!$C$8,2)),IF(OR(VLOOKUP($AN34,StateTables!$A$6:$AB$56,18,FALSE)="",VLOOKUP($AN34,StateTables!$A$6:$AB$56,18,FALSE)=0),0,ROUND(VLOOKUP($AN34,StateTables!$A$6:$AB$56,18,FALSE)*IF(OR(VLOOKUP($AN34,StateTables!$A$6:$AB$56,19,FALSE)="",VLOOKUP($AN34,StateTables!$A$6:$AB$56,19,FALSE)=0),$N34,MIN($N34,MAX(0,VLOOKUP($AN34,StateTables!$A$6:$AB$56,19,FALSE)-($AX34+$AB33-$AW34)))),2)))))</f>
      </c>
      <c r="V34" s="7">
        <f>IF($B34="","",IF($AN34="NY",IF('Inputs 2'!$C$78,ROUND(SUMPRODUCT((MAX(0,($O34-$D34)*'Inputs 2'!$C$8-(IF($AU34="Married",5500,5000)+1000*$AS34))&gt;INDEX('Methodology &amp; Sources'!$B$184:$J$198,0,4))*(MAX(0,($O34-$D34)*'Inputs 2'!$C$8-(IF($AU34="Married",5500,5000)+1000*$AS34))-INDEX('Methodology &amp; Sources'!$B$184:$J$198,0,4))*INDEX('Methodology &amp; Sources'!$B$184:$J$198,0,4+2))/'Inputs 2'!$C$8+0.0425*$D34,2),0)+IF('Inputs 2'!$C$79="Resident",ROUND(0.1675*$T34,2),IF('Inputs 2'!$C$79="Nonresident",ROUND(0.005*MAX(0,($O34-$D34)-(IF($AU34="Married",7950,7400)+1000*$AS34)/'Inputs 2'!$C$8),2),0)),IF($AN34="PA",IF('Inputs 2'!$C$80="None",'Inputs 2'!$C$27+ROUND('Inputs 2'!$C$81*($C34+$D34),2),ROUND(IF('Inputs 2'!$C$80="Resident",IF($B34&lt;DATE(2027,7,1),0.03735,0.03735),IF($B34&lt;DATE(2027,7,1),0.03425,0.03425))*($C34+$D34),2)),IF($BF34=0,ROUND('Inputs 2'!$C$81*($C34+$D34),2),'Inputs 2'!$C$27+ROUND('Inputs 2'!$C$81*($C34+$D34),2)))))</f>
      </c>
      <c r="W34" s="7">
        <f>IF($B34="","",IF($BF34=0,0,$BP34))</f>
      </c>
      <c r="X34" s="7">
        <f>IF($B34="","",SUM($E34:$K34)+$P34+$Q34+$R34+$S34+$T34+$U34+$V34+$W34)</f>
      </c>
      <c r="Y34" s="22">
        <f>IF($B34="","",$C34+$D34-$X34)</f>
      </c>
      <c r="Z34" s="7">
        <f>IF($B34="","",$Z33+$C34+$D34)</f>
      </c>
      <c r="AA34" s="7">
        <f>IF($B34="","",$AA33+$Y34)</f>
      </c>
      <c r="AB34" s="7">
        <f>IF($B34="","",$AB33+MIN($N34,MAX(0,'Methodology &amp; Sources'!$C$3-($AX34+$AB33-$AW34))))</f>
      </c>
      <c r="AC34" s="7">
        <f>IF($B34="","",$AC33+$E34+$F34)</f>
      </c>
      <c r="AD34" s="3">
        <f>IF($B34="","",IF(AND($AB33&lt;'Methodology &amp; Sources'!$C$3,$AB34&gt;='Methodology &amp; Sources'!$C$3),"★ Social Security maxed on this check — from the next check your net rises by about $"&amp;TEXT(ROUND('Methodology &amp; Sources'!$C$4*$N34,2),"#,##0.00")&amp;". ","")&amp;IF(AND($AC33&lt;'Inputs 2'!$C$34,$AC34&gt;='Inputs 2'!$C$34),"★ 401(k) reaches the $"&amp;TEXT('Inputs 2'!$C$34,"#,##0")&amp;" cap on this check — deferrals stop and net pay rises. ","")&amp;IF(AND($AG33&lt;'Methodology &amp; Sources'!$C$7,$AG34&gt;='Methodology &amp; Sources'!$C$7),"★ Wages pass $200,000 — the 0.9% Additional Medicare Tax starts here. ","")&amp;IF(AND($BJ34&gt;0,$H34&gt;0,$BG33&lt;MIN($BJ34,'Methodology &amp; Sources'!$C$13),$BG33+$H34&gt;=MIN($BJ34,'Methodology &amp; Sources'!$C$13)),"★ Health FSA election is now fully deferred for the year. ",""))</f>
      </c>
      <c r="AE34" s="41" t="n"/>
      <c r="AF34" s="7">
        <f>IF(OR($B34="",$AE34=""),"",$AE34-$Y34)</f>
      </c>
      <c r="AG34" s="7">
        <f>IF($B34="","",$AG33+$N34)</f>
      </c>
      <c r="AH34" s="7">
        <f>IF($B34="","",MAX(0,($M34-$D34)*'Inputs 2'!$C$8+$AP34-$AQ34-IF('Inputs 2'!$C$13,0,IF('Inputs 2'!$C$12="MFJ",'Methodology &amp; Sources'!$C$8,'Methodology &amp; Sources'!$C$9))))</f>
      </c>
      <c r="AI34" s="7">
        <f>IF($B34="","",$O34*'Inputs 2'!$C$8)</f>
      </c>
      <c r="AJ34" s="7">
        <f>IF($B34="","",MAX(0,$AI34-VLOOKUP($AN34,StateTables!$A$6:$AB$56,12,FALSE)*$AT34-IF(($AS34+$AT34)&gt;=2,VLOOKUP($AN34,StateTables!$A$6:$AB$56,8,FALSE),VLOOKUP($AN34,StateTables!$A$6:$AB$56,7,FALSE))))</f>
      </c>
      <c r="AK34" s="7">
        <f>IF($B34="","",IFERROR(LOOKUP(2,1/(('Events 2'!$C$6:$C$17="Salary change")*('Events 2'!$B$6:$B$17&lt;=$B34)*('Events 2'!$B$6:$B$17&lt;&gt;"")),'Events 2'!$D$6:$D$17),IF('Inputs 2'!$C$4="Annual salary",'Inputs 2'!$C$5,'Inputs 2'!$C$6)))</f>
      </c>
      <c r="AL34">
        <f>IF($B34="","",IFERROR(LOOKUP(2,1/(('Events 2'!$C$6:$C$17="401(k) change")*('Events 2'!$B$6:$B$17&lt;=$B34)*('Events 2'!$B$6:$B$17&lt;&gt;"")),'Events 2'!$D$6:$D$17),'Inputs 2'!$C$30))</f>
      </c>
      <c r="AM34" s="7">
        <f>IF($B34="","",IFERROR(LOOKUP(2,1/(('Events 2'!$C$6:$C$17="401(k) change")*('Events 2'!$B$6:$B$17&lt;=$B34)*('Events 2'!$B$6:$B$17&lt;&gt;"")),'Events 2'!$E$6:$E$17),'Inputs 2'!$D$30))</f>
      </c>
      <c r="AN34">
        <f>IF($B34="","",IFERROR(LOOKUP(2,1/(('Events 2'!$C$6:$C$17="State move")*('Events 2'!$B$6:$B$17&lt;=$B34)*('Events 2'!$B$6:$B$17&lt;&gt;"")),'Events 2'!$D$6:$D$17),'Inputs 2'!$C$21))</f>
      </c>
      <c r="AO34" s="7">
        <f>IF($B34="","",IFERROR(LOOKUP(2,1/(('Events 2'!$C$6:$C$17="W-4 change")*('Events 2'!$B$6:$B$17&lt;=$B34)*('Events 2'!$B$6:$B$17&lt;&gt;"")),'Events 2'!$D$6:$D$17),'Inputs 2'!$C$14))</f>
      </c>
      <c r="AP34" s="7">
        <f>IF($B34="","",IFERROR(LOOKUP(2,1/(('Events 2'!$C$6:$C$17="W-4 change")*('Events 2'!$B$6:$B$17&lt;=$B34)*('Events 2'!$B$6:$B$17&lt;&gt;"")),'Events 2'!$E$6:$E$17),'Inputs 2'!$C$15))</f>
      </c>
      <c r="AQ34" s="7">
        <f>IF($B34="","",IFERROR(LOOKUP(2,1/(('Events 2'!$C$6:$C$17="W-4 change")*('Events 2'!$B$6:$B$17&lt;=$B34)*('Events 2'!$B$6:$B$17&lt;&gt;"")),'Events 2'!$F$6:$F$17),'Inputs 2'!$C$16))</f>
      </c>
      <c r="AR34" s="7">
        <f>IF($B34="","",IFERROR(LOOKUP(2,1/(('Events 2'!$C$6:$C$17="W-4 change")*('Events 2'!$B$6:$B$17&lt;=$B34)*('Events 2'!$B$6:$B$17&lt;&gt;"")),'Events 2'!$G$6:$G$17),'Inputs 2'!$C$17))</f>
      </c>
      <c r="AS34" s="6">
        <f>IF($B34="","",IFERROR(LOOKUP(2,1/((('Events 2'!$C$6:$C$17="State move")+('Events 2'!$C$6:$C$17="State cert change"))*('Events 2'!$B$6:$B$17&lt;=$B34)*('Events 2'!$B$6:$B$17&lt;&gt;"")),'Events 2'!$F$6:$F$17),'Inputs 2'!$C$23))</f>
      </c>
      <c r="AT34" s="6">
        <f>IF($B34="","",IFERROR(LOOKUP(2,1/((('Events 2'!$C$6:$C$17="State move")+('Events 2'!$C$6:$C$17="State cert change"))*('Events 2'!$B$6:$B$17&lt;=$B34)*('Events 2'!$B$6:$B$17&lt;&gt;"")),'Events 2'!$G$6:$G$17),'Inputs 2'!$C$24))</f>
      </c>
      <c r="AU34">
        <f>IF($B34="","",IFERROR(LOOKUP(2,1/(('Events 2'!$C$6:$C$17="State move")*('Events 2'!$B$6:$B$17&lt;=$B34)*('Events 2'!$B$6:$B$17&lt;&gt;"")),'Events 2'!$E$6:$E$17),'Inputs 2'!$C$22))</f>
      </c>
      <c r="AV34" s="6">
        <f>IF($B34="","",1+COUNTIFS('Events 2'!$C$6:$C$17,"Employer change",'Events 2'!$B$6:$B$17,"&lt;="&amp;$B34,'Events 2'!$B$6:$B$17,"&lt;&gt;"))</f>
      </c>
      <c r="AW34" s="7">
        <f>IF($B34="","",IF($AV34=1,'Inputs 2'!$C$49,IF(IFERROR(MATCH(IFERROR(LOOKUP(2,1/(('Events 2'!$C$6:$C$17="Employer change")*('Events 2'!$B$6:$B$17&lt;=$B34)*('Events 2'!$B$6:$B$17&lt;&gt;"")),'Events 2'!$B$6:$B$17),""),$B$6:$B$68,1),1)&lt;=1,'Inputs 2'!$C$49,INDEX($AB$6:$AB$68,MATCH(IFERROR(LOOKUP(2,1/(('Events 2'!$C$6:$C$17="Employer change")*('Events 2'!$B$6:$B$17&lt;=$B34)*('Events 2'!$B$6:$B$17&lt;&gt;"")),'Events 2'!$B$6:$B$17),""),$B$6:$B$68,1)-1))))</f>
      </c>
      <c r="AX34" s="7">
        <f>IF($B34="","",IF($AV34=1,'Inputs 2'!$C$49,IFERROR(LOOKUP(2,1/(('Events 2'!$C$6:$C$17="Employer change")*('Events 2'!$B$6:$B$17&lt;=$B34)*('Events 2'!$B$6:$B$17&lt;&gt;"")),'Events 2'!$D$6:$D$17),0)))</f>
      </c>
      <c r="AY34" s="7">
        <f>IF($B34="","",($O34-$D34)*'Inputs 2'!$C$8)</f>
      </c>
      <c r="AZ34" s="7">
        <f>IF($B34="","",IF($AN34="AL",MAX(0,$AY34-IF($AU34="Married",IF($AY34&lt;=25999,8500,MAX(5000,8500-175*CEILING(($AY34-25999)/500,1))),IF($AU34="Head of household",IF($AY34&lt;=25999,5200,MAX(2500,5200-135*CEILING(($AY34-25999)/500,1))),IF($AY34&lt;=25999,3000,MAX(2500,3000-25*CEILING(($AY34-25999)/500,1)))))-($P34-'Methodology &amp; Sources'!$C$10*$D34)*'Inputs 2'!$C$8-IF(OR($AU34="Married",$AU34="Head of household"),3000,1500)-$AT34*IF($AY34&lt;=50000,1000,IF($AY34&lt;=100000,500,300))),IF($AN34="AR",IF(MAX(0,$AY34-2470)&lt;97701,INT(MAX(0,$AY34-2470)/100)*100+50,MAX(0,$AY34-2470)),IF($AN34="DE",MAX(0,$AI34-3250),IF($AN34="HI",MAX(0,$AI34-1144*$AS34-4350),IF($AN34="KS",MAX(0,$AI34-(9160*IF($AU34="Married",2,1)+2320*$AT34+IF($AU34="Head of household",2320,0))),IF($AN34="MD",MAX(0,$AI34-3400-3200*$AS34),IF($AN34="MN",MAX(0,$AY34-5300*$AS34),IF($AN34="MO",MAX(0,$AI34-IF($AU34="Head of household",24150,IF($AU34="Married",IF('Inputs 2'!$C$83,16100,32200),16100))),IF($AN34="MT",$AY34,IF($AN34="ND",($C34+$L34)*'Inputs 2'!$C$8,IF($AN34="NE",MAX(0,$AY34-2440*$AS34),IF($AN34="NJ",MAX(0,$AY34-1000*$AS34),IF($AN34="NY",MAX(0,$AY34-(IF($AU34="Married",7950,7400)+1000*$AS34)),IF($AN34="OH",MAX(0,$AY34-650*$AS34),IF($AN34="OK",MAX(0,$AY34-1000*$AS34),IF($AN34="RI",MAX(0,$AI34-1000*$AS34),IF($AN34="SC",MAX(0,$AI34-5000*$AS34-IF($AS34=0,0,MIN(0.1*$AI34,7500))),IF($AN34="VA",MAX(0,$AI34-IF($AU34="Married",17500,8750)-930*$AS34-800*$AT34),IF($AN34="VT",MAX(0,$AI34-5400*$AS34),IF($AN34="WI",MAX(0,$AI34-MAX(0,IF($AU34="Married",9461-0.2*MAX(0,$AI34-25727),6702-0.12*MAX(0,$AI34-17780)))-400*$AS34),IF($AN34="WV",MAX(0,$AI34-2000*$AS34),$AI34))))))))))))))))))))))</f>
      </c>
      <c r="BA34" s="7">
        <f>IF($B34="","",IF($BW34&lt;&gt;"",$BW34,IF($BX34&lt;&gt;"",$BX34,IF($BY34&lt;&gt;"",$BY34,0))))</f>
      </c>
      <c r="BB34" s="7">
        <f>IF($B34="","",IF($AN34="AR",-29*$AS34,IF($AN34="DE",-110*$AS34,IF($AN34="MD",$AZ34*'Inputs 2'!$C$74,IF($AN34="AZ",'Inputs 2'!$C$82*($M34-$D34)*'Inputs 2'!$C$8,IF($AN34="CO",0.044*MAX(0,$AY34-IF($AU34="Married",10000,5000)),IF($AN34="IA",MAX(0,0.038*MAX(0,$AY34-IF($AU34="Head of household",19500,IF($AU34="Married",26000,13000)))-40*$AS34),IF($AN34="ID",0.053*MAX(0,$AY34-IF($AU34="Married",32000,16094)),IF($AN34="IL",0.0495*MAX(0,$AY34-(2925*$AS34+1000*$AT34)),IF($AN34="IN",(0.0295+'Inputs 2'!$C$76)*MAX(0,$AY34-(1000*$AS34+1500*$AT34+3000*'Inputs 2'!$C$86)),IF($AN34="KY",0.035*MAX(0,$AI34-3360),IF($AN34="LA",IF('Inputs 2'!$C$84="0",0.0309*$AI34,0.0309*MAX(0,$AI34-IF('Inputs 2'!$C$84="2",25750,12875))),IF($AN34="MA",0.05*MIN(MAX(0,$AY34-MIN(($BD33+$Q34+$R34+$S34),2000)-IF($AS34=0,0,IF($AS34=1,4400,1000*$AS34+3400))),1107750)+0.09*MAX(0,MAX(0,$AY34-MIN(($BD33+$Q34+$R34+$S34),2000)-IF($AS34=0,0,IF($AS34=1,4400,1000*$AS34+3400)))-1107750)-IF($AU34="Head of household",120,0)-110*'Inputs 2'!$C$75,IF($AN34="MI",0.0425*MAX(0,$AY34-5900*$AS34),IF($AN34="MS",0.04*MAX(0,$AI34-IF($AU34="Head of household",3400,IF($AU34="Married",4600,2300))-'Inputs 2'!$C$85-10000),IF($AN34="OR",IF(OR($AU34="Married",AND($AU34="Single",$AS34&gt;=3)),SUMPRODUCT((MAX(0,$AY34-MIN(($P34-'Methodology &amp; Sources'!$C$10*$D34)*'Inputs 2'!$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Sources'!$B$211:$J$214,0,4))*(MAX(0,$AY34-MIN(($P34-'Methodology &amp; Sources'!$C$10*$D34)*'Inputs 2'!$C$8,IF(OR($AU34="Married",AND($AU34="Single",$AS34&gt;=3)),IF($AY34&lt;250000,8750,IF($AY34&lt;260000,7000,IF($AY34&lt;270000,5250,IF($AY34&lt;280000,3500,IF($AY34&lt;290000,1750,0))))),IF($AY34&lt;125000,8750,IF($AY34&lt;130000,7000,IF($AY34&lt;135000,5250,IF($AY34&lt;140000,3500,IF($AY34&lt;145000,1750,0)))))))-IF(OR($AU34="Married",AND($AU34="Single",$AS34&gt;=3)),5820,2910))-INDEX('Methodology &amp; Sources'!$B$211:$J$214,0,4))*INDEX('Methodology &amp; Sources'!$B$211:$J$214,0,4+2)),SUMPRODUCT((MAX(0,$AY34-MIN(($P34-'Methodology &amp; Sources'!$C$10*$D34)*'Inputs 2'!$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Sources'!$B$211:$J$214,0,1))*(MAX(0,$AY34-MIN(($P34-'Methodology &amp; Sources'!$C$10*$D34)*'Inputs 2'!$C$8,IF(OR($AU34="Married",AND($AU34="Single",$AS34&gt;=3)),IF($AY34&lt;250000,8750,IF($AY34&lt;260000,7000,IF($AY34&lt;270000,5250,IF($AY34&lt;280000,3500,IF($AY34&lt;290000,1750,0))))),IF($AY34&lt;125000,8750,IF($AY34&lt;130000,7000,IF($AY34&lt;135000,5250,IF($AY34&lt;140000,3500,IF($AY34&lt;145000,1750,0)))))))-IF(OR($AU34="Married",AND($AU34="Single",$AS34&gt;=3)),5820,2910))-INDEX('Methodology &amp; Sources'!$B$211:$J$214,0,1))*INDEX('Methodology &amp; Sources'!$B$211:$J$214,0,1+2)))+263-263*IF(IF($AU34="Married",$AY34&gt;200000,$AY34&gt;100000),0,$AS34),IF($AN34="PA",0.0307*(($O34+$E34+$G34)*'Inputs 2'!$C$8),IF($AN34="NY",IF($AU34="Married",IF($AZ34&gt;=2155350,0,IF($AZ34&gt;=1077550,0.48,IF($AZ34&gt;=373200,1.21,IF($AZ34&gt;=323200,0.21,IF($AZ34&gt;=211550,-0.19,IF($AZ34&gt;=157650,-2.8,IF($AZ34&gt;=107650,-0.8,IF($AZ34&gt;=96800,0.05,IF($AZ34&gt;=80650,-0.1,IF($AZ34&gt;=13900,0.4,IF($AZ34&gt;=11700,-0.3,IF($AZ34&gt;=8500,0.5,0)))))))))))),IF($AZ34&gt;=1077550,0,IF($AZ34&gt;=265400,4.29,IF($AZ34&gt;=215400,2.29,IF($AZ34&gt;=157650,2.29,IF($AZ34&gt;=107650,0.29,IF($AZ34&gt;=96800,0.05,IF($AZ34&gt;=80650,-0.1,IF($AZ34&gt;=13900,0.4,IF($AZ34&gt;=11700,-0.3,IF($AZ34&gt;=8500,0.5,0))))))))))),0))))))))))))))))))</f>
      </c>
      <c r="BC34" s="7">
        <f>IF($B34="","",IF($AN34="AL",0.05*$D34,IF($AN34="AR",0.039*$D34,IF($AN34="ID",0.053*$D34,IF($AN34="IN",(0.0295+'Inputs 2'!$C$76)*$D34,IF($AN34="KS",0.05*$D34,IF($AN34="MA",0.09*MIN($D34,MAX(0,MAX(0,$AY34-MIN(($BD33+$Q34+$R34+$S34),2000)-IF($AS34=0,0,IF($AS34=1,4400,1000*$AS34+3400)))+$D34-1107750))+0.05*($D34-MIN($D34,MAX(0,MAX(0,$AY34-MIN(($BD33+$Q34+$R34+$S34),2000)-IF($AS34=0,0,IF($AS34=1,4400,1000*$AS34+3400)))+$D34-1107750))),IF($AN34="MD",(0.065+'Inputs 2'!$C$74)*$D34,IF($AN34="MI",0.0425*$D34,IF($AN34="MN",0.0625*$D34,IF($AN34="MO",0.047*$D34,IF($AN34="MT",0.05*$D34,IF($AN34="ND",0.015*$D34,IF($AN34="NE",0.035*$D34,IF($AN34="NJ",IF('Inputs 2'!$C$77="B",SUMPRODUCT(($D34*'Inputs 2'!$C$8&gt;INDEX('Methodology &amp; Sources'!$B$155:$J$162,0,4))*($D34*'Inputs 2'!$C$8-INDEX('Methodology &amp; Sources'!$B$155:$J$162,0,4))*INDEX('Methodology &amp; Sources'!$B$155:$J$162,0,4+2)),IF('Inputs 2'!$C$77="C",SUMPRODUCT(($D34*'Inputs 2'!$C$8&gt;INDEX('Methodology &amp; Sources'!$B$155:$J$162,0,7))*($D34*'Inputs 2'!$C$8-INDEX('Methodology &amp; Sources'!$B$155:$J$162,0,7))*INDEX('Methodology &amp; Sources'!$B$155:$J$162,0,7+2)),IF('Inputs 2'!$C$77="D",SUMPRODUCT(($D34*'Inputs 2'!$C$8&gt;INDEX('Methodology &amp; Sources'!$B$167:$J$179,0,1))*($D34*'Inputs 2'!$C$8-INDEX('Methodology &amp; Sources'!$B$167:$J$179,0,1))*INDEX('Methodology &amp; Sources'!$B$167:$J$179,0,1+2)),IF('Inputs 2'!$C$77="E",SUMPRODUCT(($D34*'Inputs 2'!$C$8&gt;INDEX('Methodology &amp; Sources'!$B$167:$J$179,0,4))*($D34*'Inputs 2'!$C$8-INDEX('Methodology &amp; Sources'!$B$167:$J$179,0,4))*INDEX('Methodology &amp; Sources'!$B$167:$J$179,0,4+2)),SUMPRODUCT(($D34*'Inputs 2'!$C$8&gt;INDEX('Methodology &amp; Sources'!$B$155:$J$162,0,1))*($D34*'Inputs 2'!$C$8-INDEX('Methodology &amp; Sources'!$B$155:$J$162,0,1))*INDEX('Methodology &amp; Sources'!$B$155:$J$162,0,1+2))))))/'Inputs 2'!$C$8,IF($AN34="NY",0.117*$D34,IF($AN34="OH",0.0275*$D34,IF($AN34="OK",0.045*$D34,IF($AN34="OR",0.08*$D34,IF($AN34="WI",IF($AY34&lt;12760,0.0354,IF($AY34&lt;25520,0.0465,IF($AY34&lt;280950,0.053,0.0765)))*$D34,0))))))))))))))))))))</f>
      </c>
      <c r="BD34" s="7">
        <f>IF($B34="","",$BD33+$Q34+$R34+$S34)</f>
      </c>
      <c r="BE34" s="6">
        <f>IF($B34="",$BE33,$BE33+$BF34)</f>
      </c>
      <c r="BF34" s="6">
        <f>IF($B34="","",IF(AND(IF(YEAR(IF('Inputs 2'!$C$7="Weekly",'Inputs 2'!$C$9+7*(($BE33+1)-1),IF('Inputs 2'!$C$7="Biweekly",'Inputs 2'!$C$9+14*(($BE33+1)-1),IF('Inputs 2'!$C$7="Semimonthly",DATE(YEAR('Inputs 2'!$C$9),MONTH('Inputs 2'!$C$9)+INT((($BE33+1)-1)/2),MIN(DAY('Inputs 2'!$C$9),DAY(EOMONTH(DATE(YEAR('Inputs 2'!$C$9),MONTH('Inputs 2'!$C$9)+INT((($BE33+1)-1)/2),1),0))))+IF(MOD(($BE33+1)-1,2)=1,15,0),EDATE('Inputs 2'!$C$9,($BE33+1)-1)))))&lt;&gt;'Inputs 2'!$C$10,"",IF('Inputs 2'!$C$7="Weekly",'Inputs 2'!$C$9+7*(($BE33+1)-1),IF('Inputs 2'!$C$7="Biweekly",'Inputs 2'!$C$9+14*(($BE33+1)-1),IF('Inputs 2'!$C$7="Semimonthly",DATE(YEAR('Inputs 2'!$C$9),MONTH('Inputs 2'!$C$9)+INT((($BE33+1)-1)/2),MIN(DAY('Inputs 2'!$C$9),DAY(EOMONTH(DATE(YEAR('Inputs 2'!$C$9),MONTH('Inputs 2'!$C$9)+INT((($BE33+1)-1)/2),1),0))))+IF(MOD(($BE33+1)-1,2)=1,15,0),EDATE('Inputs 2'!$C$9,($BE33+1)-1)))))&lt;&gt;"",$B34=IF(YEAR(IF('Inputs 2'!$C$7="Weekly",'Inputs 2'!$C$9+7*(($BE33+1)-1),IF('Inputs 2'!$C$7="Biweekly",'Inputs 2'!$C$9+14*(($BE33+1)-1),IF('Inputs 2'!$C$7="Semimonthly",DATE(YEAR('Inputs 2'!$C$9),MONTH('Inputs 2'!$C$9)+INT((($BE33+1)-1)/2),MIN(DAY('Inputs 2'!$C$9),DAY(EOMONTH(DATE(YEAR('Inputs 2'!$C$9),MONTH('Inputs 2'!$C$9)+INT((($BE33+1)-1)/2),1),0))))+IF(MOD(($BE33+1)-1,2)=1,15,0),EDATE('Inputs 2'!$C$9,($BE33+1)-1)))))&lt;&gt;'Inputs 2'!$C$10,"",IF('Inputs 2'!$C$7="Weekly",'Inputs 2'!$C$9+7*(($BE33+1)-1),IF('Inputs 2'!$C$7="Biweekly",'Inputs 2'!$C$9+14*(($BE33+1)-1),IF('Inputs 2'!$C$7="Semimonthly",DATE(YEAR('Inputs 2'!$C$9),MONTH('Inputs 2'!$C$9)+INT((($BE33+1)-1)/2),MIN(DAY('Inputs 2'!$C$9),DAY(EOMONTH(DATE(YEAR('Inputs 2'!$C$9),MONTH('Inputs 2'!$C$9)+INT((($BE33+1)-1)/2),1),0))))+IF(MOD(($BE33+1)-1,2)=1,15,0),EDATE('Inputs 2'!$C$9,($BE33+1)-1)))))),1,0))</f>
      </c>
      <c r="BG34" s="7">
        <f>IF($B34="","",$BG33+$H34)</f>
      </c>
      <c r="BH34" s="7">
        <f>IF($B34="","",$BH33+$I34)</f>
      </c>
      <c r="BI34" s="7">
        <f>IF($B34="","",$BI33+$G34)</f>
      </c>
      <c r="BJ34" s="7">
        <f>IF($B34="","",IFERROR(LOOKUP(2,1/(((('Events 2'!$C$6:$C$17="Deduction start"))*('Events 2'!$D$6:$D$17="Health FSA"))*('Events 2'!$B$6:$B$17&lt;=$B34)*('Events 2'!$B$6:$B$17&lt;&gt;"")),'Events 2'!$E$6:$E$17),'Inputs 2'!$D$38))</f>
      </c>
      <c r="BK34" s="7">
        <f>IF($B34="","",IFERROR(LOOKUP(2,1/(((('Events 2'!$C$6:$C$17="Deduction start"))*('Events 2'!$D$6:$D$17="Dependent-care FSA"))*('Events 2'!$B$6:$B$17&lt;=$B34)*('Events 2'!$B$6:$B$17&lt;&gt;"")),'Events 2'!$E$6:$E$17),'Inputs 2'!$D$39))</f>
      </c>
      <c r="BL34" s="7">
        <f>IF($B34="","",IFERROR(LOOKUP(2,1/(((('Events 2'!$C$6:$C$17="Deduction start")+('Events 2'!$C$6:$C$17="Deduction stop"))*('Events 2'!$D$6:$D$17="HSA"))*('Events 2'!$B$6:$B$17&lt;=$B34)*('Events 2'!$B$6:$B$17&lt;&gt;"")),'Events 2'!$I$6:$I$17),'Inputs 2'!$D$35))</f>
      </c>
      <c r="BM34" s="7">
        <f>IF($B34="","",IFERROR(LOOKUP(2,1/(((('Events 2'!$C$6:$C$17="Deduction start")+('Events 2'!$C$6:$C$17="Deduction stop"))*('Events 2'!$D$6:$D$17="Premiums"))*('Events 2'!$B$6:$B$17&lt;=$B34)*('Events 2'!$B$6:$B$17&lt;&gt;"")),'Events 2'!$I$6:$I$17),'Inputs 2'!$D$40+'Inputs 2'!$D$41+'Inputs 2'!$D$42))</f>
      </c>
      <c r="BN34" s="7">
        <f>IF($B34="","",IFERROR(LOOKUP(2,1/(((('Events 2'!$C$6:$C$17="Deduction start")+('Events 2'!$C$6:$C$17="Deduction stop"))*('Events 2'!$D$6:$D$17="Commuter"))*('Events 2'!$B$6:$B$17&lt;=$B34)*('Events 2'!$B$6:$B$17&lt;&gt;"")),'Events 2'!$I$6:$I$17),'Inputs 2'!$D$43))</f>
      </c>
      <c r="BO34" s="7">
        <f>IF($B34="","",IFERROR(LOOKUP(2,1/(((('Events 2'!$C$6:$C$17="Deduction start")+('Events 2'!$C$6:$C$17="Deduction stop"))*('Events 2'!$D$6:$D$17="Other pre-tax"))*('Events 2'!$B$6:$B$17&lt;=$B34)*('Events 2'!$B$6:$B$17&lt;&gt;"")),'Events 2'!$I$6:$I$17),'Inputs 2'!$D$44))</f>
      </c>
      <c r="BP34" s="7">
        <f>IF($B34="","",IFERROR(LOOKUP(2,1/(((('Events 2'!$C$6:$C$17="Deduction start")+('Events 2'!$C$6:$C$17="Deduction stop"))*('Events 2'!$D$6:$D$17="Other post-tax"))*('Events 2'!$B$6:$B$17&lt;=$B34)*('Events 2'!$B$6:$B$17&lt;&gt;"")),'Events 2'!$I$6:$I$17),'Inputs 2'!$D$45))</f>
      </c>
      <c r="BQ34" s="6">
        <f>IF($B34="","",IFERROR(LOOKUP(2,1/(((('Events 2'!$C$6:$C$17="Deduction start")+('Events 2'!$C$6:$C$17="Deduction stop"))*('Events 2'!$D$6:$D$17="Health FSA"))*('Events 2'!$B$6:$B$17&lt;=$B34)*('Events 2'!$B$6:$B$17&lt;&gt;"")),'Events 2'!$J$6:$J$17),0))</f>
      </c>
      <c r="BR34" s="6">
        <f>IF($B34="","",IFERROR(LOOKUP(2,1/(((('Events 2'!$C$6:$C$17="Deduction start")+('Events 2'!$C$6:$C$17="Deduction stop"))*('Events 2'!$D$6:$D$17="Dependent-care FSA"))*('Events 2'!$B$6:$B$17&lt;=$B34)*('Events 2'!$B$6:$B$17&lt;&gt;"")),'Events 2'!$J$6:$J$17),0))</f>
      </c>
      <c r="BS34" s="6">
        <f>IF($B34="","",IF(SUMPRODUCT(('Events 2'!$C$6:$C$17="Deduction start")*('Events 2'!$B$6:$B$17&lt;=$B34)*('Events 2'!$B$6:$B$17&lt;&gt;"")*('Events 2'!$D$6:$D$17="Health FSA"))&gt;0,1,0))</f>
      </c>
      <c r="BT34" s="6">
        <f>IF($B34="","",IF(SUMPRODUCT(('Events 2'!$C$6:$C$17="Deduction start")*('Events 2'!$B$6:$B$17&lt;=$B34)*('Events 2'!$B$6:$B$17&lt;&gt;"")*('Events 2'!$D$6:$D$17="Dependent-care FSA"))&gt;0,1,0))</f>
      </c>
      <c r="BU34" s="24">
        <f>IF($B34="","",IF('Inputs 2'!$C$13,SUMPRODUCT(($AH34&gt;=INDEX('Methodology &amp; Sources'!$B$29:$J$36,0,IF('Inputs 2'!$C$12="MFJ",1,IF('Inputs 2'!$C$12="HoH",7,4))))*INDEX('Methodology &amp; Sources'!$B$29:$J$36,0,IF('Inputs 2'!$C$12="MFJ",1,IF('Inputs 2'!$C$12="HoH",7,4))+2)),SUMPRODUCT(($AH34&gt;=INDEX('Methodology &amp; Sources'!$B$19:$J$26,0,IF('Inputs 2'!$C$12="MFJ",1,IF('Inputs 2'!$C$12="HoH",7,4))))*INDEX('Methodology &amp; Sources'!$B$19:$J$26,0,IF('Inputs 2'!$C$12="MFJ",1,IF('Inputs 2'!$C$12="HoH",7,4))+2))))</f>
      </c>
      <c r="BV34" s="24">
        <f>IF($B34="","",IF($BZ34&lt;&gt;"",$BZ34,IF($CA34&lt;&gt;"",$CA34,IF($CB34&lt;&gt;"",$CB34,IF($CC34&lt;&gt;"",$CC34,0)))))</f>
      </c>
      <c r="BW34" s="7">
        <f>IF($B34="","",IF($AN34="MD",IF(OR($AU34="Married",$AU34="Head of household"),SUMPRODUCT(($AZ34&gt;INDEX('Methodology &amp; Sources'!$B$114:$J$120,0,1))*($AZ34-INDEX('Methodology &amp; Sources'!$B$114:$J$120,0,1))*INDEX('Methodology &amp; Sources'!$B$114:$J$120,0,1+2)),SUMPRODUCT(($AZ34&gt;INDEX('Methodology &amp; Sources'!$B$103:$J$109,0,7))*($AZ34-INDEX('Methodology &amp; Sources'!$B$103:$J$109,0,7))*INDEX('Methodology &amp; Sources'!$B$103:$J$109,0,7+2))),IF($AN34="MO",SUMPRODUCT(($AZ34&gt;INDEX('Methodology &amp; Sources'!$B$125:$J$132,0,1))*($AZ34-INDEX('Methodology &amp; Sources'!$B$125:$J$132,0,1))*INDEX('Methodology &amp; Sources'!$B$125:$J$132,0,1+2)),IF($AN34="MT",IF($AU34="Head of household",SUMPRODUCT(($AZ34&gt;INDEX('Methodology &amp; Sources'!$B$137:$J$139,0,1))*($AZ34-INDEX('Methodology &amp; Sources'!$B$137:$J$139,0,1))*INDEX('Methodology &amp; Sources'!$B$137:$J$139,0,1+2)),IF($AU34="Married",SUMPRODUCT(($AZ34&gt;INDEX('Methodology &amp; Sources'!$B$125:$J$132,0,7))*($AZ34-INDEX('Methodology &amp; Sources'!$B$125:$J$132,0,7))*INDEX('Methodology &amp; Sources'!$B$125:$J$132,0,7+2)),SUMPRODUCT(($AZ34&gt;INDEX('Methodology &amp; Sources'!$B$125:$J$132,0,4))*($AZ34-INDEX('Methodology &amp; Sources'!$B$125:$J$132,0,4))*INDEX('Methodology &amp; Sources'!$B$125:$J$132,0,4+2)))),IF($AN34="ND",IF($AU34="Head of household",SUMPRODUCT(($AZ34&gt;INDEX('Methodology &amp; Sources'!$B$144:$J$150,0,1))*($AZ34-INDEX('Methodology &amp; Sources'!$B$144:$J$150,0,1))*INDEX('Methodology &amp; Sources'!$B$144:$J$150,0,1+2)),IF($AU34="Married",SUMPRODUCT(($AZ34&gt;INDEX('Methodology &amp; Sources'!$B$137:$J$139,0,7))*($AZ34-INDEX('Methodology &amp; Sources'!$B$137:$J$139,0,7))*INDEX('Methodology &amp; Sources'!$B$137:$J$139,0,7+2)),SUMPRODUCT(($AZ34&gt;INDEX('Methodology &amp; Sources'!$B$137:$J$139,0,4))*($AZ34-INDEX('Methodology &amp; Sources'!$B$137:$J$139,0,4))*INDEX('Methodology &amp; Sources'!$B$137:$J$139,0,4+2)))),IF($AN34="NJ",IF('Inputs 2'!$C$77="B",SUMPRODUCT(($AZ34&gt;INDEX('Methodology &amp; Sources'!$B$155:$J$162,0,4))*($AZ34-INDEX('Methodology &amp; Sources'!$B$155:$J$162,0,4))*INDEX('Methodology &amp; Sources'!$B$155:$J$162,0,4+2)),IF('Inputs 2'!$C$77="C",SUMPRODUCT(($AZ34&gt;INDEX('Methodology &amp; Sources'!$B$155:$J$162,0,7))*($AZ34-INDEX('Methodology &amp; Sources'!$B$155:$J$162,0,7))*INDEX('Methodology &amp; Sources'!$B$155:$J$162,0,7+2)),IF('Inputs 2'!$C$77="D",SUMPRODUCT(($AZ34&gt;INDEX('Methodology &amp; Sources'!$B$167:$J$179,0,1))*($AZ34-INDEX('Methodology &amp; Sources'!$B$167:$J$179,0,1))*INDEX('Methodology &amp; Sources'!$B$167:$J$179,0,1+2)),IF('Inputs 2'!$C$77="E",SUMPRODUCT(($AZ34&gt;INDEX('Methodology &amp; Sources'!$B$167:$J$179,0,4))*($AZ34-INDEX('Methodology &amp; Sources'!$B$167:$J$179,0,4))*INDEX('Methodology &amp; Sources'!$B$167:$J$179,0,4+2)),SUMPRODUCT(($AZ34&gt;INDEX('Methodology &amp; Sources'!$B$155:$J$162,0,1))*($AZ34-INDEX('Methodology &amp; Sources'!$B$155:$J$162,0,1))*INDEX('Methodology &amp; Sources'!$B$155:$J$162,0,1+2)))))),IF($AN34="NY",IF($AU34="Married",IF($AZ34&gt;=2155350,$AZ34*IF($AZ34&gt;25000000,0.117,IF($AZ34&gt;5000000,0.111,0.1045)),SUMPRODUCT(($AZ34&gt;INDEX('Methodology &amp; Sources'!$B$184:$J$198,0,1))*($AZ34-INDEX('Methodology &amp; Sources'!$B$184:$J$198,0,1))*INDEX('Methodology &amp; Sources'!$B$184:$J$198,0,1+2))),IF($AZ34&gt;=1077550,$AZ34*IF($AZ34&gt;25000000,0.117,IF($AZ34&gt;5000000,0.111,0.1045)),SUMPRODUCT(($AZ34&gt;INDEX('Methodology &amp; Sources'!$B$167:$J$179,0,7))*($AZ34-INDEX('Methodology &amp; Sources'!$B$167:$J$179,0,7))*INDEX('Methodology &amp; Sources'!$B$167:$J$179,0,7+2)))),"")))))))</f>
      </c>
      <c r="BX34" s="7">
        <f>IF($B34="","",IF($AN34="AL",IF(OR($AU34="Married",$AU34="Head of household"),SUMPRODUCT(($AZ34&gt;INDEX('Methodology &amp; Sources'!$B$82:$J$86,0,4))*($AZ34-INDEX('Methodology &amp; Sources'!$B$82:$J$86,0,4))*INDEX('Methodology &amp; Sources'!$B$82:$J$86,0,4+2)),SUMPRODUCT(($AZ34&gt;INDEX('Methodology &amp; Sources'!$B$82:$J$86,0,1))*($AZ34-INDEX('Methodology &amp; Sources'!$B$82:$J$86,0,1))*INDEX('Methodology &amp; Sources'!$B$82:$J$86,0,1+2))),IF($AN34="KS",IF($AU34="Married",SUMPRODUCT(($AZ34&gt;INDEX('Methodology &amp; Sources'!$B$103:$J$109,0,4))*($AZ34-INDEX('Methodology &amp; Sources'!$B$103:$J$109,0,4))*INDEX('Methodology &amp; Sources'!$B$103:$J$109,0,4+2)),SUMPRODUCT(($AZ34&gt;INDEX('Methodology &amp; Sources'!$B$103:$J$109,0,1))*($AZ34-INDEX('Methodology &amp; Sources'!$B$103:$J$109,0,1))*INDEX('Methodology &amp; Sources'!$B$103:$J$109,0,1+2))),IF($AN34="MN",IF($AU34="Married",SUMPRODUCT(($AZ34&gt;INDEX('Methodology &amp; Sources'!$B$114:$J$120,0,7))*($AZ34-INDEX('Methodology &amp; Sources'!$B$114:$J$120,0,7))*INDEX('Methodology &amp; Sources'!$B$114:$J$120,0,7+2)),SUMPRODUCT(($AZ34&gt;INDEX('Methodology &amp; Sources'!$B$114:$J$120,0,4))*($AZ34-INDEX('Methodology &amp; Sources'!$B$114:$J$120,0,4))*INDEX('Methodology &amp; Sources'!$B$114:$J$120,0,4+2))),IF($AN34="NE",MAX(IF($AU34="Married",SUMPRODUCT(($AZ34&gt;INDEX('Methodology &amp; Sources'!$B$144:$J$150,0,7))*($AZ34-INDEX('Methodology &amp; Sources'!$B$144:$J$150,0,7))*INDEX('Methodology &amp; Sources'!$B$144:$J$150,0,7+2)),SUMPRODUCT(($AZ34&gt;INDEX('Methodology &amp; Sources'!$B$144:$J$150,0,4))*($AZ34-INDEX('Methodology &amp; Sources'!$B$144:$J$150,0,4))*INDEX('Methodology &amp; Sources'!$B$144:$J$150,0,4+2))),0.015*$AZ34),IF($AN34="OH",IF($B34&gt;=DATE(2027,8,1),SUMPRODUCT(($AZ34&gt;INDEX('Methodology &amp; Sources'!$B$203:$J$206,0,1))*($AZ34-INDEX('Methodology &amp; Sources'!$B$203:$J$206,0,1))*INDEX('Methodology &amp; Sources'!$B$203:$J$206,0,1+2)),SUMPRODUCT(($AZ34&gt;INDEX('Methodology &amp; Sources'!$B$184:$J$198,0,7))*($AZ34-INDEX('Methodology &amp; Sources'!$B$184:$J$198,0,7))*INDEX('Methodology &amp; Sources'!$B$184:$J$198,0,7+2))),IF($AN34="OK",IF($AU34="Married",SUMPRODUCT(($AZ34&gt;INDEX('Methodology &amp; Sources'!$B$203:$J$206,0,7))*($AZ34-INDEX('Methodology &amp; Sources'!$B$203:$J$206,0,7))*INDEX('Methodology &amp; Sources'!$B$203:$J$206,0,7+2)),SUMPRODUCT(($AZ34&gt;INDEX('Methodology &amp; Sources'!$B$203:$J$206,0,4))*($AZ34-INDEX('Methodology &amp; Sources'!$B$203:$J$206,0,4))*INDEX('Methodology &amp; Sources'!$B$203:$J$206,0,4+2))),IF($AN34="RI",SUMPRODUCT(($AZ34&gt;INDEX('Methodology &amp; Sources'!$B$211:$J$214,0,7))*($AZ34-INDEX('Methodology &amp; Sources'!$B$211:$J$214,0,7))*INDEX('Methodology &amp; Sources'!$B$211:$J$214,0,7+2)),IF($AN34="VT",IF($AU34="Married",SUMPRODUCT(($AZ34&gt;INDEX('Methodology &amp; Sources'!$B$228:$J$232,0,1))*($AZ34-INDEX('Methodology &amp; Sources'!$B$228:$J$232,0,1))*INDEX('Methodology &amp; Sources'!$B$228:$J$232,0,1+2)),SUMPRODUCT(($AZ34&gt;INDEX('Methodology &amp; Sources'!$B$219:$J$223,0,7))*($AZ34-INDEX('Methodology &amp; Sources'!$B$219:$J$223,0,7))*INDEX('Methodology &amp; Sources'!$B$219:$J$223,0,7+2))),IF($AN34="WV",IF($AU34="Married",SUMPRODUCT(($AZ34&gt;INDEX('Methodology &amp; Sources'!$B$237:$J$241,0,7))*($AZ34-INDEX('Methodology &amp; Sources'!$B$237:$J$241,0,7))*INDEX('Methodology &amp; Sources'!$B$237:$J$241,0,7+2)),SUMPRODUCT(($AZ34&gt;INDEX('Methodology &amp; Sources'!$B$228:$J$232,0,7))*($AZ34-INDEX('Methodology &amp; Sources'!$B$228:$J$232,0,7))*INDEX('Methodology &amp; Sources'!$B$228:$J$232,0,7+2))),""))))))))))</f>
      </c>
      <c r="BY34" s="7">
        <f>IF($B34="","",IF($AN34="AR",SUMPRODUCT(($AZ34&gt;INDEX('Methodology &amp; Sources'!$B$82:$J$86,0,7))*($AZ34-INDEX('Methodology &amp; Sources'!$B$82:$J$86,0,7))*INDEX('Methodology &amp; Sources'!$B$82:$J$86,0,7+2)),IF($AN34="DE",SUMPRODUCT(($AZ34&gt;INDEX('Methodology &amp; Sources'!$B$91:$J$98,0,1))*($AZ34-INDEX('Methodology &amp; Sources'!$B$91:$J$98,0,1))*INDEX('Methodology &amp; Sources'!$B$91:$J$98,0,1+2)),IF($AN34="HI",IF($AU34="Married",SUMPRODUCT(($AZ34&gt;INDEX('Methodology &amp; Sources'!$B$91:$J$98,0,7))*($AZ34-INDEX('Methodology &amp; Sources'!$B$91:$J$98,0,7))*INDEX('Methodology &amp; Sources'!$B$91:$J$98,0,7+2)),SUMPRODUCT(($AZ34&gt;INDEX('Methodology &amp; Sources'!$B$91:$J$98,0,4))*($AZ34-INDEX('Methodology &amp; Sources'!$B$91:$J$98,0,4))*INDEX('Methodology &amp; Sources'!$B$91:$J$98,0,4+2))),IF($AN34="SC",SUMPRODUCT(($AZ34&gt;INDEX('Methodology &amp; Sources'!$B$219:$J$223,0,1))*($AZ34-INDEX('Methodology &amp; Sources'!$B$219:$J$223,0,1))*INDEX('Methodology &amp; Sources'!$B$219:$J$223,0,1+2)),IF($AN34="VA",SUMPRODUCT(($AZ34&gt;INDEX('Methodology &amp; Sources'!$B$219:$J$223,0,4))*($AZ34-INDEX('Methodology &amp; Sources'!$B$219:$J$223,0,4))*INDEX('Methodology &amp; Sources'!$B$219:$J$223,0,4+2)),IF($AN34="WI",SUMPRODUCT(($AZ34&gt;INDEX('Methodology &amp; Sources'!$B$228:$J$232,0,4))*($AZ34-INDEX('Methodology &amp; Sources'!$B$228:$J$232,0,4))*INDEX('Methodology &amp; Sources'!$B$228:$J$232,0,4+2)),"")))))))</f>
      </c>
      <c r="BZ34" s="24">
        <f>IF($B34="","",IF($AN34="NJ",IF('Inputs 2'!$C$77="B",SUMPRODUCT(($AZ34&gt;=INDEX('Methodology &amp; Sources'!$B$155:$J$162,0,4))*INDEX('Methodology &amp; Sources'!$B$155:$J$162,0,4+2)),IF('Inputs 2'!$C$77="C",SUMPRODUCT(($AZ34&gt;=INDEX('Methodology &amp; Sources'!$B$155:$J$162,0,7))*INDEX('Methodology &amp; Sources'!$B$155:$J$162,0,7+2)),IF('Inputs 2'!$C$77="D",SUMPRODUCT(($AZ34&gt;=INDEX('Methodology &amp; Sources'!$B$167:$J$179,0,1))*INDEX('Methodology &amp; Sources'!$B$167:$J$179,0,1+2)),IF('Inputs 2'!$C$77="E",SUMPRODUCT(($AZ34&gt;=INDEX('Methodology &amp; Sources'!$B$167:$J$179,0,4))*INDEX('Methodology &amp; Sources'!$B$167:$J$179,0,4+2)),SUMPRODUCT(($AZ34&gt;=INDEX('Methodology &amp; Sources'!$B$155:$J$162,0,1))*INDEX('Methodology &amp; Sources'!$B$155:$J$162,0,1+2)))))),IF($AN34="OR",IF(OR($AU34="Married",AND($AU34="Single",$AS34&gt;=3)),SUMPRODUCT((MAX(0,$AY34-MIN(($P34-'Methodology &amp; Sources'!$C$10*$D34)*'Inputs 2'!$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Sources'!$B$211:$J$214,0,4))*INDEX('Methodology &amp; Sources'!$B$211:$J$214,0,4+2)),SUMPRODUCT((MAX(0,$AY34-MIN(($P34-'Methodology &amp; Sources'!$C$10*$D34)*'Inputs 2'!$C$8,IF(OR($AU34="Married",AND($AU34="Single",$AS34&gt;=3)),IF($AY34&lt;250000,8750,IF($AY34&lt;260000,7000,IF($AY34&lt;270000,5250,IF($AY34&lt;280000,3500,IF($AY34&lt;290000,1750,0))))),IF($AY34&lt;125000,8750,IF($AY34&lt;130000,7000,IF($AY34&lt;135000,5250,IF($AY34&lt;140000,3500,IF($AY34&lt;145000,1750,0)))))))-IF(OR($AU34="Married",AND($AU34="Single",$AS34&gt;=3)),5820,2910))&gt;=INDEX('Methodology &amp; Sources'!$B$211:$J$214,0,1))*INDEX('Methodology &amp; Sources'!$B$211:$J$214,0,1+2)))*IF(($P34-'Methodology &amp; Sources'!$C$10*$D34)*'Inputs 2'!$C$8&gt;=IF(OR($AU34="Married",AND($AU34="Single",$AS34&gt;=3)),IF($AY34&lt;250000,8750,IF($AY34&lt;260000,7000,IF($AY34&lt;270000,5250,IF($AY34&lt;280000,3500,IF($AY34&lt;290000,1750,0))))),IF($AY34&lt;125000,8750,IF($AY34&lt;130000,7000,IF($AY34&lt;135000,5250,IF($AY34&lt;140000,3500,IF($AY34&lt;145000,1750,0)))))),1,1-IF('Inputs 2'!$C$13,SUMPRODUCT(($AH34&gt;=INDEX('Methodology &amp; Sources'!$B$29:$J$36,0,IF('Inputs 2'!$C$12="MFJ",1,IF('Inputs 2'!$C$12="HoH",7,4))))*INDEX('Methodology &amp; Sources'!$B$29:$J$36,0,IF('Inputs 2'!$C$12="MFJ",1,IF('Inputs 2'!$C$12="HoH",7,4))+2)),SUMPRODUCT(($AH34&gt;=INDEX('Methodology &amp; Sources'!$B$19:$J$26,0,IF('Inputs 2'!$C$12="MFJ",1,IF('Inputs 2'!$C$12="HoH",7,4))))*INDEX('Methodology &amp; Sources'!$B$19:$J$26,0,IF('Inputs 2'!$C$12="MFJ",1,IF('Inputs 2'!$C$12="HoH",7,4))+2)))),IF($AN34="MI",IF($AY34&gt;5900*$AS34,0.0425,0),""))))</f>
      </c>
      <c r="CA34" s="24">
        <f>IF($B34="","",IF($AN34="AL",IF(OR($AU34="Married",$AU34="Head of household"),SUMPRODUCT(($AZ34&gt;=INDEX('Methodology &amp; Sources'!$B$82:$J$86,0,4))*INDEX('Methodology &amp; Sources'!$B$82:$J$86,0,4+2)),SUMPRODUCT(($AZ34&gt;=INDEX('Methodology &amp; Sources'!$B$82:$J$86,0,1))*INDEX('Methodology &amp; Sources'!$B$82:$J$86,0,1+2)))*(1-IF('Inputs 2'!$C$13,SUMPRODUCT(($AH34&gt;=INDEX('Methodology &amp; Sources'!$B$29:$J$36,0,IF('Inputs 2'!$C$12="MFJ",1,IF('Inputs 2'!$C$12="HoH",7,4))))*INDEX('Methodology &amp; Sources'!$B$29:$J$36,0,IF('Inputs 2'!$C$12="MFJ",1,IF('Inputs 2'!$C$12="HoH",7,4))+2)),SUMPRODUCT(($AH34&gt;=INDEX('Methodology &amp; Sources'!$B$19:$J$26,0,IF('Inputs 2'!$C$12="MFJ",1,IF('Inputs 2'!$C$12="HoH",7,4))))*INDEX('Methodology &amp; Sources'!$B$19:$J$26,0,IF('Inputs 2'!$C$12="MFJ",1,IF('Inputs 2'!$C$12="HoH",7,4))+2)))),IF($AN34="KS",IF($AU34="Married",SUMPRODUCT(($AZ34&gt;=INDEX('Methodology &amp; Sources'!$B$103:$J$109,0,4))*INDEX('Methodology &amp; Sources'!$B$103:$J$109,0,4+2)),SUMPRODUCT(($AZ34&gt;=INDEX('Methodology &amp; Sources'!$B$103:$J$109,0,1))*INDEX('Methodology &amp; Sources'!$B$103:$J$109,0,1+2))),IF($AN34="MD",IF(OR($AU34="Married",$AU34="Head of household"),SUMPRODUCT(($AZ34&gt;=INDEX('Methodology &amp; Sources'!$B$114:$J$120,0,1))*INDEX('Methodology &amp; Sources'!$B$114:$J$120,0,1+2)),SUMPRODUCT(($AZ34&gt;=INDEX('Methodology &amp; Sources'!$B$103:$J$109,0,7))*INDEX('Methodology &amp; Sources'!$B$103:$J$109,0,7+2)))+'Inputs 2'!$C$74,IF($AN34="MT",IF($AU34="Head of household",SUMPRODUCT(($AZ34&gt;=INDEX('Methodology &amp; Sources'!$B$137:$J$139,0,1))*INDEX('Methodology &amp; Sources'!$B$137:$J$139,0,1+2)),IF($AU34="Married",SUMPRODUCT(($AZ34&gt;=INDEX('Methodology &amp; Sources'!$B$125:$J$132,0,7))*INDEX('Methodology &amp; Sources'!$B$125:$J$132,0,7+2)),SUMPRODUCT(($AZ34&gt;=INDEX('Methodology &amp; Sources'!$B$125:$J$132,0,4))*INDEX('Methodology &amp; Sources'!$B$125:$J$132,0,4+2)))),IF($AN34="ND",IF($AU34="Head of household",SUMPRODUCT(($AZ34&gt;=INDEX('Methodology &amp; Sources'!$B$144:$J$150,0,1))*INDEX('Methodology &amp; Sources'!$B$144:$J$150,0,1+2)),IF($AU34="Married",SUMPRODUCT(($AZ34&gt;=INDEX('Methodology &amp; Sources'!$B$137:$J$139,0,7))*INDEX('Methodology &amp; Sources'!$B$137:$J$139,0,7+2)),SUMPRODUCT(($AZ34&gt;=INDEX('Methodology &amp; Sources'!$B$137:$J$139,0,4))*INDEX('Methodology &amp; Sources'!$B$137:$J$139,0,4+2)))),IF($AN34="NY",IF($AU34="Married",IF($AZ34&gt;=2155350,IF($AZ34&gt;25000000,0.117,IF($AZ34&gt;5000000,0.111,0.1045)),SUMPRODUCT(($AZ34&gt;=INDEX('Methodology &amp; Sources'!$B$184:$J$198,0,1))*INDEX('Methodology &amp; Sources'!$B$184:$J$198,0,1+2))),IF($AZ34&gt;=1077550,IF($AZ34&gt;25000000,0.117,IF($AZ34&gt;5000000,0.111,0.1045)),SUMPRODUCT(($AZ34&gt;=INDEX('Methodology &amp; Sources'!$B$167:$J$179,0,7))*INDEX('Methodology &amp; Sources'!$B$167:$J$179,0,7+2)))),"")))))))</f>
      </c>
      <c r="CB34" s="24">
        <f>IF($B34="","",IF($AN34="CA",SUMPRODUCT(($AJ34&gt;=INDEX('Methodology &amp; Sources'!$B$39:$J$48,0,IF($AU34="Married",4,IF($AU34="Head of household",7,1))))*INDEX('Methodology &amp; Sources'!$B$39:$J$48,0,IF($AU34="Married",4,IF($AU34="Head of household",7,1))+2)),IF($AN34="HI",IF($AU34="Married",SUMPRODUCT(($AZ34&gt;=INDEX('Methodology &amp; Sources'!$B$91:$J$98,0,7))*INDEX('Methodology &amp; Sources'!$B$91:$J$98,0,7+2)),SUMPRODUCT(($AZ34&gt;=INDEX('Methodology &amp; Sources'!$B$91:$J$98,0,4))*INDEX('Methodology &amp; Sources'!$B$91:$J$98,0,4+2))),IF($AN34="MN",IF($AU34="Married",SUMPRODUCT(($AZ34&gt;=INDEX('Methodology &amp; Sources'!$B$114:$J$120,0,7))*INDEX('Methodology &amp; Sources'!$B$114:$J$120,0,7+2)),SUMPRODUCT(($AZ34&gt;=INDEX('Methodology &amp; Sources'!$B$114:$J$120,0,4))*INDEX('Methodology &amp; Sources'!$B$114:$J$120,0,4+2))),IF($AN34="MO",SUMPRODUCT(($AZ34&gt;=INDEX('Methodology &amp; Sources'!$B$125:$J$132,0,1))*INDEX('Methodology &amp; Sources'!$B$125:$J$132,0,1+2)),IF($AN34="NE",MAX(IF($AU34="Married",SUMPRODUCT(($AZ34&gt;=INDEX('Methodology &amp; Sources'!$B$144:$J$150,0,7))*INDEX('Methodology &amp; Sources'!$B$144:$J$150,0,7+2)),SUMPRODUCT(($AZ34&gt;=INDEX('Methodology &amp; Sources'!$B$144:$J$150,0,4))*INDEX('Methodology &amp; Sources'!$B$144:$J$150,0,4+2))),0.015),IF($AN34="OH",IF($B34&gt;=DATE(2027,8,1),SUMPRODUCT(($AZ34&gt;=INDEX('Methodology &amp; Sources'!$B$203:$J$206,0,1))*INDEX('Methodology &amp; Sources'!$B$203:$J$206,0,1+2)),SUMPRODUCT(($AZ34&gt;=INDEX('Methodology &amp; Sources'!$B$184:$J$198,0,7))*INDEX('Methodology &amp; Sources'!$B$184:$J$198,0,7+2))),IF($AN34="OK",IF($AU34="Married",SUMPRODUCT(($AZ34&gt;=INDEX('Methodology &amp; Sources'!$B$203:$J$206,0,7))*INDEX('Methodology &amp; Sources'!$B$203:$J$206,0,7+2)),SUMPRODUCT(($AZ34&gt;=INDEX('Methodology &amp; Sources'!$B$203:$J$206,0,4))*INDEX('Methodology &amp; Sources'!$B$203:$J$206,0,4+2))),IF($AN34="RI",SUMPRODUCT(($AZ34&gt;=INDEX('Methodology &amp; Sources'!$B$211:$J$214,0,7))*INDEX('Methodology &amp; Sources'!$B$211:$J$214,0,7+2)),IF($AN34="SC",SUMPRODUCT(($AZ34&gt;=INDEX('Methodology &amp; Sources'!$B$219:$J$223,0,1))*INDEX('Methodology &amp; Sources'!$B$219:$J$223,0,1+2)),IF($AN34="VT",IF($AU34="Married",SUMPRODUCT(($AZ34&gt;=INDEX('Methodology &amp; Sources'!$B$228:$J$232,0,1))*INDEX('Methodology &amp; Sources'!$B$228:$J$232,0,1+2)),SUMPRODUCT(($AZ34&gt;=INDEX('Methodology &amp; Sources'!$B$219:$J$223,0,7))*INDEX('Methodology &amp; Sources'!$B$219:$J$223,0,7+2))),IF($AN34="WV",IF($AU34="Married",SUMPRODUCT(($AZ34&gt;=INDEX('Methodology &amp; Sources'!$B$237:$J$241,0,7))*INDEX('Methodology &amp; Sources'!$B$237:$J$241,0,7+2)),SUMPRODUCT(($AZ34&gt;=INDEX('Methodology &amp; Sources'!$B$228:$J$232,0,7))*INDEX('Methodology &amp; Sources'!$B$228:$J$232,0,7+2))),IF($AN34="IN",(0.0295+'Inputs 2'!$C$76),"")))))))))))))</f>
      </c>
      <c r="CC34" s="24">
        <f>IF($B34="","",IF($AN34="AR",SUMPRODUCT(($AZ34&gt;=INDEX('Methodology &amp; Sources'!$B$82:$J$86,0,7))*INDEX('Methodology &amp; Sources'!$B$82:$J$86,0,7+2)),IF($AN34="DE",SUMPRODUCT(($AZ34&gt;=INDEX('Methodology &amp; Sources'!$B$91:$J$98,0,1))*INDEX('Methodology &amp; Sources'!$B$91:$J$98,0,1+2)),IF($AN34="VA",SUMPRODUCT(($AZ34&gt;=INDEX('Methodology &amp; Sources'!$B$219:$J$223,0,4))*INDEX('Methodology &amp; Sources'!$B$219:$J$223,0,4+2)),IF($AN34="WI",SUMPRODUCT(($AZ34&gt;=INDEX('Methodology &amp; Sources'!$B$228:$J$232,0,4))*INDEX('Methodology &amp; Sources'!$B$228:$J$232,0,4+2)),IF($AN34="AZ",'Inputs 2'!$C$82,IF($AN34="CO",IF($AY34&gt;IF($AU34="Married",10000,5000),0.044,0),IF($AN34="IA",IF($AY34&gt;IF($AU34="Head of household",19500,IF($AU34="Married",26000,13000)),0.038,0),IF($AN34="ID",IF($AY34&gt;IF($AU34="Married",32000,16094),0.053,0),IF($AN34="IL",IF($AY34&gt;(2925*$AS34+1000*$AT34),0.0495,0),IF($AN34="KY",IF($AI34&gt;3360,0.035,0),IF($AN34="LA",0.0309,IF($AN34="MA",IF(MAX(0,$AY34-MIN(($BD33+$Q34+$R34+$S34),2000)-IF($AS34=0,0,IF($AS34=1,4400,1000*$AS34+3400)))&gt;=1107750,0.09,0.05),IF($AN34="MS",IF($AI34-IF($AU34="Head of household",3400,IF($AU34="Married",4600,2300))-'Inputs 2'!$C$85&gt;10000,0.04,0),IF($AN34="PA",0.0307,"")))))))))))))))</f>
      </c>
      <c r="CD34" s="21">
        <f>IF(YEAR(IF('Inputs 2'!$C$7="Weekly",'Inputs 2'!$C$9+7*(($BE33+1)-1),IF('Inputs 2'!$C$7="Biweekly",'Inputs 2'!$C$9+14*(($BE33+1)-1),IF('Inputs 2'!$C$7="Semimonthly",DATE(YEAR('Inputs 2'!$C$9),MONTH('Inputs 2'!$C$9)+INT((($BE33+1)-1)/2),MIN(DAY('Inputs 2'!$C$9),DAY(EOMONTH(DATE(YEAR('Inputs 2'!$C$9),MONTH('Inputs 2'!$C$9)+INT((($BE33+1)-1)/2),1),0))))+IF(MOD(($BE33+1)-1,2)=1,15,0),EDATE('Inputs 2'!$C$9,($BE33+1)-1)))))&lt;&gt;'Inputs 2'!$C$10,"",IF('Inputs 2'!$C$7="Weekly",'Inputs 2'!$C$9+7*(($BE33+1)-1),IF('Inputs 2'!$C$7="Biweekly",'Inputs 2'!$C$9+14*(($BE33+1)-1),IF('Inputs 2'!$C$7="Semimonthly",DATE(YEAR('Inputs 2'!$C$9),MONTH('Inputs 2'!$C$9)+INT((($BE33+1)-1)/2),MIN(DAY('Inputs 2'!$C$9),DAY(EOMONTH(DATE(YEAR('Inputs 2'!$C$9),MONTH('Inputs 2'!$C$9)+INT((($BE33+1)-1)/2),1),0))))+IF(MOD(($BE33+1)-1,2)=1,15,0),EDATE('Inputs 2'!$C$9,($BE33+1)-1)))))</f>
      </c>
      <c r="CE34" s="21">
        <f>IF(SUMPRODUCT(MIN(IF(('Inputs 2'!$C$58:$C$67&gt;MAX($B$6:$B33))*('Inputs 2'!$C$58:$C$67&gt;=DATE('Inputs 2'!$C$10,1,1))*('Inputs 2'!$C$58:$C$67&lt;=DATE('Inputs 2'!$C$10,12,31)),'Inputs 2'!$C$58:$C$67,999999)))=999999,"",SUMPRODUCT(MIN(IF(('Inputs 2'!$C$58:$C$67&gt;MAX($B$6:$B33))*('Inputs 2'!$C$58:$C$67&gt;=DATE('Inputs 2'!$C$10,1,1))*('Inputs 2'!$C$58:$C$67&lt;=DATE('Inputs 2'!$C$10,12,31)),'Inputs 2'!$C$58:$C$67,999999))))</f>
      </c>
    </row>
    <row r="35">
      <c r="A35" t="n">
        <v>30</v>
      </c>
      <c r="B35" s="21">
        <f>IF(AND($CD35="",$CE35=""),"",IF($CE35="",$CD35,IF($CD35="",$CE35,MIN($CD35,$CE35))))</f>
      </c>
      <c r="C35" s="7">
        <f>IF($B35="","",IF($BF35=0,0,IF('Inputs 2'!$C$4="Annual salary",ROUND($AK35/IF(AND('Inputs 2'!$C$88="Actual paydays",MONTH('Inputs 2'!$C$9)=1),MAX(1,MAX($BE$6:$BE$68)),'Inputs 2'!$C$8),2),$AK35)))</f>
      </c>
      <c r="D35" s="7">
        <f>IF($B35="","",SUMIF('Inputs 2'!$C$58:$C$67,$B35,'Inputs 2'!$D$58:$D$67))</f>
      </c>
      <c r="E35" s="7">
        <f>IF($B35="","",ROUND(MAX(0,MIN(IF($AL35="Percent",$AM35*($C35+$D35),$AM35),MAX(0,'Inputs 2'!$C$34-$AC34))),2))</f>
      </c>
      <c r="F35" s="7">
        <f>IF($B35="","",ROUND(MAX(0,MIN(IF('Inputs 2'!$C$32="Percent",'Inputs 2'!$D$32*($C35+$D35),'Inputs 2'!$D$32),MAX(0,'Inputs 2'!$C$34-$AC34-$E35))),2))</f>
      </c>
      <c r="G35" s="7">
        <f>IF($B35="","",IF($BF35=0,0,ROUND(MAX(0,MIN($BL35,'Inputs 2'!$C$37-'Inputs 2'!$C$54-$BI34)),2)))</f>
      </c>
      <c r="H35" s="7">
        <f>IF($B35="","",IF(OR($BF35=0,$BQ35=1),0,ROUND(MAX(0,MIN(IF($BS35=1,ROUND(MAX(0,MIN($BJ35,'Methodology &amp; Sources'!$C$13)-$BG34)/MAX(1,MAX($BE$6:$BE$68)-($BE34)),2),ROUND(MIN($BJ35,'Methodology &amp; Sources'!$C$13)/'Inputs 2'!$C$8,2)),MIN($BJ35,'Methodology &amp; Sources'!$C$13)-$BG34)),2)))</f>
      </c>
      <c r="I35" s="7">
        <f>IF($B35="","",IF(OR($BF35=0,$BR35=1),0,ROUND(MAX(0,MIN(IF($BT35=1,ROUND(MAX(0,MIN($BK35,IF('Inputs 2'!$C$12="MFJ",'Methodology &amp; Sources'!$C$14,'Methodology &amp; Sources'!$C$15))-$BH34)/MAX(1,MAX($BE$6:$BE$68)-($BE34)),2),ROUND(MIN($BK35,IF('Inputs 2'!$C$12="MFJ",'Methodology &amp; Sources'!$C$14,'Methodology &amp; Sources'!$C$15))/'Inputs 2'!$C$8,2)),MIN($BK35,IF('Inputs 2'!$C$12="MFJ",'Methodology &amp; Sources'!$C$14,'Methodology &amp; Sources'!$C$15))-$BH34)),2)))</f>
      </c>
      <c r="J35" s="7">
        <f>IF($B35="","",IF($BF35=0,0,$BM35))</f>
      </c>
      <c r="K35" s="7">
        <f>IF($B35="","",IF($BF35=0,0,$BN35+$BO35))</f>
      </c>
      <c r="L35" s="7">
        <f>IF($B35="","",IF($BF35=0,0,'Inputs 2'!$D$46))</f>
      </c>
      <c r="M35" s="7">
        <f>IF($B35="","",$C35+$D35+$L35-$E35-$G35-$H35-$I35-$J35-$K35)</f>
      </c>
      <c r="N35" s="7">
        <f>IF($B35="","",$C35+$D35+$L35-$G35-$H35-$I35-$J35-$K35)</f>
      </c>
      <c r="O35" s="7">
        <f>IF($B35="","",$C35+$D35+$L35-$E35-$H35-$I35-$J35-$K35-IF(OR($AN35="CA",$AN35="NJ"),0,$G35))</f>
      </c>
      <c r="P35" s="7">
        <f>IF($B35="","",IF('Inputs 2'!$C$18,0,ROUND(MAX(0,IF('Inputs 2'!$C$13,SUMPRODUCT(($AH35&gt;INDEX('Methodology &amp; Sources'!$B$29:$J$36,0,IF('Inputs 2'!$C$12="MFJ",1,IF('Inputs 2'!$C$12="HoH",7,4))))*($AH35-INDEX('Methodology &amp; Sources'!$B$29:$J$36,0,IF('Inputs 2'!$C$12="MFJ",1,IF('Inputs 2'!$C$12="HoH",7,4))))*INDEX('Methodology &amp; Sources'!$B$29:$J$36,0,IF('Inputs 2'!$C$12="MFJ",1,IF('Inputs 2'!$C$12="HoH",7,4))+2)),SUMPRODUCT(($AH35&gt;INDEX('Methodology &amp; Sources'!$B$19:$J$26,0,IF('Inputs 2'!$C$12="MFJ",1,IF('Inputs 2'!$C$12="HoH",7,4))))*($AH35-INDEX('Methodology &amp; Sources'!$B$19:$J$26,0,IF('Inputs 2'!$C$12="MFJ",1,IF('Inputs 2'!$C$12="HoH",7,4))))*INDEX('Methodology &amp; Sources'!$B$19:$J$26,0,IF('Inputs 2'!$C$12="MFJ",1,IF('Inputs 2'!$C$12="HoH",7,4))+2)))/'Inputs 2'!$C$8-$AO35/'Inputs 2'!$C$8)+$AR35+IF('Inputs 2'!$C$89="Aggregate",MAX(0,IF('Inputs 2'!$C$13,SUMPRODUCT((($AH35+$D35)&gt;INDEX('Methodology &amp; Sources'!$B$29:$J$36,0,IF('Inputs 2'!$C$12="MFJ",1,IF('Inputs 2'!$C$12="HoH",7,4))))*(($AH35+$D35)-INDEX('Methodology &amp; Sources'!$B$29:$J$36,0,IF('Inputs 2'!$C$12="MFJ",1,IF('Inputs 2'!$C$12="HoH",7,4))))*INDEX('Methodology &amp; Sources'!$B$29:$J$36,0,IF('Inputs 2'!$C$12="MFJ",1,IF('Inputs 2'!$C$12="HoH",7,4))+2)),SUMPRODUCT((($AH35+$D35)&gt;INDEX('Methodology &amp; Sources'!$B$19:$J$26,0,IF('Inputs 2'!$C$12="MFJ",1,IF('Inputs 2'!$C$12="HoH",7,4))))*(($AH35+$D35)-INDEX('Methodology &amp; Sources'!$B$19:$J$26,0,IF('Inputs 2'!$C$12="MFJ",1,IF('Inputs 2'!$C$12="HoH",7,4))))*INDEX('Methodology &amp; Sources'!$B$19:$J$26,0,IF('Inputs 2'!$C$12="MFJ",1,IF('Inputs 2'!$C$12="HoH",7,4))+2)))-IF('Inputs 2'!$C$13,SUMPRODUCT(($AH35&gt;INDEX('Methodology &amp; Sources'!$B$29:$J$36,0,IF('Inputs 2'!$C$12="MFJ",1,IF('Inputs 2'!$C$12="HoH",7,4))))*($AH35-INDEX('Methodology &amp; Sources'!$B$29:$J$36,0,IF('Inputs 2'!$C$12="MFJ",1,IF('Inputs 2'!$C$12="HoH",7,4))))*INDEX('Methodology &amp; Sources'!$B$29:$J$36,0,IF('Inputs 2'!$C$12="MFJ",1,IF('Inputs 2'!$C$12="HoH",7,4))+2)),SUMPRODUCT(($AH35&gt;INDEX('Methodology &amp; Sources'!$B$19:$J$26,0,IF('Inputs 2'!$C$12="MFJ",1,IF('Inputs 2'!$C$12="HoH",7,4))))*($AH35-INDEX('Methodology &amp; Sources'!$B$19:$J$26,0,IF('Inputs 2'!$C$12="MFJ",1,IF('Inputs 2'!$C$12="HoH",7,4))))*INDEX('Methodology &amp; Sources'!$B$19:$J$26,0,IF('Inputs 2'!$C$12="MFJ",1,IF('Inputs 2'!$C$12="HoH",7,4))+2)))),'Methodology &amp; Sources'!$C$10*$D35),2)))</f>
      </c>
      <c r="Q35" s="7">
        <f>IF($B35="","",ROUND('Methodology &amp; Sources'!$C$4*MIN($N35,MAX(0,'Methodology &amp; Sources'!$C$3-($AX35+$AB34-$AW35))),2))</f>
      </c>
      <c r="R35" s="7">
        <f>IF($B35="","",ROUND('Methodology &amp; Sources'!$C$5*$N35,2))</f>
      </c>
      <c r="S35" s="7">
        <f>IF($B35="","",ROUND('Methodology &amp; Sources'!$C$6*MAX(0,MIN($N35,$AG34+$N35-'Methodology &amp; Sources'!$C$7)),2))</f>
      </c>
      <c r="T35" s="7">
        <f>IF($B35="","",IF('Inputs 2'!$C$26,0,IF($AN35="CA",ROUND(IF($AI35&lt;=IF(($AS35+$AT35)&gt;=2,VLOOKUP($AN35,StateTables!$A$6:$AB$56,10,FALSE),VLOOKUP($AN35,StateTables!$A$6:$AB$56,9,FALSE)),0,MAX(0,SUMPRODUCT(($AJ35&gt;INDEX('Methodology &amp; Sources'!$B$39:$J$48,0,IF($AU35="Married",4,IF($AU35="Head of household",7,1))))*($AJ35-INDEX('Methodology &amp; Sources'!$B$39:$J$48,0,IF($AU35="Married",4,IF($AU35="Head of household",7,1))))*INDEX('Methodology &amp; Sources'!$B$39:$J$48,0,IF($AU35="Married",4,IF($AU35="Head of household",7,1))+2))-VLOOKUP($AN35,StateTables!$A$6:$AB$56,11,FALSE)*$AS35)/'Inputs 2'!$C$8)+'Inputs 2'!$C$25+VLOOKUP($AN35,StateTables!$A$6:$AB$56,13,FALSE)*$D35,2),IF(VLOOKUP($AN35,StateTables!$A$6:$AB$56,4,FALSE)="None",0,IF(ISNUMBER(SEARCH("MANUAL",VLOOKUP($AN35,StateTables!$A$6:$AB$56,5,FALSE))),'Inputs 2'!$C$28,ROUND(MAX(0,$BA35+$BB35)/'Inputs 2'!$C$8+'Inputs 2'!$C$25+$BC35,2))))))</f>
      </c>
      <c r="U35" s="7">
        <f>IF($B35="","",IF(VLOOKUP($AN35,StateTables!$A$6:$AB$56,24,FALSE)="flatq",IF(OR(MONTH($B35)=1,MONTH($B35)=4,MONTH($B35)=7,MONTH($B35)=10),VLOOKUP($AN35,StateTables!$A$6:$AB$56,25,FALSE),0),IF(VLOOKUP($AN35,StateTables!$A$6:$AB$56,24,FALSE)="dbl",MIN(ROUND(0.005*$N35,2),ROUND(0.6*52/'Inputs 2'!$C$8,2)),IF(OR(VLOOKUP($AN35,StateTables!$A$6:$AB$56,15,FALSE)="",VLOOKUP($AN35,StateTables!$A$6:$AB$56,15,FALSE)=0),0,ROUND(VLOOKUP($AN35,StateTables!$A$6:$AB$56,15,FALSE)*IF(OR(VLOOKUP($AN35,StateTables!$A$6:$AB$56,16,FALSE)="",VLOOKUP($AN35,StateTables!$A$6:$AB$56,16,FALSE)=0),$N35,MIN($N35,MAX(0,VLOOKUP($AN35,StateTables!$A$6:$AB$56,16,FALSE)-($AX35+$AB34-$AW35)))),2))))+IF(VLOOKUP($AN35,StateTables!$A$6:$AB$56,27,FALSE)="flatq",IF(OR(MONTH($B35)=1,MONTH($B35)=4,MONTH($B35)=7,MONTH($B35)=10),VLOOKUP($AN35,StateTables!$A$6:$AB$56,28,FALSE),0),IF(VLOOKUP($AN35,StateTables!$A$6:$AB$56,27,FALSE)="dbl",MIN(ROUND(0.005*$N35,2),ROUND(0.6*52/'Inputs 2'!$C$8,2)),IF(OR(VLOOKUP($AN35,StateTables!$A$6:$AB$56,18,FALSE)="",VLOOKUP($AN35,StateTables!$A$6:$AB$56,18,FALSE)=0),0,ROUND(VLOOKUP($AN35,StateTables!$A$6:$AB$56,18,FALSE)*IF(OR(VLOOKUP($AN35,StateTables!$A$6:$AB$56,19,FALSE)="",VLOOKUP($AN35,StateTables!$A$6:$AB$56,19,FALSE)=0),$N35,MIN($N35,MAX(0,VLOOKUP($AN35,StateTables!$A$6:$AB$56,19,FALSE)-($AX35+$AB34-$AW35)))),2)))))</f>
      </c>
      <c r="V35" s="7">
        <f>IF($B35="","",IF($AN35="NY",IF('Inputs 2'!$C$78,ROUND(SUMPRODUCT((MAX(0,($O35-$D35)*'Inputs 2'!$C$8-(IF($AU35="Married",5500,5000)+1000*$AS35))&gt;INDEX('Methodology &amp; Sources'!$B$184:$J$198,0,4))*(MAX(0,($O35-$D35)*'Inputs 2'!$C$8-(IF($AU35="Married",5500,5000)+1000*$AS35))-INDEX('Methodology &amp; Sources'!$B$184:$J$198,0,4))*INDEX('Methodology &amp; Sources'!$B$184:$J$198,0,4+2))/'Inputs 2'!$C$8+0.0425*$D35,2),0)+IF('Inputs 2'!$C$79="Resident",ROUND(0.1675*$T35,2),IF('Inputs 2'!$C$79="Nonresident",ROUND(0.005*MAX(0,($O35-$D35)-(IF($AU35="Married",7950,7400)+1000*$AS35)/'Inputs 2'!$C$8),2),0)),IF($AN35="PA",IF('Inputs 2'!$C$80="None",'Inputs 2'!$C$27+ROUND('Inputs 2'!$C$81*($C35+$D35),2),ROUND(IF('Inputs 2'!$C$80="Resident",IF($B35&lt;DATE(2027,7,1),0.03735,0.03735),IF($B35&lt;DATE(2027,7,1),0.03425,0.03425))*($C35+$D35),2)),IF($BF35=0,ROUND('Inputs 2'!$C$81*($C35+$D35),2),'Inputs 2'!$C$27+ROUND('Inputs 2'!$C$81*($C35+$D35),2)))))</f>
      </c>
      <c r="W35" s="7">
        <f>IF($B35="","",IF($BF35=0,0,$BP35))</f>
      </c>
      <c r="X35" s="7">
        <f>IF($B35="","",SUM($E35:$K35)+$P35+$Q35+$R35+$S35+$T35+$U35+$V35+$W35)</f>
      </c>
      <c r="Y35" s="22">
        <f>IF($B35="","",$C35+$D35-$X35)</f>
      </c>
      <c r="Z35" s="7">
        <f>IF($B35="","",$Z34+$C35+$D35)</f>
      </c>
      <c r="AA35" s="7">
        <f>IF($B35="","",$AA34+$Y35)</f>
      </c>
      <c r="AB35" s="7">
        <f>IF($B35="","",$AB34+MIN($N35,MAX(0,'Methodology &amp; Sources'!$C$3-($AX35+$AB34-$AW35))))</f>
      </c>
      <c r="AC35" s="7">
        <f>IF($B35="","",$AC34+$E35+$F35)</f>
      </c>
      <c r="AD35" s="3">
        <f>IF($B35="","",IF(AND($AB34&lt;'Methodology &amp; Sources'!$C$3,$AB35&gt;='Methodology &amp; Sources'!$C$3),"★ Social Security maxed on this check — from the next check your net rises by about $"&amp;TEXT(ROUND('Methodology &amp; Sources'!$C$4*$N35,2),"#,##0.00")&amp;". ","")&amp;IF(AND($AC34&lt;'Inputs 2'!$C$34,$AC35&gt;='Inputs 2'!$C$34),"★ 401(k) reaches the $"&amp;TEXT('Inputs 2'!$C$34,"#,##0")&amp;" cap on this check — deferrals stop and net pay rises. ","")&amp;IF(AND($AG34&lt;'Methodology &amp; Sources'!$C$7,$AG35&gt;='Methodology &amp; Sources'!$C$7),"★ Wages pass $200,000 — the 0.9% Additional Medicare Tax starts here. ","")&amp;IF(AND($BJ35&gt;0,$H35&gt;0,$BG34&lt;MIN($BJ35,'Methodology &amp; Sources'!$C$13),$BG34+$H35&gt;=MIN($BJ35,'Methodology &amp; Sources'!$C$13)),"★ Health FSA election is now fully deferred for the year. ",""))</f>
      </c>
      <c r="AE35" s="41" t="n"/>
      <c r="AF35" s="7">
        <f>IF(OR($B35="",$AE35=""),"",$AE35-$Y35)</f>
      </c>
      <c r="AG35" s="7">
        <f>IF($B35="","",$AG34+$N35)</f>
      </c>
      <c r="AH35" s="7">
        <f>IF($B35="","",MAX(0,($M35-$D35)*'Inputs 2'!$C$8+$AP35-$AQ35-IF('Inputs 2'!$C$13,0,IF('Inputs 2'!$C$12="MFJ",'Methodology &amp; Sources'!$C$8,'Methodology &amp; Sources'!$C$9))))</f>
      </c>
      <c r="AI35" s="7">
        <f>IF($B35="","",$O35*'Inputs 2'!$C$8)</f>
      </c>
      <c r="AJ35" s="7">
        <f>IF($B35="","",MAX(0,$AI35-VLOOKUP($AN35,StateTables!$A$6:$AB$56,12,FALSE)*$AT35-IF(($AS35+$AT35)&gt;=2,VLOOKUP($AN35,StateTables!$A$6:$AB$56,8,FALSE),VLOOKUP($AN35,StateTables!$A$6:$AB$56,7,FALSE))))</f>
      </c>
      <c r="AK35" s="7">
        <f>IF($B35="","",IFERROR(LOOKUP(2,1/(('Events 2'!$C$6:$C$17="Salary change")*('Events 2'!$B$6:$B$17&lt;=$B35)*('Events 2'!$B$6:$B$17&lt;&gt;"")),'Events 2'!$D$6:$D$17),IF('Inputs 2'!$C$4="Annual salary",'Inputs 2'!$C$5,'Inputs 2'!$C$6)))</f>
      </c>
      <c r="AL35">
        <f>IF($B35="","",IFERROR(LOOKUP(2,1/(('Events 2'!$C$6:$C$17="401(k) change")*('Events 2'!$B$6:$B$17&lt;=$B35)*('Events 2'!$B$6:$B$17&lt;&gt;"")),'Events 2'!$D$6:$D$17),'Inputs 2'!$C$30))</f>
      </c>
      <c r="AM35" s="7">
        <f>IF($B35="","",IFERROR(LOOKUP(2,1/(('Events 2'!$C$6:$C$17="401(k) change")*('Events 2'!$B$6:$B$17&lt;=$B35)*('Events 2'!$B$6:$B$17&lt;&gt;"")),'Events 2'!$E$6:$E$17),'Inputs 2'!$D$30))</f>
      </c>
      <c r="AN35">
        <f>IF($B35="","",IFERROR(LOOKUP(2,1/(('Events 2'!$C$6:$C$17="State move")*('Events 2'!$B$6:$B$17&lt;=$B35)*('Events 2'!$B$6:$B$17&lt;&gt;"")),'Events 2'!$D$6:$D$17),'Inputs 2'!$C$21))</f>
      </c>
      <c r="AO35" s="7">
        <f>IF($B35="","",IFERROR(LOOKUP(2,1/(('Events 2'!$C$6:$C$17="W-4 change")*('Events 2'!$B$6:$B$17&lt;=$B35)*('Events 2'!$B$6:$B$17&lt;&gt;"")),'Events 2'!$D$6:$D$17),'Inputs 2'!$C$14))</f>
      </c>
      <c r="AP35" s="7">
        <f>IF($B35="","",IFERROR(LOOKUP(2,1/(('Events 2'!$C$6:$C$17="W-4 change")*('Events 2'!$B$6:$B$17&lt;=$B35)*('Events 2'!$B$6:$B$17&lt;&gt;"")),'Events 2'!$E$6:$E$17),'Inputs 2'!$C$15))</f>
      </c>
      <c r="AQ35" s="7">
        <f>IF($B35="","",IFERROR(LOOKUP(2,1/(('Events 2'!$C$6:$C$17="W-4 change")*('Events 2'!$B$6:$B$17&lt;=$B35)*('Events 2'!$B$6:$B$17&lt;&gt;"")),'Events 2'!$F$6:$F$17),'Inputs 2'!$C$16))</f>
      </c>
      <c r="AR35" s="7">
        <f>IF($B35="","",IFERROR(LOOKUP(2,1/(('Events 2'!$C$6:$C$17="W-4 change")*('Events 2'!$B$6:$B$17&lt;=$B35)*('Events 2'!$B$6:$B$17&lt;&gt;"")),'Events 2'!$G$6:$G$17),'Inputs 2'!$C$17))</f>
      </c>
      <c r="AS35" s="6">
        <f>IF($B35="","",IFERROR(LOOKUP(2,1/((('Events 2'!$C$6:$C$17="State move")+('Events 2'!$C$6:$C$17="State cert change"))*('Events 2'!$B$6:$B$17&lt;=$B35)*('Events 2'!$B$6:$B$17&lt;&gt;"")),'Events 2'!$F$6:$F$17),'Inputs 2'!$C$23))</f>
      </c>
      <c r="AT35" s="6">
        <f>IF($B35="","",IFERROR(LOOKUP(2,1/((('Events 2'!$C$6:$C$17="State move")+('Events 2'!$C$6:$C$17="State cert change"))*('Events 2'!$B$6:$B$17&lt;=$B35)*('Events 2'!$B$6:$B$17&lt;&gt;"")),'Events 2'!$G$6:$G$17),'Inputs 2'!$C$24))</f>
      </c>
      <c r="AU35">
        <f>IF($B35="","",IFERROR(LOOKUP(2,1/(('Events 2'!$C$6:$C$17="State move")*('Events 2'!$B$6:$B$17&lt;=$B35)*('Events 2'!$B$6:$B$17&lt;&gt;"")),'Events 2'!$E$6:$E$17),'Inputs 2'!$C$22))</f>
      </c>
      <c r="AV35" s="6">
        <f>IF($B35="","",1+COUNTIFS('Events 2'!$C$6:$C$17,"Employer change",'Events 2'!$B$6:$B$17,"&lt;="&amp;$B35,'Events 2'!$B$6:$B$17,"&lt;&gt;"))</f>
      </c>
      <c r="AW35" s="7">
        <f>IF($B35="","",IF($AV35=1,'Inputs 2'!$C$49,IF(IFERROR(MATCH(IFERROR(LOOKUP(2,1/(('Events 2'!$C$6:$C$17="Employer change")*('Events 2'!$B$6:$B$17&lt;=$B35)*('Events 2'!$B$6:$B$17&lt;&gt;"")),'Events 2'!$B$6:$B$17),""),$B$6:$B$68,1),1)&lt;=1,'Inputs 2'!$C$49,INDEX($AB$6:$AB$68,MATCH(IFERROR(LOOKUP(2,1/(('Events 2'!$C$6:$C$17="Employer change")*('Events 2'!$B$6:$B$17&lt;=$B35)*('Events 2'!$B$6:$B$17&lt;&gt;"")),'Events 2'!$B$6:$B$17),""),$B$6:$B$68,1)-1))))</f>
      </c>
      <c r="AX35" s="7">
        <f>IF($B35="","",IF($AV35=1,'Inputs 2'!$C$49,IFERROR(LOOKUP(2,1/(('Events 2'!$C$6:$C$17="Employer change")*('Events 2'!$B$6:$B$17&lt;=$B35)*('Events 2'!$B$6:$B$17&lt;&gt;"")),'Events 2'!$D$6:$D$17),0)))</f>
      </c>
      <c r="AY35" s="7">
        <f>IF($B35="","",($O35-$D35)*'Inputs 2'!$C$8)</f>
      </c>
      <c r="AZ35" s="7">
        <f>IF($B35="","",IF($AN35="AL",MAX(0,$AY35-IF($AU35="Married",IF($AY35&lt;=25999,8500,MAX(5000,8500-175*CEILING(($AY35-25999)/500,1))),IF($AU35="Head of household",IF($AY35&lt;=25999,5200,MAX(2500,5200-135*CEILING(($AY35-25999)/500,1))),IF($AY35&lt;=25999,3000,MAX(2500,3000-25*CEILING(($AY35-25999)/500,1)))))-($P35-'Methodology &amp; Sources'!$C$10*$D35)*'Inputs 2'!$C$8-IF(OR($AU35="Married",$AU35="Head of household"),3000,1500)-$AT35*IF($AY35&lt;=50000,1000,IF($AY35&lt;=100000,500,300))),IF($AN35="AR",IF(MAX(0,$AY35-2470)&lt;97701,INT(MAX(0,$AY35-2470)/100)*100+50,MAX(0,$AY35-2470)),IF($AN35="DE",MAX(0,$AI35-3250),IF($AN35="HI",MAX(0,$AI35-1144*$AS35-4350),IF($AN35="KS",MAX(0,$AI35-(9160*IF($AU35="Married",2,1)+2320*$AT35+IF($AU35="Head of household",2320,0))),IF($AN35="MD",MAX(0,$AI35-3400-3200*$AS35),IF($AN35="MN",MAX(0,$AY35-5300*$AS35),IF($AN35="MO",MAX(0,$AI35-IF($AU35="Head of household",24150,IF($AU35="Married",IF('Inputs 2'!$C$83,16100,32200),16100))),IF($AN35="MT",$AY35,IF($AN35="ND",($C35+$L35)*'Inputs 2'!$C$8,IF($AN35="NE",MAX(0,$AY35-2440*$AS35),IF($AN35="NJ",MAX(0,$AY35-1000*$AS35),IF($AN35="NY",MAX(0,$AY35-(IF($AU35="Married",7950,7400)+1000*$AS35)),IF($AN35="OH",MAX(0,$AY35-650*$AS35),IF($AN35="OK",MAX(0,$AY35-1000*$AS35),IF($AN35="RI",MAX(0,$AI35-1000*$AS35),IF($AN35="SC",MAX(0,$AI35-5000*$AS35-IF($AS35=0,0,MIN(0.1*$AI35,7500))),IF($AN35="VA",MAX(0,$AI35-IF($AU35="Married",17500,8750)-930*$AS35-800*$AT35),IF($AN35="VT",MAX(0,$AI35-5400*$AS35),IF($AN35="WI",MAX(0,$AI35-MAX(0,IF($AU35="Married",9461-0.2*MAX(0,$AI35-25727),6702-0.12*MAX(0,$AI35-17780)))-400*$AS35),IF($AN35="WV",MAX(0,$AI35-2000*$AS35),$AI35))))))))))))))))))))))</f>
      </c>
      <c r="BA35" s="7">
        <f>IF($B35="","",IF($BW35&lt;&gt;"",$BW35,IF($BX35&lt;&gt;"",$BX35,IF($BY35&lt;&gt;"",$BY35,0))))</f>
      </c>
      <c r="BB35" s="7">
        <f>IF($B35="","",IF($AN35="AR",-29*$AS35,IF($AN35="DE",-110*$AS35,IF($AN35="MD",$AZ35*'Inputs 2'!$C$74,IF($AN35="AZ",'Inputs 2'!$C$82*($M35-$D35)*'Inputs 2'!$C$8,IF($AN35="CO",0.044*MAX(0,$AY35-IF($AU35="Married",10000,5000)),IF($AN35="IA",MAX(0,0.038*MAX(0,$AY35-IF($AU35="Head of household",19500,IF($AU35="Married",26000,13000)))-40*$AS35),IF($AN35="ID",0.053*MAX(0,$AY35-IF($AU35="Married",32000,16094)),IF($AN35="IL",0.0495*MAX(0,$AY35-(2925*$AS35+1000*$AT35)),IF($AN35="IN",(0.0295+'Inputs 2'!$C$76)*MAX(0,$AY35-(1000*$AS35+1500*$AT35+3000*'Inputs 2'!$C$86)),IF($AN35="KY",0.035*MAX(0,$AI35-3360),IF($AN35="LA",IF('Inputs 2'!$C$84="0",0.0309*$AI35,0.0309*MAX(0,$AI35-IF('Inputs 2'!$C$84="2",25750,12875))),IF($AN35="MA",0.05*MIN(MAX(0,$AY35-MIN(($BD34+$Q35+$R35+$S35),2000)-IF($AS35=0,0,IF($AS35=1,4400,1000*$AS35+3400))),1107750)+0.09*MAX(0,MAX(0,$AY35-MIN(($BD34+$Q35+$R35+$S35),2000)-IF($AS35=0,0,IF($AS35=1,4400,1000*$AS35+3400)))-1107750)-IF($AU35="Head of household",120,0)-110*'Inputs 2'!$C$75,IF($AN35="MI",0.0425*MAX(0,$AY35-5900*$AS35),IF($AN35="MS",0.04*MAX(0,$AI35-IF($AU35="Head of household",3400,IF($AU35="Married",4600,2300))-'Inputs 2'!$C$85-10000),IF($AN35="OR",IF(OR($AU35="Married",AND($AU35="Single",$AS35&gt;=3)),SUMPRODUCT((MAX(0,$AY35-MIN(($P35-'Methodology &amp; Sources'!$C$10*$D35)*'Inputs 2'!$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Sources'!$B$211:$J$214,0,4))*(MAX(0,$AY35-MIN(($P35-'Methodology &amp; Sources'!$C$10*$D35)*'Inputs 2'!$C$8,IF(OR($AU35="Married",AND($AU35="Single",$AS35&gt;=3)),IF($AY35&lt;250000,8750,IF($AY35&lt;260000,7000,IF($AY35&lt;270000,5250,IF($AY35&lt;280000,3500,IF($AY35&lt;290000,1750,0))))),IF($AY35&lt;125000,8750,IF($AY35&lt;130000,7000,IF($AY35&lt;135000,5250,IF($AY35&lt;140000,3500,IF($AY35&lt;145000,1750,0)))))))-IF(OR($AU35="Married",AND($AU35="Single",$AS35&gt;=3)),5820,2910))-INDEX('Methodology &amp; Sources'!$B$211:$J$214,0,4))*INDEX('Methodology &amp; Sources'!$B$211:$J$214,0,4+2)),SUMPRODUCT((MAX(0,$AY35-MIN(($P35-'Methodology &amp; Sources'!$C$10*$D35)*'Inputs 2'!$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Sources'!$B$211:$J$214,0,1))*(MAX(0,$AY35-MIN(($P35-'Methodology &amp; Sources'!$C$10*$D35)*'Inputs 2'!$C$8,IF(OR($AU35="Married",AND($AU35="Single",$AS35&gt;=3)),IF($AY35&lt;250000,8750,IF($AY35&lt;260000,7000,IF($AY35&lt;270000,5250,IF($AY35&lt;280000,3500,IF($AY35&lt;290000,1750,0))))),IF($AY35&lt;125000,8750,IF($AY35&lt;130000,7000,IF($AY35&lt;135000,5250,IF($AY35&lt;140000,3500,IF($AY35&lt;145000,1750,0)))))))-IF(OR($AU35="Married",AND($AU35="Single",$AS35&gt;=3)),5820,2910))-INDEX('Methodology &amp; Sources'!$B$211:$J$214,0,1))*INDEX('Methodology &amp; Sources'!$B$211:$J$214,0,1+2)))+263-263*IF(IF($AU35="Married",$AY35&gt;200000,$AY35&gt;100000),0,$AS35),IF($AN35="PA",0.0307*(($O35+$E35+$G35)*'Inputs 2'!$C$8),IF($AN35="NY",IF($AU35="Married",IF($AZ35&gt;=2155350,0,IF($AZ35&gt;=1077550,0.48,IF($AZ35&gt;=373200,1.21,IF($AZ35&gt;=323200,0.21,IF($AZ35&gt;=211550,-0.19,IF($AZ35&gt;=157650,-2.8,IF($AZ35&gt;=107650,-0.8,IF($AZ35&gt;=96800,0.05,IF($AZ35&gt;=80650,-0.1,IF($AZ35&gt;=13900,0.4,IF($AZ35&gt;=11700,-0.3,IF($AZ35&gt;=8500,0.5,0)))))))))))),IF($AZ35&gt;=1077550,0,IF($AZ35&gt;=265400,4.29,IF($AZ35&gt;=215400,2.29,IF($AZ35&gt;=157650,2.29,IF($AZ35&gt;=107650,0.29,IF($AZ35&gt;=96800,0.05,IF($AZ35&gt;=80650,-0.1,IF($AZ35&gt;=13900,0.4,IF($AZ35&gt;=11700,-0.3,IF($AZ35&gt;=8500,0.5,0))))))))))),0))))))))))))))))))</f>
      </c>
      <c r="BC35" s="7">
        <f>IF($B35="","",IF($AN35="AL",0.05*$D35,IF($AN35="AR",0.039*$D35,IF($AN35="ID",0.053*$D35,IF($AN35="IN",(0.0295+'Inputs 2'!$C$76)*$D35,IF($AN35="KS",0.05*$D35,IF($AN35="MA",0.09*MIN($D35,MAX(0,MAX(0,$AY35-MIN(($BD34+$Q35+$R35+$S35),2000)-IF($AS35=0,0,IF($AS35=1,4400,1000*$AS35+3400)))+$D35-1107750))+0.05*($D35-MIN($D35,MAX(0,MAX(0,$AY35-MIN(($BD34+$Q35+$R35+$S35),2000)-IF($AS35=0,0,IF($AS35=1,4400,1000*$AS35+3400)))+$D35-1107750))),IF($AN35="MD",(0.065+'Inputs 2'!$C$74)*$D35,IF($AN35="MI",0.0425*$D35,IF($AN35="MN",0.0625*$D35,IF($AN35="MO",0.047*$D35,IF($AN35="MT",0.05*$D35,IF($AN35="ND",0.015*$D35,IF($AN35="NE",0.035*$D35,IF($AN35="NJ",IF('Inputs 2'!$C$77="B",SUMPRODUCT(($D35*'Inputs 2'!$C$8&gt;INDEX('Methodology &amp; Sources'!$B$155:$J$162,0,4))*($D35*'Inputs 2'!$C$8-INDEX('Methodology &amp; Sources'!$B$155:$J$162,0,4))*INDEX('Methodology &amp; Sources'!$B$155:$J$162,0,4+2)),IF('Inputs 2'!$C$77="C",SUMPRODUCT(($D35*'Inputs 2'!$C$8&gt;INDEX('Methodology &amp; Sources'!$B$155:$J$162,0,7))*($D35*'Inputs 2'!$C$8-INDEX('Methodology &amp; Sources'!$B$155:$J$162,0,7))*INDEX('Methodology &amp; Sources'!$B$155:$J$162,0,7+2)),IF('Inputs 2'!$C$77="D",SUMPRODUCT(($D35*'Inputs 2'!$C$8&gt;INDEX('Methodology &amp; Sources'!$B$167:$J$179,0,1))*($D35*'Inputs 2'!$C$8-INDEX('Methodology &amp; Sources'!$B$167:$J$179,0,1))*INDEX('Methodology &amp; Sources'!$B$167:$J$179,0,1+2)),IF('Inputs 2'!$C$77="E",SUMPRODUCT(($D35*'Inputs 2'!$C$8&gt;INDEX('Methodology &amp; Sources'!$B$167:$J$179,0,4))*($D35*'Inputs 2'!$C$8-INDEX('Methodology &amp; Sources'!$B$167:$J$179,0,4))*INDEX('Methodology &amp; Sources'!$B$167:$J$179,0,4+2)),SUMPRODUCT(($D35*'Inputs 2'!$C$8&gt;INDEX('Methodology &amp; Sources'!$B$155:$J$162,0,1))*($D35*'Inputs 2'!$C$8-INDEX('Methodology &amp; Sources'!$B$155:$J$162,0,1))*INDEX('Methodology &amp; Sources'!$B$155:$J$162,0,1+2))))))/'Inputs 2'!$C$8,IF($AN35="NY",0.117*$D35,IF($AN35="OH",0.0275*$D35,IF($AN35="OK",0.045*$D35,IF($AN35="OR",0.08*$D35,IF($AN35="WI",IF($AY35&lt;12760,0.0354,IF($AY35&lt;25520,0.0465,IF($AY35&lt;280950,0.053,0.0765)))*$D35,0))))))))))))))))))))</f>
      </c>
      <c r="BD35" s="7">
        <f>IF($B35="","",$BD34+$Q35+$R35+$S35)</f>
      </c>
      <c r="BE35" s="6">
        <f>IF($B35="",$BE34,$BE34+$BF35)</f>
      </c>
      <c r="BF35" s="6">
        <f>IF($B35="","",IF(AND(IF(YEAR(IF('Inputs 2'!$C$7="Weekly",'Inputs 2'!$C$9+7*(($BE34+1)-1),IF('Inputs 2'!$C$7="Biweekly",'Inputs 2'!$C$9+14*(($BE34+1)-1),IF('Inputs 2'!$C$7="Semimonthly",DATE(YEAR('Inputs 2'!$C$9),MONTH('Inputs 2'!$C$9)+INT((($BE34+1)-1)/2),MIN(DAY('Inputs 2'!$C$9),DAY(EOMONTH(DATE(YEAR('Inputs 2'!$C$9),MONTH('Inputs 2'!$C$9)+INT((($BE34+1)-1)/2),1),0))))+IF(MOD(($BE34+1)-1,2)=1,15,0),EDATE('Inputs 2'!$C$9,($BE34+1)-1)))))&lt;&gt;'Inputs 2'!$C$10,"",IF('Inputs 2'!$C$7="Weekly",'Inputs 2'!$C$9+7*(($BE34+1)-1),IF('Inputs 2'!$C$7="Biweekly",'Inputs 2'!$C$9+14*(($BE34+1)-1),IF('Inputs 2'!$C$7="Semimonthly",DATE(YEAR('Inputs 2'!$C$9),MONTH('Inputs 2'!$C$9)+INT((($BE34+1)-1)/2),MIN(DAY('Inputs 2'!$C$9),DAY(EOMONTH(DATE(YEAR('Inputs 2'!$C$9),MONTH('Inputs 2'!$C$9)+INT((($BE34+1)-1)/2),1),0))))+IF(MOD(($BE34+1)-1,2)=1,15,0),EDATE('Inputs 2'!$C$9,($BE34+1)-1)))))&lt;&gt;"",$B35=IF(YEAR(IF('Inputs 2'!$C$7="Weekly",'Inputs 2'!$C$9+7*(($BE34+1)-1),IF('Inputs 2'!$C$7="Biweekly",'Inputs 2'!$C$9+14*(($BE34+1)-1),IF('Inputs 2'!$C$7="Semimonthly",DATE(YEAR('Inputs 2'!$C$9),MONTH('Inputs 2'!$C$9)+INT((($BE34+1)-1)/2),MIN(DAY('Inputs 2'!$C$9),DAY(EOMONTH(DATE(YEAR('Inputs 2'!$C$9),MONTH('Inputs 2'!$C$9)+INT((($BE34+1)-1)/2),1),0))))+IF(MOD(($BE34+1)-1,2)=1,15,0),EDATE('Inputs 2'!$C$9,($BE34+1)-1)))))&lt;&gt;'Inputs 2'!$C$10,"",IF('Inputs 2'!$C$7="Weekly",'Inputs 2'!$C$9+7*(($BE34+1)-1),IF('Inputs 2'!$C$7="Biweekly",'Inputs 2'!$C$9+14*(($BE34+1)-1),IF('Inputs 2'!$C$7="Semimonthly",DATE(YEAR('Inputs 2'!$C$9),MONTH('Inputs 2'!$C$9)+INT((($BE34+1)-1)/2),MIN(DAY('Inputs 2'!$C$9),DAY(EOMONTH(DATE(YEAR('Inputs 2'!$C$9),MONTH('Inputs 2'!$C$9)+INT((($BE34+1)-1)/2),1),0))))+IF(MOD(($BE34+1)-1,2)=1,15,0),EDATE('Inputs 2'!$C$9,($BE34+1)-1)))))),1,0))</f>
      </c>
      <c r="BG35" s="7">
        <f>IF($B35="","",$BG34+$H35)</f>
      </c>
      <c r="BH35" s="7">
        <f>IF($B35="","",$BH34+$I35)</f>
      </c>
      <c r="BI35" s="7">
        <f>IF($B35="","",$BI34+$G35)</f>
      </c>
      <c r="BJ35" s="7">
        <f>IF($B35="","",IFERROR(LOOKUP(2,1/(((('Events 2'!$C$6:$C$17="Deduction start"))*('Events 2'!$D$6:$D$17="Health FSA"))*('Events 2'!$B$6:$B$17&lt;=$B35)*('Events 2'!$B$6:$B$17&lt;&gt;"")),'Events 2'!$E$6:$E$17),'Inputs 2'!$D$38))</f>
      </c>
      <c r="BK35" s="7">
        <f>IF($B35="","",IFERROR(LOOKUP(2,1/(((('Events 2'!$C$6:$C$17="Deduction start"))*('Events 2'!$D$6:$D$17="Dependent-care FSA"))*('Events 2'!$B$6:$B$17&lt;=$B35)*('Events 2'!$B$6:$B$17&lt;&gt;"")),'Events 2'!$E$6:$E$17),'Inputs 2'!$D$39))</f>
      </c>
      <c r="BL35" s="7">
        <f>IF($B35="","",IFERROR(LOOKUP(2,1/(((('Events 2'!$C$6:$C$17="Deduction start")+('Events 2'!$C$6:$C$17="Deduction stop"))*('Events 2'!$D$6:$D$17="HSA"))*('Events 2'!$B$6:$B$17&lt;=$B35)*('Events 2'!$B$6:$B$17&lt;&gt;"")),'Events 2'!$I$6:$I$17),'Inputs 2'!$D$35))</f>
      </c>
      <c r="BM35" s="7">
        <f>IF($B35="","",IFERROR(LOOKUP(2,1/(((('Events 2'!$C$6:$C$17="Deduction start")+('Events 2'!$C$6:$C$17="Deduction stop"))*('Events 2'!$D$6:$D$17="Premiums"))*('Events 2'!$B$6:$B$17&lt;=$B35)*('Events 2'!$B$6:$B$17&lt;&gt;"")),'Events 2'!$I$6:$I$17),'Inputs 2'!$D$40+'Inputs 2'!$D$41+'Inputs 2'!$D$42))</f>
      </c>
      <c r="BN35" s="7">
        <f>IF($B35="","",IFERROR(LOOKUP(2,1/(((('Events 2'!$C$6:$C$17="Deduction start")+('Events 2'!$C$6:$C$17="Deduction stop"))*('Events 2'!$D$6:$D$17="Commuter"))*('Events 2'!$B$6:$B$17&lt;=$B35)*('Events 2'!$B$6:$B$17&lt;&gt;"")),'Events 2'!$I$6:$I$17),'Inputs 2'!$D$43))</f>
      </c>
      <c r="BO35" s="7">
        <f>IF($B35="","",IFERROR(LOOKUP(2,1/(((('Events 2'!$C$6:$C$17="Deduction start")+('Events 2'!$C$6:$C$17="Deduction stop"))*('Events 2'!$D$6:$D$17="Other pre-tax"))*('Events 2'!$B$6:$B$17&lt;=$B35)*('Events 2'!$B$6:$B$17&lt;&gt;"")),'Events 2'!$I$6:$I$17),'Inputs 2'!$D$44))</f>
      </c>
      <c r="BP35" s="7">
        <f>IF($B35="","",IFERROR(LOOKUP(2,1/(((('Events 2'!$C$6:$C$17="Deduction start")+('Events 2'!$C$6:$C$17="Deduction stop"))*('Events 2'!$D$6:$D$17="Other post-tax"))*('Events 2'!$B$6:$B$17&lt;=$B35)*('Events 2'!$B$6:$B$17&lt;&gt;"")),'Events 2'!$I$6:$I$17),'Inputs 2'!$D$45))</f>
      </c>
      <c r="BQ35" s="6">
        <f>IF($B35="","",IFERROR(LOOKUP(2,1/(((('Events 2'!$C$6:$C$17="Deduction start")+('Events 2'!$C$6:$C$17="Deduction stop"))*('Events 2'!$D$6:$D$17="Health FSA"))*('Events 2'!$B$6:$B$17&lt;=$B35)*('Events 2'!$B$6:$B$17&lt;&gt;"")),'Events 2'!$J$6:$J$17),0))</f>
      </c>
      <c r="BR35" s="6">
        <f>IF($B35="","",IFERROR(LOOKUP(2,1/(((('Events 2'!$C$6:$C$17="Deduction start")+('Events 2'!$C$6:$C$17="Deduction stop"))*('Events 2'!$D$6:$D$17="Dependent-care FSA"))*('Events 2'!$B$6:$B$17&lt;=$B35)*('Events 2'!$B$6:$B$17&lt;&gt;"")),'Events 2'!$J$6:$J$17),0))</f>
      </c>
      <c r="BS35" s="6">
        <f>IF($B35="","",IF(SUMPRODUCT(('Events 2'!$C$6:$C$17="Deduction start")*('Events 2'!$B$6:$B$17&lt;=$B35)*('Events 2'!$B$6:$B$17&lt;&gt;"")*('Events 2'!$D$6:$D$17="Health FSA"))&gt;0,1,0))</f>
      </c>
      <c r="BT35" s="6">
        <f>IF($B35="","",IF(SUMPRODUCT(('Events 2'!$C$6:$C$17="Deduction start")*('Events 2'!$B$6:$B$17&lt;=$B35)*('Events 2'!$B$6:$B$17&lt;&gt;"")*('Events 2'!$D$6:$D$17="Dependent-care FSA"))&gt;0,1,0))</f>
      </c>
      <c r="BU35" s="24">
        <f>IF($B35="","",IF('Inputs 2'!$C$13,SUMPRODUCT(($AH35&gt;=INDEX('Methodology &amp; Sources'!$B$29:$J$36,0,IF('Inputs 2'!$C$12="MFJ",1,IF('Inputs 2'!$C$12="HoH",7,4))))*INDEX('Methodology &amp; Sources'!$B$29:$J$36,0,IF('Inputs 2'!$C$12="MFJ",1,IF('Inputs 2'!$C$12="HoH",7,4))+2)),SUMPRODUCT(($AH35&gt;=INDEX('Methodology &amp; Sources'!$B$19:$J$26,0,IF('Inputs 2'!$C$12="MFJ",1,IF('Inputs 2'!$C$12="HoH",7,4))))*INDEX('Methodology &amp; Sources'!$B$19:$J$26,0,IF('Inputs 2'!$C$12="MFJ",1,IF('Inputs 2'!$C$12="HoH",7,4))+2))))</f>
      </c>
      <c r="BV35" s="24">
        <f>IF($B35="","",IF($BZ35&lt;&gt;"",$BZ35,IF($CA35&lt;&gt;"",$CA35,IF($CB35&lt;&gt;"",$CB35,IF($CC35&lt;&gt;"",$CC35,0)))))</f>
      </c>
      <c r="BW35" s="7">
        <f>IF($B35="","",IF($AN35="MD",IF(OR($AU35="Married",$AU35="Head of household"),SUMPRODUCT(($AZ35&gt;INDEX('Methodology &amp; Sources'!$B$114:$J$120,0,1))*($AZ35-INDEX('Methodology &amp; Sources'!$B$114:$J$120,0,1))*INDEX('Methodology &amp; Sources'!$B$114:$J$120,0,1+2)),SUMPRODUCT(($AZ35&gt;INDEX('Methodology &amp; Sources'!$B$103:$J$109,0,7))*($AZ35-INDEX('Methodology &amp; Sources'!$B$103:$J$109,0,7))*INDEX('Methodology &amp; Sources'!$B$103:$J$109,0,7+2))),IF($AN35="MO",SUMPRODUCT(($AZ35&gt;INDEX('Methodology &amp; Sources'!$B$125:$J$132,0,1))*($AZ35-INDEX('Methodology &amp; Sources'!$B$125:$J$132,0,1))*INDEX('Methodology &amp; Sources'!$B$125:$J$132,0,1+2)),IF($AN35="MT",IF($AU35="Head of household",SUMPRODUCT(($AZ35&gt;INDEX('Methodology &amp; Sources'!$B$137:$J$139,0,1))*($AZ35-INDEX('Methodology &amp; Sources'!$B$137:$J$139,0,1))*INDEX('Methodology &amp; Sources'!$B$137:$J$139,0,1+2)),IF($AU35="Married",SUMPRODUCT(($AZ35&gt;INDEX('Methodology &amp; Sources'!$B$125:$J$132,0,7))*($AZ35-INDEX('Methodology &amp; Sources'!$B$125:$J$132,0,7))*INDEX('Methodology &amp; Sources'!$B$125:$J$132,0,7+2)),SUMPRODUCT(($AZ35&gt;INDEX('Methodology &amp; Sources'!$B$125:$J$132,0,4))*($AZ35-INDEX('Methodology &amp; Sources'!$B$125:$J$132,0,4))*INDEX('Methodology &amp; Sources'!$B$125:$J$132,0,4+2)))),IF($AN35="ND",IF($AU35="Head of household",SUMPRODUCT(($AZ35&gt;INDEX('Methodology &amp; Sources'!$B$144:$J$150,0,1))*($AZ35-INDEX('Methodology &amp; Sources'!$B$144:$J$150,0,1))*INDEX('Methodology &amp; Sources'!$B$144:$J$150,0,1+2)),IF($AU35="Married",SUMPRODUCT(($AZ35&gt;INDEX('Methodology &amp; Sources'!$B$137:$J$139,0,7))*($AZ35-INDEX('Methodology &amp; Sources'!$B$137:$J$139,0,7))*INDEX('Methodology &amp; Sources'!$B$137:$J$139,0,7+2)),SUMPRODUCT(($AZ35&gt;INDEX('Methodology &amp; Sources'!$B$137:$J$139,0,4))*($AZ35-INDEX('Methodology &amp; Sources'!$B$137:$J$139,0,4))*INDEX('Methodology &amp; Sources'!$B$137:$J$139,0,4+2)))),IF($AN35="NJ",IF('Inputs 2'!$C$77="B",SUMPRODUCT(($AZ35&gt;INDEX('Methodology &amp; Sources'!$B$155:$J$162,0,4))*($AZ35-INDEX('Methodology &amp; Sources'!$B$155:$J$162,0,4))*INDEX('Methodology &amp; Sources'!$B$155:$J$162,0,4+2)),IF('Inputs 2'!$C$77="C",SUMPRODUCT(($AZ35&gt;INDEX('Methodology &amp; Sources'!$B$155:$J$162,0,7))*($AZ35-INDEX('Methodology &amp; Sources'!$B$155:$J$162,0,7))*INDEX('Methodology &amp; Sources'!$B$155:$J$162,0,7+2)),IF('Inputs 2'!$C$77="D",SUMPRODUCT(($AZ35&gt;INDEX('Methodology &amp; Sources'!$B$167:$J$179,0,1))*($AZ35-INDEX('Methodology &amp; Sources'!$B$167:$J$179,0,1))*INDEX('Methodology &amp; Sources'!$B$167:$J$179,0,1+2)),IF('Inputs 2'!$C$77="E",SUMPRODUCT(($AZ35&gt;INDEX('Methodology &amp; Sources'!$B$167:$J$179,0,4))*($AZ35-INDEX('Methodology &amp; Sources'!$B$167:$J$179,0,4))*INDEX('Methodology &amp; Sources'!$B$167:$J$179,0,4+2)),SUMPRODUCT(($AZ35&gt;INDEX('Methodology &amp; Sources'!$B$155:$J$162,0,1))*($AZ35-INDEX('Methodology &amp; Sources'!$B$155:$J$162,0,1))*INDEX('Methodology &amp; Sources'!$B$155:$J$162,0,1+2)))))),IF($AN35="NY",IF($AU35="Married",IF($AZ35&gt;=2155350,$AZ35*IF($AZ35&gt;25000000,0.117,IF($AZ35&gt;5000000,0.111,0.1045)),SUMPRODUCT(($AZ35&gt;INDEX('Methodology &amp; Sources'!$B$184:$J$198,0,1))*($AZ35-INDEX('Methodology &amp; Sources'!$B$184:$J$198,0,1))*INDEX('Methodology &amp; Sources'!$B$184:$J$198,0,1+2))),IF($AZ35&gt;=1077550,$AZ35*IF($AZ35&gt;25000000,0.117,IF($AZ35&gt;5000000,0.111,0.1045)),SUMPRODUCT(($AZ35&gt;INDEX('Methodology &amp; Sources'!$B$167:$J$179,0,7))*($AZ35-INDEX('Methodology &amp; Sources'!$B$167:$J$179,0,7))*INDEX('Methodology &amp; Sources'!$B$167:$J$179,0,7+2)))),"")))))))</f>
      </c>
      <c r="BX35" s="7">
        <f>IF($B35="","",IF($AN35="AL",IF(OR($AU35="Married",$AU35="Head of household"),SUMPRODUCT(($AZ35&gt;INDEX('Methodology &amp; Sources'!$B$82:$J$86,0,4))*($AZ35-INDEX('Methodology &amp; Sources'!$B$82:$J$86,0,4))*INDEX('Methodology &amp; Sources'!$B$82:$J$86,0,4+2)),SUMPRODUCT(($AZ35&gt;INDEX('Methodology &amp; Sources'!$B$82:$J$86,0,1))*($AZ35-INDEX('Methodology &amp; Sources'!$B$82:$J$86,0,1))*INDEX('Methodology &amp; Sources'!$B$82:$J$86,0,1+2))),IF($AN35="KS",IF($AU35="Married",SUMPRODUCT(($AZ35&gt;INDEX('Methodology &amp; Sources'!$B$103:$J$109,0,4))*($AZ35-INDEX('Methodology &amp; Sources'!$B$103:$J$109,0,4))*INDEX('Methodology &amp; Sources'!$B$103:$J$109,0,4+2)),SUMPRODUCT(($AZ35&gt;INDEX('Methodology &amp; Sources'!$B$103:$J$109,0,1))*($AZ35-INDEX('Methodology &amp; Sources'!$B$103:$J$109,0,1))*INDEX('Methodology &amp; Sources'!$B$103:$J$109,0,1+2))),IF($AN35="MN",IF($AU35="Married",SUMPRODUCT(($AZ35&gt;INDEX('Methodology &amp; Sources'!$B$114:$J$120,0,7))*($AZ35-INDEX('Methodology &amp; Sources'!$B$114:$J$120,0,7))*INDEX('Methodology &amp; Sources'!$B$114:$J$120,0,7+2)),SUMPRODUCT(($AZ35&gt;INDEX('Methodology &amp; Sources'!$B$114:$J$120,0,4))*($AZ35-INDEX('Methodology &amp; Sources'!$B$114:$J$120,0,4))*INDEX('Methodology &amp; Sources'!$B$114:$J$120,0,4+2))),IF($AN35="NE",MAX(IF($AU35="Married",SUMPRODUCT(($AZ35&gt;INDEX('Methodology &amp; Sources'!$B$144:$J$150,0,7))*($AZ35-INDEX('Methodology &amp; Sources'!$B$144:$J$150,0,7))*INDEX('Methodology &amp; Sources'!$B$144:$J$150,0,7+2)),SUMPRODUCT(($AZ35&gt;INDEX('Methodology &amp; Sources'!$B$144:$J$150,0,4))*($AZ35-INDEX('Methodology &amp; Sources'!$B$144:$J$150,0,4))*INDEX('Methodology &amp; Sources'!$B$144:$J$150,0,4+2))),0.015*$AZ35),IF($AN35="OH",IF($B35&gt;=DATE(2027,8,1),SUMPRODUCT(($AZ35&gt;INDEX('Methodology &amp; Sources'!$B$203:$J$206,0,1))*($AZ35-INDEX('Methodology &amp; Sources'!$B$203:$J$206,0,1))*INDEX('Methodology &amp; Sources'!$B$203:$J$206,0,1+2)),SUMPRODUCT(($AZ35&gt;INDEX('Methodology &amp; Sources'!$B$184:$J$198,0,7))*($AZ35-INDEX('Methodology &amp; Sources'!$B$184:$J$198,0,7))*INDEX('Methodology &amp; Sources'!$B$184:$J$198,0,7+2))),IF($AN35="OK",IF($AU35="Married",SUMPRODUCT(($AZ35&gt;INDEX('Methodology &amp; Sources'!$B$203:$J$206,0,7))*($AZ35-INDEX('Methodology &amp; Sources'!$B$203:$J$206,0,7))*INDEX('Methodology &amp; Sources'!$B$203:$J$206,0,7+2)),SUMPRODUCT(($AZ35&gt;INDEX('Methodology &amp; Sources'!$B$203:$J$206,0,4))*($AZ35-INDEX('Methodology &amp; Sources'!$B$203:$J$206,0,4))*INDEX('Methodology &amp; Sources'!$B$203:$J$206,0,4+2))),IF($AN35="RI",SUMPRODUCT(($AZ35&gt;INDEX('Methodology &amp; Sources'!$B$211:$J$214,0,7))*($AZ35-INDEX('Methodology &amp; Sources'!$B$211:$J$214,0,7))*INDEX('Methodology &amp; Sources'!$B$211:$J$214,0,7+2)),IF($AN35="VT",IF($AU35="Married",SUMPRODUCT(($AZ35&gt;INDEX('Methodology &amp; Sources'!$B$228:$J$232,0,1))*($AZ35-INDEX('Methodology &amp; Sources'!$B$228:$J$232,0,1))*INDEX('Methodology &amp; Sources'!$B$228:$J$232,0,1+2)),SUMPRODUCT(($AZ35&gt;INDEX('Methodology &amp; Sources'!$B$219:$J$223,0,7))*($AZ35-INDEX('Methodology &amp; Sources'!$B$219:$J$223,0,7))*INDEX('Methodology &amp; Sources'!$B$219:$J$223,0,7+2))),IF($AN35="WV",IF($AU35="Married",SUMPRODUCT(($AZ35&gt;INDEX('Methodology &amp; Sources'!$B$237:$J$241,0,7))*($AZ35-INDEX('Methodology &amp; Sources'!$B$237:$J$241,0,7))*INDEX('Methodology &amp; Sources'!$B$237:$J$241,0,7+2)),SUMPRODUCT(($AZ35&gt;INDEX('Methodology &amp; Sources'!$B$228:$J$232,0,7))*($AZ35-INDEX('Methodology &amp; Sources'!$B$228:$J$232,0,7))*INDEX('Methodology &amp; Sources'!$B$228:$J$232,0,7+2))),""))))))))))</f>
      </c>
      <c r="BY35" s="7">
        <f>IF($B35="","",IF($AN35="AR",SUMPRODUCT(($AZ35&gt;INDEX('Methodology &amp; Sources'!$B$82:$J$86,0,7))*($AZ35-INDEX('Methodology &amp; Sources'!$B$82:$J$86,0,7))*INDEX('Methodology &amp; Sources'!$B$82:$J$86,0,7+2)),IF($AN35="DE",SUMPRODUCT(($AZ35&gt;INDEX('Methodology &amp; Sources'!$B$91:$J$98,0,1))*($AZ35-INDEX('Methodology &amp; Sources'!$B$91:$J$98,0,1))*INDEX('Methodology &amp; Sources'!$B$91:$J$98,0,1+2)),IF($AN35="HI",IF($AU35="Married",SUMPRODUCT(($AZ35&gt;INDEX('Methodology &amp; Sources'!$B$91:$J$98,0,7))*($AZ35-INDEX('Methodology &amp; Sources'!$B$91:$J$98,0,7))*INDEX('Methodology &amp; Sources'!$B$91:$J$98,0,7+2)),SUMPRODUCT(($AZ35&gt;INDEX('Methodology &amp; Sources'!$B$91:$J$98,0,4))*($AZ35-INDEX('Methodology &amp; Sources'!$B$91:$J$98,0,4))*INDEX('Methodology &amp; Sources'!$B$91:$J$98,0,4+2))),IF($AN35="SC",SUMPRODUCT(($AZ35&gt;INDEX('Methodology &amp; Sources'!$B$219:$J$223,0,1))*($AZ35-INDEX('Methodology &amp; Sources'!$B$219:$J$223,0,1))*INDEX('Methodology &amp; Sources'!$B$219:$J$223,0,1+2)),IF($AN35="VA",SUMPRODUCT(($AZ35&gt;INDEX('Methodology &amp; Sources'!$B$219:$J$223,0,4))*($AZ35-INDEX('Methodology &amp; Sources'!$B$219:$J$223,0,4))*INDEX('Methodology &amp; Sources'!$B$219:$J$223,0,4+2)),IF($AN35="WI",SUMPRODUCT(($AZ35&gt;INDEX('Methodology &amp; Sources'!$B$228:$J$232,0,4))*($AZ35-INDEX('Methodology &amp; Sources'!$B$228:$J$232,0,4))*INDEX('Methodology &amp; Sources'!$B$228:$J$232,0,4+2)),"")))))))</f>
      </c>
      <c r="BZ35" s="24">
        <f>IF($B35="","",IF($AN35="NJ",IF('Inputs 2'!$C$77="B",SUMPRODUCT(($AZ35&gt;=INDEX('Methodology &amp; Sources'!$B$155:$J$162,0,4))*INDEX('Methodology &amp; Sources'!$B$155:$J$162,0,4+2)),IF('Inputs 2'!$C$77="C",SUMPRODUCT(($AZ35&gt;=INDEX('Methodology &amp; Sources'!$B$155:$J$162,0,7))*INDEX('Methodology &amp; Sources'!$B$155:$J$162,0,7+2)),IF('Inputs 2'!$C$77="D",SUMPRODUCT(($AZ35&gt;=INDEX('Methodology &amp; Sources'!$B$167:$J$179,0,1))*INDEX('Methodology &amp; Sources'!$B$167:$J$179,0,1+2)),IF('Inputs 2'!$C$77="E",SUMPRODUCT(($AZ35&gt;=INDEX('Methodology &amp; Sources'!$B$167:$J$179,0,4))*INDEX('Methodology &amp; Sources'!$B$167:$J$179,0,4+2)),SUMPRODUCT(($AZ35&gt;=INDEX('Methodology &amp; Sources'!$B$155:$J$162,0,1))*INDEX('Methodology &amp; Sources'!$B$155:$J$162,0,1+2)))))),IF($AN35="OR",IF(OR($AU35="Married",AND($AU35="Single",$AS35&gt;=3)),SUMPRODUCT((MAX(0,$AY35-MIN(($P35-'Methodology &amp; Sources'!$C$10*$D35)*'Inputs 2'!$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Sources'!$B$211:$J$214,0,4))*INDEX('Methodology &amp; Sources'!$B$211:$J$214,0,4+2)),SUMPRODUCT((MAX(0,$AY35-MIN(($P35-'Methodology &amp; Sources'!$C$10*$D35)*'Inputs 2'!$C$8,IF(OR($AU35="Married",AND($AU35="Single",$AS35&gt;=3)),IF($AY35&lt;250000,8750,IF($AY35&lt;260000,7000,IF($AY35&lt;270000,5250,IF($AY35&lt;280000,3500,IF($AY35&lt;290000,1750,0))))),IF($AY35&lt;125000,8750,IF($AY35&lt;130000,7000,IF($AY35&lt;135000,5250,IF($AY35&lt;140000,3500,IF($AY35&lt;145000,1750,0)))))))-IF(OR($AU35="Married",AND($AU35="Single",$AS35&gt;=3)),5820,2910))&gt;=INDEX('Methodology &amp; Sources'!$B$211:$J$214,0,1))*INDEX('Methodology &amp; Sources'!$B$211:$J$214,0,1+2)))*IF(($P35-'Methodology &amp; Sources'!$C$10*$D35)*'Inputs 2'!$C$8&gt;=IF(OR($AU35="Married",AND($AU35="Single",$AS35&gt;=3)),IF($AY35&lt;250000,8750,IF($AY35&lt;260000,7000,IF($AY35&lt;270000,5250,IF($AY35&lt;280000,3500,IF($AY35&lt;290000,1750,0))))),IF($AY35&lt;125000,8750,IF($AY35&lt;130000,7000,IF($AY35&lt;135000,5250,IF($AY35&lt;140000,3500,IF($AY35&lt;145000,1750,0)))))),1,1-IF('Inputs 2'!$C$13,SUMPRODUCT(($AH35&gt;=INDEX('Methodology &amp; Sources'!$B$29:$J$36,0,IF('Inputs 2'!$C$12="MFJ",1,IF('Inputs 2'!$C$12="HoH",7,4))))*INDEX('Methodology &amp; Sources'!$B$29:$J$36,0,IF('Inputs 2'!$C$12="MFJ",1,IF('Inputs 2'!$C$12="HoH",7,4))+2)),SUMPRODUCT(($AH35&gt;=INDEX('Methodology &amp; Sources'!$B$19:$J$26,0,IF('Inputs 2'!$C$12="MFJ",1,IF('Inputs 2'!$C$12="HoH",7,4))))*INDEX('Methodology &amp; Sources'!$B$19:$J$26,0,IF('Inputs 2'!$C$12="MFJ",1,IF('Inputs 2'!$C$12="HoH",7,4))+2)))),IF($AN35="MI",IF($AY35&gt;5900*$AS35,0.0425,0),""))))</f>
      </c>
      <c r="CA35" s="24">
        <f>IF($B35="","",IF($AN35="AL",IF(OR($AU35="Married",$AU35="Head of household"),SUMPRODUCT(($AZ35&gt;=INDEX('Methodology &amp; Sources'!$B$82:$J$86,0,4))*INDEX('Methodology &amp; Sources'!$B$82:$J$86,0,4+2)),SUMPRODUCT(($AZ35&gt;=INDEX('Methodology &amp; Sources'!$B$82:$J$86,0,1))*INDEX('Methodology &amp; Sources'!$B$82:$J$86,0,1+2)))*(1-IF('Inputs 2'!$C$13,SUMPRODUCT(($AH35&gt;=INDEX('Methodology &amp; Sources'!$B$29:$J$36,0,IF('Inputs 2'!$C$12="MFJ",1,IF('Inputs 2'!$C$12="HoH",7,4))))*INDEX('Methodology &amp; Sources'!$B$29:$J$36,0,IF('Inputs 2'!$C$12="MFJ",1,IF('Inputs 2'!$C$12="HoH",7,4))+2)),SUMPRODUCT(($AH35&gt;=INDEX('Methodology &amp; Sources'!$B$19:$J$26,0,IF('Inputs 2'!$C$12="MFJ",1,IF('Inputs 2'!$C$12="HoH",7,4))))*INDEX('Methodology &amp; Sources'!$B$19:$J$26,0,IF('Inputs 2'!$C$12="MFJ",1,IF('Inputs 2'!$C$12="HoH",7,4))+2)))),IF($AN35="KS",IF($AU35="Married",SUMPRODUCT(($AZ35&gt;=INDEX('Methodology &amp; Sources'!$B$103:$J$109,0,4))*INDEX('Methodology &amp; Sources'!$B$103:$J$109,0,4+2)),SUMPRODUCT(($AZ35&gt;=INDEX('Methodology &amp; Sources'!$B$103:$J$109,0,1))*INDEX('Methodology &amp; Sources'!$B$103:$J$109,0,1+2))),IF($AN35="MD",IF(OR($AU35="Married",$AU35="Head of household"),SUMPRODUCT(($AZ35&gt;=INDEX('Methodology &amp; Sources'!$B$114:$J$120,0,1))*INDEX('Methodology &amp; Sources'!$B$114:$J$120,0,1+2)),SUMPRODUCT(($AZ35&gt;=INDEX('Methodology &amp; Sources'!$B$103:$J$109,0,7))*INDEX('Methodology &amp; Sources'!$B$103:$J$109,0,7+2)))+'Inputs 2'!$C$74,IF($AN35="MT",IF($AU35="Head of household",SUMPRODUCT(($AZ35&gt;=INDEX('Methodology &amp; Sources'!$B$137:$J$139,0,1))*INDEX('Methodology &amp; Sources'!$B$137:$J$139,0,1+2)),IF($AU35="Married",SUMPRODUCT(($AZ35&gt;=INDEX('Methodology &amp; Sources'!$B$125:$J$132,0,7))*INDEX('Methodology &amp; Sources'!$B$125:$J$132,0,7+2)),SUMPRODUCT(($AZ35&gt;=INDEX('Methodology &amp; Sources'!$B$125:$J$132,0,4))*INDEX('Methodology &amp; Sources'!$B$125:$J$132,0,4+2)))),IF($AN35="ND",IF($AU35="Head of household",SUMPRODUCT(($AZ35&gt;=INDEX('Methodology &amp; Sources'!$B$144:$J$150,0,1))*INDEX('Methodology &amp; Sources'!$B$144:$J$150,0,1+2)),IF($AU35="Married",SUMPRODUCT(($AZ35&gt;=INDEX('Methodology &amp; Sources'!$B$137:$J$139,0,7))*INDEX('Methodology &amp; Sources'!$B$137:$J$139,0,7+2)),SUMPRODUCT(($AZ35&gt;=INDEX('Methodology &amp; Sources'!$B$137:$J$139,0,4))*INDEX('Methodology &amp; Sources'!$B$137:$J$139,0,4+2)))),IF($AN35="NY",IF($AU35="Married",IF($AZ35&gt;=2155350,IF($AZ35&gt;25000000,0.117,IF($AZ35&gt;5000000,0.111,0.1045)),SUMPRODUCT(($AZ35&gt;=INDEX('Methodology &amp; Sources'!$B$184:$J$198,0,1))*INDEX('Methodology &amp; Sources'!$B$184:$J$198,0,1+2))),IF($AZ35&gt;=1077550,IF($AZ35&gt;25000000,0.117,IF($AZ35&gt;5000000,0.111,0.1045)),SUMPRODUCT(($AZ35&gt;=INDEX('Methodology &amp; Sources'!$B$167:$J$179,0,7))*INDEX('Methodology &amp; Sources'!$B$167:$J$179,0,7+2)))),"")))))))</f>
      </c>
      <c r="CB35" s="24">
        <f>IF($B35="","",IF($AN35="CA",SUMPRODUCT(($AJ35&gt;=INDEX('Methodology &amp; Sources'!$B$39:$J$48,0,IF($AU35="Married",4,IF($AU35="Head of household",7,1))))*INDEX('Methodology &amp; Sources'!$B$39:$J$48,0,IF($AU35="Married",4,IF($AU35="Head of household",7,1))+2)),IF($AN35="HI",IF($AU35="Married",SUMPRODUCT(($AZ35&gt;=INDEX('Methodology &amp; Sources'!$B$91:$J$98,0,7))*INDEX('Methodology &amp; Sources'!$B$91:$J$98,0,7+2)),SUMPRODUCT(($AZ35&gt;=INDEX('Methodology &amp; Sources'!$B$91:$J$98,0,4))*INDEX('Methodology &amp; Sources'!$B$91:$J$98,0,4+2))),IF($AN35="MN",IF($AU35="Married",SUMPRODUCT(($AZ35&gt;=INDEX('Methodology &amp; Sources'!$B$114:$J$120,0,7))*INDEX('Methodology &amp; Sources'!$B$114:$J$120,0,7+2)),SUMPRODUCT(($AZ35&gt;=INDEX('Methodology &amp; Sources'!$B$114:$J$120,0,4))*INDEX('Methodology &amp; Sources'!$B$114:$J$120,0,4+2))),IF($AN35="MO",SUMPRODUCT(($AZ35&gt;=INDEX('Methodology &amp; Sources'!$B$125:$J$132,0,1))*INDEX('Methodology &amp; Sources'!$B$125:$J$132,0,1+2)),IF($AN35="NE",MAX(IF($AU35="Married",SUMPRODUCT(($AZ35&gt;=INDEX('Methodology &amp; Sources'!$B$144:$J$150,0,7))*INDEX('Methodology &amp; Sources'!$B$144:$J$150,0,7+2)),SUMPRODUCT(($AZ35&gt;=INDEX('Methodology &amp; Sources'!$B$144:$J$150,0,4))*INDEX('Methodology &amp; Sources'!$B$144:$J$150,0,4+2))),0.015),IF($AN35="OH",IF($B35&gt;=DATE(2027,8,1),SUMPRODUCT(($AZ35&gt;=INDEX('Methodology &amp; Sources'!$B$203:$J$206,0,1))*INDEX('Methodology &amp; Sources'!$B$203:$J$206,0,1+2)),SUMPRODUCT(($AZ35&gt;=INDEX('Methodology &amp; Sources'!$B$184:$J$198,0,7))*INDEX('Methodology &amp; Sources'!$B$184:$J$198,0,7+2))),IF($AN35="OK",IF($AU35="Married",SUMPRODUCT(($AZ35&gt;=INDEX('Methodology &amp; Sources'!$B$203:$J$206,0,7))*INDEX('Methodology &amp; Sources'!$B$203:$J$206,0,7+2)),SUMPRODUCT(($AZ35&gt;=INDEX('Methodology &amp; Sources'!$B$203:$J$206,0,4))*INDEX('Methodology &amp; Sources'!$B$203:$J$206,0,4+2))),IF($AN35="RI",SUMPRODUCT(($AZ35&gt;=INDEX('Methodology &amp; Sources'!$B$211:$J$214,0,7))*INDEX('Methodology &amp; Sources'!$B$211:$J$214,0,7+2)),IF($AN35="SC",SUMPRODUCT(($AZ35&gt;=INDEX('Methodology &amp; Sources'!$B$219:$J$223,0,1))*INDEX('Methodology &amp; Sources'!$B$219:$J$223,0,1+2)),IF($AN35="VT",IF($AU35="Married",SUMPRODUCT(($AZ35&gt;=INDEX('Methodology &amp; Sources'!$B$228:$J$232,0,1))*INDEX('Methodology &amp; Sources'!$B$228:$J$232,0,1+2)),SUMPRODUCT(($AZ35&gt;=INDEX('Methodology &amp; Sources'!$B$219:$J$223,0,7))*INDEX('Methodology &amp; Sources'!$B$219:$J$223,0,7+2))),IF($AN35="WV",IF($AU35="Married",SUMPRODUCT(($AZ35&gt;=INDEX('Methodology &amp; Sources'!$B$237:$J$241,0,7))*INDEX('Methodology &amp; Sources'!$B$237:$J$241,0,7+2)),SUMPRODUCT(($AZ35&gt;=INDEX('Methodology &amp; Sources'!$B$228:$J$232,0,7))*INDEX('Methodology &amp; Sources'!$B$228:$J$232,0,7+2))),IF($AN35="IN",(0.0295+'Inputs 2'!$C$76),"")))))))))))))</f>
      </c>
      <c r="CC35" s="24">
        <f>IF($B35="","",IF($AN35="AR",SUMPRODUCT(($AZ35&gt;=INDEX('Methodology &amp; Sources'!$B$82:$J$86,0,7))*INDEX('Methodology &amp; Sources'!$B$82:$J$86,0,7+2)),IF($AN35="DE",SUMPRODUCT(($AZ35&gt;=INDEX('Methodology &amp; Sources'!$B$91:$J$98,0,1))*INDEX('Methodology &amp; Sources'!$B$91:$J$98,0,1+2)),IF($AN35="VA",SUMPRODUCT(($AZ35&gt;=INDEX('Methodology &amp; Sources'!$B$219:$J$223,0,4))*INDEX('Methodology &amp; Sources'!$B$219:$J$223,0,4+2)),IF($AN35="WI",SUMPRODUCT(($AZ35&gt;=INDEX('Methodology &amp; Sources'!$B$228:$J$232,0,4))*INDEX('Methodology &amp; Sources'!$B$228:$J$232,0,4+2)),IF($AN35="AZ",'Inputs 2'!$C$82,IF($AN35="CO",IF($AY35&gt;IF($AU35="Married",10000,5000),0.044,0),IF($AN35="IA",IF($AY35&gt;IF($AU35="Head of household",19500,IF($AU35="Married",26000,13000)),0.038,0),IF($AN35="ID",IF($AY35&gt;IF($AU35="Married",32000,16094),0.053,0),IF($AN35="IL",IF($AY35&gt;(2925*$AS35+1000*$AT35),0.0495,0),IF($AN35="KY",IF($AI35&gt;3360,0.035,0),IF($AN35="LA",0.0309,IF($AN35="MA",IF(MAX(0,$AY35-MIN(($BD34+$Q35+$R35+$S35),2000)-IF($AS35=0,0,IF($AS35=1,4400,1000*$AS35+3400)))&gt;=1107750,0.09,0.05),IF($AN35="MS",IF($AI35-IF($AU35="Head of household",3400,IF($AU35="Married",4600,2300))-'Inputs 2'!$C$85&gt;10000,0.04,0),IF($AN35="PA",0.0307,"")))))))))))))))</f>
      </c>
      <c r="CD35" s="21">
        <f>IF(YEAR(IF('Inputs 2'!$C$7="Weekly",'Inputs 2'!$C$9+7*(($BE34+1)-1),IF('Inputs 2'!$C$7="Biweekly",'Inputs 2'!$C$9+14*(($BE34+1)-1),IF('Inputs 2'!$C$7="Semimonthly",DATE(YEAR('Inputs 2'!$C$9),MONTH('Inputs 2'!$C$9)+INT((($BE34+1)-1)/2),MIN(DAY('Inputs 2'!$C$9),DAY(EOMONTH(DATE(YEAR('Inputs 2'!$C$9),MONTH('Inputs 2'!$C$9)+INT((($BE34+1)-1)/2),1),0))))+IF(MOD(($BE34+1)-1,2)=1,15,0),EDATE('Inputs 2'!$C$9,($BE34+1)-1)))))&lt;&gt;'Inputs 2'!$C$10,"",IF('Inputs 2'!$C$7="Weekly",'Inputs 2'!$C$9+7*(($BE34+1)-1),IF('Inputs 2'!$C$7="Biweekly",'Inputs 2'!$C$9+14*(($BE34+1)-1),IF('Inputs 2'!$C$7="Semimonthly",DATE(YEAR('Inputs 2'!$C$9),MONTH('Inputs 2'!$C$9)+INT((($BE34+1)-1)/2),MIN(DAY('Inputs 2'!$C$9),DAY(EOMONTH(DATE(YEAR('Inputs 2'!$C$9),MONTH('Inputs 2'!$C$9)+INT((($BE34+1)-1)/2),1),0))))+IF(MOD(($BE34+1)-1,2)=1,15,0),EDATE('Inputs 2'!$C$9,($BE34+1)-1)))))</f>
      </c>
      <c r="CE35" s="21">
        <f>IF(SUMPRODUCT(MIN(IF(('Inputs 2'!$C$58:$C$67&gt;MAX($B$6:$B34))*('Inputs 2'!$C$58:$C$67&gt;=DATE('Inputs 2'!$C$10,1,1))*('Inputs 2'!$C$58:$C$67&lt;=DATE('Inputs 2'!$C$10,12,31)),'Inputs 2'!$C$58:$C$67,999999)))=999999,"",SUMPRODUCT(MIN(IF(('Inputs 2'!$C$58:$C$67&gt;MAX($B$6:$B34))*('Inputs 2'!$C$58:$C$67&gt;=DATE('Inputs 2'!$C$10,1,1))*('Inputs 2'!$C$58:$C$67&lt;=DATE('Inputs 2'!$C$10,12,31)),'Inputs 2'!$C$58:$C$67,999999))))</f>
      </c>
    </row>
    <row r="36">
      <c r="A36" t="n">
        <v>31</v>
      </c>
      <c r="B36" s="21">
        <f>IF(AND($CD36="",$CE36=""),"",IF($CE36="",$CD36,IF($CD36="",$CE36,MIN($CD36,$CE36))))</f>
      </c>
      <c r="C36" s="7">
        <f>IF($B36="","",IF($BF36=0,0,IF('Inputs 2'!$C$4="Annual salary",ROUND($AK36/IF(AND('Inputs 2'!$C$88="Actual paydays",MONTH('Inputs 2'!$C$9)=1),MAX(1,MAX($BE$6:$BE$68)),'Inputs 2'!$C$8),2),$AK36)))</f>
      </c>
      <c r="D36" s="7">
        <f>IF($B36="","",SUMIF('Inputs 2'!$C$58:$C$67,$B36,'Inputs 2'!$D$58:$D$67))</f>
      </c>
      <c r="E36" s="7">
        <f>IF($B36="","",ROUND(MAX(0,MIN(IF($AL36="Percent",$AM36*($C36+$D36),$AM36),MAX(0,'Inputs 2'!$C$34-$AC35))),2))</f>
      </c>
      <c r="F36" s="7">
        <f>IF($B36="","",ROUND(MAX(0,MIN(IF('Inputs 2'!$C$32="Percent",'Inputs 2'!$D$32*($C36+$D36),'Inputs 2'!$D$32),MAX(0,'Inputs 2'!$C$34-$AC35-$E36))),2))</f>
      </c>
      <c r="G36" s="7">
        <f>IF($B36="","",IF($BF36=0,0,ROUND(MAX(0,MIN($BL36,'Inputs 2'!$C$37-'Inputs 2'!$C$54-$BI35)),2)))</f>
      </c>
      <c r="H36" s="7">
        <f>IF($B36="","",IF(OR($BF36=0,$BQ36=1),0,ROUND(MAX(0,MIN(IF($BS36=1,ROUND(MAX(0,MIN($BJ36,'Methodology &amp; Sources'!$C$13)-$BG35)/MAX(1,MAX($BE$6:$BE$68)-($BE35)),2),ROUND(MIN($BJ36,'Methodology &amp; Sources'!$C$13)/'Inputs 2'!$C$8,2)),MIN($BJ36,'Methodology &amp; Sources'!$C$13)-$BG35)),2)))</f>
      </c>
      <c r="I36" s="7">
        <f>IF($B36="","",IF(OR($BF36=0,$BR36=1),0,ROUND(MAX(0,MIN(IF($BT36=1,ROUND(MAX(0,MIN($BK36,IF('Inputs 2'!$C$12="MFJ",'Methodology &amp; Sources'!$C$14,'Methodology &amp; Sources'!$C$15))-$BH35)/MAX(1,MAX($BE$6:$BE$68)-($BE35)),2),ROUND(MIN($BK36,IF('Inputs 2'!$C$12="MFJ",'Methodology &amp; Sources'!$C$14,'Methodology &amp; Sources'!$C$15))/'Inputs 2'!$C$8,2)),MIN($BK36,IF('Inputs 2'!$C$12="MFJ",'Methodology &amp; Sources'!$C$14,'Methodology &amp; Sources'!$C$15))-$BH35)),2)))</f>
      </c>
      <c r="J36" s="7">
        <f>IF($B36="","",IF($BF36=0,0,$BM36))</f>
      </c>
      <c r="K36" s="7">
        <f>IF($B36="","",IF($BF36=0,0,$BN36+$BO36))</f>
      </c>
      <c r="L36" s="7">
        <f>IF($B36="","",IF($BF36=0,0,'Inputs 2'!$D$46))</f>
      </c>
      <c r="M36" s="7">
        <f>IF($B36="","",$C36+$D36+$L36-$E36-$G36-$H36-$I36-$J36-$K36)</f>
      </c>
      <c r="N36" s="7">
        <f>IF($B36="","",$C36+$D36+$L36-$G36-$H36-$I36-$J36-$K36)</f>
      </c>
      <c r="O36" s="7">
        <f>IF($B36="","",$C36+$D36+$L36-$E36-$H36-$I36-$J36-$K36-IF(OR($AN36="CA",$AN36="NJ"),0,$G36))</f>
      </c>
      <c r="P36" s="7">
        <f>IF($B36="","",IF('Inputs 2'!$C$18,0,ROUND(MAX(0,IF('Inputs 2'!$C$13,SUMPRODUCT(($AH36&gt;INDEX('Methodology &amp; Sources'!$B$29:$J$36,0,IF('Inputs 2'!$C$12="MFJ",1,IF('Inputs 2'!$C$12="HoH",7,4))))*($AH36-INDEX('Methodology &amp; Sources'!$B$29:$J$36,0,IF('Inputs 2'!$C$12="MFJ",1,IF('Inputs 2'!$C$12="HoH",7,4))))*INDEX('Methodology &amp; Sources'!$B$29:$J$36,0,IF('Inputs 2'!$C$12="MFJ",1,IF('Inputs 2'!$C$12="HoH",7,4))+2)),SUMPRODUCT(($AH36&gt;INDEX('Methodology &amp; Sources'!$B$19:$J$26,0,IF('Inputs 2'!$C$12="MFJ",1,IF('Inputs 2'!$C$12="HoH",7,4))))*($AH36-INDEX('Methodology &amp; Sources'!$B$19:$J$26,0,IF('Inputs 2'!$C$12="MFJ",1,IF('Inputs 2'!$C$12="HoH",7,4))))*INDEX('Methodology &amp; Sources'!$B$19:$J$26,0,IF('Inputs 2'!$C$12="MFJ",1,IF('Inputs 2'!$C$12="HoH",7,4))+2)))/'Inputs 2'!$C$8-$AO36/'Inputs 2'!$C$8)+$AR36+IF('Inputs 2'!$C$89="Aggregate",MAX(0,IF('Inputs 2'!$C$13,SUMPRODUCT((($AH36+$D36)&gt;INDEX('Methodology &amp; Sources'!$B$29:$J$36,0,IF('Inputs 2'!$C$12="MFJ",1,IF('Inputs 2'!$C$12="HoH",7,4))))*(($AH36+$D36)-INDEX('Methodology &amp; Sources'!$B$29:$J$36,0,IF('Inputs 2'!$C$12="MFJ",1,IF('Inputs 2'!$C$12="HoH",7,4))))*INDEX('Methodology &amp; Sources'!$B$29:$J$36,0,IF('Inputs 2'!$C$12="MFJ",1,IF('Inputs 2'!$C$12="HoH",7,4))+2)),SUMPRODUCT((($AH36+$D36)&gt;INDEX('Methodology &amp; Sources'!$B$19:$J$26,0,IF('Inputs 2'!$C$12="MFJ",1,IF('Inputs 2'!$C$12="HoH",7,4))))*(($AH36+$D36)-INDEX('Methodology &amp; Sources'!$B$19:$J$26,0,IF('Inputs 2'!$C$12="MFJ",1,IF('Inputs 2'!$C$12="HoH",7,4))))*INDEX('Methodology &amp; Sources'!$B$19:$J$26,0,IF('Inputs 2'!$C$12="MFJ",1,IF('Inputs 2'!$C$12="HoH",7,4))+2)))-IF('Inputs 2'!$C$13,SUMPRODUCT(($AH36&gt;INDEX('Methodology &amp; Sources'!$B$29:$J$36,0,IF('Inputs 2'!$C$12="MFJ",1,IF('Inputs 2'!$C$12="HoH",7,4))))*($AH36-INDEX('Methodology &amp; Sources'!$B$29:$J$36,0,IF('Inputs 2'!$C$12="MFJ",1,IF('Inputs 2'!$C$12="HoH",7,4))))*INDEX('Methodology &amp; Sources'!$B$29:$J$36,0,IF('Inputs 2'!$C$12="MFJ",1,IF('Inputs 2'!$C$12="HoH",7,4))+2)),SUMPRODUCT(($AH36&gt;INDEX('Methodology &amp; Sources'!$B$19:$J$26,0,IF('Inputs 2'!$C$12="MFJ",1,IF('Inputs 2'!$C$12="HoH",7,4))))*($AH36-INDEX('Methodology &amp; Sources'!$B$19:$J$26,0,IF('Inputs 2'!$C$12="MFJ",1,IF('Inputs 2'!$C$12="HoH",7,4))))*INDEX('Methodology &amp; Sources'!$B$19:$J$26,0,IF('Inputs 2'!$C$12="MFJ",1,IF('Inputs 2'!$C$12="HoH",7,4))+2)))),'Methodology &amp; Sources'!$C$10*$D36),2)))</f>
      </c>
      <c r="Q36" s="7">
        <f>IF($B36="","",ROUND('Methodology &amp; Sources'!$C$4*MIN($N36,MAX(0,'Methodology &amp; Sources'!$C$3-($AX36+$AB35-$AW36))),2))</f>
      </c>
      <c r="R36" s="7">
        <f>IF($B36="","",ROUND('Methodology &amp; Sources'!$C$5*$N36,2))</f>
      </c>
      <c r="S36" s="7">
        <f>IF($B36="","",ROUND('Methodology &amp; Sources'!$C$6*MAX(0,MIN($N36,$AG35+$N36-'Methodology &amp; Sources'!$C$7)),2))</f>
      </c>
      <c r="T36" s="7">
        <f>IF($B36="","",IF('Inputs 2'!$C$26,0,IF($AN36="CA",ROUND(IF($AI36&lt;=IF(($AS36+$AT36)&gt;=2,VLOOKUP($AN36,StateTables!$A$6:$AB$56,10,FALSE),VLOOKUP($AN36,StateTables!$A$6:$AB$56,9,FALSE)),0,MAX(0,SUMPRODUCT(($AJ36&gt;INDEX('Methodology &amp; Sources'!$B$39:$J$48,0,IF($AU36="Married",4,IF($AU36="Head of household",7,1))))*($AJ36-INDEX('Methodology &amp; Sources'!$B$39:$J$48,0,IF($AU36="Married",4,IF($AU36="Head of household",7,1))))*INDEX('Methodology &amp; Sources'!$B$39:$J$48,0,IF($AU36="Married",4,IF($AU36="Head of household",7,1))+2))-VLOOKUP($AN36,StateTables!$A$6:$AB$56,11,FALSE)*$AS36)/'Inputs 2'!$C$8)+'Inputs 2'!$C$25+VLOOKUP($AN36,StateTables!$A$6:$AB$56,13,FALSE)*$D36,2),IF(VLOOKUP($AN36,StateTables!$A$6:$AB$56,4,FALSE)="None",0,IF(ISNUMBER(SEARCH("MANUAL",VLOOKUP($AN36,StateTables!$A$6:$AB$56,5,FALSE))),'Inputs 2'!$C$28,ROUND(MAX(0,$BA36+$BB36)/'Inputs 2'!$C$8+'Inputs 2'!$C$25+$BC36,2))))))</f>
      </c>
      <c r="U36" s="7">
        <f>IF($B36="","",IF(VLOOKUP($AN36,StateTables!$A$6:$AB$56,24,FALSE)="flatq",IF(OR(MONTH($B36)=1,MONTH($B36)=4,MONTH($B36)=7,MONTH($B36)=10),VLOOKUP($AN36,StateTables!$A$6:$AB$56,25,FALSE),0),IF(VLOOKUP($AN36,StateTables!$A$6:$AB$56,24,FALSE)="dbl",MIN(ROUND(0.005*$N36,2),ROUND(0.6*52/'Inputs 2'!$C$8,2)),IF(OR(VLOOKUP($AN36,StateTables!$A$6:$AB$56,15,FALSE)="",VLOOKUP($AN36,StateTables!$A$6:$AB$56,15,FALSE)=0),0,ROUND(VLOOKUP($AN36,StateTables!$A$6:$AB$56,15,FALSE)*IF(OR(VLOOKUP($AN36,StateTables!$A$6:$AB$56,16,FALSE)="",VLOOKUP($AN36,StateTables!$A$6:$AB$56,16,FALSE)=0),$N36,MIN($N36,MAX(0,VLOOKUP($AN36,StateTables!$A$6:$AB$56,16,FALSE)-($AX36+$AB35-$AW36)))),2))))+IF(VLOOKUP($AN36,StateTables!$A$6:$AB$56,27,FALSE)="flatq",IF(OR(MONTH($B36)=1,MONTH($B36)=4,MONTH($B36)=7,MONTH($B36)=10),VLOOKUP($AN36,StateTables!$A$6:$AB$56,28,FALSE),0),IF(VLOOKUP($AN36,StateTables!$A$6:$AB$56,27,FALSE)="dbl",MIN(ROUND(0.005*$N36,2),ROUND(0.6*52/'Inputs 2'!$C$8,2)),IF(OR(VLOOKUP($AN36,StateTables!$A$6:$AB$56,18,FALSE)="",VLOOKUP($AN36,StateTables!$A$6:$AB$56,18,FALSE)=0),0,ROUND(VLOOKUP($AN36,StateTables!$A$6:$AB$56,18,FALSE)*IF(OR(VLOOKUP($AN36,StateTables!$A$6:$AB$56,19,FALSE)="",VLOOKUP($AN36,StateTables!$A$6:$AB$56,19,FALSE)=0),$N36,MIN($N36,MAX(0,VLOOKUP($AN36,StateTables!$A$6:$AB$56,19,FALSE)-($AX36+$AB35-$AW36)))),2)))))</f>
      </c>
      <c r="V36" s="7">
        <f>IF($B36="","",IF($AN36="NY",IF('Inputs 2'!$C$78,ROUND(SUMPRODUCT((MAX(0,($O36-$D36)*'Inputs 2'!$C$8-(IF($AU36="Married",5500,5000)+1000*$AS36))&gt;INDEX('Methodology &amp; Sources'!$B$184:$J$198,0,4))*(MAX(0,($O36-$D36)*'Inputs 2'!$C$8-(IF($AU36="Married",5500,5000)+1000*$AS36))-INDEX('Methodology &amp; Sources'!$B$184:$J$198,0,4))*INDEX('Methodology &amp; Sources'!$B$184:$J$198,0,4+2))/'Inputs 2'!$C$8+0.0425*$D36,2),0)+IF('Inputs 2'!$C$79="Resident",ROUND(0.1675*$T36,2),IF('Inputs 2'!$C$79="Nonresident",ROUND(0.005*MAX(0,($O36-$D36)-(IF($AU36="Married",7950,7400)+1000*$AS36)/'Inputs 2'!$C$8),2),0)),IF($AN36="PA",IF('Inputs 2'!$C$80="None",'Inputs 2'!$C$27+ROUND('Inputs 2'!$C$81*($C36+$D36),2),ROUND(IF('Inputs 2'!$C$80="Resident",IF($B36&lt;DATE(2027,7,1),0.03735,0.03735),IF($B36&lt;DATE(2027,7,1),0.03425,0.03425))*($C36+$D36),2)),IF($BF36=0,ROUND('Inputs 2'!$C$81*($C36+$D36),2),'Inputs 2'!$C$27+ROUND('Inputs 2'!$C$81*($C36+$D36),2)))))</f>
      </c>
      <c r="W36" s="7">
        <f>IF($B36="","",IF($BF36=0,0,$BP36))</f>
      </c>
      <c r="X36" s="7">
        <f>IF($B36="","",SUM($E36:$K36)+$P36+$Q36+$R36+$S36+$T36+$U36+$V36+$W36)</f>
      </c>
      <c r="Y36" s="22">
        <f>IF($B36="","",$C36+$D36-$X36)</f>
      </c>
      <c r="Z36" s="7">
        <f>IF($B36="","",$Z35+$C36+$D36)</f>
      </c>
      <c r="AA36" s="7">
        <f>IF($B36="","",$AA35+$Y36)</f>
      </c>
      <c r="AB36" s="7">
        <f>IF($B36="","",$AB35+MIN($N36,MAX(0,'Methodology &amp; Sources'!$C$3-($AX36+$AB35-$AW36))))</f>
      </c>
      <c r="AC36" s="7">
        <f>IF($B36="","",$AC35+$E36+$F36)</f>
      </c>
      <c r="AD36" s="3">
        <f>IF($B36="","",IF(AND($AB35&lt;'Methodology &amp; Sources'!$C$3,$AB36&gt;='Methodology &amp; Sources'!$C$3),"★ Social Security maxed on this check — from the next check your net rises by about $"&amp;TEXT(ROUND('Methodology &amp; Sources'!$C$4*$N36,2),"#,##0.00")&amp;". ","")&amp;IF(AND($AC35&lt;'Inputs 2'!$C$34,$AC36&gt;='Inputs 2'!$C$34),"★ 401(k) reaches the $"&amp;TEXT('Inputs 2'!$C$34,"#,##0")&amp;" cap on this check — deferrals stop and net pay rises. ","")&amp;IF(AND($AG35&lt;'Methodology &amp; Sources'!$C$7,$AG36&gt;='Methodology &amp; Sources'!$C$7),"★ Wages pass $200,000 — the 0.9% Additional Medicare Tax starts here. ","")&amp;IF(AND($BJ36&gt;0,$H36&gt;0,$BG35&lt;MIN($BJ36,'Methodology &amp; Sources'!$C$13),$BG35+$H36&gt;=MIN($BJ36,'Methodology &amp; Sources'!$C$13)),"★ Health FSA election is now fully deferred for the year. ",""))</f>
      </c>
      <c r="AE36" s="41" t="n"/>
      <c r="AF36" s="7">
        <f>IF(OR($B36="",$AE36=""),"",$AE36-$Y36)</f>
      </c>
      <c r="AG36" s="7">
        <f>IF($B36="","",$AG35+$N36)</f>
      </c>
      <c r="AH36" s="7">
        <f>IF($B36="","",MAX(0,($M36-$D36)*'Inputs 2'!$C$8+$AP36-$AQ36-IF('Inputs 2'!$C$13,0,IF('Inputs 2'!$C$12="MFJ",'Methodology &amp; Sources'!$C$8,'Methodology &amp; Sources'!$C$9))))</f>
      </c>
      <c r="AI36" s="7">
        <f>IF($B36="","",$O36*'Inputs 2'!$C$8)</f>
      </c>
      <c r="AJ36" s="7">
        <f>IF($B36="","",MAX(0,$AI36-VLOOKUP($AN36,StateTables!$A$6:$AB$56,12,FALSE)*$AT36-IF(($AS36+$AT36)&gt;=2,VLOOKUP($AN36,StateTables!$A$6:$AB$56,8,FALSE),VLOOKUP($AN36,StateTables!$A$6:$AB$56,7,FALSE))))</f>
      </c>
      <c r="AK36" s="7">
        <f>IF($B36="","",IFERROR(LOOKUP(2,1/(('Events 2'!$C$6:$C$17="Salary change")*('Events 2'!$B$6:$B$17&lt;=$B36)*('Events 2'!$B$6:$B$17&lt;&gt;"")),'Events 2'!$D$6:$D$17),IF('Inputs 2'!$C$4="Annual salary",'Inputs 2'!$C$5,'Inputs 2'!$C$6)))</f>
      </c>
      <c r="AL36">
        <f>IF($B36="","",IFERROR(LOOKUP(2,1/(('Events 2'!$C$6:$C$17="401(k) change")*('Events 2'!$B$6:$B$17&lt;=$B36)*('Events 2'!$B$6:$B$17&lt;&gt;"")),'Events 2'!$D$6:$D$17),'Inputs 2'!$C$30))</f>
      </c>
      <c r="AM36" s="7">
        <f>IF($B36="","",IFERROR(LOOKUP(2,1/(('Events 2'!$C$6:$C$17="401(k) change")*('Events 2'!$B$6:$B$17&lt;=$B36)*('Events 2'!$B$6:$B$17&lt;&gt;"")),'Events 2'!$E$6:$E$17),'Inputs 2'!$D$30))</f>
      </c>
      <c r="AN36">
        <f>IF($B36="","",IFERROR(LOOKUP(2,1/(('Events 2'!$C$6:$C$17="State move")*('Events 2'!$B$6:$B$17&lt;=$B36)*('Events 2'!$B$6:$B$17&lt;&gt;"")),'Events 2'!$D$6:$D$17),'Inputs 2'!$C$21))</f>
      </c>
      <c r="AO36" s="7">
        <f>IF($B36="","",IFERROR(LOOKUP(2,1/(('Events 2'!$C$6:$C$17="W-4 change")*('Events 2'!$B$6:$B$17&lt;=$B36)*('Events 2'!$B$6:$B$17&lt;&gt;"")),'Events 2'!$D$6:$D$17),'Inputs 2'!$C$14))</f>
      </c>
      <c r="AP36" s="7">
        <f>IF($B36="","",IFERROR(LOOKUP(2,1/(('Events 2'!$C$6:$C$17="W-4 change")*('Events 2'!$B$6:$B$17&lt;=$B36)*('Events 2'!$B$6:$B$17&lt;&gt;"")),'Events 2'!$E$6:$E$17),'Inputs 2'!$C$15))</f>
      </c>
      <c r="AQ36" s="7">
        <f>IF($B36="","",IFERROR(LOOKUP(2,1/(('Events 2'!$C$6:$C$17="W-4 change")*('Events 2'!$B$6:$B$17&lt;=$B36)*('Events 2'!$B$6:$B$17&lt;&gt;"")),'Events 2'!$F$6:$F$17),'Inputs 2'!$C$16))</f>
      </c>
      <c r="AR36" s="7">
        <f>IF($B36="","",IFERROR(LOOKUP(2,1/(('Events 2'!$C$6:$C$17="W-4 change")*('Events 2'!$B$6:$B$17&lt;=$B36)*('Events 2'!$B$6:$B$17&lt;&gt;"")),'Events 2'!$G$6:$G$17),'Inputs 2'!$C$17))</f>
      </c>
      <c r="AS36" s="6">
        <f>IF($B36="","",IFERROR(LOOKUP(2,1/((('Events 2'!$C$6:$C$17="State move")+('Events 2'!$C$6:$C$17="State cert change"))*('Events 2'!$B$6:$B$17&lt;=$B36)*('Events 2'!$B$6:$B$17&lt;&gt;"")),'Events 2'!$F$6:$F$17),'Inputs 2'!$C$23))</f>
      </c>
      <c r="AT36" s="6">
        <f>IF($B36="","",IFERROR(LOOKUP(2,1/((('Events 2'!$C$6:$C$17="State move")+('Events 2'!$C$6:$C$17="State cert change"))*('Events 2'!$B$6:$B$17&lt;=$B36)*('Events 2'!$B$6:$B$17&lt;&gt;"")),'Events 2'!$G$6:$G$17),'Inputs 2'!$C$24))</f>
      </c>
      <c r="AU36">
        <f>IF($B36="","",IFERROR(LOOKUP(2,1/(('Events 2'!$C$6:$C$17="State move")*('Events 2'!$B$6:$B$17&lt;=$B36)*('Events 2'!$B$6:$B$17&lt;&gt;"")),'Events 2'!$E$6:$E$17),'Inputs 2'!$C$22))</f>
      </c>
      <c r="AV36" s="6">
        <f>IF($B36="","",1+COUNTIFS('Events 2'!$C$6:$C$17,"Employer change",'Events 2'!$B$6:$B$17,"&lt;="&amp;$B36,'Events 2'!$B$6:$B$17,"&lt;&gt;"))</f>
      </c>
      <c r="AW36" s="7">
        <f>IF($B36="","",IF($AV36=1,'Inputs 2'!$C$49,IF(IFERROR(MATCH(IFERROR(LOOKUP(2,1/(('Events 2'!$C$6:$C$17="Employer change")*('Events 2'!$B$6:$B$17&lt;=$B36)*('Events 2'!$B$6:$B$17&lt;&gt;"")),'Events 2'!$B$6:$B$17),""),$B$6:$B$68,1),1)&lt;=1,'Inputs 2'!$C$49,INDEX($AB$6:$AB$68,MATCH(IFERROR(LOOKUP(2,1/(('Events 2'!$C$6:$C$17="Employer change")*('Events 2'!$B$6:$B$17&lt;=$B36)*('Events 2'!$B$6:$B$17&lt;&gt;"")),'Events 2'!$B$6:$B$17),""),$B$6:$B$68,1)-1))))</f>
      </c>
      <c r="AX36" s="7">
        <f>IF($B36="","",IF($AV36=1,'Inputs 2'!$C$49,IFERROR(LOOKUP(2,1/(('Events 2'!$C$6:$C$17="Employer change")*('Events 2'!$B$6:$B$17&lt;=$B36)*('Events 2'!$B$6:$B$17&lt;&gt;"")),'Events 2'!$D$6:$D$17),0)))</f>
      </c>
      <c r="AY36" s="7">
        <f>IF($B36="","",($O36-$D36)*'Inputs 2'!$C$8)</f>
      </c>
      <c r="AZ36" s="7">
        <f>IF($B36="","",IF($AN36="AL",MAX(0,$AY36-IF($AU36="Married",IF($AY36&lt;=25999,8500,MAX(5000,8500-175*CEILING(($AY36-25999)/500,1))),IF($AU36="Head of household",IF($AY36&lt;=25999,5200,MAX(2500,5200-135*CEILING(($AY36-25999)/500,1))),IF($AY36&lt;=25999,3000,MAX(2500,3000-25*CEILING(($AY36-25999)/500,1)))))-($P36-'Methodology &amp; Sources'!$C$10*$D36)*'Inputs 2'!$C$8-IF(OR($AU36="Married",$AU36="Head of household"),3000,1500)-$AT36*IF($AY36&lt;=50000,1000,IF($AY36&lt;=100000,500,300))),IF($AN36="AR",IF(MAX(0,$AY36-2470)&lt;97701,INT(MAX(0,$AY36-2470)/100)*100+50,MAX(0,$AY36-2470)),IF($AN36="DE",MAX(0,$AI36-3250),IF($AN36="HI",MAX(0,$AI36-1144*$AS36-4350),IF($AN36="KS",MAX(0,$AI36-(9160*IF($AU36="Married",2,1)+2320*$AT36+IF($AU36="Head of household",2320,0))),IF($AN36="MD",MAX(0,$AI36-3400-3200*$AS36),IF($AN36="MN",MAX(0,$AY36-5300*$AS36),IF($AN36="MO",MAX(0,$AI36-IF($AU36="Head of household",24150,IF($AU36="Married",IF('Inputs 2'!$C$83,16100,32200),16100))),IF($AN36="MT",$AY36,IF($AN36="ND",($C36+$L36)*'Inputs 2'!$C$8,IF($AN36="NE",MAX(0,$AY36-2440*$AS36),IF($AN36="NJ",MAX(0,$AY36-1000*$AS36),IF($AN36="NY",MAX(0,$AY36-(IF($AU36="Married",7950,7400)+1000*$AS36)),IF($AN36="OH",MAX(0,$AY36-650*$AS36),IF($AN36="OK",MAX(0,$AY36-1000*$AS36),IF($AN36="RI",MAX(0,$AI36-1000*$AS36),IF($AN36="SC",MAX(0,$AI36-5000*$AS36-IF($AS36=0,0,MIN(0.1*$AI36,7500))),IF($AN36="VA",MAX(0,$AI36-IF($AU36="Married",17500,8750)-930*$AS36-800*$AT36),IF($AN36="VT",MAX(0,$AI36-5400*$AS36),IF($AN36="WI",MAX(0,$AI36-MAX(0,IF($AU36="Married",9461-0.2*MAX(0,$AI36-25727),6702-0.12*MAX(0,$AI36-17780)))-400*$AS36),IF($AN36="WV",MAX(0,$AI36-2000*$AS36),$AI36))))))))))))))))))))))</f>
      </c>
      <c r="BA36" s="7">
        <f>IF($B36="","",IF($BW36&lt;&gt;"",$BW36,IF($BX36&lt;&gt;"",$BX36,IF($BY36&lt;&gt;"",$BY36,0))))</f>
      </c>
      <c r="BB36" s="7">
        <f>IF($B36="","",IF($AN36="AR",-29*$AS36,IF($AN36="DE",-110*$AS36,IF($AN36="MD",$AZ36*'Inputs 2'!$C$74,IF($AN36="AZ",'Inputs 2'!$C$82*($M36-$D36)*'Inputs 2'!$C$8,IF($AN36="CO",0.044*MAX(0,$AY36-IF($AU36="Married",10000,5000)),IF($AN36="IA",MAX(0,0.038*MAX(0,$AY36-IF($AU36="Head of household",19500,IF($AU36="Married",26000,13000)))-40*$AS36),IF($AN36="ID",0.053*MAX(0,$AY36-IF($AU36="Married",32000,16094)),IF($AN36="IL",0.0495*MAX(0,$AY36-(2925*$AS36+1000*$AT36)),IF($AN36="IN",(0.0295+'Inputs 2'!$C$76)*MAX(0,$AY36-(1000*$AS36+1500*$AT36+3000*'Inputs 2'!$C$86)),IF($AN36="KY",0.035*MAX(0,$AI36-3360),IF($AN36="LA",IF('Inputs 2'!$C$84="0",0.0309*$AI36,0.0309*MAX(0,$AI36-IF('Inputs 2'!$C$84="2",25750,12875))),IF($AN36="MA",0.05*MIN(MAX(0,$AY36-MIN(($BD35+$Q36+$R36+$S36),2000)-IF($AS36=0,0,IF($AS36=1,4400,1000*$AS36+3400))),1107750)+0.09*MAX(0,MAX(0,$AY36-MIN(($BD35+$Q36+$R36+$S36),2000)-IF($AS36=0,0,IF($AS36=1,4400,1000*$AS36+3400)))-1107750)-IF($AU36="Head of household",120,0)-110*'Inputs 2'!$C$75,IF($AN36="MI",0.0425*MAX(0,$AY36-5900*$AS36),IF($AN36="MS",0.04*MAX(0,$AI36-IF($AU36="Head of household",3400,IF($AU36="Married",4600,2300))-'Inputs 2'!$C$85-10000),IF($AN36="OR",IF(OR($AU36="Married",AND($AU36="Single",$AS36&gt;=3)),SUMPRODUCT((MAX(0,$AY36-MIN(($P36-'Methodology &amp; Sources'!$C$10*$D36)*'Inputs 2'!$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Sources'!$B$211:$J$214,0,4))*(MAX(0,$AY36-MIN(($P36-'Methodology &amp; Sources'!$C$10*$D36)*'Inputs 2'!$C$8,IF(OR($AU36="Married",AND($AU36="Single",$AS36&gt;=3)),IF($AY36&lt;250000,8750,IF($AY36&lt;260000,7000,IF($AY36&lt;270000,5250,IF($AY36&lt;280000,3500,IF($AY36&lt;290000,1750,0))))),IF($AY36&lt;125000,8750,IF($AY36&lt;130000,7000,IF($AY36&lt;135000,5250,IF($AY36&lt;140000,3500,IF($AY36&lt;145000,1750,0)))))))-IF(OR($AU36="Married",AND($AU36="Single",$AS36&gt;=3)),5820,2910))-INDEX('Methodology &amp; Sources'!$B$211:$J$214,0,4))*INDEX('Methodology &amp; Sources'!$B$211:$J$214,0,4+2)),SUMPRODUCT((MAX(0,$AY36-MIN(($P36-'Methodology &amp; Sources'!$C$10*$D36)*'Inputs 2'!$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Sources'!$B$211:$J$214,0,1))*(MAX(0,$AY36-MIN(($P36-'Methodology &amp; Sources'!$C$10*$D36)*'Inputs 2'!$C$8,IF(OR($AU36="Married",AND($AU36="Single",$AS36&gt;=3)),IF($AY36&lt;250000,8750,IF($AY36&lt;260000,7000,IF($AY36&lt;270000,5250,IF($AY36&lt;280000,3500,IF($AY36&lt;290000,1750,0))))),IF($AY36&lt;125000,8750,IF($AY36&lt;130000,7000,IF($AY36&lt;135000,5250,IF($AY36&lt;140000,3500,IF($AY36&lt;145000,1750,0)))))))-IF(OR($AU36="Married",AND($AU36="Single",$AS36&gt;=3)),5820,2910))-INDEX('Methodology &amp; Sources'!$B$211:$J$214,0,1))*INDEX('Methodology &amp; Sources'!$B$211:$J$214,0,1+2)))+263-263*IF(IF($AU36="Married",$AY36&gt;200000,$AY36&gt;100000),0,$AS36),IF($AN36="PA",0.0307*(($O36+$E36+$G36)*'Inputs 2'!$C$8),IF($AN36="NY",IF($AU36="Married",IF($AZ36&gt;=2155350,0,IF($AZ36&gt;=1077550,0.48,IF($AZ36&gt;=373200,1.21,IF($AZ36&gt;=323200,0.21,IF($AZ36&gt;=211550,-0.19,IF($AZ36&gt;=157650,-2.8,IF($AZ36&gt;=107650,-0.8,IF($AZ36&gt;=96800,0.05,IF($AZ36&gt;=80650,-0.1,IF($AZ36&gt;=13900,0.4,IF($AZ36&gt;=11700,-0.3,IF($AZ36&gt;=8500,0.5,0)))))))))))),IF($AZ36&gt;=1077550,0,IF($AZ36&gt;=265400,4.29,IF($AZ36&gt;=215400,2.29,IF($AZ36&gt;=157650,2.29,IF($AZ36&gt;=107650,0.29,IF($AZ36&gt;=96800,0.05,IF($AZ36&gt;=80650,-0.1,IF($AZ36&gt;=13900,0.4,IF($AZ36&gt;=11700,-0.3,IF($AZ36&gt;=8500,0.5,0))))))))))),0))))))))))))))))))</f>
      </c>
      <c r="BC36" s="7">
        <f>IF($B36="","",IF($AN36="AL",0.05*$D36,IF($AN36="AR",0.039*$D36,IF($AN36="ID",0.053*$D36,IF($AN36="IN",(0.0295+'Inputs 2'!$C$76)*$D36,IF($AN36="KS",0.05*$D36,IF($AN36="MA",0.09*MIN($D36,MAX(0,MAX(0,$AY36-MIN(($BD35+$Q36+$R36+$S36),2000)-IF($AS36=0,0,IF($AS36=1,4400,1000*$AS36+3400)))+$D36-1107750))+0.05*($D36-MIN($D36,MAX(0,MAX(0,$AY36-MIN(($BD35+$Q36+$R36+$S36),2000)-IF($AS36=0,0,IF($AS36=1,4400,1000*$AS36+3400)))+$D36-1107750))),IF($AN36="MD",(0.065+'Inputs 2'!$C$74)*$D36,IF($AN36="MI",0.0425*$D36,IF($AN36="MN",0.0625*$D36,IF($AN36="MO",0.047*$D36,IF($AN36="MT",0.05*$D36,IF($AN36="ND",0.015*$D36,IF($AN36="NE",0.035*$D36,IF($AN36="NJ",IF('Inputs 2'!$C$77="B",SUMPRODUCT(($D36*'Inputs 2'!$C$8&gt;INDEX('Methodology &amp; Sources'!$B$155:$J$162,0,4))*($D36*'Inputs 2'!$C$8-INDEX('Methodology &amp; Sources'!$B$155:$J$162,0,4))*INDEX('Methodology &amp; Sources'!$B$155:$J$162,0,4+2)),IF('Inputs 2'!$C$77="C",SUMPRODUCT(($D36*'Inputs 2'!$C$8&gt;INDEX('Methodology &amp; Sources'!$B$155:$J$162,0,7))*($D36*'Inputs 2'!$C$8-INDEX('Methodology &amp; Sources'!$B$155:$J$162,0,7))*INDEX('Methodology &amp; Sources'!$B$155:$J$162,0,7+2)),IF('Inputs 2'!$C$77="D",SUMPRODUCT(($D36*'Inputs 2'!$C$8&gt;INDEX('Methodology &amp; Sources'!$B$167:$J$179,0,1))*($D36*'Inputs 2'!$C$8-INDEX('Methodology &amp; Sources'!$B$167:$J$179,0,1))*INDEX('Methodology &amp; Sources'!$B$167:$J$179,0,1+2)),IF('Inputs 2'!$C$77="E",SUMPRODUCT(($D36*'Inputs 2'!$C$8&gt;INDEX('Methodology &amp; Sources'!$B$167:$J$179,0,4))*($D36*'Inputs 2'!$C$8-INDEX('Methodology &amp; Sources'!$B$167:$J$179,0,4))*INDEX('Methodology &amp; Sources'!$B$167:$J$179,0,4+2)),SUMPRODUCT(($D36*'Inputs 2'!$C$8&gt;INDEX('Methodology &amp; Sources'!$B$155:$J$162,0,1))*($D36*'Inputs 2'!$C$8-INDEX('Methodology &amp; Sources'!$B$155:$J$162,0,1))*INDEX('Methodology &amp; Sources'!$B$155:$J$162,0,1+2))))))/'Inputs 2'!$C$8,IF($AN36="NY",0.117*$D36,IF($AN36="OH",0.0275*$D36,IF($AN36="OK",0.045*$D36,IF($AN36="OR",0.08*$D36,IF($AN36="WI",IF($AY36&lt;12760,0.0354,IF($AY36&lt;25520,0.0465,IF($AY36&lt;280950,0.053,0.0765)))*$D36,0))))))))))))))))))))</f>
      </c>
      <c r="BD36" s="7">
        <f>IF($B36="","",$BD35+$Q36+$R36+$S36)</f>
      </c>
      <c r="BE36" s="6">
        <f>IF($B36="",$BE35,$BE35+$BF36)</f>
      </c>
      <c r="BF36" s="6">
        <f>IF($B36="","",IF(AND(IF(YEAR(IF('Inputs 2'!$C$7="Weekly",'Inputs 2'!$C$9+7*(($BE35+1)-1),IF('Inputs 2'!$C$7="Biweekly",'Inputs 2'!$C$9+14*(($BE35+1)-1),IF('Inputs 2'!$C$7="Semimonthly",DATE(YEAR('Inputs 2'!$C$9),MONTH('Inputs 2'!$C$9)+INT((($BE35+1)-1)/2),MIN(DAY('Inputs 2'!$C$9),DAY(EOMONTH(DATE(YEAR('Inputs 2'!$C$9),MONTH('Inputs 2'!$C$9)+INT((($BE35+1)-1)/2),1),0))))+IF(MOD(($BE35+1)-1,2)=1,15,0),EDATE('Inputs 2'!$C$9,($BE35+1)-1)))))&lt;&gt;'Inputs 2'!$C$10,"",IF('Inputs 2'!$C$7="Weekly",'Inputs 2'!$C$9+7*(($BE35+1)-1),IF('Inputs 2'!$C$7="Biweekly",'Inputs 2'!$C$9+14*(($BE35+1)-1),IF('Inputs 2'!$C$7="Semimonthly",DATE(YEAR('Inputs 2'!$C$9),MONTH('Inputs 2'!$C$9)+INT((($BE35+1)-1)/2),MIN(DAY('Inputs 2'!$C$9),DAY(EOMONTH(DATE(YEAR('Inputs 2'!$C$9),MONTH('Inputs 2'!$C$9)+INT((($BE35+1)-1)/2),1),0))))+IF(MOD(($BE35+1)-1,2)=1,15,0),EDATE('Inputs 2'!$C$9,($BE35+1)-1)))))&lt;&gt;"",$B36=IF(YEAR(IF('Inputs 2'!$C$7="Weekly",'Inputs 2'!$C$9+7*(($BE35+1)-1),IF('Inputs 2'!$C$7="Biweekly",'Inputs 2'!$C$9+14*(($BE35+1)-1),IF('Inputs 2'!$C$7="Semimonthly",DATE(YEAR('Inputs 2'!$C$9),MONTH('Inputs 2'!$C$9)+INT((($BE35+1)-1)/2),MIN(DAY('Inputs 2'!$C$9),DAY(EOMONTH(DATE(YEAR('Inputs 2'!$C$9),MONTH('Inputs 2'!$C$9)+INT((($BE35+1)-1)/2),1),0))))+IF(MOD(($BE35+1)-1,2)=1,15,0),EDATE('Inputs 2'!$C$9,($BE35+1)-1)))))&lt;&gt;'Inputs 2'!$C$10,"",IF('Inputs 2'!$C$7="Weekly",'Inputs 2'!$C$9+7*(($BE35+1)-1),IF('Inputs 2'!$C$7="Biweekly",'Inputs 2'!$C$9+14*(($BE35+1)-1),IF('Inputs 2'!$C$7="Semimonthly",DATE(YEAR('Inputs 2'!$C$9),MONTH('Inputs 2'!$C$9)+INT((($BE35+1)-1)/2),MIN(DAY('Inputs 2'!$C$9),DAY(EOMONTH(DATE(YEAR('Inputs 2'!$C$9),MONTH('Inputs 2'!$C$9)+INT((($BE35+1)-1)/2),1),0))))+IF(MOD(($BE35+1)-1,2)=1,15,0),EDATE('Inputs 2'!$C$9,($BE35+1)-1)))))),1,0))</f>
      </c>
      <c r="BG36" s="7">
        <f>IF($B36="","",$BG35+$H36)</f>
      </c>
      <c r="BH36" s="7">
        <f>IF($B36="","",$BH35+$I36)</f>
      </c>
      <c r="BI36" s="7">
        <f>IF($B36="","",$BI35+$G36)</f>
      </c>
      <c r="BJ36" s="7">
        <f>IF($B36="","",IFERROR(LOOKUP(2,1/(((('Events 2'!$C$6:$C$17="Deduction start"))*('Events 2'!$D$6:$D$17="Health FSA"))*('Events 2'!$B$6:$B$17&lt;=$B36)*('Events 2'!$B$6:$B$17&lt;&gt;"")),'Events 2'!$E$6:$E$17),'Inputs 2'!$D$38))</f>
      </c>
      <c r="BK36" s="7">
        <f>IF($B36="","",IFERROR(LOOKUP(2,1/(((('Events 2'!$C$6:$C$17="Deduction start"))*('Events 2'!$D$6:$D$17="Dependent-care FSA"))*('Events 2'!$B$6:$B$17&lt;=$B36)*('Events 2'!$B$6:$B$17&lt;&gt;"")),'Events 2'!$E$6:$E$17),'Inputs 2'!$D$39))</f>
      </c>
      <c r="BL36" s="7">
        <f>IF($B36="","",IFERROR(LOOKUP(2,1/(((('Events 2'!$C$6:$C$17="Deduction start")+('Events 2'!$C$6:$C$17="Deduction stop"))*('Events 2'!$D$6:$D$17="HSA"))*('Events 2'!$B$6:$B$17&lt;=$B36)*('Events 2'!$B$6:$B$17&lt;&gt;"")),'Events 2'!$I$6:$I$17),'Inputs 2'!$D$35))</f>
      </c>
      <c r="BM36" s="7">
        <f>IF($B36="","",IFERROR(LOOKUP(2,1/(((('Events 2'!$C$6:$C$17="Deduction start")+('Events 2'!$C$6:$C$17="Deduction stop"))*('Events 2'!$D$6:$D$17="Premiums"))*('Events 2'!$B$6:$B$17&lt;=$B36)*('Events 2'!$B$6:$B$17&lt;&gt;"")),'Events 2'!$I$6:$I$17),'Inputs 2'!$D$40+'Inputs 2'!$D$41+'Inputs 2'!$D$42))</f>
      </c>
      <c r="BN36" s="7">
        <f>IF($B36="","",IFERROR(LOOKUP(2,1/(((('Events 2'!$C$6:$C$17="Deduction start")+('Events 2'!$C$6:$C$17="Deduction stop"))*('Events 2'!$D$6:$D$17="Commuter"))*('Events 2'!$B$6:$B$17&lt;=$B36)*('Events 2'!$B$6:$B$17&lt;&gt;"")),'Events 2'!$I$6:$I$17),'Inputs 2'!$D$43))</f>
      </c>
      <c r="BO36" s="7">
        <f>IF($B36="","",IFERROR(LOOKUP(2,1/(((('Events 2'!$C$6:$C$17="Deduction start")+('Events 2'!$C$6:$C$17="Deduction stop"))*('Events 2'!$D$6:$D$17="Other pre-tax"))*('Events 2'!$B$6:$B$17&lt;=$B36)*('Events 2'!$B$6:$B$17&lt;&gt;"")),'Events 2'!$I$6:$I$17),'Inputs 2'!$D$44))</f>
      </c>
      <c r="BP36" s="7">
        <f>IF($B36="","",IFERROR(LOOKUP(2,1/(((('Events 2'!$C$6:$C$17="Deduction start")+('Events 2'!$C$6:$C$17="Deduction stop"))*('Events 2'!$D$6:$D$17="Other post-tax"))*('Events 2'!$B$6:$B$17&lt;=$B36)*('Events 2'!$B$6:$B$17&lt;&gt;"")),'Events 2'!$I$6:$I$17),'Inputs 2'!$D$45))</f>
      </c>
      <c r="BQ36" s="6">
        <f>IF($B36="","",IFERROR(LOOKUP(2,1/(((('Events 2'!$C$6:$C$17="Deduction start")+('Events 2'!$C$6:$C$17="Deduction stop"))*('Events 2'!$D$6:$D$17="Health FSA"))*('Events 2'!$B$6:$B$17&lt;=$B36)*('Events 2'!$B$6:$B$17&lt;&gt;"")),'Events 2'!$J$6:$J$17),0))</f>
      </c>
      <c r="BR36" s="6">
        <f>IF($B36="","",IFERROR(LOOKUP(2,1/(((('Events 2'!$C$6:$C$17="Deduction start")+('Events 2'!$C$6:$C$17="Deduction stop"))*('Events 2'!$D$6:$D$17="Dependent-care FSA"))*('Events 2'!$B$6:$B$17&lt;=$B36)*('Events 2'!$B$6:$B$17&lt;&gt;"")),'Events 2'!$J$6:$J$17),0))</f>
      </c>
      <c r="BS36" s="6">
        <f>IF($B36="","",IF(SUMPRODUCT(('Events 2'!$C$6:$C$17="Deduction start")*('Events 2'!$B$6:$B$17&lt;=$B36)*('Events 2'!$B$6:$B$17&lt;&gt;"")*('Events 2'!$D$6:$D$17="Health FSA"))&gt;0,1,0))</f>
      </c>
      <c r="BT36" s="6">
        <f>IF($B36="","",IF(SUMPRODUCT(('Events 2'!$C$6:$C$17="Deduction start")*('Events 2'!$B$6:$B$17&lt;=$B36)*('Events 2'!$B$6:$B$17&lt;&gt;"")*('Events 2'!$D$6:$D$17="Dependent-care FSA"))&gt;0,1,0))</f>
      </c>
      <c r="BU36" s="24">
        <f>IF($B36="","",IF('Inputs 2'!$C$13,SUMPRODUCT(($AH36&gt;=INDEX('Methodology &amp; Sources'!$B$29:$J$36,0,IF('Inputs 2'!$C$12="MFJ",1,IF('Inputs 2'!$C$12="HoH",7,4))))*INDEX('Methodology &amp; Sources'!$B$29:$J$36,0,IF('Inputs 2'!$C$12="MFJ",1,IF('Inputs 2'!$C$12="HoH",7,4))+2)),SUMPRODUCT(($AH36&gt;=INDEX('Methodology &amp; Sources'!$B$19:$J$26,0,IF('Inputs 2'!$C$12="MFJ",1,IF('Inputs 2'!$C$12="HoH",7,4))))*INDEX('Methodology &amp; Sources'!$B$19:$J$26,0,IF('Inputs 2'!$C$12="MFJ",1,IF('Inputs 2'!$C$12="HoH",7,4))+2))))</f>
      </c>
      <c r="BV36" s="24">
        <f>IF($B36="","",IF($BZ36&lt;&gt;"",$BZ36,IF($CA36&lt;&gt;"",$CA36,IF($CB36&lt;&gt;"",$CB36,IF($CC36&lt;&gt;"",$CC36,0)))))</f>
      </c>
      <c r="BW36" s="7">
        <f>IF($B36="","",IF($AN36="MD",IF(OR($AU36="Married",$AU36="Head of household"),SUMPRODUCT(($AZ36&gt;INDEX('Methodology &amp; Sources'!$B$114:$J$120,0,1))*($AZ36-INDEX('Methodology &amp; Sources'!$B$114:$J$120,0,1))*INDEX('Methodology &amp; Sources'!$B$114:$J$120,0,1+2)),SUMPRODUCT(($AZ36&gt;INDEX('Methodology &amp; Sources'!$B$103:$J$109,0,7))*($AZ36-INDEX('Methodology &amp; Sources'!$B$103:$J$109,0,7))*INDEX('Methodology &amp; Sources'!$B$103:$J$109,0,7+2))),IF($AN36="MO",SUMPRODUCT(($AZ36&gt;INDEX('Methodology &amp; Sources'!$B$125:$J$132,0,1))*($AZ36-INDEX('Methodology &amp; Sources'!$B$125:$J$132,0,1))*INDEX('Methodology &amp; Sources'!$B$125:$J$132,0,1+2)),IF($AN36="MT",IF($AU36="Head of household",SUMPRODUCT(($AZ36&gt;INDEX('Methodology &amp; Sources'!$B$137:$J$139,0,1))*($AZ36-INDEX('Methodology &amp; Sources'!$B$137:$J$139,0,1))*INDEX('Methodology &amp; Sources'!$B$137:$J$139,0,1+2)),IF($AU36="Married",SUMPRODUCT(($AZ36&gt;INDEX('Methodology &amp; Sources'!$B$125:$J$132,0,7))*($AZ36-INDEX('Methodology &amp; Sources'!$B$125:$J$132,0,7))*INDEX('Methodology &amp; Sources'!$B$125:$J$132,0,7+2)),SUMPRODUCT(($AZ36&gt;INDEX('Methodology &amp; Sources'!$B$125:$J$132,0,4))*($AZ36-INDEX('Methodology &amp; Sources'!$B$125:$J$132,0,4))*INDEX('Methodology &amp; Sources'!$B$125:$J$132,0,4+2)))),IF($AN36="ND",IF($AU36="Head of household",SUMPRODUCT(($AZ36&gt;INDEX('Methodology &amp; Sources'!$B$144:$J$150,0,1))*($AZ36-INDEX('Methodology &amp; Sources'!$B$144:$J$150,0,1))*INDEX('Methodology &amp; Sources'!$B$144:$J$150,0,1+2)),IF($AU36="Married",SUMPRODUCT(($AZ36&gt;INDEX('Methodology &amp; Sources'!$B$137:$J$139,0,7))*($AZ36-INDEX('Methodology &amp; Sources'!$B$137:$J$139,0,7))*INDEX('Methodology &amp; Sources'!$B$137:$J$139,0,7+2)),SUMPRODUCT(($AZ36&gt;INDEX('Methodology &amp; Sources'!$B$137:$J$139,0,4))*($AZ36-INDEX('Methodology &amp; Sources'!$B$137:$J$139,0,4))*INDEX('Methodology &amp; Sources'!$B$137:$J$139,0,4+2)))),IF($AN36="NJ",IF('Inputs 2'!$C$77="B",SUMPRODUCT(($AZ36&gt;INDEX('Methodology &amp; Sources'!$B$155:$J$162,0,4))*($AZ36-INDEX('Methodology &amp; Sources'!$B$155:$J$162,0,4))*INDEX('Methodology &amp; Sources'!$B$155:$J$162,0,4+2)),IF('Inputs 2'!$C$77="C",SUMPRODUCT(($AZ36&gt;INDEX('Methodology &amp; Sources'!$B$155:$J$162,0,7))*($AZ36-INDEX('Methodology &amp; Sources'!$B$155:$J$162,0,7))*INDEX('Methodology &amp; Sources'!$B$155:$J$162,0,7+2)),IF('Inputs 2'!$C$77="D",SUMPRODUCT(($AZ36&gt;INDEX('Methodology &amp; Sources'!$B$167:$J$179,0,1))*($AZ36-INDEX('Methodology &amp; Sources'!$B$167:$J$179,0,1))*INDEX('Methodology &amp; Sources'!$B$167:$J$179,0,1+2)),IF('Inputs 2'!$C$77="E",SUMPRODUCT(($AZ36&gt;INDEX('Methodology &amp; Sources'!$B$167:$J$179,0,4))*($AZ36-INDEX('Methodology &amp; Sources'!$B$167:$J$179,0,4))*INDEX('Methodology &amp; Sources'!$B$167:$J$179,0,4+2)),SUMPRODUCT(($AZ36&gt;INDEX('Methodology &amp; Sources'!$B$155:$J$162,0,1))*($AZ36-INDEX('Methodology &amp; Sources'!$B$155:$J$162,0,1))*INDEX('Methodology &amp; Sources'!$B$155:$J$162,0,1+2)))))),IF($AN36="NY",IF($AU36="Married",IF($AZ36&gt;=2155350,$AZ36*IF($AZ36&gt;25000000,0.117,IF($AZ36&gt;5000000,0.111,0.1045)),SUMPRODUCT(($AZ36&gt;INDEX('Methodology &amp; Sources'!$B$184:$J$198,0,1))*($AZ36-INDEX('Methodology &amp; Sources'!$B$184:$J$198,0,1))*INDEX('Methodology &amp; Sources'!$B$184:$J$198,0,1+2))),IF($AZ36&gt;=1077550,$AZ36*IF($AZ36&gt;25000000,0.117,IF($AZ36&gt;5000000,0.111,0.1045)),SUMPRODUCT(($AZ36&gt;INDEX('Methodology &amp; Sources'!$B$167:$J$179,0,7))*($AZ36-INDEX('Methodology &amp; Sources'!$B$167:$J$179,0,7))*INDEX('Methodology &amp; Sources'!$B$167:$J$179,0,7+2)))),"")))))))</f>
      </c>
      <c r="BX36" s="7">
        <f>IF($B36="","",IF($AN36="AL",IF(OR($AU36="Married",$AU36="Head of household"),SUMPRODUCT(($AZ36&gt;INDEX('Methodology &amp; Sources'!$B$82:$J$86,0,4))*($AZ36-INDEX('Methodology &amp; Sources'!$B$82:$J$86,0,4))*INDEX('Methodology &amp; Sources'!$B$82:$J$86,0,4+2)),SUMPRODUCT(($AZ36&gt;INDEX('Methodology &amp; Sources'!$B$82:$J$86,0,1))*($AZ36-INDEX('Methodology &amp; Sources'!$B$82:$J$86,0,1))*INDEX('Methodology &amp; Sources'!$B$82:$J$86,0,1+2))),IF($AN36="KS",IF($AU36="Married",SUMPRODUCT(($AZ36&gt;INDEX('Methodology &amp; Sources'!$B$103:$J$109,0,4))*($AZ36-INDEX('Methodology &amp; Sources'!$B$103:$J$109,0,4))*INDEX('Methodology &amp; Sources'!$B$103:$J$109,0,4+2)),SUMPRODUCT(($AZ36&gt;INDEX('Methodology &amp; Sources'!$B$103:$J$109,0,1))*($AZ36-INDEX('Methodology &amp; Sources'!$B$103:$J$109,0,1))*INDEX('Methodology &amp; Sources'!$B$103:$J$109,0,1+2))),IF($AN36="MN",IF($AU36="Married",SUMPRODUCT(($AZ36&gt;INDEX('Methodology &amp; Sources'!$B$114:$J$120,0,7))*($AZ36-INDEX('Methodology &amp; Sources'!$B$114:$J$120,0,7))*INDEX('Methodology &amp; Sources'!$B$114:$J$120,0,7+2)),SUMPRODUCT(($AZ36&gt;INDEX('Methodology &amp; Sources'!$B$114:$J$120,0,4))*($AZ36-INDEX('Methodology &amp; Sources'!$B$114:$J$120,0,4))*INDEX('Methodology &amp; Sources'!$B$114:$J$120,0,4+2))),IF($AN36="NE",MAX(IF($AU36="Married",SUMPRODUCT(($AZ36&gt;INDEX('Methodology &amp; Sources'!$B$144:$J$150,0,7))*($AZ36-INDEX('Methodology &amp; Sources'!$B$144:$J$150,0,7))*INDEX('Methodology &amp; Sources'!$B$144:$J$150,0,7+2)),SUMPRODUCT(($AZ36&gt;INDEX('Methodology &amp; Sources'!$B$144:$J$150,0,4))*($AZ36-INDEX('Methodology &amp; Sources'!$B$144:$J$150,0,4))*INDEX('Methodology &amp; Sources'!$B$144:$J$150,0,4+2))),0.015*$AZ36),IF($AN36="OH",IF($B36&gt;=DATE(2027,8,1),SUMPRODUCT(($AZ36&gt;INDEX('Methodology &amp; Sources'!$B$203:$J$206,0,1))*($AZ36-INDEX('Methodology &amp; Sources'!$B$203:$J$206,0,1))*INDEX('Methodology &amp; Sources'!$B$203:$J$206,0,1+2)),SUMPRODUCT(($AZ36&gt;INDEX('Methodology &amp; Sources'!$B$184:$J$198,0,7))*($AZ36-INDEX('Methodology &amp; Sources'!$B$184:$J$198,0,7))*INDEX('Methodology &amp; Sources'!$B$184:$J$198,0,7+2))),IF($AN36="OK",IF($AU36="Married",SUMPRODUCT(($AZ36&gt;INDEX('Methodology &amp; Sources'!$B$203:$J$206,0,7))*($AZ36-INDEX('Methodology &amp; Sources'!$B$203:$J$206,0,7))*INDEX('Methodology &amp; Sources'!$B$203:$J$206,0,7+2)),SUMPRODUCT(($AZ36&gt;INDEX('Methodology &amp; Sources'!$B$203:$J$206,0,4))*($AZ36-INDEX('Methodology &amp; Sources'!$B$203:$J$206,0,4))*INDEX('Methodology &amp; Sources'!$B$203:$J$206,0,4+2))),IF($AN36="RI",SUMPRODUCT(($AZ36&gt;INDEX('Methodology &amp; Sources'!$B$211:$J$214,0,7))*($AZ36-INDEX('Methodology &amp; Sources'!$B$211:$J$214,0,7))*INDEX('Methodology &amp; Sources'!$B$211:$J$214,0,7+2)),IF($AN36="VT",IF($AU36="Married",SUMPRODUCT(($AZ36&gt;INDEX('Methodology &amp; Sources'!$B$228:$J$232,0,1))*($AZ36-INDEX('Methodology &amp; Sources'!$B$228:$J$232,0,1))*INDEX('Methodology &amp; Sources'!$B$228:$J$232,0,1+2)),SUMPRODUCT(($AZ36&gt;INDEX('Methodology &amp; Sources'!$B$219:$J$223,0,7))*($AZ36-INDEX('Methodology &amp; Sources'!$B$219:$J$223,0,7))*INDEX('Methodology &amp; Sources'!$B$219:$J$223,0,7+2))),IF($AN36="WV",IF($AU36="Married",SUMPRODUCT(($AZ36&gt;INDEX('Methodology &amp; Sources'!$B$237:$J$241,0,7))*($AZ36-INDEX('Methodology &amp; Sources'!$B$237:$J$241,0,7))*INDEX('Methodology &amp; Sources'!$B$237:$J$241,0,7+2)),SUMPRODUCT(($AZ36&gt;INDEX('Methodology &amp; Sources'!$B$228:$J$232,0,7))*($AZ36-INDEX('Methodology &amp; Sources'!$B$228:$J$232,0,7))*INDEX('Methodology &amp; Sources'!$B$228:$J$232,0,7+2))),""))))))))))</f>
      </c>
      <c r="BY36" s="7">
        <f>IF($B36="","",IF($AN36="AR",SUMPRODUCT(($AZ36&gt;INDEX('Methodology &amp; Sources'!$B$82:$J$86,0,7))*($AZ36-INDEX('Methodology &amp; Sources'!$B$82:$J$86,0,7))*INDEX('Methodology &amp; Sources'!$B$82:$J$86,0,7+2)),IF($AN36="DE",SUMPRODUCT(($AZ36&gt;INDEX('Methodology &amp; Sources'!$B$91:$J$98,0,1))*($AZ36-INDEX('Methodology &amp; Sources'!$B$91:$J$98,0,1))*INDEX('Methodology &amp; Sources'!$B$91:$J$98,0,1+2)),IF($AN36="HI",IF($AU36="Married",SUMPRODUCT(($AZ36&gt;INDEX('Methodology &amp; Sources'!$B$91:$J$98,0,7))*($AZ36-INDEX('Methodology &amp; Sources'!$B$91:$J$98,0,7))*INDEX('Methodology &amp; Sources'!$B$91:$J$98,0,7+2)),SUMPRODUCT(($AZ36&gt;INDEX('Methodology &amp; Sources'!$B$91:$J$98,0,4))*($AZ36-INDEX('Methodology &amp; Sources'!$B$91:$J$98,0,4))*INDEX('Methodology &amp; Sources'!$B$91:$J$98,0,4+2))),IF($AN36="SC",SUMPRODUCT(($AZ36&gt;INDEX('Methodology &amp; Sources'!$B$219:$J$223,0,1))*($AZ36-INDEX('Methodology &amp; Sources'!$B$219:$J$223,0,1))*INDEX('Methodology &amp; Sources'!$B$219:$J$223,0,1+2)),IF($AN36="VA",SUMPRODUCT(($AZ36&gt;INDEX('Methodology &amp; Sources'!$B$219:$J$223,0,4))*($AZ36-INDEX('Methodology &amp; Sources'!$B$219:$J$223,0,4))*INDEX('Methodology &amp; Sources'!$B$219:$J$223,0,4+2)),IF($AN36="WI",SUMPRODUCT(($AZ36&gt;INDEX('Methodology &amp; Sources'!$B$228:$J$232,0,4))*($AZ36-INDEX('Methodology &amp; Sources'!$B$228:$J$232,0,4))*INDEX('Methodology &amp; Sources'!$B$228:$J$232,0,4+2)),"")))))))</f>
      </c>
      <c r="BZ36" s="24">
        <f>IF($B36="","",IF($AN36="NJ",IF('Inputs 2'!$C$77="B",SUMPRODUCT(($AZ36&gt;=INDEX('Methodology &amp; Sources'!$B$155:$J$162,0,4))*INDEX('Methodology &amp; Sources'!$B$155:$J$162,0,4+2)),IF('Inputs 2'!$C$77="C",SUMPRODUCT(($AZ36&gt;=INDEX('Methodology &amp; Sources'!$B$155:$J$162,0,7))*INDEX('Methodology &amp; Sources'!$B$155:$J$162,0,7+2)),IF('Inputs 2'!$C$77="D",SUMPRODUCT(($AZ36&gt;=INDEX('Methodology &amp; Sources'!$B$167:$J$179,0,1))*INDEX('Methodology &amp; Sources'!$B$167:$J$179,0,1+2)),IF('Inputs 2'!$C$77="E",SUMPRODUCT(($AZ36&gt;=INDEX('Methodology &amp; Sources'!$B$167:$J$179,0,4))*INDEX('Methodology &amp; Sources'!$B$167:$J$179,0,4+2)),SUMPRODUCT(($AZ36&gt;=INDEX('Methodology &amp; Sources'!$B$155:$J$162,0,1))*INDEX('Methodology &amp; Sources'!$B$155:$J$162,0,1+2)))))),IF($AN36="OR",IF(OR($AU36="Married",AND($AU36="Single",$AS36&gt;=3)),SUMPRODUCT((MAX(0,$AY36-MIN(($P36-'Methodology &amp; Sources'!$C$10*$D36)*'Inputs 2'!$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Sources'!$B$211:$J$214,0,4))*INDEX('Methodology &amp; Sources'!$B$211:$J$214,0,4+2)),SUMPRODUCT((MAX(0,$AY36-MIN(($P36-'Methodology &amp; Sources'!$C$10*$D36)*'Inputs 2'!$C$8,IF(OR($AU36="Married",AND($AU36="Single",$AS36&gt;=3)),IF($AY36&lt;250000,8750,IF($AY36&lt;260000,7000,IF($AY36&lt;270000,5250,IF($AY36&lt;280000,3500,IF($AY36&lt;290000,1750,0))))),IF($AY36&lt;125000,8750,IF($AY36&lt;130000,7000,IF($AY36&lt;135000,5250,IF($AY36&lt;140000,3500,IF($AY36&lt;145000,1750,0)))))))-IF(OR($AU36="Married",AND($AU36="Single",$AS36&gt;=3)),5820,2910))&gt;=INDEX('Methodology &amp; Sources'!$B$211:$J$214,0,1))*INDEX('Methodology &amp; Sources'!$B$211:$J$214,0,1+2)))*IF(($P36-'Methodology &amp; Sources'!$C$10*$D36)*'Inputs 2'!$C$8&gt;=IF(OR($AU36="Married",AND($AU36="Single",$AS36&gt;=3)),IF($AY36&lt;250000,8750,IF($AY36&lt;260000,7000,IF($AY36&lt;270000,5250,IF($AY36&lt;280000,3500,IF($AY36&lt;290000,1750,0))))),IF($AY36&lt;125000,8750,IF($AY36&lt;130000,7000,IF($AY36&lt;135000,5250,IF($AY36&lt;140000,3500,IF($AY36&lt;145000,1750,0)))))),1,1-IF('Inputs 2'!$C$13,SUMPRODUCT(($AH36&gt;=INDEX('Methodology &amp; Sources'!$B$29:$J$36,0,IF('Inputs 2'!$C$12="MFJ",1,IF('Inputs 2'!$C$12="HoH",7,4))))*INDEX('Methodology &amp; Sources'!$B$29:$J$36,0,IF('Inputs 2'!$C$12="MFJ",1,IF('Inputs 2'!$C$12="HoH",7,4))+2)),SUMPRODUCT(($AH36&gt;=INDEX('Methodology &amp; Sources'!$B$19:$J$26,0,IF('Inputs 2'!$C$12="MFJ",1,IF('Inputs 2'!$C$12="HoH",7,4))))*INDEX('Methodology &amp; Sources'!$B$19:$J$26,0,IF('Inputs 2'!$C$12="MFJ",1,IF('Inputs 2'!$C$12="HoH",7,4))+2)))),IF($AN36="MI",IF($AY36&gt;5900*$AS36,0.0425,0),""))))</f>
      </c>
      <c r="CA36" s="24">
        <f>IF($B36="","",IF($AN36="AL",IF(OR($AU36="Married",$AU36="Head of household"),SUMPRODUCT(($AZ36&gt;=INDEX('Methodology &amp; Sources'!$B$82:$J$86,0,4))*INDEX('Methodology &amp; Sources'!$B$82:$J$86,0,4+2)),SUMPRODUCT(($AZ36&gt;=INDEX('Methodology &amp; Sources'!$B$82:$J$86,0,1))*INDEX('Methodology &amp; Sources'!$B$82:$J$86,0,1+2)))*(1-IF('Inputs 2'!$C$13,SUMPRODUCT(($AH36&gt;=INDEX('Methodology &amp; Sources'!$B$29:$J$36,0,IF('Inputs 2'!$C$12="MFJ",1,IF('Inputs 2'!$C$12="HoH",7,4))))*INDEX('Methodology &amp; Sources'!$B$29:$J$36,0,IF('Inputs 2'!$C$12="MFJ",1,IF('Inputs 2'!$C$12="HoH",7,4))+2)),SUMPRODUCT(($AH36&gt;=INDEX('Methodology &amp; Sources'!$B$19:$J$26,0,IF('Inputs 2'!$C$12="MFJ",1,IF('Inputs 2'!$C$12="HoH",7,4))))*INDEX('Methodology &amp; Sources'!$B$19:$J$26,0,IF('Inputs 2'!$C$12="MFJ",1,IF('Inputs 2'!$C$12="HoH",7,4))+2)))),IF($AN36="KS",IF($AU36="Married",SUMPRODUCT(($AZ36&gt;=INDEX('Methodology &amp; Sources'!$B$103:$J$109,0,4))*INDEX('Methodology &amp; Sources'!$B$103:$J$109,0,4+2)),SUMPRODUCT(($AZ36&gt;=INDEX('Methodology &amp; Sources'!$B$103:$J$109,0,1))*INDEX('Methodology &amp; Sources'!$B$103:$J$109,0,1+2))),IF($AN36="MD",IF(OR($AU36="Married",$AU36="Head of household"),SUMPRODUCT(($AZ36&gt;=INDEX('Methodology &amp; Sources'!$B$114:$J$120,0,1))*INDEX('Methodology &amp; Sources'!$B$114:$J$120,0,1+2)),SUMPRODUCT(($AZ36&gt;=INDEX('Methodology &amp; Sources'!$B$103:$J$109,0,7))*INDEX('Methodology &amp; Sources'!$B$103:$J$109,0,7+2)))+'Inputs 2'!$C$74,IF($AN36="MT",IF($AU36="Head of household",SUMPRODUCT(($AZ36&gt;=INDEX('Methodology &amp; Sources'!$B$137:$J$139,0,1))*INDEX('Methodology &amp; Sources'!$B$137:$J$139,0,1+2)),IF($AU36="Married",SUMPRODUCT(($AZ36&gt;=INDEX('Methodology &amp; Sources'!$B$125:$J$132,0,7))*INDEX('Methodology &amp; Sources'!$B$125:$J$132,0,7+2)),SUMPRODUCT(($AZ36&gt;=INDEX('Methodology &amp; Sources'!$B$125:$J$132,0,4))*INDEX('Methodology &amp; Sources'!$B$125:$J$132,0,4+2)))),IF($AN36="ND",IF($AU36="Head of household",SUMPRODUCT(($AZ36&gt;=INDEX('Methodology &amp; Sources'!$B$144:$J$150,0,1))*INDEX('Methodology &amp; Sources'!$B$144:$J$150,0,1+2)),IF($AU36="Married",SUMPRODUCT(($AZ36&gt;=INDEX('Methodology &amp; Sources'!$B$137:$J$139,0,7))*INDEX('Methodology &amp; Sources'!$B$137:$J$139,0,7+2)),SUMPRODUCT(($AZ36&gt;=INDEX('Methodology &amp; Sources'!$B$137:$J$139,0,4))*INDEX('Methodology &amp; Sources'!$B$137:$J$139,0,4+2)))),IF($AN36="NY",IF($AU36="Married",IF($AZ36&gt;=2155350,IF($AZ36&gt;25000000,0.117,IF($AZ36&gt;5000000,0.111,0.1045)),SUMPRODUCT(($AZ36&gt;=INDEX('Methodology &amp; Sources'!$B$184:$J$198,0,1))*INDEX('Methodology &amp; Sources'!$B$184:$J$198,0,1+2))),IF($AZ36&gt;=1077550,IF($AZ36&gt;25000000,0.117,IF($AZ36&gt;5000000,0.111,0.1045)),SUMPRODUCT(($AZ36&gt;=INDEX('Methodology &amp; Sources'!$B$167:$J$179,0,7))*INDEX('Methodology &amp; Sources'!$B$167:$J$179,0,7+2)))),"")))))))</f>
      </c>
      <c r="CB36" s="24">
        <f>IF($B36="","",IF($AN36="CA",SUMPRODUCT(($AJ36&gt;=INDEX('Methodology &amp; Sources'!$B$39:$J$48,0,IF($AU36="Married",4,IF($AU36="Head of household",7,1))))*INDEX('Methodology &amp; Sources'!$B$39:$J$48,0,IF($AU36="Married",4,IF($AU36="Head of household",7,1))+2)),IF($AN36="HI",IF($AU36="Married",SUMPRODUCT(($AZ36&gt;=INDEX('Methodology &amp; Sources'!$B$91:$J$98,0,7))*INDEX('Methodology &amp; Sources'!$B$91:$J$98,0,7+2)),SUMPRODUCT(($AZ36&gt;=INDEX('Methodology &amp; Sources'!$B$91:$J$98,0,4))*INDEX('Methodology &amp; Sources'!$B$91:$J$98,0,4+2))),IF($AN36="MN",IF($AU36="Married",SUMPRODUCT(($AZ36&gt;=INDEX('Methodology &amp; Sources'!$B$114:$J$120,0,7))*INDEX('Methodology &amp; Sources'!$B$114:$J$120,0,7+2)),SUMPRODUCT(($AZ36&gt;=INDEX('Methodology &amp; Sources'!$B$114:$J$120,0,4))*INDEX('Methodology &amp; Sources'!$B$114:$J$120,0,4+2))),IF($AN36="MO",SUMPRODUCT(($AZ36&gt;=INDEX('Methodology &amp; Sources'!$B$125:$J$132,0,1))*INDEX('Methodology &amp; Sources'!$B$125:$J$132,0,1+2)),IF($AN36="NE",MAX(IF($AU36="Married",SUMPRODUCT(($AZ36&gt;=INDEX('Methodology &amp; Sources'!$B$144:$J$150,0,7))*INDEX('Methodology &amp; Sources'!$B$144:$J$150,0,7+2)),SUMPRODUCT(($AZ36&gt;=INDEX('Methodology &amp; Sources'!$B$144:$J$150,0,4))*INDEX('Methodology &amp; Sources'!$B$144:$J$150,0,4+2))),0.015),IF($AN36="OH",IF($B36&gt;=DATE(2027,8,1),SUMPRODUCT(($AZ36&gt;=INDEX('Methodology &amp; Sources'!$B$203:$J$206,0,1))*INDEX('Methodology &amp; Sources'!$B$203:$J$206,0,1+2)),SUMPRODUCT(($AZ36&gt;=INDEX('Methodology &amp; Sources'!$B$184:$J$198,0,7))*INDEX('Methodology &amp; Sources'!$B$184:$J$198,0,7+2))),IF($AN36="OK",IF($AU36="Married",SUMPRODUCT(($AZ36&gt;=INDEX('Methodology &amp; Sources'!$B$203:$J$206,0,7))*INDEX('Methodology &amp; Sources'!$B$203:$J$206,0,7+2)),SUMPRODUCT(($AZ36&gt;=INDEX('Methodology &amp; Sources'!$B$203:$J$206,0,4))*INDEX('Methodology &amp; Sources'!$B$203:$J$206,0,4+2))),IF($AN36="RI",SUMPRODUCT(($AZ36&gt;=INDEX('Methodology &amp; Sources'!$B$211:$J$214,0,7))*INDEX('Methodology &amp; Sources'!$B$211:$J$214,0,7+2)),IF($AN36="SC",SUMPRODUCT(($AZ36&gt;=INDEX('Methodology &amp; Sources'!$B$219:$J$223,0,1))*INDEX('Methodology &amp; Sources'!$B$219:$J$223,0,1+2)),IF($AN36="VT",IF($AU36="Married",SUMPRODUCT(($AZ36&gt;=INDEX('Methodology &amp; Sources'!$B$228:$J$232,0,1))*INDEX('Methodology &amp; Sources'!$B$228:$J$232,0,1+2)),SUMPRODUCT(($AZ36&gt;=INDEX('Methodology &amp; Sources'!$B$219:$J$223,0,7))*INDEX('Methodology &amp; Sources'!$B$219:$J$223,0,7+2))),IF($AN36="WV",IF($AU36="Married",SUMPRODUCT(($AZ36&gt;=INDEX('Methodology &amp; Sources'!$B$237:$J$241,0,7))*INDEX('Methodology &amp; Sources'!$B$237:$J$241,0,7+2)),SUMPRODUCT(($AZ36&gt;=INDEX('Methodology &amp; Sources'!$B$228:$J$232,0,7))*INDEX('Methodology &amp; Sources'!$B$228:$J$232,0,7+2))),IF($AN36="IN",(0.0295+'Inputs 2'!$C$76),"")))))))))))))</f>
      </c>
      <c r="CC36" s="24">
        <f>IF($B36="","",IF($AN36="AR",SUMPRODUCT(($AZ36&gt;=INDEX('Methodology &amp; Sources'!$B$82:$J$86,0,7))*INDEX('Methodology &amp; Sources'!$B$82:$J$86,0,7+2)),IF($AN36="DE",SUMPRODUCT(($AZ36&gt;=INDEX('Methodology &amp; Sources'!$B$91:$J$98,0,1))*INDEX('Methodology &amp; Sources'!$B$91:$J$98,0,1+2)),IF($AN36="VA",SUMPRODUCT(($AZ36&gt;=INDEX('Methodology &amp; Sources'!$B$219:$J$223,0,4))*INDEX('Methodology &amp; Sources'!$B$219:$J$223,0,4+2)),IF($AN36="WI",SUMPRODUCT(($AZ36&gt;=INDEX('Methodology &amp; Sources'!$B$228:$J$232,0,4))*INDEX('Methodology &amp; Sources'!$B$228:$J$232,0,4+2)),IF($AN36="AZ",'Inputs 2'!$C$82,IF($AN36="CO",IF($AY36&gt;IF($AU36="Married",10000,5000),0.044,0),IF($AN36="IA",IF($AY36&gt;IF($AU36="Head of household",19500,IF($AU36="Married",26000,13000)),0.038,0),IF($AN36="ID",IF($AY36&gt;IF($AU36="Married",32000,16094),0.053,0),IF($AN36="IL",IF($AY36&gt;(2925*$AS36+1000*$AT36),0.0495,0),IF($AN36="KY",IF($AI36&gt;3360,0.035,0),IF($AN36="LA",0.0309,IF($AN36="MA",IF(MAX(0,$AY36-MIN(($BD35+$Q36+$R36+$S36),2000)-IF($AS36=0,0,IF($AS36=1,4400,1000*$AS36+3400)))&gt;=1107750,0.09,0.05),IF($AN36="MS",IF($AI36-IF($AU36="Head of household",3400,IF($AU36="Married",4600,2300))-'Inputs 2'!$C$85&gt;10000,0.04,0),IF($AN36="PA",0.0307,"")))))))))))))))</f>
      </c>
      <c r="CD36" s="21">
        <f>IF(YEAR(IF('Inputs 2'!$C$7="Weekly",'Inputs 2'!$C$9+7*(($BE35+1)-1),IF('Inputs 2'!$C$7="Biweekly",'Inputs 2'!$C$9+14*(($BE35+1)-1),IF('Inputs 2'!$C$7="Semimonthly",DATE(YEAR('Inputs 2'!$C$9),MONTH('Inputs 2'!$C$9)+INT((($BE35+1)-1)/2),MIN(DAY('Inputs 2'!$C$9),DAY(EOMONTH(DATE(YEAR('Inputs 2'!$C$9),MONTH('Inputs 2'!$C$9)+INT((($BE35+1)-1)/2),1),0))))+IF(MOD(($BE35+1)-1,2)=1,15,0),EDATE('Inputs 2'!$C$9,($BE35+1)-1)))))&lt;&gt;'Inputs 2'!$C$10,"",IF('Inputs 2'!$C$7="Weekly",'Inputs 2'!$C$9+7*(($BE35+1)-1),IF('Inputs 2'!$C$7="Biweekly",'Inputs 2'!$C$9+14*(($BE35+1)-1),IF('Inputs 2'!$C$7="Semimonthly",DATE(YEAR('Inputs 2'!$C$9),MONTH('Inputs 2'!$C$9)+INT((($BE35+1)-1)/2),MIN(DAY('Inputs 2'!$C$9),DAY(EOMONTH(DATE(YEAR('Inputs 2'!$C$9),MONTH('Inputs 2'!$C$9)+INT((($BE35+1)-1)/2),1),0))))+IF(MOD(($BE35+1)-1,2)=1,15,0),EDATE('Inputs 2'!$C$9,($BE35+1)-1)))))</f>
      </c>
      <c r="CE36" s="21">
        <f>IF(SUMPRODUCT(MIN(IF(('Inputs 2'!$C$58:$C$67&gt;MAX($B$6:$B35))*('Inputs 2'!$C$58:$C$67&gt;=DATE('Inputs 2'!$C$10,1,1))*('Inputs 2'!$C$58:$C$67&lt;=DATE('Inputs 2'!$C$10,12,31)),'Inputs 2'!$C$58:$C$67,999999)))=999999,"",SUMPRODUCT(MIN(IF(('Inputs 2'!$C$58:$C$67&gt;MAX($B$6:$B35))*('Inputs 2'!$C$58:$C$67&gt;=DATE('Inputs 2'!$C$10,1,1))*('Inputs 2'!$C$58:$C$67&lt;=DATE('Inputs 2'!$C$10,12,31)),'Inputs 2'!$C$58:$C$67,999999))))</f>
      </c>
    </row>
    <row r="37">
      <c r="A37" t="n">
        <v>32</v>
      </c>
      <c r="B37" s="21">
        <f>IF(AND($CD37="",$CE37=""),"",IF($CE37="",$CD37,IF($CD37="",$CE37,MIN($CD37,$CE37))))</f>
      </c>
      <c r="C37" s="7">
        <f>IF($B37="","",IF($BF37=0,0,IF('Inputs 2'!$C$4="Annual salary",ROUND($AK37/IF(AND('Inputs 2'!$C$88="Actual paydays",MONTH('Inputs 2'!$C$9)=1),MAX(1,MAX($BE$6:$BE$68)),'Inputs 2'!$C$8),2),$AK37)))</f>
      </c>
      <c r="D37" s="7">
        <f>IF($B37="","",SUMIF('Inputs 2'!$C$58:$C$67,$B37,'Inputs 2'!$D$58:$D$67))</f>
      </c>
      <c r="E37" s="7">
        <f>IF($B37="","",ROUND(MAX(0,MIN(IF($AL37="Percent",$AM37*($C37+$D37),$AM37),MAX(0,'Inputs 2'!$C$34-$AC36))),2))</f>
      </c>
      <c r="F37" s="7">
        <f>IF($B37="","",ROUND(MAX(0,MIN(IF('Inputs 2'!$C$32="Percent",'Inputs 2'!$D$32*($C37+$D37),'Inputs 2'!$D$32),MAX(0,'Inputs 2'!$C$34-$AC36-$E37))),2))</f>
      </c>
      <c r="G37" s="7">
        <f>IF($B37="","",IF($BF37=0,0,ROUND(MAX(0,MIN($BL37,'Inputs 2'!$C$37-'Inputs 2'!$C$54-$BI36)),2)))</f>
      </c>
      <c r="H37" s="7">
        <f>IF($B37="","",IF(OR($BF37=0,$BQ37=1),0,ROUND(MAX(0,MIN(IF($BS37=1,ROUND(MAX(0,MIN($BJ37,'Methodology &amp; Sources'!$C$13)-$BG36)/MAX(1,MAX($BE$6:$BE$68)-($BE36)),2),ROUND(MIN($BJ37,'Methodology &amp; Sources'!$C$13)/'Inputs 2'!$C$8,2)),MIN($BJ37,'Methodology &amp; Sources'!$C$13)-$BG36)),2)))</f>
      </c>
      <c r="I37" s="7">
        <f>IF($B37="","",IF(OR($BF37=0,$BR37=1),0,ROUND(MAX(0,MIN(IF($BT37=1,ROUND(MAX(0,MIN($BK37,IF('Inputs 2'!$C$12="MFJ",'Methodology &amp; Sources'!$C$14,'Methodology &amp; Sources'!$C$15))-$BH36)/MAX(1,MAX($BE$6:$BE$68)-($BE36)),2),ROUND(MIN($BK37,IF('Inputs 2'!$C$12="MFJ",'Methodology &amp; Sources'!$C$14,'Methodology &amp; Sources'!$C$15))/'Inputs 2'!$C$8,2)),MIN($BK37,IF('Inputs 2'!$C$12="MFJ",'Methodology &amp; Sources'!$C$14,'Methodology &amp; Sources'!$C$15))-$BH36)),2)))</f>
      </c>
      <c r="J37" s="7">
        <f>IF($B37="","",IF($BF37=0,0,$BM37))</f>
      </c>
      <c r="K37" s="7">
        <f>IF($B37="","",IF($BF37=0,0,$BN37+$BO37))</f>
      </c>
      <c r="L37" s="7">
        <f>IF($B37="","",IF($BF37=0,0,'Inputs 2'!$D$46))</f>
      </c>
      <c r="M37" s="7">
        <f>IF($B37="","",$C37+$D37+$L37-$E37-$G37-$H37-$I37-$J37-$K37)</f>
      </c>
      <c r="N37" s="7">
        <f>IF($B37="","",$C37+$D37+$L37-$G37-$H37-$I37-$J37-$K37)</f>
      </c>
      <c r="O37" s="7">
        <f>IF($B37="","",$C37+$D37+$L37-$E37-$H37-$I37-$J37-$K37-IF(OR($AN37="CA",$AN37="NJ"),0,$G37))</f>
      </c>
      <c r="P37" s="7">
        <f>IF($B37="","",IF('Inputs 2'!$C$18,0,ROUND(MAX(0,IF('Inputs 2'!$C$13,SUMPRODUCT(($AH37&gt;INDEX('Methodology &amp; Sources'!$B$29:$J$36,0,IF('Inputs 2'!$C$12="MFJ",1,IF('Inputs 2'!$C$12="HoH",7,4))))*($AH37-INDEX('Methodology &amp; Sources'!$B$29:$J$36,0,IF('Inputs 2'!$C$12="MFJ",1,IF('Inputs 2'!$C$12="HoH",7,4))))*INDEX('Methodology &amp; Sources'!$B$29:$J$36,0,IF('Inputs 2'!$C$12="MFJ",1,IF('Inputs 2'!$C$12="HoH",7,4))+2)),SUMPRODUCT(($AH37&gt;INDEX('Methodology &amp; Sources'!$B$19:$J$26,0,IF('Inputs 2'!$C$12="MFJ",1,IF('Inputs 2'!$C$12="HoH",7,4))))*($AH37-INDEX('Methodology &amp; Sources'!$B$19:$J$26,0,IF('Inputs 2'!$C$12="MFJ",1,IF('Inputs 2'!$C$12="HoH",7,4))))*INDEX('Methodology &amp; Sources'!$B$19:$J$26,0,IF('Inputs 2'!$C$12="MFJ",1,IF('Inputs 2'!$C$12="HoH",7,4))+2)))/'Inputs 2'!$C$8-$AO37/'Inputs 2'!$C$8)+$AR37+IF('Inputs 2'!$C$89="Aggregate",MAX(0,IF('Inputs 2'!$C$13,SUMPRODUCT((($AH37+$D37)&gt;INDEX('Methodology &amp; Sources'!$B$29:$J$36,0,IF('Inputs 2'!$C$12="MFJ",1,IF('Inputs 2'!$C$12="HoH",7,4))))*(($AH37+$D37)-INDEX('Methodology &amp; Sources'!$B$29:$J$36,0,IF('Inputs 2'!$C$12="MFJ",1,IF('Inputs 2'!$C$12="HoH",7,4))))*INDEX('Methodology &amp; Sources'!$B$29:$J$36,0,IF('Inputs 2'!$C$12="MFJ",1,IF('Inputs 2'!$C$12="HoH",7,4))+2)),SUMPRODUCT((($AH37+$D37)&gt;INDEX('Methodology &amp; Sources'!$B$19:$J$26,0,IF('Inputs 2'!$C$12="MFJ",1,IF('Inputs 2'!$C$12="HoH",7,4))))*(($AH37+$D37)-INDEX('Methodology &amp; Sources'!$B$19:$J$26,0,IF('Inputs 2'!$C$12="MFJ",1,IF('Inputs 2'!$C$12="HoH",7,4))))*INDEX('Methodology &amp; Sources'!$B$19:$J$26,0,IF('Inputs 2'!$C$12="MFJ",1,IF('Inputs 2'!$C$12="HoH",7,4))+2)))-IF('Inputs 2'!$C$13,SUMPRODUCT(($AH37&gt;INDEX('Methodology &amp; Sources'!$B$29:$J$36,0,IF('Inputs 2'!$C$12="MFJ",1,IF('Inputs 2'!$C$12="HoH",7,4))))*($AH37-INDEX('Methodology &amp; Sources'!$B$29:$J$36,0,IF('Inputs 2'!$C$12="MFJ",1,IF('Inputs 2'!$C$12="HoH",7,4))))*INDEX('Methodology &amp; Sources'!$B$29:$J$36,0,IF('Inputs 2'!$C$12="MFJ",1,IF('Inputs 2'!$C$12="HoH",7,4))+2)),SUMPRODUCT(($AH37&gt;INDEX('Methodology &amp; Sources'!$B$19:$J$26,0,IF('Inputs 2'!$C$12="MFJ",1,IF('Inputs 2'!$C$12="HoH",7,4))))*($AH37-INDEX('Methodology &amp; Sources'!$B$19:$J$26,0,IF('Inputs 2'!$C$12="MFJ",1,IF('Inputs 2'!$C$12="HoH",7,4))))*INDEX('Methodology &amp; Sources'!$B$19:$J$26,0,IF('Inputs 2'!$C$12="MFJ",1,IF('Inputs 2'!$C$12="HoH",7,4))+2)))),'Methodology &amp; Sources'!$C$10*$D37),2)))</f>
      </c>
      <c r="Q37" s="7">
        <f>IF($B37="","",ROUND('Methodology &amp; Sources'!$C$4*MIN($N37,MAX(0,'Methodology &amp; Sources'!$C$3-($AX37+$AB36-$AW37))),2))</f>
      </c>
      <c r="R37" s="7">
        <f>IF($B37="","",ROUND('Methodology &amp; Sources'!$C$5*$N37,2))</f>
      </c>
      <c r="S37" s="7">
        <f>IF($B37="","",ROUND('Methodology &amp; Sources'!$C$6*MAX(0,MIN($N37,$AG36+$N37-'Methodology &amp; Sources'!$C$7)),2))</f>
      </c>
      <c r="T37" s="7">
        <f>IF($B37="","",IF('Inputs 2'!$C$26,0,IF($AN37="CA",ROUND(IF($AI37&lt;=IF(($AS37+$AT37)&gt;=2,VLOOKUP($AN37,StateTables!$A$6:$AB$56,10,FALSE),VLOOKUP($AN37,StateTables!$A$6:$AB$56,9,FALSE)),0,MAX(0,SUMPRODUCT(($AJ37&gt;INDEX('Methodology &amp; Sources'!$B$39:$J$48,0,IF($AU37="Married",4,IF($AU37="Head of household",7,1))))*($AJ37-INDEX('Methodology &amp; Sources'!$B$39:$J$48,0,IF($AU37="Married",4,IF($AU37="Head of household",7,1))))*INDEX('Methodology &amp; Sources'!$B$39:$J$48,0,IF($AU37="Married",4,IF($AU37="Head of household",7,1))+2))-VLOOKUP($AN37,StateTables!$A$6:$AB$56,11,FALSE)*$AS37)/'Inputs 2'!$C$8)+'Inputs 2'!$C$25+VLOOKUP($AN37,StateTables!$A$6:$AB$56,13,FALSE)*$D37,2),IF(VLOOKUP($AN37,StateTables!$A$6:$AB$56,4,FALSE)="None",0,IF(ISNUMBER(SEARCH("MANUAL",VLOOKUP($AN37,StateTables!$A$6:$AB$56,5,FALSE))),'Inputs 2'!$C$28,ROUND(MAX(0,$BA37+$BB37)/'Inputs 2'!$C$8+'Inputs 2'!$C$25+$BC37,2))))))</f>
      </c>
      <c r="U37" s="7">
        <f>IF($B37="","",IF(VLOOKUP($AN37,StateTables!$A$6:$AB$56,24,FALSE)="flatq",IF(OR(MONTH($B37)=1,MONTH($B37)=4,MONTH($B37)=7,MONTH($B37)=10),VLOOKUP($AN37,StateTables!$A$6:$AB$56,25,FALSE),0),IF(VLOOKUP($AN37,StateTables!$A$6:$AB$56,24,FALSE)="dbl",MIN(ROUND(0.005*$N37,2),ROUND(0.6*52/'Inputs 2'!$C$8,2)),IF(OR(VLOOKUP($AN37,StateTables!$A$6:$AB$56,15,FALSE)="",VLOOKUP($AN37,StateTables!$A$6:$AB$56,15,FALSE)=0),0,ROUND(VLOOKUP($AN37,StateTables!$A$6:$AB$56,15,FALSE)*IF(OR(VLOOKUP($AN37,StateTables!$A$6:$AB$56,16,FALSE)="",VLOOKUP($AN37,StateTables!$A$6:$AB$56,16,FALSE)=0),$N37,MIN($N37,MAX(0,VLOOKUP($AN37,StateTables!$A$6:$AB$56,16,FALSE)-($AX37+$AB36-$AW37)))),2))))+IF(VLOOKUP($AN37,StateTables!$A$6:$AB$56,27,FALSE)="flatq",IF(OR(MONTH($B37)=1,MONTH($B37)=4,MONTH($B37)=7,MONTH($B37)=10),VLOOKUP($AN37,StateTables!$A$6:$AB$56,28,FALSE),0),IF(VLOOKUP($AN37,StateTables!$A$6:$AB$56,27,FALSE)="dbl",MIN(ROUND(0.005*$N37,2),ROUND(0.6*52/'Inputs 2'!$C$8,2)),IF(OR(VLOOKUP($AN37,StateTables!$A$6:$AB$56,18,FALSE)="",VLOOKUP($AN37,StateTables!$A$6:$AB$56,18,FALSE)=0),0,ROUND(VLOOKUP($AN37,StateTables!$A$6:$AB$56,18,FALSE)*IF(OR(VLOOKUP($AN37,StateTables!$A$6:$AB$56,19,FALSE)="",VLOOKUP($AN37,StateTables!$A$6:$AB$56,19,FALSE)=0),$N37,MIN($N37,MAX(0,VLOOKUP($AN37,StateTables!$A$6:$AB$56,19,FALSE)-($AX37+$AB36-$AW37)))),2)))))</f>
      </c>
      <c r="V37" s="7">
        <f>IF($B37="","",IF($AN37="NY",IF('Inputs 2'!$C$78,ROUND(SUMPRODUCT((MAX(0,($O37-$D37)*'Inputs 2'!$C$8-(IF($AU37="Married",5500,5000)+1000*$AS37))&gt;INDEX('Methodology &amp; Sources'!$B$184:$J$198,0,4))*(MAX(0,($O37-$D37)*'Inputs 2'!$C$8-(IF($AU37="Married",5500,5000)+1000*$AS37))-INDEX('Methodology &amp; Sources'!$B$184:$J$198,0,4))*INDEX('Methodology &amp; Sources'!$B$184:$J$198,0,4+2))/'Inputs 2'!$C$8+0.0425*$D37,2),0)+IF('Inputs 2'!$C$79="Resident",ROUND(0.1675*$T37,2),IF('Inputs 2'!$C$79="Nonresident",ROUND(0.005*MAX(0,($O37-$D37)-(IF($AU37="Married",7950,7400)+1000*$AS37)/'Inputs 2'!$C$8),2),0)),IF($AN37="PA",IF('Inputs 2'!$C$80="None",'Inputs 2'!$C$27+ROUND('Inputs 2'!$C$81*($C37+$D37),2),ROUND(IF('Inputs 2'!$C$80="Resident",IF($B37&lt;DATE(2027,7,1),0.03735,0.03735),IF($B37&lt;DATE(2027,7,1),0.03425,0.03425))*($C37+$D37),2)),IF($BF37=0,ROUND('Inputs 2'!$C$81*($C37+$D37),2),'Inputs 2'!$C$27+ROUND('Inputs 2'!$C$81*($C37+$D37),2)))))</f>
      </c>
      <c r="W37" s="7">
        <f>IF($B37="","",IF($BF37=0,0,$BP37))</f>
      </c>
      <c r="X37" s="7">
        <f>IF($B37="","",SUM($E37:$K37)+$P37+$Q37+$R37+$S37+$T37+$U37+$V37+$W37)</f>
      </c>
      <c r="Y37" s="22">
        <f>IF($B37="","",$C37+$D37-$X37)</f>
      </c>
      <c r="Z37" s="7">
        <f>IF($B37="","",$Z36+$C37+$D37)</f>
      </c>
      <c r="AA37" s="7">
        <f>IF($B37="","",$AA36+$Y37)</f>
      </c>
      <c r="AB37" s="7">
        <f>IF($B37="","",$AB36+MIN($N37,MAX(0,'Methodology &amp; Sources'!$C$3-($AX37+$AB36-$AW37))))</f>
      </c>
      <c r="AC37" s="7">
        <f>IF($B37="","",$AC36+$E37+$F37)</f>
      </c>
      <c r="AD37" s="3">
        <f>IF($B37="","",IF(AND($AB36&lt;'Methodology &amp; Sources'!$C$3,$AB37&gt;='Methodology &amp; Sources'!$C$3),"★ Social Security maxed on this check — from the next check your net rises by about $"&amp;TEXT(ROUND('Methodology &amp; Sources'!$C$4*$N37,2),"#,##0.00")&amp;". ","")&amp;IF(AND($AC36&lt;'Inputs 2'!$C$34,$AC37&gt;='Inputs 2'!$C$34),"★ 401(k) reaches the $"&amp;TEXT('Inputs 2'!$C$34,"#,##0")&amp;" cap on this check — deferrals stop and net pay rises. ","")&amp;IF(AND($AG36&lt;'Methodology &amp; Sources'!$C$7,$AG37&gt;='Methodology &amp; Sources'!$C$7),"★ Wages pass $200,000 — the 0.9% Additional Medicare Tax starts here. ","")&amp;IF(AND($BJ37&gt;0,$H37&gt;0,$BG36&lt;MIN($BJ37,'Methodology &amp; Sources'!$C$13),$BG36+$H37&gt;=MIN($BJ37,'Methodology &amp; Sources'!$C$13)),"★ Health FSA election is now fully deferred for the year. ",""))</f>
      </c>
      <c r="AE37" s="41" t="n"/>
      <c r="AF37" s="7">
        <f>IF(OR($B37="",$AE37=""),"",$AE37-$Y37)</f>
      </c>
      <c r="AG37" s="7">
        <f>IF($B37="","",$AG36+$N37)</f>
      </c>
      <c r="AH37" s="7">
        <f>IF($B37="","",MAX(0,($M37-$D37)*'Inputs 2'!$C$8+$AP37-$AQ37-IF('Inputs 2'!$C$13,0,IF('Inputs 2'!$C$12="MFJ",'Methodology &amp; Sources'!$C$8,'Methodology &amp; Sources'!$C$9))))</f>
      </c>
      <c r="AI37" s="7">
        <f>IF($B37="","",$O37*'Inputs 2'!$C$8)</f>
      </c>
      <c r="AJ37" s="7">
        <f>IF($B37="","",MAX(0,$AI37-VLOOKUP($AN37,StateTables!$A$6:$AB$56,12,FALSE)*$AT37-IF(($AS37+$AT37)&gt;=2,VLOOKUP($AN37,StateTables!$A$6:$AB$56,8,FALSE),VLOOKUP($AN37,StateTables!$A$6:$AB$56,7,FALSE))))</f>
      </c>
      <c r="AK37" s="7">
        <f>IF($B37="","",IFERROR(LOOKUP(2,1/(('Events 2'!$C$6:$C$17="Salary change")*('Events 2'!$B$6:$B$17&lt;=$B37)*('Events 2'!$B$6:$B$17&lt;&gt;"")),'Events 2'!$D$6:$D$17),IF('Inputs 2'!$C$4="Annual salary",'Inputs 2'!$C$5,'Inputs 2'!$C$6)))</f>
      </c>
      <c r="AL37">
        <f>IF($B37="","",IFERROR(LOOKUP(2,1/(('Events 2'!$C$6:$C$17="401(k) change")*('Events 2'!$B$6:$B$17&lt;=$B37)*('Events 2'!$B$6:$B$17&lt;&gt;"")),'Events 2'!$D$6:$D$17),'Inputs 2'!$C$30))</f>
      </c>
      <c r="AM37" s="7">
        <f>IF($B37="","",IFERROR(LOOKUP(2,1/(('Events 2'!$C$6:$C$17="401(k) change")*('Events 2'!$B$6:$B$17&lt;=$B37)*('Events 2'!$B$6:$B$17&lt;&gt;"")),'Events 2'!$E$6:$E$17),'Inputs 2'!$D$30))</f>
      </c>
      <c r="AN37">
        <f>IF($B37="","",IFERROR(LOOKUP(2,1/(('Events 2'!$C$6:$C$17="State move")*('Events 2'!$B$6:$B$17&lt;=$B37)*('Events 2'!$B$6:$B$17&lt;&gt;"")),'Events 2'!$D$6:$D$17),'Inputs 2'!$C$21))</f>
      </c>
      <c r="AO37" s="7">
        <f>IF($B37="","",IFERROR(LOOKUP(2,1/(('Events 2'!$C$6:$C$17="W-4 change")*('Events 2'!$B$6:$B$17&lt;=$B37)*('Events 2'!$B$6:$B$17&lt;&gt;"")),'Events 2'!$D$6:$D$17),'Inputs 2'!$C$14))</f>
      </c>
      <c r="AP37" s="7">
        <f>IF($B37="","",IFERROR(LOOKUP(2,1/(('Events 2'!$C$6:$C$17="W-4 change")*('Events 2'!$B$6:$B$17&lt;=$B37)*('Events 2'!$B$6:$B$17&lt;&gt;"")),'Events 2'!$E$6:$E$17),'Inputs 2'!$C$15))</f>
      </c>
      <c r="AQ37" s="7">
        <f>IF($B37="","",IFERROR(LOOKUP(2,1/(('Events 2'!$C$6:$C$17="W-4 change")*('Events 2'!$B$6:$B$17&lt;=$B37)*('Events 2'!$B$6:$B$17&lt;&gt;"")),'Events 2'!$F$6:$F$17),'Inputs 2'!$C$16))</f>
      </c>
      <c r="AR37" s="7">
        <f>IF($B37="","",IFERROR(LOOKUP(2,1/(('Events 2'!$C$6:$C$17="W-4 change")*('Events 2'!$B$6:$B$17&lt;=$B37)*('Events 2'!$B$6:$B$17&lt;&gt;"")),'Events 2'!$G$6:$G$17),'Inputs 2'!$C$17))</f>
      </c>
      <c r="AS37" s="6">
        <f>IF($B37="","",IFERROR(LOOKUP(2,1/((('Events 2'!$C$6:$C$17="State move")+('Events 2'!$C$6:$C$17="State cert change"))*('Events 2'!$B$6:$B$17&lt;=$B37)*('Events 2'!$B$6:$B$17&lt;&gt;"")),'Events 2'!$F$6:$F$17),'Inputs 2'!$C$23))</f>
      </c>
      <c r="AT37" s="6">
        <f>IF($B37="","",IFERROR(LOOKUP(2,1/((('Events 2'!$C$6:$C$17="State move")+('Events 2'!$C$6:$C$17="State cert change"))*('Events 2'!$B$6:$B$17&lt;=$B37)*('Events 2'!$B$6:$B$17&lt;&gt;"")),'Events 2'!$G$6:$G$17),'Inputs 2'!$C$24))</f>
      </c>
      <c r="AU37">
        <f>IF($B37="","",IFERROR(LOOKUP(2,1/(('Events 2'!$C$6:$C$17="State move")*('Events 2'!$B$6:$B$17&lt;=$B37)*('Events 2'!$B$6:$B$17&lt;&gt;"")),'Events 2'!$E$6:$E$17),'Inputs 2'!$C$22))</f>
      </c>
      <c r="AV37" s="6">
        <f>IF($B37="","",1+COUNTIFS('Events 2'!$C$6:$C$17,"Employer change",'Events 2'!$B$6:$B$17,"&lt;="&amp;$B37,'Events 2'!$B$6:$B$17,"&lt;&gt;"))</f>
      </c>
      <c r="AW37" s="7">
        <f>IF($B37="","",IF($AV37=1,'Inputs 2'!$C$49,IF(IFERROR(MATCH(IFERROR(LOOKUP(2,1/(('Events 2'!$C$6:$C$17="Employer change")*('Events 2'!$B$6:$B$17&lt;=$B37)*('Events 2'!$B$6:$B$17&lt;&gt;"")),'Events 2'!$B$6:$B$17),""),$B$6:$B$68,1),1)&lt;=1,'Inputs 2'!$C$49,INDEX($AB$6:$AB$68,MATCH(IFERROR(LOOKUP(2,1/(('Events 2'!$C$6:$C$17="Employer change")*('Events 2'!$B$6:$B$17&lt;=$B37)*('Events 2'!$B$6:$B$17&lt;&gt;"")),'Events 2'!$B$6:$B$17),""),$B$6:$B$68,1)-1))))</f>
      </c>
      <c r="AX37" s="7">
        <f>IF($B37="","",IF($AV37=1,'Inputs 2'!$C$49,IFERROR(LOOKUP(2,1/(('Events 2'!$C$6:$C$17="Employer change")*('Events 2'!$B$6:$B$17&lt;=$B37)*('Events 2'!$B$6:$B$17&lt;&gt;"")),'Events 2'!$D$6:$D$17),0)))</f>
      </c>
      <c r="AY37" s="7">
        <f>IF($B37="","",($O37-$D37)*'Inputs 2'!$C$8)</f>
      </c>
      <c r="AZ37" s="7">
        <f>IF($B37="","",IF($AN37="AL",MAX(0,$AY37-IF($AU37="Married",IF($AY37&lt;=25999,8500,MAX(5000,8500-175*CEILING(($AY37-25999)/500,1))),IF($AU37="Head of household",IF($AY37&lt;=25999,5200,MAX(2500,5200-135*CEILING(($AY37-25999)/500,1))),IF($AY37&lt;=25999,3000,MAX(2500,3000-25*CEILING(($AY37-25999)/500,1)))))-($P37-'Methodology &amp; Sources'!$C$10*$D37)*'Inputs 2'!$C$8-IF(OR($AU37="Married",$AU37="Head of household"),3000,1500)-$AT37*IF($AY37&lt;=50000,1000,IF($AY37&lt;=100000,500,300))),IF($AN37="AR",IF(MAX(0,$AY37-2470)&lt;97701,INT(MAX(0,$AY37-2470)/100)*100+50,MAX(0,$AY37-2470)),IF($AN37="DE",MAX(0,$AI37-3250),IF($AN37="HI",MAX(0,$AI37-1144*$AS37-4350),IF($AN37="KS",MAX(0,$AI37-(9160*IF($AU37="Married",2,1)+2320*$AT37+IF($AU37="Head of household",2320,0))),IF($AN37="MD",MAX(0,$AI37-3400-3200*$AS37),IF($AN37="MN",MAX(0,$AY37-5300*$AS37),IF($AN37="MO",MAX(0,$AI37-IF($AU37="Head of household",24150,IF($AU37="Married",IF('Inputs 2'!$C$83,16100,32200),16100))),IF($AN37="MT",$AY37,IF($AN37="ND",($C37+$L37)*'Inputs 2'!$C$8,IF($AN37="NE",MAX(0,$AY37-2440*$AS37),IF($AN37="NJ",MAX(0,$AY37-1000*$AS37),IF($AN37="NY",MAX(0,$AY37-(IF($AU37="Married",7950,7400)+1000*$AS37)),IF($AN37="OH",MAX(0,$AY37-650*$AS37),IF($AN37="OK",MAX(0,$AY37-1000*$AS37),IF($AN37="RI",MAX(0,$AI37-1000*$AS37),IF($AN37="SC",MAX(0,$AI37-5000*$AS37-IF($AS37=0,0,MIN(0.1*$AI37,7500))),IF($AN37="VA",MAX(0,$AI37-IF($AU37="Married",17500,8750)-930*$AS37-800*$AT37),IF($AN37="VT",MAX(0,$AI37-5400*$AS37),IF($AN37="WI",MAX(0,$AI37-MAX(0,IF($AU37="Married",9461-0.2*MAX(0,$AI37-25727),6702-0.12*MAX(0,$AI37-17780)))-400*$AS37),IF($AN37="WV",MAX(0,$AI37-2000*$AS37),$AI37))))))))))))))))))))))</f>
      </c>
      <c r="BA37" s="7">
        <f>IF($B37="","",IF($BW37&lt;&gt;"",$BW37,IF($BX37&lt;&gt;"",$BX37,IF($BY37&lt;&gt;"",$BY37,0))))</f>
      </c>
      <c r="BB37" s="7">
        <f>IF($B37="","",IF($AN37="AR",-29*$AS37,IF($AN37="DE",-110*$AS37,IF($AN37="MD",$AZ37*'Inputs 2'!$C$74,IF($AN37="AZ",'Inputs 2'!$C$82*($M37-$D37)*'Inputs 2'!$C$8,IF($AN37="CO",0.044*MAX(0,$AY37-IF($AU37="Married",10000,5000)),IF($AN37="IA",MAX(0,0.038*MAX(0,$AY37-IF($AU37="Head of household",19500,IF($AU37="Married",26000,13000)))-40*$AS37),IF($AN37="ID",0.053*MAX(0,$AY37-IF($AU37="Married",32000,16094)),IF($AN37="IL",0.0495*MAX(0,$AY37-(2925*$AS37+1000*$AT37)),IF($AN37="IN",(0.0295+'Inputs 2'!$C$76)*MAX(0,$AY37-(1000*$AS37+1500*$AT37+3000*'Inputs 2'!$C$86)),IF($AN37="KY",0.035*MAX(0,$AI37-3360),IF($AN37="LA",IF('Inputs 2'!$C$84="0",0.0309*$AI37,0.0309*MAX(0,$AI37-IF('Inputs 2'!$C$84="2",25750,12875))),IF($AN37="MA",0.05*MIN(MAX(0,$AY37-MIN(($BD36+$Q37+$R37+$S37),2000)-IF($AS37=0,0,IF($AS37=1,4400,1000*$AS37+3400))),1107750)+0.09*MAX(0,MAX(0,$AY37-MIN(($BD36+$Q37+$R37+$S37),2000)-IF($AS37=0,0,IF($AS37=1,4400,1000*$AS37+3400)))-1107750)-IF($AU37="Head of household",120,0)-110*'Inputs 2'!$C$75,IF($AN37="MI",0.0425*MAX(0,$AY37-5900*$AS37),IF($AN37="MS",0.04*MAX(0,$AI37-IF($AU37="Head of household",3400,IF($AU37="Married",4600,2300))-'Inputs 2'!$C$85-10000),IF($AN37="OR",IF(OR($AU37="Married",AND($AU37="Single",$AS37&gt;=3)),SUMPRODUCT((MAX(0,$AY37-MIN(($P37-'Methodology &amp; Sources'!$C$10*$D37)*'Inputs 2'!$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Sources'!$B$211:$J$214,0,4))*(MAX(0,$AY37-MIN(($P37-'Methodology &amp; Sources'!$C$10*$D37)*'Inputs 2'!$C$8,IF(OR($AU37="Married",AND($AU37="Single",$AS37&gt;=3)),IF($AY37&lt;250000,8750,IF($AY37&lt;260000,7000,IF($AY37&lt;270000,5250,IF($AY37&lt;280000,3500,IF($AY37&lt;290000,1750,0))))),IF($AY37&lt;125000,8750,IF($AY37&lt;130000,7000,IF($AY37&lt;135000,5250,IF($AY37&lt;140000,3500,IF($AY37&lt;145000,1750,0)))))))-IF(OR($AU37="Married",AND($AU37="Single",$AS37&gt;=3)),5820,2910))-INDEX('Methodology &amp; Sources'!$B$211:$J$214,0,4))*INDEX('Methodology &amp; Sources'!$B$211:$J$214,0,4+2)),SUMPRODUCT((MAX(0,$AY37-MIN(($P37-'Methodology &amp; Sources'!$C$10*$D37)*'Inputs 2'!$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Sources'!$B$211:$J$214,0,1))*(MAX(0,$AY37-MIN(($P37-'Methodology &amp; Sources'!$C$10*$D37)*'Inputs 2'!$C$8,IF(OR($AU37="Married",AND($AU37="Single",$AS37&gt;=3)),IF($AY37&lt;250000,8750,IF($AY37&lt;260000,7000,IF($AY37&lt;270000,5250,IF($AY37&lt;280000,3500,IF($AY37&lt;290000,1750,0))))),IF($AY37&lt;125000,8750,IF($AY37&lt;130000,7000,IF($AY37&lt;135000,5250,IF($AY37&lt;140000,3500,IF($AY37&lt;145000,1750,0)))))))-IF(OR($AU37="Married",AND($AU37="Single",$AS37&gt;=3)),5820,2910))-INDEX('Methodology &amp; Sources'!$B$211:$J$214,0,1))*INDEX('Methodology &amp; Sources'!$B$211:$J$214,0,1+2)))+263-263*IF(IF($AU37="Married",$AY37&gt;200000,$AY37&gt;100000),0,$AS37),IF($AN37="PA",0.0307*(($O37+$E37+$G37)*'Inputs 2'!$C$8),IF($AN37="NY",IF($AU37="Married",IF($AZ37&gt;=2155350,0,IF($AZ37&gt;=1077550,0.48,IF($AZ37&gt;=373200,1.21,IF($AZ37&gt;=323200,0.21,IF($AZ37&gt;=211550,-0.19,IF($AZ37&gt;=157650,-2.8,IF($AZ37&gt;=107650,-0.8,IF($AZ37&gt;=96800,0.05,IF($AZ37&gt;=80650,-0.1,IF($AZ37&gt;=13900,0.4,IF($AZ37&gt;=11700,-0.3,IF($AZ37&gt;=8500,0.5,0)))))))))))),IF($AZ37&gt;=1077550,0,IF($AZ37&gt;=265400,4.29,IF($AZ37&gt;=215400,2.29,IF($AZ37&gt;=157650,2.29,IF($AZ37&gt;=107650,0.29,IF($AZ37&gt;=96800,0.05,IF($AZ37&gt;=80650,-0.1,IF($AZ37&gt;=13900,0.4,IF($AZ37&gt;=11700,-0.3,IF($AZ37&gt;=8500,0.5,0))))))))))),0))))))))))))))))))</f>
      </c>
      <c r="BC37" s="7">
        <f>IF($B37="","",IF($AN37="AL",0.05*$D37,IF($AN37="AR",0.039*$D37,IF($AN37="ID",0.053*$D37,IF($AN37="IN",(0.0295+'Inputs 2'!$C$76)*$D37,IF($AN37="KS",0.05*$D37,IF($AN37="MA",0.09*MIN($D37,MAX(0,MAX(0,$AY37-MIN(($BD36+$Q37+$R37+$S37),2000)-IF($AS37=0,0,IF($AS37=1,4400,1000*$AS37+3400)))+$D37-1107750))+0.05*($D37-MIN($D37,MAX(0,MAX(0,$AY37-MIN(($BD36+$Q37+$R37+$S37),2000)-IF($AS37=0,0,IF($AS37=1,4400,1000*$AS37+3400)))+$D37-1107750))),IF($AN37="MD",(0.065+'Inputs 2'!$C$74)*$D37,IF($AN37="MI",0.0425*$D37,IF($AN37="MN",0.0625*$D37,IF($AN37="MO",0.047*$D37,IF($AN37="MT",0.05*$D37,IF($AN37="ND",0.015*$D37,IF($AN37="NE",0.035*$D37,IF($AN37="NJ",IF('Inputs 2'!$C$77="B",SUMPRODUCT(($D37*'Inputs 2'!$C$8&gt;INDEX('Methodology &amp; Sources'!$B$155:$J$162,0,4))*($D37*'Inputs 2'!$C$8-INDEX('Methodology &amp; Sources'!$B$155:$J$162,0,4))*INDEX('Methodology &amp; Sources'!$B$155:$J$162,0,4+2)),IF('Inputs 2'!$C$77="C",SUMPRODUCT(($D37*'Inputs 2'!$C$8&gt;INDEX('Methodology &amp; Sources'!$B$155:$J$162,0,7))*($D37*'Inputs 2'!$C$8-INDEX('Methodology &amp; Sources'!$B$155:$J$162,0,7))*INDEX('Methodology &amp; Sources'!$B$155:$J$162,0,7+2)),IF('Inputs 2'!$C$77="D",SUMPRODUCT(($D37*'Inputs 2'!$C$8&gt;INDEX('Methodology &amp; Sources'!$B$167:$J$179,0,1))*($D37*'Inputs 2'!$C$8-INDEX('Methodology &amp; Sources'!$B$167:$J$179,0,1))*INDEX('Methodology &amp; Sources'!$B$167:$J$179,0,1+2)),IF('Inputs 2'!$C$77="E",SUMPRODUCT(($D37*'Inputs 2'!$C$8&gt;INDEX('Methodology &amp; Sources'!$B$167:$J$179,0,4))*($D37*'Inputs 2'!$C$8-INDEX('Methodology &amp; Sources'!$B$167:$J$179,0,4))*INDEX('Methodology &amp; Sources'!$B$167:$J$179,0,4+2)),SUMPRODUCT(($D37*'Inputs 2'!$C$8&gt;INDEX('Methodology &amp; Sources'!$B$155:$J$162,0,1))*($D37*'Inputs 2'!$C$8-INDEX('Methodology &amp; Sources'!$B$155:$J$162,0,1))*INDEX('Methodology &amp; Sources'!$B$155:$J$162,0,1+2))))))/'Inputs 2'!$C$8,IF($AN37="NY",0.117*$D37,IF($AN37="OH",0.0275*$D37,IF($AN37="OK",0.045*$D37,IF($AN37="OR",0.08*$D37,IF($AN37="WI",IF($AY37&lt;12760,0.0354,IF($AY37&lt;25520,0.0465,IF($AY37&lt;280950,0.053,0.0765)))*$D37,0))))))))))))))))))))</f>
      </c>
      <c r="BD37" s="7">
        <f>IF($B37="","",$BD36+$Q37+$R37+$S37)</f>
      </c>
      <c r="BE37" s="6">
        <f>IF($B37="",$BE36,$BE36+$BF37)</f>
      </c>
      <c r="BF37" s="6">
        <f>IF($B37="","",IF(AND(IF(YEAR(IF('Inputs 2'!$C$7="Weekly",'Inputs 2'!$C$9+7*(($BE36+1)-1),IF('Inputs 2'!$C$7="Biweekly",'Inputs 2'!$C$9+14*(($BE36+1)-1),IF('Inputs 2'!$C$7="Semimonthly",DATE(YEAR('Inputs 2'!$C$9),MONTH('Inputs 2'!$C$9)+INT((($BE36+1)-1)/2),MIN(DAY('Inputs 2'!$C$9),DAY(EOMONTH(DATE(YEAR('Inputs 2'!$C$9),MONTH('Inputs 2'!$C$9)+INT((($BE36+1)-1)/2),1),0))))+IF(MOD(($BE36+1)-1,2)=1,15,0),EDATE('Inputs 2'!$C$9,($BE36+1)-1)))))&lt;&gt;'Inputs 2'!$C$10,"",IF('Inputs 2'!$C$7="Weekly",'Inputs 2'!$C$9+7*(($BE36+1)-1),IF('Inputs 2'!$C$7="Biweekly",'Inputs 2'!$C$9+14*(($BE36+1)-1),IF('Inputs 2'!$C$7="Semimonthly",DATE(YEAR('Inputs 2'!$C$9),MONTH('Inputs 2'!$C$9)+INT((($BE36+1)-1)/2),MIN(DAY('Inputs 2'!$C$9),DAY(EOMONTH(DATE(YEAR('Inputs 2'!$C$9),MONTH('Inputs 2'!$C$9)+INT((($BE36+1)-1)/2),1),0))))+IF(MOD(($BE36+1)-1,2)=1,15,0),EDATE('Inputs 2'!$C$9,($BE36+1)-1)))))&lt;&gt;"",$B37=IF(YEAR(IF('Inputs 2'!$C$7="Weekly",'Inputs 2'!$C$9+7*(($BE36+1)-1),IF('Inputs 2'!$C$7="Biweekly",'Inputs 2'!$C$9+14*(($BE36+1)-1),IF('Inputs 2'!$C$7="Semimonthly",DATE(YEAR('Inputs 2'!$C$9),MONTH('Inputs 2'!$C$9)+INT((($BE36+1)-1)/2),MIN(DAY('Inputs 2'!$C$9),DAY(EOMONTH(DATE(YEAR('Inputs 2'!$C$9),MONTH('Inputs 2'!$C$9)+INT((($BE36+1)-1)/2),1),0))))+IF(MOD(($BE36+1)-1,2)=1,15,0),EDATE('Inputs 2'!$C$9,($BE36+1)-1)))))&lt;&gt;'Inputs 2'!$C$10,"",IF('Inputs 2'!$C$7="Weekly",'Inputs 2'!$C$9+7*(($BE36+1)-1),IF('Inputs 2'!$C$7="Biweekly",'Inputs 2'!$C$9+14*(($BE36+1)-1),IF('Inputs 2'!$C$7="Semimonthly",DATE(YEAR('Inputs 2'!$C$9),MONTH('Inputs 2'!$C$9)+INT((($BE36+1)-1)/2),MIN(DAY('Inputs 2'!$C$9),DAY(EOMONTH(DATE(YEAR('Inputs 2'!$C$9),MONTH('Inputs 2'!$C$9)+INT((($BE36+1)-1)/2),1),0))))+IF(MOD(($BE36+1)-1,2)=1,15,0),EDATE('Inputs 2'!$C$9,($BE36+1)-1)))))),1,0))</f>
      </c>
      <c r="BG37" s="7">
        <f>IF($B37="","",$BG36+$H37)</f>
      </c>
      <c r="BH37" s="7">
        <f>IF($B37="","",$BH36+$I37)</f>
      </c>
      <c r="BI37" s="7">
        <f>IF($B37="","",$BI36+$G37)</f>
      </c>
      <c r="BJ37" s="7">
        <f>IF($B37="","",IFERROR(LOOKUP(2,1/(((('Events 2'!$C$6:$C$17="Deduction start"))*('Events 2'!$D$6:$D$17="Health FSA"))*('Events 2'!$B$6:$B$17&lt;=$B37)*('Events 2'!$B$6:$B$17&lt;&gt;"")),'Events 2'!$E$6:$E$17),'Inputs 2'!$D$38))</f>
      </c>
      <c r="BK37" s="7">
        <f>IF($B37="","",IFERROR(LOOKUP(2,1/(((('Events 2'!$C$6:$C$17="Deduction start"))*('Events 2'!$D$6:$D$17="Dependent-care FSA"))*('Events 2'!$B$6:$B$17&lt;=$B37)*('Events 2'!$B$6:$B$17&lt;&gt;"")),'Events 2'!$E$6:$E$17),'Inputs 2'!$D$39))</f>
      </c>
      <c r="BL37" s="7">
        <f>IF($B37="","",IFERROR(LOOKUP(2,1/(((('Events 2'!$C$6:$C$17="Deduction start")+('Events 2'!$C$6:$C$17="Deduction stop"))*('Events 2'!$D$6:$D$17="HSA"))*('Events 2'!$B$6:$B$17&lt;=$B37)*('Events 2'!$B$6:$B$17&lt;&gt;"")),'Events 2'!$I$6:$I$17),'Inputs 2'!$D$35))</f>
      </c>
      <c r="BM37" s="7">
        <f>IF($B37="","",IFERROR(LOOKUP(2,1/(((('Events 2'!$C$6:$C$17="Deduction start")+('Events 2'!$C$6:$C$17="Deduction stop"))*('Events 2'!$D$6:$D$17="Premiums"))*('Events 2'!$B$6:$B$17&lt;=$B37)*('Events 2'!$B$6:$B$17&lt;&gt;"")),'Events 2'!$I$6:$I$17),'Inputs 2'!$D$40+'Inputs 2'!$D$41+'Inputs 2'!$D$42))</f>
      </c>
      <c r="BN37" s="7">
        <f>IF($B37="","",IFERROR(LOOKUP(2,1/(((('Events 2'!$C$6:$C$17="Deduction start")+('Events 2'!$C$6:$C$17="Deduction stop"))*('Events 2'!$D$6:$D$17="Commuter"))*('Events 2'!$B$6:$B$17&lt;=$B37)*('Events 2'!$B$6:$B$17&lt;&gt;"")),'Events 2'!$I$6:$I$17),'Inputs 2'!$D$43))</f>
      </c>
      <c r="BO37" s="7">
        <f>IF($B37="","",IFERROR(LOOKUP(2,1/(((('Events 2'!$C$6:$C$17="Deduction start")+('Events 2'!$C$6:$C$17="Deduction stop"))*('Events 2'!$D$6:$D$17="Other pre-tax"))*('Events 2'!$B$6:$B$17&lt;=$B37)*('Events 2'!$B$6:$B$17&lt;&gt;"")),'Events 2'!$I$6:$I$17),'Inputs 2'!$D$44))</f>
      </c>
      <c r="BP37" s="7">
        <f>IF($B37="","",IFERROR(LOOKUP(2,1/(((('Events 2'!$C$6:$C$17="Deduction start")+('Events 2'!$C$6:$C$17="Deduction stop"))*('Events 2'!$D$6:$D$17="Other post-tax"))*('Events 2'!$B$6:$B$17&lt;=$B37)*('Events 2'!$B$6:$B$17&lt;&gt;"")),'Events 2'!$I$6:$I$17),'Inputs 2'!$D$45))</f>
      </c>
      <c r="BQ37" s="6">
        <f>IF($B37="","",IFERROR(LOOKUP(2,1/(((('Events 2'!$C$6:$C$17="Deduction start")+('Events 2'!$C$6:$C$17="Deduction stop"))*('Events 2'!$D$6:$D$17="Health FSA"))*('Events 2'!$B$6:$B$17&lt;=$B37)*('Events 2'!$B$6:$B$17&lt;&gt;"")),'Events 2'!$J$6:$J$17),0))</f>
      </c>
      <c r="BR37" s="6">
        <f>IF($B37="","",IFERROR(LOOKUP(2,1/(((('Events 2'!$C$6:$C$17="Deduction start")+('Events 2'!$C$6:$C$17="Deduction stop"))*('Events 2'!$D$6:$D$17="Dependent-care FSA"))*('Events 2'!$B$6:$B$17&lt;=$B37)*('Events 2'!$B$6:$B$17&lt;&gt;"")),'Events 2'!$J$6:$J$17),0))</f>
      </c>
      <c r="BS37" s="6">
        <f>IF($B37="","",IF(SUMPRODUCT(('Events 2'!$C$6:$C$17="Deduction start")*('Events 2'!$B$6:$B$17&lt;=$B37)*('Events 2'!$B$6:$B$17&lt;&gt;"")*('Events 2'!$D$6:$D$17="Health FSA"))&gt;0,1,0))</f>
      </c>
      <c r="BT37" s="6">
        <f>IF($B37="","",IF(SUMPRODUCT(('Events 2'!$C$6:$C$17="Deduction start")*('Events 2'!$B$6:$B$17&lt;=$B37)*('Events 2'!$B$6:$B$17&lt;&gt;"")*('Events 2'!$D$6:$D$17="Dependent-care FSA"))&gt;0,1,0))</f>
      </c>
      <c r="BU37" s="24">
        <f>IF($B37="","",IF('Inputs 2'!$C$13,SUMPRODUCT(($AH37&gt;=INDEX('Methodology &amp; Sources'!$B$29:$J$36,0,IF('Inputs 2'!$C$12="MFJ",1,IF('Inputs 2'!$C$12="HoH",7,4))))*INDEX('Methodology &amp; Sources'!$B$29:$J$36,0,IF('Inputs 2'!$C$12="MFJ",1,IF('Inputs 2'!$C$12="HoH",7,4))+2)),SUMPRODUCT(($AH37&gt;=INDEX('Methodology &amp; Sources'!$B$19:$J$26,0,IF('Inputs 2'!$C$12="MFJ",1,IF('Inputs 2'!$C$12="HoH",7,4))))*INDEX('Methodology &amp; Sources'!$B$19:$J$26,0,IF('Inputs 2'!$C$12="MFJ",1,IF('Inputs 2'!$C$12="HoH",7,4))+2))))</f>
      </c>
      <c r="BV37" s="24">
        <f>IF($B37="","",IF($BZ37&lt;&gt;"",$BZ37,IF($CA37&lt;&gt;"",$CA37,IF($CB37&lt;&gt;"",$CB37,IF($CC37&lt;&gt;"",$CC37,0)))))</f>
      </c>
      <c r="BW37" s="7">
        <f>IF($B37="","",IF($AN37="MD",IF(OR($AU37="Married",$AU37="Head of household"),SUMPRODUCT(($AZ37&gt;INDEX('Methodology &amp; Sources'!$B$114:$J$120,0,1))*($AZ37-INDEX('Methodology &amp; Sources'!$B$114:$J$120,0,1))*INDEX('Methodology &amp; Sources'!$B$114:$J$120,0,1+2)),SUMPRODUCT(($AZ37&gt;INDEX('Methodology &amp; Sources'!$B$103:$J$109,0,7))*($AZ37-INDEX('Methodology &amp; Sources'!$B$103:$J$109,0,7))*INDEX('Methodology &amp; Sources'!$B$103:$J$109,0,7+2))),IF($AN37="MO",SUMPRODUCT(($AZ37&gt;INDEX('Methodology &amp; Sources'!$B$125:$J$132,0,1))*($AZ37-INDEX('Methodology &amp; Sources'!$B$125:$J$132,0,1))*INDEX('Methodology &amp; Sources'!$B$125:$J$132,0,1+2)),IF($AN37="MT",IF($AU37="Head of household",SUMPRODUCT(($AZ37&gt;INDEX('Methodology &amp; Sources'!$B$137:$J$139,0,1))*($AZ37-INDEX('Methodology &amp; Sources'!$B$137:$J$139,0,1))*INDEX('Methodology &amp; Sources'!$B$137:$J$139,0,1+2)),IF($AU37="Married",SUMPRODUCT(($AZ37&gt;INDEX('Methodology &amp; Sources'!$B$125:$J$132,0,7))*($AZ37-INDEX('Methodology &amp; Sources'!$B$125:$J$132,0,7))*INDEX('Methodology &amp; Sources'!$B$125:$J$132,0,7+2)),SUMPRODUCT(($AZ37&gt;INDEX('Methodology &amp; Sources'!$B$125:$J$132,0,4))*($AZ37-INDEX('Methodology &amp; Sources'!$B$125:$J$132,0,4))*INDEX('Methodology &amp; Sources'!$B$125:$J$132,0,4+2)))),IF($AN37="ND",IF($AU37="Head of household",SUMPRODUCT(($AZ37&gt;INDEX('Methodology &amp; Sources'!$B$144:$J$150,0,1))*($AZ37-INDEX('Methodology &amp; Sources'!$B$144:$J$150,0,1))*INDEX('Methodology &amp; Sources'!$B$144:$J$150,0,1+2)),IF($AU37="Married",SUMPRODUCT(($AZ37&gt;INDEX('Methodology &amp; Sources'!$B$137:$J$139,0,7))*($AZ37-INDEX('Methodology &amp; Sources'!$B$137:$J$139,0,7))*INDEX('Methodology &amp; Sources'!$B$137:$J$139,0,7+2)),SUMPRODUCT(($AZ37&gt;INDEX('Methodology &amp; Sources'!$B$137:$J$139,0,4))*($AZ37-INDEX('Methodology &amp; Sources'!$B$137:$J$139,0,4))*INDEX('Methodology &amp; Sources'!$B$137:$J$139,0,4+2)))),IF($AN37="NJ",IF('Inputs 2'!$C$77="B",SUMPRODUCT(($AZ37&gt;INDEX('Methodology &amp; Sources'!$B$155:$J$162,0,4))*($AZ37-INDEX('Methodology &amp; Sources'!$B$155:$J$162,0,4))*INDEX('Methodology &amp; Sources'!$B$155:$J$162,0,4+2)),IF('Inputs 2'!$C$77="C",SUMPRODUCT(($AZ37&gt;INDEX('Methodology &amp; Sources'!$B$155:$J$162,0,7))*($AZ37-INDEX('Methodology &amp; Sources'!$B$155:$J$162,0,7))*INDEX('Methodology &amp; Sources'!$B$155:$J$162,0,7+2)),IF('Inputs 2'!$C$77="D",SUMPRODUCT(($AZ37&gt;INDEX('Methodology &amp; Sources'!$B$167:$J$179,0,1))*($AZ37-INDEX('Methodology &amp; Sources'!$B$167:$J$179,0,1))*INDEX('Methodology &amp; Sources'!$B$167:$J$179,0,1+2)),IF('Inputs 2'!$C$77="E",SUMPRODUCT(($AZ37&gt;INDEX('Methodology &amp; Sources'!$B$167:$J$179,0,4))*($AZ37-INDEX('Methodology &amp; Sources'!$B$167:$J$179,0,4))*INDEX('Methodology &amp; Sources'!$B$167:$J$179,0,4+2)),SUMPRODUCT(($AZ37&gt;INDEX('Methodology &amp; Sources'!$B$155:$J$162,0,1))*($AZ37-INDEX('Methodology &amp; Sources'!$B$155:$J$162,0,1))*INDEX('Methodology &amp; Sources'!$B$155:$J$162,0,1+2)))))),IF($AN37="NY",IF($AU37="Married",IF($AZ37&gt;=2155350,$AZ37*IF($AZ37&gt;25000000,0.117,IF($AZ37&gt;5000000,0.111,0.1045)),SUMPRODUCT(($AZ37&gt;INDEX('Methodology &amp; Sources'!$B$184:$J$198,0,1))*($AZ37-INDEX('Methodology &amp; Sources'!$B$184:$J$198,0,1))*INDEX('Methodology &amp; Sources'!$B$184:$J$198,0,1+2))),IF($AZ37&gt;=1077550,$AZ37*IF($AZ37&gt;25000000,0.117,IF($AZ37&gt;5000000,0.111,0.1045)),SUMPRODUCT(($AZ37&gt;INDEX('Methodology &amp; Sources'!$B$167:$J$179,0,7))*($AZ37-INDEX('Methodology &amp; Sources'!$B$167:$J$179,0,7))*INDEX('Methodology &amp; Sources'!$B$167:$J$179,0,7+2)))),"")))))))</f>
      </c>
      <c r="BX37" s="7">
        <f>IF($B37="","",IF($AN37="AL",IF(OR($AU37="Married",$AU37="Head of household"),SUMPRODUCT(($AZ37&gt;INDEX('Methodology &amp; Sources'!$B$82:$J$86,0,4))*($AZ37-INDEX('Methodology &amp; Sources'!$B$82:$J$86,0,4))*INDEX('Methodology &amp; Sources'!$B$82:$J$86,0,4+2)),SUMPRODUCT(($AZ37&gt;INDEX('Methodology &amp; Sources'!$B$82:$J$86,0,1))*($AZ37-INDEX('Methodology &amp; Sources'!$B$82:$J$86,0,1))*INDEX('Methodology &amp; Sources'!$B$82:$J$86,0,1+2))),IF($AN37="KS",IF($AU37="Married",SUMPRODUCT(($AZ37&gt;INDEX('Methodology &amp; Sources'!$B$103:$J$109,0,4))*($AZ37-INDEX('Methodology &amp; Sources'!$B$103:$J$109,0,4))*INDEX('Methodology &amp; Sources'!$B$103:$J$109,0,4+2)),SUMPRODUCT(($AZ37&gt;INDEX('Methodology &amp; Sources'!$B$103:$J$109,0,1))*($AZ37-INDEX('Methodology &amp; Sources'!$B$103:$J$109,0,1))*INDEX('Methodology &amp; Sources'!$B$103:$J$109,0,1+2))),IF($AN37="MN",IF($AU37="Married",SUMPRODUCT(($AZ37&gt;INDEX('Methodology &amp; Sources'!$B$114:$J$120,0,7))*($AZ37-INDEX('Methodology &amp; Sources'!$B$114:$J$120,0,7))*INDEX('Methodology &amp; Sources'!$B$114:$J$120,0,7+2)),SUMPRODUCT(($AZ37&gt;INDEX('Methodology &amp; Sources'!$B$114:$J$120,0,4))*($AZ37-INDEX('Methodology &amp; Sources'!$B$114:$J$120,0,4))*INDEX('Methodology &amp; Sources'!$B$114:$J$120,0,4+2))),IF($AN37="NE",MAX(IF($AU37="Married",SUMPRODUCT(($AZ37&gt;INDEX('Methodology &amp; Sources'!$B$144:$J$150,0,7))*($AZ37-INDEX('Methodology &amp; Sources'!$B$144:$J$150,0,7))*INDEX('Methodology &amp; Sources'!$B$144:$J$150,0,7+2)),SUMPRODUCT(($AZ37&gt;INDEX('Methodology &amp; Sources'!$B$144:$J$150,0,4))*($AZ37-INDEX('Methodology &amp; Sources'!$B$144:$J$150,0,4))*INDEX('Methodology &amp; Sources'!$B$144:$J$150,0,4+2))),0.015*$AZ37),IF($AN37="OH",IF($B37&gt;=DATE(2027,8,1),SUMPRODUCT(($AZ37&gt;INDEX('Methodology &amp; Sources'!$B$203:$J$206,0,1))*($AZ37-INDEX('Methodology &amp; Sources'!$B$203:$J$206,0,1))*INDEX('Methodology &amp; Sources'!$B$203:$J$206,0,1+2)),SUMPRODUCT(($AZ37&gt;INDEX('Methodology &amp; Sources'!$B$184:$J$198,0,7))*($AZ37-INDEX('Methodology &amp; Sources'!$B$184:$J$198,0,7))*INDEX('Methodology &amp; Sources'!$B$184:$J$198,0,7+2))),IF($AN37="OK",IF($AU37="Married",SUMPRODUCT(($AZ37&gt;INDEX('Methodology &amp; Sources'!$B$203:$J$206,0,7))*($AZ37-INDEX('Methodology &amp; Sources'!$B$203:$J$206,0,7))*INDEX('Methodology &amp; Sources'!$B$203:$J$206,0,7+2)),SUMPRODUCT(($AZ37&gt;INDEX('Methodology &amp; Sources'!$B$203:$J$206,0,4))*($AZ37-INDEX('Methodology &amp; Sources'!$B$203:$J$206,0,4))*INDEX('Methodology &amp; Sources'!$B$203:$J$206,0,4+2))),IF($AN37="RI",SUMPRODUCT(($AZ37&gt;INDEX('Methodology &amp; Sources'!$B$211:$J$214,0,7))*($AZ37-INDEX('Methodology &amp; Sources'!$B$211:$J$214,0,7))*INDEX('Methodology &amp; Sources'!$B$211:$J$214,0,7+2)),IF($AN37="VT",IF($AU37="Married",SUMPRODUCT(($AZ37&gt;INDEX('Methodology &amp; Sources'!$B$228:$J$232,0,1))*($AZ37-INDEX('Methodology &amp; Sources'!$B$228:$J$232,0,1))*INDEX('Methodology &amp; Sources'!$B$228:$J$232,0,1+2)),SUMPRODUCT(($AZ37&gt;INDEX('Methodology &amp; Sources'!$B$219:$J$223,0,7))*($AZ37-INDEX('Methodology &amp; Sources'!$B$219:$J$223,0,7))*INDEX('Methodology &amp; Sources'!$B$219:$J$223,0,7+2))),IF($AN37="WV",IF($AU37="Married",SUMPRODUCT(($AZ37&gt;INDEX('Methodology &amp; Sources'!$B$237:$J$241,0,7))*($AZ37-INDEX('Methodology &amp; Sources'!$B$237:$J$241,0,7))*INDEX('Methodology &amp; Sources'!$B$237:$J$241,0,7+2)),SUMPRODUCT(($AZ37&gt;INDEX('Methodology &amp; Sources'!$B$228:$J$232,0,7))*($AZ37-INDEX('Methodology &amp; Sources'!$B$228:$J$232,0,7))*INDEX('Methodology &amp; Sources'!$B$228:$J$232,0,7+2))),""))))))))))</f>
      </c>
      <c r="BY37" s="7">
        <f>IF($B37="","",IF($AN37="AR",SUMPRODUCT(($AZ37&gt;INDEX('Methodology &amp; Sources'!$B$82:$J$86,0,7))*($AZ37-INDEX('Methodology &amp; Sources'!$B$82:$J$86,0,7))*INDEX('Methodology &amp; Sources'!$B$82:$J$86,0,7+2)),IF($AN37="DE",SUMPRODUCT(($AZ37&gt;INDEX('Methodology &amp; Sources'!$B$91:$J$98,0,1))*($AZ37-INDEX('Methodology &amp; Sources'!$B$91:$J$98,0,1))*INDEX('Methodology &amp; Sources'!$B$91:$J$98,0,1+2)),IF($AN37="HI",IF($AU37="Married",SUMPRODUCT(($AZ37&gt;INDEX('Methodology &amp; Sources'!$B$91:$J$98,0,7))*($AZ37-INDEX('Methodology &amp; Sources'!$B$91:$J$98,0,7))*INDEX('Methodology &amp; Sources'!$B$91:$J$98,0,7+2)),SUMPRODUCT(($AZ37&gt;INDEX('Methodology &amp; Sources'!$B$91:$J$98,0,4))*($AZ37-INDEX('Methodology &amp; Sources'!$B$91:$J$98,0,4))*INDEX('Methodology &amp; Sources'!$B$91:$J$98,0,4+2))),IF($AN37="SC",SUMPRODUCT(($AZ37&gt;INDEX('Methodology &amp; Sources'!$B$219:$J$223,0,1))*($AZ37-INDEX('Methodology &amp; Sources'!$B$219:$J$223,0,1))*INDEX('Methodology &amp; Sources'!$B$219:$J$223,0,1+2)),IF($AN37="VA",SUMPRODUCT(($AZ37&gt;INDEX('Methodology &amp; Sources'!$B$219:$J$223,0,4))*($AZ37-INDEX('Methodology &amp; Sources'!$B$219:$J$223,0,4))*INDEX('Methodology &amp; Sources'!$B$219:$J$223,0,4+2)),IF($AN37="WI",SUMPRODUCT(($AZ37&gt;INDEX('Methodology &amp; Sources'!$B$228:$J$232,0,4))*($AZ37-INDEX('Methodology &amp; Sources'!$B$228:$J$232,0,4))*INDEX('Methodology &amp; Sources'!$B$228:$J$232,0,4+2)),"")))))))</f>
      </c>
      <c r="BZ37" s="24">
        <f>IF($B37="","",IF($AN37="NJ",IF('Inputs 2'!$C$77="B",SUMPRODUCT(($AZ37&gt;=INDEX('Methodology &amp; Sources'!$B$155:$J$162,0,4))*INDEX('Methodology &amp; Sources'!$B$155:$J$162,0,4+2)),IF('Inputs 2'!$C$77="C",SUMPRODUCT(($AZ37&gt;=INDEX('Methodology &amp; Sources'!$B$155:$J$162,0,7))*INDEX('Methodology &amp; Sources'!$B$155:$J$162,0,7+2)),IF('Inputs 2'!$C$77="D",SUMPRODUCT(($AZ37&gt;=INDEX('Methodology &amp; Sources'!$B$167:$J$179,0,1))*INDEX('Methodology &amp; Sources'!$B$167:$J$179,0,1+2)),IF('Inputs 2'!$C$77="E",SUMPRODUCT(($AZ37&gt;=INDEX('Methodology &amp; Sources'!$B$167:$J$179,0,4))*INDEX('Methodology &amp; Sources'!$B$167:$J$179,0,4+2)),SUMPRODUCT(($AZ37&gt;=INDEX('Methodology &amp; Sources'!$B$155:$J$162,0,1))*INDEX('Methodology &amp; Sources'!$B$155:$J$162,0,1+2)))))),IF($AN37="OR",IF(OR($AU37="Married",AND($AU37="Single",$AS37&gt;=3)),SUMPRODUCT((MAX(0,$AY37-MIN(($P37-'Methodology &amp; Sources'!$C$10*$D37)*'Inputs 2'!$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Sources'!$B$211:$J$214,0,4))*INDEX('Methodology &amp; Sources'!$B$211:$J$214,0,4+2)),SUMPRODUCT((MAX(0,$AY37-MIN(($P37-'Methodology &amp; Sources'!$C$10*$D37)*'Inputs 2'!$C$8,IF(OR($AU37="Married",AND($AU37="Single",$AS37&gt;=3)),IF($AY37&lt;250000,8750,IF($AY37&lt;260000,7000,IF($AY37&lt;270000,5250,IF($AY37&lt;280000,3500,IF($AY37&lt;290000,1750,0))))),IF($AY37&lt;125000,8750,IF($AY37&lt;130000,7000,IF($AY37&lt;135000,5250,IF($AY37&lt;140000,3500,IF($AY37&lt;145000,1750,0)))))))-IF(OR($AU37="Married",AND($AU37="Single",$AS37&gt;=3)),5820,2910))&gt;=INDEX('Methodology &amp; Sources'!$B$211:$J$214,0,1))*INDEX('Methodology &amp; Sources'!$B$211:$J$214,0,1+2)))*IF(($P37-'Methodology &amp; Sources'!$C$10*$D37)*'Inputs 2'!$C$8&gt;=IF(OR($AU37="Married",AND($AU37="Single",$AS37&gt;=3)),IF($AY37&lt;250000,8750,IF($AY37&lt;260000,7000,IF($AY37&lt;270000,5250,IF($AY37&lt;280000,3500,IF($AY37&lt;290000,1750,0))))),IF($AY37&lt;125000,8750,IF($AY37&lt;130000,7000,IF($AY37&lt;135000,5250,IF($AY37&lt;140000,3500,IF($AY37&lt;145000,1750,0)))))),1,1-IF('Inputs 2'!$C$13,SUMPRODUCT(($AH37&gt;=INDEX('Methodology &amp; Sources'!$B$29:$J$36,0,IF('Inputs 2'!$C$12="MFJ",1,IF('Inputs 2'!$C$12="HoH",7,4))))*INDEX('Methodology &amp; Sources'!$B$29:$J$36,0,IF('Inputs 2'!$C$12="MFJ",1,IF('Inputs 2'!$C$12="HoH",7,4))+2)),SUMPRODUCT(($AH37&gt;=INDEX('Methodology &amp; Sources'!$B$19:$J$26,0,IF('Inputs 2'!$C$12="MFJ",1,IF('Inputs 2'!$C$12="HoH",7,4))))*INDEX('Methodology &amp; Sources'!$B$19:$J$26,0,IF('Inputs 2'!$C$12="MFJ",1,IF('Inputs 2'!$C$12="HoH",7,4))+2)))),IF($AN37="MI",IF($AY37&gt;5900*$AS37,0.0425,0),""))))</f>
      </c>
      <c r="CA37" s="24">
        <f>IF($B37="","",IF($AN37="AL",IF(OR($AU37="Married",$AU37="Head of household"),SUMPRODUCT(($AZ37&gt;=INDEX('Methodology &amp; Sources'!$B$82:$J$86,0,4))*INDEX('Methodology &amp; Sources'!$B$82:$J$86,0,4+2)),SUMPRODUCT(($AZ37&gt;=INDEX('Methodology &amp; Sources'!$B$82:$J$86,0,1))*INDEX('Methodology &amp; Sources'!$B$82:$J$86,0,1+2)))*(1-IF('Inputs 2'!$C$13,SUMPRODUCT(($AH37&gt;=INDEX('Methodology &amp; Sources'!$B$29:$J$36,0,IF('Inputs 2'!$C$12="MFJ",1,IF('Inputs 2'!$C$12="HoH",7,4))))*INDEX('Methodology &amp; Sources'!$B$29:$J$36,0,IF('Inputs 2'!$C$12="MFJ",1,IF('Inputs 2'!$C$12="HoH",7,4))+2)),SUMPRODUCT(($AH37&gt;=INDEX('Methodology &amp; Sources'!$B$19:$J$26,0,IF('Inputs 2'!$C$12="MFJ",1,IF('Inputs 2'!$C$12="HoH",7,4))))*INDEX('Methodology &amp; Sources'!$B$19:$J$26,0,IF('Inputs 2'!$C$12="MFJ",1,IF('Inputs 2'!$C$12="HoH",7,4))+2)))),IF($AN37="KS",IF($AU37="Married",SUMPRODUCT(($AZ37&gt;=INDEX('Methodology &amp; Sources'!$B$103:$J$109,0,4))*INDEX('Methodology &amp; Sources'!$B$103:$J$109,0,4+2)),SUMPRODUCT(($AZ37&gt;=INDEX('Methodology &amp; Sources'!$B$103:$J$109,0,1))*INDEX('Methodology &amp; Sources'!$B$103:$J$109,0,1+2))),IF($AN37="MD",IF(OR($AU37="Married",$AU37="Head of household"),SUMPRODUCT(($AZ37&gt;=INDEX('Methodology &amp; Sources'!$B$114:$J$120,0,1))*INDEX('Methodology &amp; Sources'!$B$114:$J$120,0,1+2)),SUMPRODUCT(($AZ37&gt;=INDEX('Methodology &amp; Sources'!$B$103:$J$109,0,7))*INDEX('Methodology &amp; Sources'!$B$103:$J$109,0,7+2)))+'Inputs 2'!$C$74,IF($AN37="MT",IF($AU37="Head of household",SUMPRODUCT(($AZ37&gt;=INDEX('Methodology &amp; Sources'!$B$137:$J$139,0,1))*INDEX('Methodology &amp; Sources'!$B$137:$J$139,0,1+2)),IF($AU37="Married",SUMPRODUCT(($AZ37&gt;=INDEX('Methodology &amp; Sources'!$B$125:$J$132,0,7))*INDEX('Methodology &amp; Sources'!$B$125:$J$132,0,7+2)),SUMPRODUCT(($AZ37&gt;=INDEX('Methodology &amp; Sources'!$B$125:$J$132,0,4))*INDEX('Methodology &amp; Sources'!$B$125:$J$132,0,4+2)))),IF($AN37="ND",IF($AU37="Head of household",SUMPRODUCT(($AZ37&gt;=INDEX('Methodology &amp; Sources'!$B$144:$J$150,0,1))*INDEX('Methodology &amp; Sources'!$B$144:$J$150,0,1+2)),IF($AU37="Married",SUMPRODUCT(($AZ37&gt;=INDEX('Methodology &amp; Sources'!$B$137:$J$139,0,7))*INDEX('Methodology &amp; Sources'!$B$137:$J$139,0,7+2)),SUMPRODUCT(($AZ37&gt;=INDEX('Methodology &amp; Sources'!$B$137:$J$139,0,4))*INDEX('Methodology &amp; Sources'!$B$137:$J$139,0,4+2)))),IF($AN37="NY",IF($AU37="Married",IF($AZ37&gt;=2155350,IF($AZ37&gt;25000000,0.117,IF($AZ37&gt;5000000,0.111,0.1045)),SUMPRODUCT(($AZ37&gt;=INDEX('Methodology &amp; Sources'!$B$184:$J$198,0,1))*INDEX('Methodology &amp; Sources'!$B$184:$J$198,0,1+2))),IF($AZ37&gt;=1077550,IF($AZ37&gt;25000000,0.117,IF($AZ37&gt;5000000,0.111,0.1045)),SUMPRODUCT(($AZ37&gt;=INDEX('Methodology &amp; Sources'!$B$167:$J$179,0,7))*INDEX('Methodology &amp; Sources'!$B$167:$J$179,0,7+2)))),"")))))))</f>
      </c>
      <c r="CB37" s="24">
        <f>IF($B37="","",IF($AN37="CA",SUMPRODUCT(($AJ37&gt;=INDEX('Methodology &amp; Sources'!$B$39:$J$48,0,IF($AU37="Married",4,IF($AU37="Head of household",7,1))))*INDEX('Methodology &amp; Sources'!$B$39:$J$48,0,IF($AU37="Married",4,IF($AU37="Head of household",7,1))+2)),IF($AN37="HI",IF($AU37="Married",SUMPRODUCT(($AZ37&gt;=INDEX('Methodology &amp; Sources'!$B$91:$J$98,0,7))*INDEX('Methodology &amp; Sources'!$B$91:$J$98,0,7+2)),SUMPRODUCT(($AZ37&gt;=INDEX('Methodology &amp; Sources'!$B$91:$J$98,0,4))*INDEX('Methodology &amp; Sources'!$B$91:$J$98,0,4+2))),IF($AN37="MN",IF($AU37="Married",SUMPRODUCT(($AZ37&gt;=INDEX('Methodology &amp; Sources'!$B$114:$J$120,0,7))*INDEX('Methodology &amp; Sources'!$B$114:$J$120,0,7+2)),SUMPRODUCT(($AZ37&gt;=INDEX('Methodology &amp; Sources'!$B$114:$J$120,0,4))*INDEX('Methodology &amp; Sources'!$B$114:$J$120,0,4+2))),IF($AN37="MO",SUMPRODUCT(($AZ37&gt;=INDEX('Methodology &amp; Sources'!$B$125:$J$132,0,1))*INDEX('Methodology &amp; Sources'!$B$125:$J$132,0,1+2)),IF($AN37="NE",MAX(IF($AU37="Married",SUMPRODUCT(($AZ37&gt;=INDEX('Methodology &amp; Sources'!$B$144:$J$150,0,7))*INDEX('Methodology &amp; Sources'!$B$144:$J$150,0,7+2)),SUMPRODUCT(($AZ37&gt;=INDEX('Methodology &amp; Sources'!$B$144:$J$150,0,4))*INDEX('Methodology &amp; Sources'!$B$144:$J$150,0,4+2))),0.015),IF($AN37="OH",IF($B37&gt;=DATE(2027,8,1),SUMPRODUCT(($AZ37&gt;=INDEX('Methodology &amp; Sources'!$B$203:$J$206,0,1))*INDEX('Methodology &amp; Sources'!$B$203:$J$206,0,1+2)),SUMPRODUCT(($AZ37&gt;=INDEX('Methodology &amp; Sources'!$B$184:$J$198,0,7))*INDEX('Methodology &amp; Sources'!$B$184:$J$198,0,7+2))),IF($AN37="OK",IF($AU37="Married",SUMPRODUCT(($AZ37&gt;=INDEX('Methodology &amp; Sources'!$B$203:$J$206,0,7))*INDEX('Methodology &amp; Sources'!$B$203:$J$206,0,7+2)),SUMPRODUCT(($AZ37&gt;=INDEX('Methodology &amp; Sources'!$B$203:$J$206,0,4))*INDEX('Methodology &amp; Sources'!$B$203:$J$206,0,4+2))),IF($AN37="RI",SUMPRODUCT(($AZ37&gt;=INDEX('Methodology &amp; Sources'!$B$211:$J$214,0,7))*INDEX('Methodology &amp; Sources'!$B$211:$J$214,0,7+2)),IF($AN37="SC",SUMPRODUCT(($AZ37&gt;=INDEX('Methodology &amp; Sources'!$B$219:$J$223,0,1))*INDEX('Methodology &amp; Sources'!$B$219:$J$223,0,1+2)),IF($AN37="VT",IF($AU37="Married",SUMPRODUCT(($AZ37&gt;=INDEX('Methodology &amp; Sources'!$B$228:$J$232,0,1))*INDEX('Methodology &amp; Sources'!$B$228:$J$232,0,1+2)),SUMPRODUCT(($AZ37&gt;=INDEX('Methodology &amp; Sources'!$B$219:$J$223,0,7))*INDEX('Methodology &amp; Sources'!$B$219:$J$223,0,7+2))),IF($AN37="WV",IF($AU37="Married",SUMPRODUCT(($AZ37&gt;=INDEX('Methodology &amp; Sources'!$B$237:$J$241,0,7))*INDEX('Methodology &amp; Sources'!$B$237:$J$241,0,7+2)),SUMPRODUCT(($AZ37&gt;=INDEX('Methodology &amp; Sources'!$B$228:$J$232,0,7))*INDEX('Methodology &amp; Sources'!$B$228:$J$232,0,7+2))),IF($AN37="IN",(0.0295+'Inputs 2'!$C$76),"")))))))))))))</f>
      </c>
      <c r="CC37" s="24">
        <f>IF($B37="","",IF($AN37="AR",SUMPRODUCT(($AZ37&gt;=INDEX('Methodology &amp; Sources'!$B$82:$J$86,0,7))*INDEX('Methodology &amp; Sources'!$B$82:$J$86,0,7+2)),IF($AN37="DE",SUMPRODUCT(($AZ37&gt;=INDEX('Methodology &amp; Sources'!$B$91:$J$98,0,1))*INDEX('Methodology &amp; Sources'!$B$91:$J$98,0,1+2)),IF($AN37="VA",SUMPRODUCT(($AZ37&gt;=INDEX('Methodology &amp; Sources'!$B$219:$J$223,0,4))*INDEX('Methodology &amp; Sources'!$B$219:$J$223,0,4+2)),IF($AN37="WI",SUMPRODUCT(($AZ37&gt;=INDEX('Methodology &amp; Sources'!$B$228:$J$232,0,4))*INDEX('Methodology &amp; Sources'!$B$228:$J$232,0,4+2)),IF($AN37="AZ",'Inputs 2'!$C$82,IF($AN37="CO",IF($AY37&gt;IF($AU37="Married",10000,5000),0.044,0),IF($AN37="IA",IF($AY37&gt;IF($AU37="Head of household",19500,IF($AU37="Married",26000,13000)),0.038,0),IF($AN37="ID",IF($AY37&gt;IF($AU37="Married",32000,16094),0.053,0),IF($AN37="IL",IF($AY37&gt;(2925*$AS37+1000*$AT37),0.0495,0),IF($AN37="KY",IF($AI37&gt;3360,0.035,0),IF($AN37="LA",0.0309,IF($AN37="MA",IF(MAX(0,$AY37-MIN(($BD36+$Q37+$R37+$S37),2000)-IF($AS37=0,0,IF($AS37=1,4400,1000*$AS37+3400)))&gt;=1107750,0.09,0.05),IF($AN37="MS",IF($AI37-IF($AU37="Head of household",3400,IF($AU37="Married",4600,2300))-'Inputs 2'!$C$85&gt;10000,0.04,0),IF($AN37="PA",0.0307,"")))))))))))))))</f>
      </c>
      <c r="CD37" s="21">
        <f>IF(YEAR(IF('Inputs 2'!$C$7="Weekly",'Inputs 2'!$C$9+7*(($BE36+1)-1),IF('Inputs 2'!$C$7="Biweekly",'Inputs 2'!$C$9+14*(($BE36+1)-1),IF('Inputs 2'!$C$7="Semimonthly",DATE(YEAR('Inputs 2'!$C$9),MONTH('Inputs 2'!$C$9)+INT((($BE36+1)-1)/2),MIN(DAY('Inputs 2'!$C$9),DAY(EOMONTH(DATE(YEAR('Inputs 2'!$C$9),MONTH('Inputs 2'!$C$9)+INT((($BE36+1)-1)/2),1),0))))+IF(MOD(($BE36+1)-1,2)=1,15,0),EDATE('Inputs 2'!$C$9,($BE36+1)-1)))))&lt;&gt;'Inputs 2'!$C$10,"",IF('Inputs 2'!$C$7="Weekly",'Inputs 2'!$C$9+7*(($BE36+1)-1),IF('Inputs 2'!$C$7="Biweekly",'Inputs 2'!$C$9+14*(($BE36+1)-1),IF('Inputs 2'!$C$7="Semimonthly",DATE(YEAR('Inputs 2'!$C$9),MONTH('Inputs 2'!$C$9)+INT((($BE36+1)-1)/2),MIN(DAY('Inputs 2'!$C$9),DAY(EOMONTH(DATE(YEAR('Inputs 2'!$C$9),MONTH('Inputs 2'!$C$9)+INT((($BE36+1)-1)/2),1),0))))+IF(MOD(($BE36+1)-1,2)=1,15,0),EDATE('Inputs 2'!$C$9,($BE36+1)-1)))))</f>
      </c>
      <c r="CE37" s="21">
        <f>IF(SUMPRODUCT(MIN(IF(('Inputs 2'!$C$58:$C$67&gt;MAX($B$6:$B36))*('Inputs 2'!$C$58:$C$67&gt;=DATE('Inputs 2'!$C$10,1,1))*('Inputs 2'!$C$58:$C$67&lt;=DATE('Inputs 2'!$C$10,12,31)),'Inputs 2'!$C$58:$C$67,999999)))=999999,"",SUMPRODUCT(MIN(IF(('Inputs 2'!$C$58:$C$67&gt;MAX($B$6:$B36))*('Inputs 2'!$C$58:$C$67&gt;=DATE('Inputs 2'!$C$10,1,1))*('Inputs 2'!$C$58:$C$67&lt;=DATE('Inputs 2'!$C$10,12,31)),'Inputs 2'!$C$58:$C$67,999999))))</f>
      </c>
    </row>
    <row r="38">
      <c r="A38" t="n">
        <v>33</v>
      </c>
      <c r="B38" s="21">
        <f>IF(AND($CD38="",$CE38=""),"",IF($CE38="",$CD38,IF($CD38="",$CE38,MIN($CD38,$CE38))))</f>
      </c>
      <c r="C38" s="7">
        <f>IF($B38="","",IF($BF38=0,0,IF('Inputs 2'!$C$4="Annual salary",ROUND($AK38/IF(AND('Inputs 2'!$C$88="Actual paydays",MONTH('Inputs 2'!$C$9)=1),MAX(1,MAX($BE$6:$BE$68)),'Inputs 2'!$C$8),2),$AK38)))</f>
      </c>
      <c r="D38" s="7">
        <f>IF($B38="","",SUMIF('Inputs 2'!$C$58:$C$67,$B38,'Inputs 2'!$D$58:$D$67))</f>
      </c>
      <c r="E38" s="7">
        <f>IF($B38="","",ROUND(MAX(0,MIN(IF($AL38="Percent",$AM38*($C38+$D38),$AM38),MAX(0,'Inputs 2'!$C$34-$AC37))),2))</f>
      </c>
      <c r="F38" s="7">
        <f>IF($B38="","",ROUND(MAX(0,MIN(IF('Inputs 2'!$C$32="Percent",'Inputs 2'!$D$32*($C38+$D38),'Inputs 2'!$D$32),MAX(0,'Inputs 2'!$C$34-$AC37-$E38))),2))</f>
      </c>
      <c r="G38" s="7">
        <f>IF($B38="","",IF($BF38=0,0,ROUND(MAX(0,MIN($BL38,'Inputs 2'!$C$37-'Inputs 2'!$C$54-$BI37)),2)))</f>
      </c>
      <c r="H38" s="7">
        <f>IF($B38="","",IF(OR($BF38=0,$BQ38=1),0,ROUND(MAX(0,MIN(IF($BS38=1,ROUND(MAX(0,MIN($BJ38,'Methodology &amp; Sources'!$C$13)-$BG37)/MAX(1,MAX($BE$6:$BE$68)-($BE37)),2),ROUND(MIN($BJ38,'Methodology &amp; Sources'!$C$13)/'Inputs 2'!$C$8,2)),MIN($BJ38,'Methodology &amp; Sources'!$C$13)-$BG37)),2)))</f>
      </c>
      <c r="I38" s="7">
        <f>IF($B38="","",IF(OR($BF38=0,$BR38=1),0,ROUND(MAX(0,MIN(IF($BT38=1,ROUND(MAX(0,MIN($BK38,IF('Inputs 2'!$C$12="MFJ",'Methodology &amp; Sources'!$C$14,'Methodology &amp; Sources'!$C$15))-$BH37)/MAX(1,MAX($BE$6:$BE$68)-($BE37)),2),ROUND(MIN($BK38,IF('Inputs 2'!$C$12="MFJ",'Methodology &amp; Sources'!$C$14,'Methodology &amp; Sources'!$C$15))/'Inputs 2'!$C$8,2)),MIN($BK38,IF('Inputs 2'!$C$12="MFJ",'Methodology &amp; Sources'!$C$14,'Methodology &amp; Sources'!$C$15))-$BH37)),2)))</f>
      </c>
      <c r="J38" s="7">
        <f>IF($B38="","",IF($BF38=0,0,$BM38))</f>
      </c>
      <c r="K38" s="7">
        <f>IF($B38="","",IF($BF38=0,0,$BN38+$BO38))</f>
      </c>
      <c r="L38" s="7">
        <f>IF($B38="","",IF($BF38=0,0,'Inputs 2'!$D$46))</f>
      </c>
      <c r="M38" s="7">
        <f>IF($B38="","",$C38+$D38+$L38-$E38-$G38-$H38-$I38-$J38-$K38)</f>
      </c>
      <c r="N38" s="7">
        <f>IF($B38="","",$C38+$D38+$L38-$G38-$H38-$I38-$J38-$K38)</f>
      </c>
      <c r="O38" s="7">
        <f>IF($B38="","",$C38+$D38+$L38-$E38-$H38-$I38-$J38-$K38-IF(OR($AN38="CA",$AN38="NJ"),0,$G38))</f>
      </c>
      <c r="P38" s="7">
        <f>IF($B38="","",IF('Inputs 2'!$C$18,0,ROUND(MAX(0,IF('Inputs 2'!$C$13,SUMPRODUCT(($AH38&gt;INDEX('Methodology &amp; Sources'!$B$29:$J$36,0,IF('Inputs 2'!$C$12="MFJ",1,IF('Inputs 2'!$C$12="HoH",7,4))))*($AH38-INDEX('Methodology &amp; Sources'!$B$29:$J$36,0,IF('Inputs 2'!$C$12="MFJ",1,IF('Inputs 2'!$C$12="HoH",7,4))))*INDEX('Methodology &amp; Sources'!$B$29:$J$36,0,IF('Inputs 2'!$C$12="MFJ",1,IF('Inputs 2'!$C$12="HoH",7,4))+2)),SUMPRODUCT(($AH38&gt;INDEX('Methodology &amp; Sources'!$B$19:$J$26,0,IF('Inputs 2'!$C$12="MFJ",1,IF('Inputs 2'!$C$12="HoH",7,4))))*($AH38-INDEX('Methodology &amp; Sources'!$B$19:$J$26,0,IF('Inputs 2'!$C$12="MFJ",1,IF('Inputs 2'!$C$12="HoH",7,4))))*INDEX('Methodology &amp; Sources'!$B$19:$J$26,0,IF('Inputs 2'!$C$12="MFJ",1,IF('Inputs 2'!$C$12="HoH",7,4))+2)))/'Inputs 2'!$C$8-$AO38/'Inputs 2'!$C$8)+$AR38+IF('Inputs 2'!$C$89="Aggregate",MAX(0,IF('Inputs 2'!$C$13,SUMPRODUCT((($AH38+$D38)&gt;INDEX('Methodology &amp; Sources'!$B$29:$J$36,0,IF('Inputs 2'!$C$12="MFJ",1,IF('Inputs 2'!$C$12="HoH",7,4))))*(($AH38+$D38)-INDEX('Methodology &amp; Sources'!$B$29:$J$36,0,IF('Inputs 2'!$C$12="MFJ",1,IF('Inputs 2'!$C$12="HoH",7,4))))*INDEX('Methodology &amp; Sources'!$B$29:$J$36,0,IF('Inputs 2'!$C$12="MFJ",1,IF('Inputs 2'!$C$12="HoH",7,4))+2)),SUMPRODUCT((($AH38+$D38)&gt;INDEX('Methodology &amp; Sources'!$B$19:$J$26,0,IF('Inputs 2'!$C$12="MFJ",1,IF('Inputs 2'!$C$12="HoH",7,4))))*(($AH38+$D38)-INDEX('Methodology &amp; Sources'!$B$19:$J$26,0,IF('Inputs 2'!$C$12="MFJ",1,IF('Inputs 2'!$C$12="HoH",7,4))))*INDEX('Methodology &amp; Sources'!$B$19:$J$26,0,IF('Inputs 2'!$C$12="MFJ",1,IF('Inputs 2'!$C$12="HoH",7,4))+2)))-IF('Inputs 2'!$C$13,SUMPRODUCT(($AH38&gt;INDEX('Methodology &amp; Sources'!$B$29:$J$36,0,IF('Inputs 2'!$C$12="MFJ",1,IF('Inputs 2'!$C$12="HoH",7,4))))*($AH38-INDEX('Methodology &amp; Sources'!$B$29:$J$36,0,IF('Inputs 2'!$C$12="MFJ",1,IF('Inputs 2'!$C$12="HoH",7,4))))*INDEX('Methodology &amp; Sources'!$B$29:$J$36,0,IF('Inputs 2'!$C$12="MFJ",1,IF('Inputs 2'!$C$12="HoH",7,4))+2)),SUMPRODUCT(($AH38&gt;INDEX('Methodology &amp; Sources'!$B$19:$J$26,0,IF('Inputs 2'!$C$12="MFJ",1,IF('Inputs 2'!$C$12="HoH",7,4))))*($AH38-INDEX('Methodology &amp; Sources'!$B$19:$J$26,0,IF('Inputs 2'!$C$12="MFJ",1,IF('Inputs 2'!$C$12="HoH",7,4))))*INDEX('Methodology &amp; Sources'!$B$19:$J$26,0,IF('Inputs 2'!$C$12="MFJ",1,IF('Inputs 2'!$C$12="HoH",7,4))+2)))),'Methodology &amp; Sources'!$C$10*$D38),2)))</f>
      </c>
      <c r="Q38" s="7">
        <f>IF($B38="","",ROUND('Methodology &amp; Sources'!$C$4*MIN($N38,MAX(0,'Methodology &amp; Sources'!$C$3-($AX38+$AB37-$AW38))),2))</f>
      </c>
      <c r="R38" s="7">
        <f>IF($B38="","",ROUND('Methodology &amp; Sources'!$C$5*$N38,2))</f>
      </c>
      <c r="S38" s="7">
        <f>IF($B38="","",ROUND('Methodology &amp; Sources'!$C$6*MAX(0,MIN($N38,$AG37+$N38-'Methodology &amp; Sources'!$C$7)),2))</f>
      </c>
      <c r="T38" s="7">
        <f>IF($B38="","",IF('Inputs 2'!$C$26,0,IF($AN38="CA",ROUND(IF($AI38&lt;=IF(($AS38+$AT38)&gt;=2,VLOOKUP($AN38,StateTables!$A$6:$AB$56,10,FALSE),VLOOKUP($AN38,StateTables!$A$6:$AB$56,9,FALSE)),0,MAX(0,SUMPRODUCT(($AJ38&gt;INDEX('Methodology &amp; Sources'!$B$39:$J$48,0,IF($AU38="Married",4,IF($AU38="Head of household",7,1))))*($AJ38-INDEX('Methodology &amp; Sources'!$B$39:$J$48,0,IF($AU38="Married",4,IF($AU38="Head of household",7,1))))*INDEX('Methodology &amp; Sources'!$B$39:$J$48,0,IF($AU38="Married",4,IF($AU38="Head of household",7,1))+2))-VLOOKUP($AN38,StateTables!$A$6:$AB$56,11,FALSE)*$AS38)/'Inputs 2'!$C$8)+'Inputs 2'!$C$25+VLOOKUP($AN38,StateTables!$A$6:$AB$56,13,FALSE)*$D38,2),IF(VLOOKUP($AN38,StateTables!$A$6:$AB$56,4,FALSE)="None",0,IF(ISNUMBER(SEARCH("MANUAL",VLOOKUP($AN38,StateTables!$A$6:$AB$56,5,FALSE))),'Inputs 2'!$C$28,ROUND(MAX(0,$BA38+$BB38)/'Inputs 2'!$C$8+'Inputs 2'!$C$25+$BC38,2))))))</f>
      </c>
      <c r="U38" s="7">
        <f>IF($B38="","",IF(VLOOKUP($AN38,StateTables!$A$6:$AB$56,24,FALSE)="flatq",IF(OR(MONTH($B38)=1,MONTH($B38)=4,MONTH($B38)=7,MONTH($B38)=10),VLOOKUP($AN38,StateTables!$A$6:$AB$56,25,FALSE),0),IF(VLOOKUP($AN38,StateTables!$A$6:$AB$56,24,FALSE)="dbl",MIN(ROUND(0.005*$N38,2),ROUND(0.6*52/'Inputs 2'!$C$8,2)),IF(OR(VLOOKUP($AN38,StateTables!$A$6:$AB$56,15,FALSE)="",VLOOKUP($AN38,StateTables!$A$6:$AB$56,15,FALSE)=0),0,ROUND(VLOOKUP($AN38,StateTables!$A$6:$AB$56,15,FALSE)*IF(OR(VLOOKUP($AN38,StateTables!$A$6:$AB$56,16,FALSE)="",VLOOKUP($AN38,StateTables!$A$6:$AB$56,16,FALSE)=0),$N38,MIN($N38,MAX(0,VLOOKUP($AN38,StateTables!$A$6:$AB$56,16,FALSE)-($AX38+$AB37-$AW38)))),2))))+IF(VLOOKUP($AN38,StateTables!$A$6:$AB$56,27,FALSE)="flatq",IF(OR(MONTH($B38)=1,MONTH($B38)=4,MONTH($B38)=7,MONTH($B38)=10),VLOOKUP($AN38,StateTables!$A$6:$AB$56,28,FALSE),0),IF(VLOOKUP($AN38,StateTables!$A$6:$AB$56,27,FALSE)="dbl",MIN(ROUND(0.005*$N38,2),ROUND(0.6*52/'Inputs 2'!$C$8,2)),IF(OR(VLOOKUP($AN38,StateTables!$A$6:$AB$56,18,FALSE)="",VLOOKUP($AN38,StateTables!$A$6:$AB$56,18,FALSE)=0),0,ROUND(VLOOKUP($AN38,StateTables!$A$6:$AB$56,18,FALSE)*IF(OR(VLOOKUP($AN38,StateTables!$A$6:$AB$56,19,FALSE)="",VLOOKUP($AN38,StateTables!$A$6:$AB$56,19,FALSE)=0),$N38,MIN($N38,MAX(0,VLOOKUP($AN38,StateTables!$A$6:$AB$56,19,FALSE)-($AX38+$AB37-$AW38)))),2)))))</f>
      </c>
      <c r="V38" s="7">
        <f>IF($B38="","",IF($AN38="NY",IF('Inputs 2'!$C$78,ROUND(SUMPRODUCT((MAX(0,($O38-$D38)*'Inputs 2'!$C$8-(IF($AU38="Married",5500,5000)+1000*$AS38))&gt;INDEX('Methodology &amp; Sources'!$B$184:$J$198,0,4))*(MAX(0,($O38-$D38)*'Inputs 2'!$C$8-(IF($AU38="Married",5500,5000)+1000*$AS38))-INDEX('Methodology &amp; Sources'!$B$184:$J$198,0,4))*INDEX('Methodology &amp; Sources'!$B$184:$J$198,0,4+2))/'Inputs 2'!$C$8+0.0425*$D38,2),0)+IF('Inputs 2'!$C$79="Resident",ROUND(0.1675*$T38,2),IF('Inputs 2'!$C$79="Nonresident",ROUND(0.005*MAX(0,($O38-$D38)-(IF($AU38="Married",7950,7400)+1000*$AS38)/'Inputs 2'!$C$8),2),0)),IF($AN38="PA",IF('Inputs 2'!$C$80="None",'Inputs 2'!$C$27+ROUND('Inputs 2'!$C$81*($C38+$D38),2),ROUND(IF('Inputs 2'!$C$80="Resident",IF($B38&lt;DATE(2027,7,1),0.03735,0.03735),IF($B38&lt;DATE(2027,7,1),0.03425,0.03425))*($C38+$D38),2)),IF($BF38=0,ROUND('Inputs 2'!$C$81*($C38+$D38),2),'Inputs 2'!$C$27+ROUND('Inputs 2'!$C$81*($C38+$D38),2)))))</f>
      </c>
      <c r="W38" s="7">
        <f>IF($B38="","",IF($BF38=0,0,$BP38))</f>
      </c>
      <c r="X38" s="7">
        <f>IF($B38="","",SUM($E38:$K38)+$P38+$Q38+$R38+$S38+$T38+$U38+$V38+$W38)</f>
      </c>
      <c r="Y38" s="22">
        <f>IF($B38="","",$C38+$D38-$X38)</f>
      </c>
      <c r="Z38" s="7">
        <f>IF($B38="","",$Z37+$C38+$D38)</f>
      </c>
      <c r="AA38" s="7">
        <f>IF($B38="","",$AA37+$Y38)</f>
      </c>
      <c r="AB38" s="7">
        <f>IF($B38="","",$AB37+MIN($N38,MAX(0,'Methodology &amp; Sources'!$C$3-($AX38+$AB37-$AW38))))</f>
      </c>
      <c r="AC38" s="7">
        <f>IF($B38="","",$AC37+$E38+$F38)</f>
      </c>
      <c r="AD38" s="3">
        <f>IF($B38="","",IF(AND($AB37&lt;'Methodology &amp; Sources'!$C$3,$AB38&gt;='Methodology &amp; Sources'!$C$3),"★ Social Security maxed on this check — from the next check your net rises by about $"&amp;TEXT(ROUND('Methodology &amp; Sources'!$C$4*$N38,2),"#,##0.00")&amp;". ","")&amp;IF(AND($AC37&lt;'Inputs 2'!$C$34,$AC38&gt;='Inputs 2'!$C$34),"★ 401(k) reaches the $"&amp;TEXT('Inputs 2'!$C$34,"#,##0")&amp;" cap on this check — deferrals stop and net pay rises. ","")&amp;IF(AND($AG37&lt;'Methodology &amp; Sources'!$C$7,$AG38&gt;='Methodology &amp; Sources'!$C$7),"★ Wages pass $200,000 — the 0.9% Additional Medicare Tax starts here. ","")&amp;IF(AND($BJ38&gt;0,$H38&gt;0,$BG37&lt;MIN($BJ38,'Methodology &amp; Sources'!$C$13),$BG37+$H38&gt;=MIN($BJ38,'Methodology &amp; Sources'!$C$13)),"★ Health FSA election is now fully deferred for the year. ",""))</f>
      </c>
      <c r="AE38" s="41" t="n"/>
      <c r="AF38" s="7">
        <f>IF(OR($B38="",$AE38=""),"",$AE38-$Y38)</f>
      </c>
      <c r="AG38" s="7">
        <f>IF($B38="","",$AG37+$N38)</f>
      </c>
      <c r="AH38" s="7">
        <f>IF($B38="","",MAX(0,($M38-$D38)*'Inputs 2'!$C$8+$AP38-$AQ38-IF('Inputs 2'!$C$13,0,IF('Inputs 2'!$C$12="MFJ",'Methodology &amp; Sources'!$C$8,'Methodology &amp; Sources'!$C$9))))</f>
      </c>
      <c r="AI38" s="7">
        <f>IF($B38="","",$O38*'Inputs 2'!$C$8)</f>
      </c>
      <c r="AJ38" s="7">
        <f>IF($B38="","",MAX(0,$AI38-VLOOKUP($AN38,StateTables!$A$6:$AB$56,12,FALSE)*$AT38-IF(($AS38+$AT38)&gt;=2,VLOOKUP($AN38,StateTables!$A$6:$AB$56,8,FALSE),VLOOKUP($AN38,StateTables!$A$6:$AB$56,7,FALSE))))</f>
      </c>
      <c r="AK38" s="7">
        <f>IF($B38="","",IFERROR(LOOKUP(2,1/(('Events 2'!$C$6:$C$17="Salary change")*('Events 2'!$B$6:$B$17&lt;=$B38)*('Events 2'!$B$6:$B$17&lt;&gt;"")),'Events 2'!$D$6:$D$17),IF('Inputs 2'!$C$4="Annual salary",'Inputs 2'!$C$5,'Inputs 2'!$C$6)))</f>
      </c>
      <c r="AL38">
        <f>IF($B38="","",IFERROR(LOOKUP(2,1/(('Events 2'!$C$6:$C$17="401(k) change")*('Events 2'!$B$6:$B$17&lt;=$B38)*('Events 2'!$B$6:$B$17&lt;&gt;"")),'Events 2'!$D$6:$D$17),'Inputs 2'!$C$30))</f>
      </c>
      <c r="AM38" s="7">
        <f>IF($B38="","",IFERROR(LOOKUP(2,1/(('Events 2'!$C$6:$C$17="401(k) change")*('Events 2'!$B$6:$B$17&lt;=$B38)*('Events 2'!$B$6:$B$17&lt;&gt;"")),'Events 2'!$E$6:$E$17),'Inputs 2'!$D$30))</f>
      </c>
      <c r="AN38">
        <f>IF($B38="","",IFERROR(LOOKUP(2,1/(('Events 2'!$C$6:$C$17="State move")*('Events 2'!$B$6:$B$17&lt;=$B38)*('Events 2'!$B$6:$B$17&lt;&gt;"")),'Events 2'!$D$6:$D$17),'Inputs 2'!$C$21))</f>
      </c>
      <c r="AO38" s="7">
        <f>IF($B38="","",IFERROR(LOOKUP(2,1/(('Events 2'!$C$6:$C$17="W-4 change")*('Events 2'!$B$6:$B$17&lt;=$B38)*('Events 2'!$B$6:$B$17&lt;&gt;"")),'Events 2'!$D$6:$D$17),'Inputs 2'!$C$14))</f>
      </c>
      <c r="AP38" s="7">
        <f>IF($B38="","",IFERROR(LOOKUP(2,1/(('Events 2'!$C$6:$C$17="W-4 change")*('Events 2'!$B$6:$B$17&lt;=$B38)*('Events 2'!$B$6:$B$17&lt;&gt;"")),'Events 2'!$E$6:$E$17),'Inputs 2'!$C$15))</f>
      </c>
      <c r="AQ38" s="7">
        <f>IF($B38="","",IFERROR(LOOKUP(2,1/(('Events 2'!$C$6:$C$17="W-4 change")*('Events 2'!$B$6:$B$17&lt;=$B38)*('Events 2'!$B$6:$B$17&lt;&gt;"")),'Events 2'!$F$6:$F$17),'Inputs 2'!$C$16))</f>
      </c>
      <c r="AR38" s="7">
        <f>IF($B38="","",IFERROR(LOOKUP(2,1/(('Events 2'!$C$6:$C$17="W-4 change")*('Events 2'!$B$6:$B$17&lt;=$B38)*('Events 2'!$B$6:$B$17&lt;&gt;"")),'Events 2'!$G$6:$G$17),'Inputs 2'!$C$17))</f>
      </c>
      <c r="AS38" s="6">
        <f>IF($B38="","",IFERROR(LOOKUP(2,1/((('Events 2'!$C$6:$C$17="State move")+('Events 2'!$C$6:$C$17="State cert change"))*('Events 2'!$B$6:$B$17&lt;=$B38)*('Events 2'!$B$6:$B$17&lt;&gt;"")),'Events 2'!$F$6:$F$17),'Inputs 2'!$C$23))</f>
      </c>
      <c r="AT38" s="6">
        <f>IF($B38="","",IFERROR(LOOKUP(2,1/((('Events 2'!$C$6:$C$17="State move")+('Events 2'!$C$6:$C$17="State cert change"))*('Events 2'!$B$6:$B$17&lt;=$B38)*('Events 2'!$B$6:$B$17&lt;&gt;"")),'Events 2'!$G$6:$G$17),'Inputs 2'!$C$24))</f>
      </c>
      <c r="AU38">
        <f>IF($B38="","",IFERROR(LOOKUP(2,1/(('Events 2'!$C$6:$C$17="State move")*('Events 2'!$B$6:$B$17&lt;=$B38)*('Events 2'!$B$6:$B$17&lt;&gt;"")),'Events 2'!$E$6:$E$17),'Inputs 2'!$C$22))</f>
      </c>
      <c r="AV38" s="6">
        <f>IF($B38="","",1+COUNTIFS('Events 2'!$C$6:$C$17,"Employer change",'Events 2'!$B$6:$B$17,"&lt;="&amp;$B38,'Events 2'!$B$6:$B$17,"&lt;&gt;"))</f>
      </c>
      <c r="AW38" s="7">
        <f>IF($B38="","",IF($AV38=1,'Inputs 2'!$C$49,IF(IFERROR(MATCH(IFERROR(LOOKUP(2,1/(('Events 2'!$C$6:$C$17="Employer change")*('Events 2'!$B$6:$B$17&lt;=$B38)*('Events 2'!$B$6:$B$17&lt;&gt;"")),'Events 2'!$B$6:$B$17),""),$B$6:$B$68,1),1)&lt;=1,'Inputs 2'!$C$49,INDEX($AB$6:$AB$68,MATCH(IFERROR(LOOKUP(2,1/(('Events 2'!$C$6:$C$17="Employer change")*('Events 2'!$B$6:$B$17&lt;=$B38)*('Events 2'!$B$6:$B$17&lt;&gt;"")),'Events 2'!$B$6:$B$17),""),$B$6:$B$68,1)-1))))</f>
      </c>
      <c r="AX38" s="7">
        <f>IF($B38="","",IF($AV38=1,'Inputs 2'!$C$49,IFERROR(LOOKUP(2,1/(('Events 2'!$C$6:$C$17="Employer change")*('Events 2'!$B$6:$B$17&lt;=$B38)*('Events 2'!$B$6:$B$17&lt;&gt;"")),'Events 2'!$D$6:$D$17),0)))</f>
      </c>
      <c r="AY38" s="7">
        <f>IF($B38="","",($O38-$D38)*'Inputs 2'!$C$8)</f>
      </c>
      <c r="AZ38" s="7">
        <f>IF($B38="","",IF($AN38="AL",MAX(0,$AY38-IF($AU38="Married",IF($AY38&lt;=25999,8500,MAX(5000,8500-175*CEILING(($AY38-25999)/500,1))),IF($AU38="Head of household",IF($AY38&lt;=25999,5200,MAX(2500,5200-135*CEILING(($AY38-25999)/500,1))),IF($AY38&lt;=25999,3000,MAX(2500,3000-25*CEILING(($AY38-25999)/500,1)))))-($P38-'Methodology &amp; Sources'!$C$10*$D38)*'Inputs 2'!$C$8-IF(OR($AU38="Married",$AU38="Head of household"),3000,1500)-$AT38*IF($AY38&lt;=50000,1000,IF($AY38&lt;=100000,500,300))),IF($AN38="AR",IF(MAX(0,$AY38-2470)&lt;97701,INT(MAX(0,$AY38-2470)/100)*100+50,MAX(0,$AY38-2470)),IF($AN38="DE",MAX(0,$AI38-3250),IF($AN38="HI",MAX(0,$AI38-1144*$AS38-4350),IF($AN38="KS",MAX(0,$AI38-(9160*IF($AU38="Married",2,1)+2320*$AT38+IF($AU38="Head of household",2320,0))),IF($AN38="MD",MAX(0,$AI38-3400-3200*$AS38),IF($AN38="MN",MAX(0,$AY38-5300*$AS38),IF($AN38="MO",MAX(0,$AI38-IF($AU38="Head of household",24150,IF($AU38="Married",IF('Inputs 2'!$C$83,16100,32200),16100))),IF($AN38="MT",$AY38,IF($AN38="ND",($C38+$L38)*'Inputs 2'!$C$8,IF($AN38="NE",MAX(0,$AY38-2440*$AS38),IF($AN38="NJ",MAX(0,$AY38-1000*$AS38),IF($AN38="NY",MAX(0,$AY38-(IF($AU38="Married",7950,7400)+1000*$AS38)),IF($AN38="OH",MAX(0,$AY38-650*$AS38),IF($AN38="OK",MAX(0,$AY38-1000*$AS38),IF($AN38="RI",MAX(0,$AI38-1000*$AS38),IF($AN38="SC",MAX(0,$AI38-5000*$AS38-IF($AS38=0,0,MIN(0.1*$AI38,7500))),IF($AN38="VA",MAX(0,$AI38-IF($AU38="Married",17500,8750)-930*$AS38-800*$AT38),IF($AN38="VT",MAX(0,$AI38-5400*$AS38),IF($AN38="WI",MAX(0,$AI38-MAX(0,IF($AU38="Married",9461-0.2*MAX(0,$AI38-25727),6702-0.12*MAX(0,$AI38-17780)))-400*$AS38),IF($AN38="WV",MAX(0,$AI38-2000*$AS38),$AI38))))))))))))))))))))))</f>
      </c>
      <c r="BA38" s="7">
        <f>IF($B38="","",IF($BW38&lt;&gt;"",$BW38,IF($BX38&lt;&gt;"",$BX38,IF($BY38&lt;&gt;"",$BY38,0))))</f>
      </c>
      <c r="BB38" s="7">
        <f>IF($B38="","",IF($AN38="AR",-29*$AS38,IF($AN38="DE",-110*$AS38,IF($AN38="MD",$AZ38*'Inputs 2'!$C$74,IF($AN38="AZ",'Inputs 2'!$C$82*($M38-$D38)*'Inputs 2'!$C$8,IF($AN38="CO",0.044*MAX(0,$AY38-IF($AU38="Married",10000,5000)),IF($AN38="IA",MAX(0,0.038*MAX(0,$AY38-IF($AU38="Head of household",19500,IF($AU38="Married",26000,13000)))-40*$AS38),IF($AN38="ID",0.053*MAX(0,$AY38-IF($AU38="Married",32000,16094)),IF($AN38="IL",0.0495*MAX(0,$AY38-(2925*$AS38+1000*$AT38)),IF($AN38="IN",(0.0295+'Inputs 2'!$C$76)*MAX(0,$AY38-(1000*$AS38+1500*$AT38+3000*'Inputs 2'!$C$86)),IF($AN38="KY",0.035*MAX(0,$AI38-3360),IF($AN38="LA",IF('Inputs 2'!$C$84="0",0.0309*$AI38,0.0309*MAX(0,$AI38-IF('Inputs 2'!$C$84="2",25750,12875))),IF($AN38="MA",0.05*MIN(MAX(0,$AY38-MIN(($BD37+$Q38+$R38+$S38),2000)-IF($AS38=0,0,IF($AS38=1,4400,1000*$AS38+3400))),1107750)+0.09*MAX(0,MAX(0,$AY38-MIN(($BD37+$Q38+$R38+$S38),2000)-IF($AS38=0,0,IF($AS38=1,4400,1000*$AS38+3400)))-1107750)-IF($AU38="Head of household",120,0)-110*'Inputs 2'!$C$75,IF($AN38="MI",0.0425*MAX(0,$AY38-5900*$AS38),IF($AN38="MS",0.04*MAX(0,$AI38-IF($AU38="Head of household",3400,IF($AU38="Married",4600,2300))-'Inputs 2'!$C$85-10000),IF($AN38="OR",IF(OR($AU38="Married",AND($AU38="Single",$AS38&gt;=3)),SUMPRODUCT((MAX(0,$AY38-MIN(($P38-'Methodology &amp; Sources'!$C$10*$D38)*'Inputs 2'!$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Sources'!$B$211:$J$214,0,4))*(MAX(0,$AY38-MIN(($P38-'Methodology &amp; Sources'!$C$10*$D38)*'Inputs 2'!$C$8,IF(OR($AU38="Married",AND($AU38="Single",$AS38&gt;=3)),IF($AY38&lt;250000,8750,IF($AY38&lt;260000,7000,IF($AY38&lt;270000,5250,IF($AY38&lt;280000,3500,IF($AY38&lt;290000,1750,0))))),IF($AY38&lt;125000,8750,IF($AY38&lt;130000,7000,IF($AY38&lt;135000,5250,IF($AY38&lt;140000,3500,IF($AY38&lt;145000,1750,0)))))))-IF(OR($AU38="Married",AND($AU38="Single",$AS38&gt;=3)),5820,2910))-INDEX('Methodology &amp; Sources'!$B$211:$J$214,0,4))*INDEX('Methodology &amp; Sources'!$B$211:$J$214,0,4+2)),SUMPRODUCT((MAX(0,$AY38-MIN(($P38-'Methodology &amp; Sources'!$C$10*$D38)*'Inputs 2'!$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Sources'!$B$211:$J$214,0,1))*(MAX(0,$AY38-MIN(($P38-'Methodology &amp; Sources'!$C$10*$D38)*'Inputs 2'!$C$8,IF(OR($AU38="Married",AND($AU38="Single",$AS38&gt;=3)),IF($AY38&lt;250000,8750,IF($AY38&lt;260000,7000,IF($AY38&lt;270000,5250,IF($AY38&lt;280000,3500,IF($AY38&lt;290000,1750,0))))),IF($AY38&lt;125000,8750,IF($AY38&lt;130000,7000,IF($AY38&lt;135000,5250,IF($AY38&lt;140000,3500,IF($AY38&lt;145000,1750,0)))))))-IF(OR($AU38="Married",AND($AU38="Single",$AS38&gt;=3)),5820,2910))-INDEX('Methodology &amp; Sources'!$B$211:$J$214,0,1))*INDEX('Methodology &amp; Sources'!$B$211:$J$214,0,1+2)))+263-263*IF(IF($AU38="Married",$AY38&gt;200000,$AY38&gt;100000),0,$AS38),IF($AN38="PA",0.0307*(($O38+$E38+$G38)*'Inputs 2'!$C$8),IF($AN38="NY",IF($AU38="Married",IF($AZ38&gt;=2155350,0,IF($AZ38&gt;=1077550,0.48,IF($AZ38&gt;=373200,1.21,IF($AZ38&gt;=323200,0.21,IF($AZ38&gt;=211550,-0.19,IF($AZ38&gt;=157650,-2.8,IF($AZ38&gt;=107650,-0.8,IF($AZ38&gt;=96800,0.05,IF($AZ38&gt;=80650,-0.1,IF($AZ38&gt;=13900,0.4,IF($AZ38&gt;=11700,-0.3,IF($AZ38&gt;=8500,0.5,0)))))))))))),IF($AZ38&gt;=1077550,0,IF($AZ38&gt;=265400,4.29,IF($AZ38&gt;=215400,2.29,IF($AZ38&gt;=157650,2.29,IF($AZ38&gt;=107650,0.29,IF($AZ38&gt;=96800,0.05,IF($AZ38&gt;=80650,-0.1,IF($AZ38&gt;=13900,0.4,IF($AZ38&gt;=11700,-0.3,IF($AZ38&gt;=8500,0.5,0))))))))))),0))))))))))))))))))</f>
      </c>
      <c r="BC38" s="7">
        <f>IF($B38="","",IF($AN38="AL",0.05*$D38,IF($AN38="AR",0.039*$D38,IF($AN38="ID",0.053*$D38,IF($AN38="IN",(0.0295+'Inputs 2'!$C$76)*$D38,IF($AN38="KS",0.05*$D38,IF($AN38="MA",0.09*MIN($D38,MAX(0,MAX(0,$AY38-MIN(($BD37+$Q38+$R38+$S38),2000)-IF($AS38=0,0,IF($AS38=1,4400,1000*$AS38+3400)))+$D38-1107750))+0.05*($D38-MIN($D38,MAX(0,MAX(0,$AY38-MIN(($BD37+$Q38+$R38+$S38),2000)-IF($AS38=0,0,IF($AS38=1,4400,1000*$AS38+3400)))+$D38-1107750))),IF($AN38="MD",(0.065+'Inputs 2'!$C$74)*$D38,IF($AN38="MI",0.0425*$D38,IF($AN38="MN",0.0625*$D38,IF($AN38="MO",0.047*$D38,IF($AN38="MT",0.05*$D38,IF($AN38="ND",0.015*$D38,IF($AN38="NE",0.035*$D38,IF($AN38="NJ",IF('Inputs 2'!$C$77="B",SUMPRODUCT(($D38*'Inputs 2'!$C$8&gt;INDEX('Methodology &amp; Sources'!$B$155:$J$162,0,4))*($D38*'Inputs 2'!$C$8-INDEX('Methodology &amp; Sources'!$B$155:$J$162,0,4))*INDEX('Methodology &amp; Sources'!$B$155:$J$162,0,4+2)),IF('Inputs 2'!$C$77="C",SUMPRODUCT(($D38*'Inputs 2'!$C$8&gt;INDEX('Methodology &amp; Sources'!$B$155:$J$162,0,7))*($D38*'Inputs 2'!$C$8-INDEX('Methodology &amp; Sources'!$B$155:$J$162,0,7))*INDEX('Methodology &amp; Sources'!$B$155:$J$162,0,7+2)),IF('Inputs 2'!$C$77="D",SUMPRODUCT(($D38*'Inputs 2'!$C$8&gt;INDEX('Methodology &amp; Sources'!$B$167:$J$179,0,1))*($D38*'Inputs 2'!$C$8-INDEX('Methodology &amp; Sources'!$B$167:$J$179,0,1))*INDEX('Methodology &amp; Sources'!$B$167:$J$179,0,1+2)),IF('Inputs 2'!$C$77="E",SUMPRODUCT(($D38*'Inputs 2'!$C$8&gt;INDEX('Methodology &amp; Sources'!$B$167:$J$179,0,4))*($D38*'Inputs 2'!$C$8-INDEX('Methodology &amp; Sources'!$B$167:$J$179,0,4))*INDEX('Methodology &amp; Sources'!$B$167:$J$179,0,4+2)),SUMPRODUCT(($D38*'Inputs 2'!$C$8&gt;INDEX('Methodology &amp; Sources'!$B$155:$J$162,0,1))*($D38*'Inputs 2'!$C$8-INDEX('Methodology &amp; Sources'!$B$155:$J$162,0,1))*INDEX('Methodology &amp; Sources'!$B$155:$J$162,0,1+2))))))/'Inputs 2'!$C$8,IF($AN38="NY",0.117*$D38,IF($AN38="OH",0.0275*$D38,IF($AN38="OK",0.045*$D38,IF($AN38="OR",0.08*$D38,IF($AN38="WI",IF($AY38&lt;12760,0.0354,IF($AY38&lt;25520,0.0465,IF($AY38&lt;280950,0.053,0.0765)))*$D38,0))))))))))))))))))))</f>
      </c>
      <c r="BD38" s="7">
        <f>IF($B38="","",$BD37+$Q38+$R38+$S38)</f>
      </c>
      <c r="BE38" s="6">
        <f>IF($B38="",$BE37,$BE37+$BF38)</f>
      </c>
      <c r="BF38" s="6">
        <f>IF($B38="","",IF(AND(IF(YEAR(IF('Inputs 2'!$C$7="Weekly",'Inputs 2'!$C$9+7*(($BE37+1)-1),IF('Inputs 2'!$C$7="Biweekly",'Inputs 2'!$C$9+14*(($BE37+1)-1),IF('Inputs 2'!$C$7="Semimonthly",DATE(YEAR('Inputs 2'!$C$9),MONTH('Inputs 2'!$C$9)+INT((($BE37+1)-1)/2),MIN(DAY('Inputs 2'!$C$9),DAY(EOMONTH(DATE(YEAR('Inputs 2'!$C$9),MONTH('Inputs 2'!$C$9)+INT((($BE37+1)-1)/2),1),0))))+IF(MOD(($BE37+1)-1,2)=1,15,0),EDATE('Inputs 2'!$C$9,($BE37+1)-1)))))&lt;&gt;'Inputs 2'!$C$10,"",IF('Inputs 2'!$C$7="Weekly",'Inputs 2'!$C$9+7*(($BE37+1)-1),IF('Inputs 2'!$C$7="Biweekly",'Inputs 2'!$C$9+14*(($BE37+1)-1),IF('Inputs 2'!$C$7="Semimonthly",DATE(YEAR('Inputs 2'!$C$9),MONTH('Inputs 2'!$C$9)+INT((($BE37+1)-1)/2),MIN(DAY('Inputs 2'!$C$9),DAY(EOMONTH(DATE(YEAR('Inputs 2'!$C$9),MONTH('Inputs 2'!$C$9)+INT((($BE37+1)-1)/2),1),0))))+IF(MOD(($BE37+1)-1,2)=1,15,0),EDATE('Inputs 2'!$C$9,($BE37+1)-1)))))&lt;&gt;"",$B38=IF(YEAR(IF('Inputs 2'!$C$7="Weekly",'Inputs 2'!$C$9+7*(($BE37+1)-1),IF('Inputs 2'!$C$7="Biweekly",'Inputs 2'!$C$9+14*(($BE37+1)-1),IF('Inputs 2'!$C$7="Semimonthly",DATE(YEAR('Inputs 2'!$C$9),MONTH('Inputs 2'!$C$9)+INT((($BE37+1)-1)/2),MIN(DAY('Inputs 2'!$C$9),DAY(EOMONTH(DATE(YEAR('Inputs 2'!$C$9),MONTH('Inputs 2'!$C$9)+INT((($BE37+1)-1)/2),1),0))))+IF(MOD(($BE37+1)-1,2)=1,15,0),EDATE('Inputs 2'!$C$9,($BE37+1)-1)))))&lt;&gt;'Inputs 2'!$C$10,"",IF('Inputs 2'!$C$7="Weekly",'Inputs 2'!$C$9+7*(($BE37+1)-1),IF('Inputs 2'!$C$7="Biweekly",'Inputs 2'!$C$9+14*(($BE37+1)-1),IF('Inputs 2'!$C$7="Semimonthly",DATE(YEAR('Inputs 2'!$C$9),MONTH('Inputs 2'!$C$9)+INT((($BE37+1)-1)/2),MIN(DAY('Inputs 2'!$C$9),DAY(EOMONTH(DATE(YEAR('Inputs 2'!$C$9),MONTH('Inputs 2'!$C$9)+INT((($BE37+1)-1)/2),1),0))))+IF(MOD(($BE37+1)-1,2)=1,15,0),EDATE('Inputs 2'!$C$9,($BE37+1)-1)))))),1,0))</f>
      </c>
      <c r="BG38" s="7">
        <f>IF($B38="","",$BG37+$H38)</f>
      </c>
      <c r="BH38" s="7">
        <f>IF($B38="","",$BH37+$I38)</f>
      </c>
      <c r="BI38" s="7">
        <f>IF($B38="","",$BI37+$G38)</f>
      </c>
      <c r="BJ38" s="7">
        <f>IF($B38="","",IFERROR(LOOKUP(2,1/(((('Events 2'!$C$6:$C$17="Deduction start"))*('Events 2'!$D$6:$D$17="Health FSA"))*('Events 2'!$B$6:$B$17&lt;=$B38)*('Events 2'!$B$6:$B$17&lt;&gt;"")),'Events 2'!$E$6:$E$17),'Inputs 2'!$D$38))</f>
      </c>
      <c r="BK38" s="7">
        <f>IF($B38="","",IFERROR(LOOKUP(2,1/(((('Events 2'!$C$6:$C$17="Deduction start"))*('Events 2'!$D$6:$D$17="Dependent-care FSA"))*('Events 2'!$B$6:$B$17&lt;=$B38)*('Events 2'!$B$6:$B$17&lt;&gt;"")),'Events 2'!$E$6:$E$17),'Inputs 2'!$D$39))</f>
      </c>
      <c r="BL38" s="7">
        <f>IF($B38="","",IFERROR(LOOKUP(2,1/(((('Events 2'!$C$6:$C$17="Deduction start")+('Events 2'!$C$6:$C$17="Deduction stop"))*('Events 2'!$D$6:$D$17="HSA"))*('Events 2'!$B$6:$B$17&lt;=$B38)*('Events 2'!$B$6:$B$17&lt;&gt;"")),'Events 2'!$I$6:$I$17),'Inputs 2'!$D$35))</f>
      </c>
      <c r="BM38" s="7">
        <f>IF($B38="","",IFERROR(LOOKUP(2,1/(((('Events 2'!$C$6:$C$17="Deduction start")+('Events 2'!$C$6:$C$17="Deduction stop"))*('Events 2'!$D$6:$D$17="Premiums"))*('Events 2'!$B$6:$B$17&lt;=$B38)*('Events 2'!$B$6:$B$17&lt;&gt;"")),'Events 2'!$I$6:$I$17),'Inputs 2'!$D$40+'Inputs 2'!$D$41+'Inputs 2'!$D$42))</f>
      </c>
      <c r="BN38" s="7">
        <f>IF($B38="","",IFERROR(LOOKUP(2,1/(((('Events 2'!$C$6:$C$17="Deduction start")+('Events 2'!$C$6:$C$17="Deduction stop"))*('Events 2'!$D$6:$D$17="Commuter"))*('Events 2'!$B$6:$B$17&lt;=$B38)*('Events 2'!$B$6:$B$17&lt;&gt;"")),'Events 2'!$I$6:$I$17),'Inputs 2'!$D$43))</f>
      </c>
      <c r="BO38" s="7">
        <f>IF($B38="","",IFERROR(LOOKUP(2,1/(((('Events 2'!$C$6:$C$17="Deduction start")+('Events 2'!$C$6:$C$17="Deduction stop"))*('Events 2'!$D$6:$D$17="Other pre-tax"))*('Events 2'!$B$6:$B$17&lt;=$B38)*('Events 2'!$B$6:$B$17&lt;&gt;"")),'Events 2'!$I$6:$I$17),'Inputs 2'!$D$44))</f>
      </c>
      <c r="BP38" s="7">
        <f>IF($B38="","",IFERROR(LOOKUP(2,1/(((('Events 2'!$C$6:$C$17="Deduction start")+('Events 2'!$C$6:$C$17="Deduction stop"))*('Events 2'!$D$6:$D$17="Other post-tax"))*('Events 2'!$B$6:$B$17&lt;=$B38)*('Events 2'!$B$6:$B$17&lt;&gt;"")),'Events 2'!$I$6:$I$17),'Inputs 2'!$D$45))</f>
      </c>
      <c r="BQ38" s="6">
        <f>IF($B38="","",IFERROR(LOOKUP(2,1/(((('Events 2'!$C$6:$C$17="Deduction start")+('Events 2'!$C$6:$C$17="Deduction stop"))*('Events 2'!$D$6:$D$17="Health FSA"))*('Events 2'!$B$6:$B$17&lt;=$B38)*('Events 2'!$B$6:$B$17&lt;&gt;"")),'Events 2'!$J$6:$J$17),0))</f>
      </c>
      <c r="BR38" s="6">
        <f>IF($B38="","",IFERROR(LOOKUP(2,1/(((('Events 2'!$C$6:$C$17="Deduction start")+('Events 2'!$C$6:$C$17="Deduction stop"))*('Events 2'!$D$6:$D$17="Dependent-care FSA"))*('Events 2'!$B$6:$B$17&lt;=$B38)*('Events 2'!$B$6:$B$17&lt;&gt;"")),'Events 2'!$J$6:$J$17),0))</f>
      </c>
      <c r="BS38" s="6">
        <f>IF($B38="","",IF(SUMPRODUCT(('Events 2'!$C$6:$C$17="Deduction start")*('Events 2'!$B$6:$B$17&lt;=$B38)*('Events 2'!$B$6:$B$17&lt;&gt;"")*('Events 2'!$D$6:$D$17="Health FSA"))&gt;0,1,0))</f>
      </c>
      <c r="BT38" s="6">
        <f>IF($B38="","",IF(SUMPRODUCT(('Events 2'!$C$6:$C$17="Deduction start")*('Events 2'!$B$6:$B$17&lt;=$B38)*('Events 2'!$B$6:$B$17&lt;&gt;"")*('Events 2'!$D$6:$D$17="Dependent-care FSA"))&gt;0,1,0))</f>
      </c>
      <c r="BU38" s="24">
        <f>IF($B38="","",IF('Inputs 2'!$C$13,SUMPRODUCT(($AH38&gt;=INDEX('Methodology &amp; Sources'!$B$29:$J$36,0,IF('Inputs 2'!$C$12="MFJ",1,IF('Inputs 2'!$C$12="HoH",7,4))))*INDEX('Methodology &amp; Sources'!$B$29:$J$36,0,IF('Inputs 2'!$C$12="MFJ",1,IF('Inputs 2'!$C$12="HoH",7,4))+2)),SUMPRODUCT(($AH38&gt;=INDEX('Methodology &amp; Sources'!$B$19:$J$26,0,IF('Inputs 2'!$C$12="MFJ",1,IF('Inputs 2'!$C$12="HoH",7,4))))*INDEX('Methodology &amp; Sources'!$B$19:$J$26,0,IF('Inputs 2'!$C$12="MFJ",1,IF('Inputs 2'!$C$12="HoH",7,4))+2))))</f>
      </c>
      <c r="BV38" s="24">
        <f>IF($B38="","",IF($BZ38&lt;&gt;"",$BZ38,IF($CA38&lt;&gt;"",$CA38,IF($CB38&lt;&gt;"",$CB38,IF($CC38&lt;&gt;"",$CC38,0)))))</f>
      </c>
      <c r="BW38" s="7">
        <f>IF($B38="","",IF($AN38="MD",IF(OR($AU38="Married",$AU38="Head of household"),SUMPRODUCT(($AZ38&gt;INDEX('Methodology &amp; Sources'!$B$114:$J$120,0,1))*($AZ38-INDEX('Methodology &amp; Sources'!$B$114:$J$120,0,1))*INDEX('Methodology &amp; Sources'!$B$114:$J$120,0,1+2)),SUMPRODUCT(($AZ38&gt;INDEX('Methodology &amp; Sources'!$B$103:$J$109,0,7))*($AZ38-INDEX('Methodology &amp; Sources'!$B$103:$J$109,0,7))*INDEX('Methodology &amp; Sources'!$B$103:$J$109,0,7+2))),IF($AN38="MO",SUMPRODUCT(($AZ38&gt;INDEX('Methodology &amp; Sources'!$B$125:$J$132,0,1))*($AZ38-INDEX('Methodology &amp; Sources'!$B$125:$J$132,0,1))*INDEX('Methodology &amp; Sources'!$B$125:$J$132,0,1+2)),IF($AN38="MT",IF($AU38="Head of household",SUMPRODUCT(($AZ38&gt;INDEX('Methodology &amp; Sources'!$B$137:$J$139,0,1))*($AZ38-INDEX('Methodology &amp; Sources'!$B$137:$J$139,0,1))*INDEX('Methodology &amp; Sources'!$B$137:$J$139,0,1+2)),IF($AU38="Married",SUMPRODUCT(($AZ38&gt;INDEX('Methodology &amp; Sources'!$B$125:$J$132,0,7))*($AZ38-INDEX('Methodology &amp; Sources'!$B$125:$J$132,0,7))*INDEX('Methodology &amp; Sources'!$B$125:$J$132,0,7+2)),SUMPRODUCT(($AZ38&gt;INDEX('Methodology &amp; Sources'!$B$125:$J$132,0,4))*($AZ38-INDEX('Methodology &amp; Sources'!$B$125:$J$132,0,4))*INDEX('Methodology &amp; Sources'!$B$125:$J$132,0,4+2)))),IF($AN38="ND",IF($AU38="Head of household",SUMPRODUCT(($AZ38&gt;INDEX('Methodology &amp; Sources'!$B$144:$J$150,0,1))*($AZ38-INDEX('Methodology &amp; Sources'!$B$144:$J$150,0,1))*INDEX('Methodology &amp; Sources'!$B$144:$J$150,0,1+2)),IF($AU38="Married",SUMPRODUCT(($AZ38&gt;INDEX('Methodology &amp; Sources'!$B$137:$J$139,0,7))*($AZ38-INDEX('Methodology &amp; Sources'!$B$137:$J$139,0,7))*INDEX('Methodology &amp; Sources'!$B$137:$J$139,0,7+2)),SUMPRODUCT(($AZ38&gt;INDEX('Methodology &amp; Sources'!$B$137:$J$139,0,4))*($AZ38-INDEX('Methodology &amp; Sources'!$B$137:$J$139,0,4))*INDEX('Methodology &amp; Sources'!$B$137:$J$139,0,4+2)))),IF($AN38="NJ",IF('Inputs 2'!$C$77="B",SUMPRODUCT(($AZ38&gt;INDEX('Methodology &amp; Sources'!$B$155:$J$162,0,4))*($AZ38-INDEX('Methodology &amp; Sources'!$B$155:$J$162,0,4))*INDEX('Methodology &amp; Sources'!$B$155:$J$162,0,4+2)),IF('Inputs 2'!$C$77="C",SUMPRODUCT(($AZ38&gt;INDEX('Methodology &amp; Sources'!$B$155:$J$162,0,7))*($AZ38-INDEX('Methodology &amp; Sources'!$B$155:$J$162,0,7))*INDEX('Methodology &amp; Sources'!$B$155:$J$162,0,7+2)),IF('Inputs 2'!$C$77="D",SUMPRODUCT(($AZ38&gt;INDEX('Methodology &amp; Sources'!$B$167:$J$179,0,1))*($AZ38-INDEX('Methodology &amp; Sources'!$B$167:$J$179,0,1))*INDEX('Methodology &amp; Sources'!$B$167:$J$179,0,1+2)),IF('Inputs 2'!$C$77="E",SUMPRODUCT(($AZ38&gt;INDEX('Methodology &amp; Sources'!$B$167:$J$179,0,4))*($AZ38-INDEX('Methodology &amp; Sources'!$B$167:$J$179,0,4))*INDEX('Methodology &amp; Sources'!$B$167:$J$179,0,4+2)),SUMPRODUCT(($AZ38&gt;INDEX('Methodology &amp; Sources'!$B$155:$J$162,0,1))*($AZ38-INDEX('Methodology &amp; Sources'!$B$155:$J$162,0,1))*INDEX('Methodology &amp; Sources'!$B$155:$J$162,0,1+2)))))),IF($AN38="NY",IF($AU38="Married",IF($AZ38&gt;=2155350,$AZ38*IF($AZ38&gt;25000000,0.117,IF($AZ38&gt;5000000,0.111,0.1045)),SUMPRODUCT(($AZ38&gt;INDEX('Methodology &amp; Sources'!$B$184:$J$198,0,1))*($AZ38-INDEX('Methodology &amp; Sources'!$B$184:$J$198,0,1))*INDEX('Methodology &amp; Sources'!$B$184:$J$198,0,1+2))),IF($AZ38&gt;=1077550,$AZ38*IF($AZ38&gt;25000000,0.117,IF($AZ38&gt;5000000,0.111,0.1045)),SUMPRODUCT(($AZ38&gt;INDEX('Methodology &amp; Sources'!$B$167:$J$179,0,7))*($AZ38-INDEX('Methodology &amp; Sources'!$B$167:$J$179,0,7))*INDEX('Methodology &amp; Sources'!$B$167:$J$179,0,7+2)))),"")))))))</f>
      </c>
      <c r="BX38" s="7">
        <f>IF($B38="","",IF($AN38="AL",IF(OR($AU38="Married",$AU38="Head of household"),SUMPRODUCT(($AZ38&gt;INDEX('Methodology &amp; Sources'!$B$82:$J$86,0,4))*($AZ38-INDEX('Methodology &amp; Sources'!$B$82:$J$86,0,4))*INDEX('Methodology &amp; Sources'!$B$82:$J$86,0,4+2)),SUMPRODUCT(($AZ38&gt;INDEX('Methodology &amp; Sources'!$B$82:$J$86,0,1))*($AZ38-INDEX('Methodology &amp; Sources'!$B$82:$J$86,0,1))*INDEX('Methodology &amp; Sources'!$B$82:$J$86,0,1+2))),IF($AN38="KS",IF($AU38="Married",SUMPRODUCT(($AZ38&gt;INDEX('Methodology &amp; Sources'!$B$103:$J$109,0,4))*($AZ38-INDEX('Methodology &amp; Sources'!$B$103:$J$109,0,4))*INDEX('Methodology &amp; Sources'!$B$103:$J$109,0,4+2)),SUMPRODUCT(($AZ38&gt;INDEX('Methodology &amp; Sources'!$B$103:$J$109,0,1))*($AZ38-INDEX('Methodology &amp; Sources'!$B$103:$J$109,0,1))*INDEX('Methodology &amp; Sources'!$B$103:$J$109,0,1+2))),IF($AN38="MN",IF($AU38="Married",SUMPRODUCT(($AZ38&gt;INDEX('Methodology &amp; Sources'!$B$114:$J$120,0,7))*($AZ38-INDEX('Methodology &amp; Sources'!$B$114:$J$120,0,7))*INDEX('Methodology &amp; Sources'!$B$114:$J$120,0,7+2)),SUMPRODUCT(($AZ38&gt;INDEX('Methodology &amp; Sources'!$B$114:$J$120,0,4))*($AZ38-INDEX('Methodology &amp; Sources'!$B$114:$J$120,0,4))*INDEX('Methodology &amp; Sources'!$B$114:$J$120,0,4+2))),IF($AN38="NE",MAX(IF($AU38="Married",SUMPRODUCT(($AZ38&gt;INDEX('Methodology &amp; Sources'!$B$144:$J$150,0,7))*($AZ38-INDEX('Methodology &amp; Sources'!$B$144:$J$150,0,7))*INDEX('Methodology &amp; Sources'!$B$144:$J$150,0,7+2)),SUMPRODUCT(($AZ38&gt;INDEX('Methodology &amp; Sources'!$B$144:$J$150,0,4))*($AZ38-INDEX('Methodology &amp; Sources'!$B$144:$J$150,0,4))*INDEX('Methodology &amp; Sources'!$B$144:$J$150,0,4+2))),0.015*$AZ38),IF($AN38="OH",IF($B38&gt;=DATE(2027,8,1),SUMPRODUCT(($AZ38&gt;INDEX('Methodology &amp; Sources'!$B$203:$J$206,0,1))*($AZ38-INDEX('Methodology &amp; Sources'!$B$203:$J$206,0,1))*INDEX('Methodology &amp; Sources'!$B$203:$J$206,0,1+2)),SUMPRODUCT(($AZ38&gt;INDEX('Methodology &amp; Sources'!$B$184:$J$198,0,7))*($AZ38-INDEX('Methodology &amp; Sources'!$B$184:$J$198,0,7))*INDEX('Methodology &amp; Sources'!$B$184:$J$198,0,7+2))),IF($AN38="OK",IF($AU38="Married",SUMPRODUCT(($AZ38&gt;INDEX('Methodology &amp; Sources'!$B$203:$J$206,0,7))*($AZ38-INDEX('Methodology &amp; Sources'!$B$203:$J$206,0,7))*INDEX('Methodology &amp; Sources'!$B$203:$J$206,0,7+2)),SUMPRODUCT(($AZ38&gt;INDEX('Methodology &amp; Sources'!$B$203:$J$206,0,4))*($AZ38-INDEX('Methodology &amp; Sources'!$B$203:$J$206,0,4))*INDEX('Methodology &amp; Sources'!$B$203:$J$206,0,4+2))),IF($AN38="RI",SUMPRODUCT(($AZ38&gt;INDEX('Methodology &amp; Sources'!$B$211:$J$214,0,7))*($AZ38-INDEX('Methodology &amp; Sources'!$B$211:$J$214,0,7))*INDEX('Methodology &amp; Sources'!$B$211:$J$214,0,7+2)),IF($AN38="VT",IF($AU38="Married",SUMPRODUCT(($AZ38&gt;INDEX('Methodology &amp; Sources'!$B$228:$J$232,0,1))*($AZ38-INDEX('Methodology &amp; Sources'!$B$228:$J$232,0,1))*INDEX('Methodology &amp; Sources'!$B$228:$J$232,0,1+2)),SUMPRODUCT(($AZ38&gt;INDEX('Methodology &amp; Sources'!$B$219:$J$223,0,7))*($AZ38-INDEX('Methodology &amp; Sources'!$B$219:$J$223,0,7))*INDEX('Methodology &amp; Sources'!$B$219:$J$223,0,7+2))),IF($AN38="WV",IF($AU38="Married",SUMPRODUCT(($AZ38&gt;INDEX('Methodology &amp; Sources'!$B$237:$J$241,0,7))*($AZ38-INDEX('Methodology &amp; Sources'!$B$237:$J$241,0,7))*INDEX('Methodology &amp; Sources'!$B$237:$J$241,0,7+2)),SUMPRODUCT(($AZ38&gt;INDEX('Methodology &amp; Sources'!$B$228:$J$232,0,7))*($AZ38-INDEX('Methodology &amp; Sources'!$B$228:$J$232,0,7))*INDEX('Methodology &amp; Sources'!$B$228:$J$232,0,7+2))),""))))))))))</f>
      </c>
      <c r="BY38" s="7">
        <f>IF($B38="","",IF($AN38="AR",SUMPRODUCT(($AZ38&gt;INDEX('Methodology &amp; Sources'!$B$82:$J$86,0,7))*($AZ38-INDEX('Methodology &amp; Sources'!$B$82:$J$86,0,7))*INDEX('Methodology &amp; Sources'!$B$82:$J$86,0,7+2)),IF($AN38="DE",SUMPRODUCT(($AZ38&gt;INDEX('Methodology &amp; Sources'!$B$91:$J$98,0,1))*($AZ38-INDEX('Methodology &amp; Sources'!$B$91:$J$98,0,1))*INDEX('Methodology &amp; Sources'!$B$91:$J$98,0,1+2)),IF($AN38="HI",IF($AU38="Married",SUMPRODUCT(($AZ38&gt;INDEX('Methodology &amp; Sources'!$B$91:$J$98,0,7))*($AZ38-INDEX('Methodology &amp; Sources'!$B$91:$J$98,0,7))*INDEX('Methodology &amp; Sources'!$B$91:$J$98,0,7+2)),SUMPRODUCT(($AZ38&gt;INDEX('Methodology &amp; Sources'!$B$91:$J$98,0,4))*($AZ38-INDEX('Methodology &amp; Sources'!$B$91:$J$98,0,4))*INDEX('Methodology &amp; Sources'!$B$91:$J$98,0,4+2))),IF($AN38="SC",SUMPRODUCT(($AZ38&gt;INDEX('Methodology &amp; Sources'!$B$219:$J$223,0,1))*($AZ38-INDEX('Methodology &amp; Sources'!$B$219:$J$223,0,1))*INDEX('Methodology &amp; Sources'!$B$219:$J$223,0,1+2)),IF($AN38="VA",SUMPRODUCT(($AZ38&gt;INDEX('Methodology &amp; Sources'!$B$219:$J$223,0,4))*($AZ38-INDEX('Methodology &amp; Sources'!$B$219:$J$223,0,4))*INDEX('Methodology &amp; Sources'!$B$219:$J$223,0,4+2)),IF($AN38="WI",SUMPRODUCT(($AZ38&gt;INDEX('Methodology &amp; Sources'!$B$228:$J$232,0,4))*($AZ38-INDEX('Methodology &amp; Sources'!$B$228:$J$232,0,4))*INDEX('Methodology &amp; Sources'!$B$228:$J$232,0,4+2)),"")))))))</f>
      </c>
      <c r="BZ38" s="24">
        <f>IF($B38="","",IF($AN38="NJ",IF('Inputs 2'!$C$77="B",SUMPRODUCT(($AZ38&gt;=INDEX('Methodology &amp; Sources'!$B$155:$J$162,0,4))*INDEX('Methodology &amp; Sources'!$B$155:$J$162,0,4+2)),IF('Inputs 2'!$C$77="C",SUMPRODUCT(($AZ38&gt;=INDEX('Methodology &amp; Sources'!$B$155:$J$162,0,7))*INDEX('Methodology &amp; Sources'!$B$155:$J$162,0,7+2)),IF('Inputs 2'!$C$77="D",SUMPRODUCT(($AZ38&gt;=INDEX('Methodology &amp; Sources'!$B$167:$J$179,0,1))*INDEX('Methodology &amp; Sources'!$B$167:$J$179,0,1+2)),IF('Inputs 2'!$C$77="E",SUMPRODUCT(($AZ38&gt;=INDEX('Methodology &amp; Sources'!$B$167:$J$179,0,4))*INDEX('Methodology &amp; Sources'!$B$167:$J$179,0,4+2)),SUMPRODUCT(($AZ38&gt;=INDEX('Methodology &amp; Sources'!$B$155:$J$162,0,1))*INDEX('Methodology &amp; Sources'!$B$155:$J$162,0,1+2)))))),IF($AN38="OR",IF(OR($AU38="Married",AND($AU38="Single",$AS38&gt;=3)),SUMPRODUCT((MAX(0,$AY38-MIN(($P38-'Methodology &amp; Sources'!$C$10*$D38)*'Inputs 2'!$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Sources'!$B$211:$J$214,0,4))*INDEX('Methodology &amp; Sources'!$B$211:$J$214,0,4+2)),SUMPRODUCT((MAX(0,$AY38-MIN(($P38-'Methodology &amp; Sources'!$C$10*$D38)*'Inputs 2'!$C$8,IF(OR($AU38="Married",AND($AU38="Single",$AS38&gt;=3)),IF($AY38&lt;250000,8750,IF($AY38&lt;260000,7000,IF($AY38&lt;270000,5250,IF($AY38&lt;280000,3500,IF($AY38&lt;290000,1750,0))))),IF($AY38&lt;125000,8750,IF($AY38&lt;130000,7000,IF($AY38&lt;135000,5250,IF($AY38&lt;140000,3500,IF($AY38&lt;145000,1750,0)))))))-IF(OR($AU38="Married",AND($AU38="Single",$AS38&gt;=3)),5820,2910))&gt;=INDEX('Methodology &amp; Sources'!$B$211:$J$214,0,1))*INDEX('Methodology &amp; Sources'!$B$211:$J$214,0,1+2)))*IF(($P38-'Methodology &amp; Sources'!$C$10*$D38)*'Inputs 2'!$C$8&gt;=IF(OR($AU38="Married",AND($AU38="Single",$AS38&gt;=3)),IF($AY38&lt;250000,8750,IF($AY38&lt;260000,7000,IF($AY38&lt;270000,5250,IF($AY38&lt;280000,3500,IF($AY38&lt;290000,1750,0))))),IF($AY38&lt;125000,8750,IF($AY38&lt;130000,7000,IF($AY38&lt;135000,5250,IF($AY38&lt;140000,3500,IF($AY38&lt;145000,1750,0)))))),1,1-IF('Inputs 2'!$C$13,SUMPRODUCT(($AH38&gt;=INDEX('Methodology &amp; Sources'!$B$29:$J$36,0,IF('Inputs 2'!$C$12="MFJ",1,IF('Inputs 2'!$C$12="HoH",7,4))))*INDEX('Methodology &amp; Sources'!$B$29:$J$36,0,IF('Inputs 2'!$C$12="MFJ",1,IF('Inputs 2'!$C$12="HoH",7,4))+2)),SUMPRODUCT(($AH38&gt;=INDEX('Methodology &amp; Sources'!$B$19:$J$26,0,IF('Inputs 2'!$C$12="MFJ",1,IF('Inputs 2'!$C$12="HoH",7,4))))*INDEX('Methodology &amp; Sources'!$B$19:$J$26,0,IF('Inputs 2'!$C$12="MFJ",1,IF('Inputs 2'!$C$12="HoH",7,4))+2)))),IF($AN38="MI",IF($AY38&gt;5900*$AS38,0.0425,0),""))))</f>
      </c>
      <c r="CA38" s="24">
        <f>IF($B38="","",IF($AN38="AL",IF(OR($AU38="Married",$AU38="Head of household"),SUMPRODUCT(($AZ38&gt;=INDEX('Methodology &amp; Sources'!$B$82:$J$86,0,4))*INDEX('Methodology &amp; Sources'!$B$82:$J$86,0,4+2)),SUMPRODUCT(($AZ38&gt;=INDEX('Methodology &amp; Sources'!$B$82:$J$86,0,1))*INDEX('Methodology &amp; Sources'!$B$82:$J$86,0,1+2)))*(1-IF('Inputs 2'!$C$13,SUMPRODUCT(($AH38&gt;=INDEX('Methodology &amp; Sources'!$B$29:$J$36,0,IF('Inputs 2'!$C$12="MFJ",1,IF('Inputs 2'!$C$12="HoH",7,4))))*INDEX('Methodology &amp; Sources'!$B$29:$J$36,0,IF('Inputs 2'!$C$12="MFJ",1,IF('Inputs 2'!$C$12="HoH",7,4))+2)),SUMPRODUCT(($AH38&gt;=INDEX('Methodology &amp; Sources'!$B$19:$J$26,0,IF('Inputs 2'!$C$12="MFJ",1,IF('Inputs 2'!$C$12="HoH",7,4))))*INDEX('Methodology &amp; Sources'!$B$19:$J$26,0,IF('Inputs 2'!$C$12="MFJ",1,IF('Inputs 2'!$C$12="HoH",7,4))+2)))),IF($AN38="KS",IF($AU38="Married",SUMPRODUCT(($AZ38&gt;=INDEX('Methodology &amp; Sources'!$B$103:$J$109,0,4))*INDEX('Methodology &amp; Sources'!$B$103:$J$109,0,4+2)),SUMPRODUCT(($AZ38&gt;=INDEX('Methodology &amp; Sources'!$B$103:$J$109,0,1))*INDEX('Methodology &amp; Sources'!$B$103:$J$109,0,1+2))),IF($AN38="MD",IF(OR($AU38="Married",$AU38="Head of household"),SUMPRODUCT(($AZ38&gt;=INDEX('Methodology &amp; Sources'!$B$114:$J$120,0,1))*INDEX('Methodology &amp; Sources'!$B$114:$J$120,0,1+2)),SUMPRODUCT(($AZ38&gt;=INDEX('Methodology &amp; Sources'!$B$103:$J$109,0,7))*INDEX('Methodology &amp; Sources'!$B$103:$J$109,0,7+2)))+'Inputs 2'!$C$74,IF($AN38="MT",IF($AU38="Head of household",SUMPRODUCT(($AZ38&gt;=INDEX('Methodology &amp; Sources'!$B$137:$J$139,0,1))*INDEX('Methodology &amp; Sources'!$B$137:$J$139,0,1+2)),IF($AU38="Married",SUMPRODUCT(($AZ38&gt;=INDEX('Methodology &amp; Sources'!$B$125:$J$132,0,7))*INDEX('Methodology &amp; Sources'!$B$125:$J$132,0,7+2)),SUMPRODUCT(($AZ38&gt;=INDEX('Methodology &amp; Sources'!$B$125:$J$132,0,4))*INDEX('Methodology &amp; Sources'!$B$125:$J$132,0,4+2)))),IF($AN38="ND",IF($AU38="Head of household",SUMPRODUCT(($AZ38&gt;=INDEX('Methodology &amp; Sources'!$B$144:$J$150,0,1))*INDEX('Methodology &amp; Sources'!$B$144:$J$150,0,1+2)),IF($AU38="Married",SUMPRODUCT(($AZ38&gt;=INDEX('Methodology &amp; Sources'!$B$137:$J$139,0,7))*INDEX('Methodology &amp; Sources'!$B$137:$J$139,0,7+2)),SUMPRODUCT(($AZ38&gt;=INDEX('Methodology &amp; Sources'!$B$137:$J$139,0,4))*INDEX('Methodology &amp; Sources'!$B$137:$J$139,0,4+2)))),IF($AN38="NY",IF($AU38="Married",IF($AZ38&gt;=2155350,IF($AZ38&gt;25000000,0.117,IF($AZ38&gt;5000000,0.111,0.1045)),SUMPRODUCT(($AZ38&gt;=INDEX('Methodology &amp; Sources'!$B$184:$J$198,0,1))*INDEX('Methodology &amp; Sources'!$B$184:$J$198,0,1+2))),IF($AZ38&gt;=1077550,IF($AZ38&gt;25000000,0.117,IF($AZ38&gt;5000000,0.111,0.1045)),SUMPRODUCT(($AZ38&gt;=INDEX('Methodology &amp; Sources'!$B$167:$J$179,0,7))*INDEX('Methodology &amp; Sources'!$B$167:$J$179,0,7+2)))),"")))))))</f>
      </c>
      <c r="CB38" s="24">
        <f>IF($B38="","",IF($AN38="CA",SUMPRODUCT(($AJ38&gt;=INDEX('Methodology &amp; Sources'!$B$39:$J$48,0,IF($AU38="Married",4,IF($AU38="Head of household",7,1))))*INDEX('Methodology &amp; Sources'!$B$39:$J$48,0,IF($AU38="Married",4,IF($AU38="Head of household",7,1))+2)),IF($AN38="HI",IF($AU38="Married",SUMPRODUCT(($AZ38&gt;=INDEX('Methodology &amp; Sources'!$B$91:$J$98,0,7))*INDEX('Methodology &amp; Sources'!$B$91:$J$98,0,7+2)),SUMPRODUCT(($AZ38&gt;=INDEX('Methodology &amp; Sources'!$B$91:$J$98,0,4))*INDEX('Methodology &amp; Sources'!$B$91:$J$98,0,4+2))),IF($AN38="MN",IF($AU38="Married",SUMPRODUCT(($AZ38&gt;=INDEX('Methodology &amp; Sources'!$B$114:$J$120,0,7))*INDEX('Methodology &amp; Sources'!$B$114:$J$120,0,7+2)),SUMPRODUCT(($AZ38&gt;=INDEX('Methodology &amp; Sources'!$B$114:$J$120,0,4))*INDEX('Methodology &amp; Sources'!$B$114:$J$120,0,4+2))),IF($AN38="MO",SUMPRODUCT(($AZ38&gt;=INDEX('Methodology &amp; Sources'!$B$125:$J$132,0,1))*INDEX('Methodology &amp; Sources'!$B$125:$J$132,0,1+2)),IF($AN38="NE",MAX(IF($AU38="Married",SUMPRODUCT(($AZ38&gt;=INDEX('Methodology &amp; Sources'!$B$144:$J$150,0,7))*INDEX('Methodology &amp; Sources'!$B$144:$J$150,0,7+2)),SUMPRODUCT(($AZ38&gt;=INDEX('Methodology &amp; Sources'!$B$144:$J$150,0,4))*INDEX('Methodology &amp; Sources'!$B$144:$J$150,0,4+2))),0.015),IF($AN38="OH",IF($B38&gt;=DATE(2027,8,1),SUMPRODUCT(($AZ38&gt;=INDEX('Methodology &amp; Sources'!$B$203:$J$206,0,1))*INDEX('Methodology &amp; Sources'!$B$203:$J$206,0,1+2)),SUMPRODUCT(($AZ38&gt;=INDEX('Methodology &amp; Sources'!$B$184:$J$198,0,7))*INDEX('Methodology &amp; Sources'!$B$184:$J$198,0,7+2))),IF($AN38="OK",IF($AU38="Married",SUMPRODUCT(($AZ38&gt;=INDEX('Methodology &amp; Sources'!$B$203:$J$206,0,7))*INDEX('Methodology &amp; Sources'!$B$203:$J$206,0,7+2)),SUMPRODUCT(($AZ38&gt;=INDEX('Methodology &amp; Sources'!$B$203:$J$206,0,4))*INDEX('Methodology &amp; Sources'!$B$203:$J$206,0,4+2))),IF($AN38="RI",SUMPRODUCT(($AZ38&gt;=INDEX('Methodology &amp; Sources'!$B$211:$J$214,0,7))*INDEX('Methodology &amp; Sources'!$B$211:$J$214,0,7+2)),IF($AN38="SC",SUMPRODUCT(($AZ38&gt;=INDEX('Methodology &amp; Sources'!$B$219:$J$223,0,1))*INDEX('Methodology &amp; Sources'!$B$219:$J$223,0,1+2)),IF($AN38="VT",IF($AU38="Married",SUMPRODUCT(($AZ38&gt;=INDEX('Methodology &amp; Sources'!$B$228:$J$232,0,1))*INDEX('Methodology &amp; Sources'!$B$228:$J$232,0,1+2)),SUMPRODUCT(($AZ38&gt;=INDEX('Methodology &amp; Sources'!$B$219:$J$223,0,7))*INDEX('Methodology &amp; Sources'!$B$219:$J$223,0,7+2))),IF($AN38="WV",IF($AU38="Married",SUMPRODUCT(($AZ38&gt;=INDEX('Methodology &amp; Sources'!$B$237:$J$241,0,7))*INDEX('Methodology &amp; Sources'!$B$237:$J$241,0,7+2)),SUMPRODUCT(($AZ38&gt;=INDEX('Methodology &amp; Sources'!$B$228:$J$232,0,7))*INDEX('Methodology &amp; Sources'!$B$228:$J$232,0,7+2))),IF($AN38="IN",(0.0295+'Inputs 2'!$C$76),"")))))))))))))</f>
      </c>
      <c r="CC38" s="24">
        <f>IF($B38="","",IF($AN38="AR",SUMPRODUCT(($AZ38&gt;=INDEX('Methodology &amp; Sources'!$B$82:$J$86,0,7))*INDEX('Methodology &amp; Sources'!$B$82:$J$86,0,7+2)),IF($AN38="DE",SUMPRODUCT(($AZ38&gt;=INDEX('Methodology &amp; Sources'!$B$91:$J$98,0,1))*INDEX('Methodology &amp; Sources'!$B$91:$J$98,0,1+2)),IF($AN38="VA",SUMPRODUCT(($AZ38&gt;=INDEX('Methodology &amp; Sources'!$B$219:$J$223,0,4))*INDEX('Methodology &amp; Sources'!$B$219:$J$223,0,4+2)),IF($AN38="WI",SUMPRODUCT(($AZ38&gt;=INDEX('Methodology &amp; Sources'!$B$228:$J$232,0,4))*INDEX('Methodology &amp; Sources'!$B$228:$J$232,0,4+2)),IF($AN38="AZ",'Inputs 2'!$C$82,IF($AN38="CO",IF($AY38&gt;IF($AU38="Married",10000,5000),0.044,0),IF($AN38="IA",IF($AY38&gt;IF($AU38="Head of household",19500,IF($AU38="Married",26000,13000)),0.038,0),IF($AN38="ID",IF($AY38&gt;IF($AU38="Married",32000,16094),0.053,0),IF($AN38="IL",IF($AY38&gt;(2925*$AS38+1000*$AT38),0.0495,0),IF($AN38="KY",IF($AI38&gt;3360,0.035,0),IF($AN38="LA",0.0309,IF($AN38="MA",IF(MAX(0,$AY38-MIN(($BD37+$Q38+$R38+$S38),2000)-IF($AS38=0,0,IF($AS38=1,4400,1000*$AS38+3400)))&gt;=1107750,0.09,0.05),IF($AN38="MS",IF($AI38-IF($AU38="Head of household",3400,IF($AU38="Married",4600,2300))-'Inputs 2'!$C$85&gt;10000,0.04,0),IF($AN38="PA",0.0307,"")))))))))))))))</f>
      </c>
      <c r="CD38" s="21">
        <f>IF(YEAR(IF('Inputs 2'!$C$7="Weekly",'Inputs 2'!$C$9+7*(($BE37+1)-1),IF('Inputs 2'!$C$7="Biweekly",'Inputs 2'!$C$9+14*(($BE37+1)-1),IF('Inputs 2'!$C$7="Semimonthly",DATE(YEAR('Inputs 2'!$C$9),MONTH('Inputs 2'!$C$9)+INT((($BE37+1)-1)/2),MIN(DAY('Inputs 2'!$C$9),DAY(EOMONTH(DATE(YEAR('Inputs 2'!$C$9),MONTH('Inputs 2'!$C$9)+INT((($BE37+1)-1)/2),1),0))))+IF(MOD(($BE37+1)-1,2)=1,15,0),EDATE('Inputs 2'!$C$9,($BE37+1)-1)))))&lt;&gt;'Inputs 2'!$C$10,"",IF('Inputs 2'!$C$7="Weekly",'Inputs 2'!$C$9+7*(($BE37+1)-1),IF('Inputs 2'!$C$7="Biweekly",'Inputs 2'!$C$9+14*(($BE37+1)-1),IF('Inputs 2'!$C$7="Semimonthly",DATE(YEAR('Inputs 2'!$C$9),MONTH('Inputs 2'!$C$9)+INT((($BE37+1)-1)/2),MIN(DAY('Inputs 2'!$C$9),DAY(EOMONTH(DATE(YEAR('Inputs 2'!$C$9),MONTH('Inputs 2'!$C$9)+INT((($BE37+1)-1)/2),1),0))))+IF(MOD(($BE37+1)-1,2)=1,15,0),EDATE('Inputs 2'!$C$9,($BE37+1)-1)))))</f>
      </c>
      <c r="CE38" s="21">
        <f>IF(SUMPRODUCT(MIN(IF(('Inputs 2'!$C$58:$C$67&gt;MAX($B$6:$B37))*('Inputs 2'!$C$58:$C$67&gt;=DATE('Inputs 2'!$C$10,1,1))*('Inputs 2'!$C$58:$C$67&lt;=DATE('Inputs 2'!$C$10,12,31)),'Inputs 2'!$C$58:$C$67,999999)))=999999,"",SUMPRODUCT(MIN(IF(('Inputs 2'!$C$58:$C$67&gt;MAX($B$6:$B37))*('Inputs 2'!$C$58:$C$67&gt;=DATE('Inputs 2'!$C$10,1,1))*('Inputs 2'!$C$58:$C$67&lt;=DATE('Inputs 2'!$C$10,12,31)),'Inputs 2'!$C$58:$C$67,999999))))</f>
      </c>
    </row>
    <row r="39">
      <c r="A39" t="n">
        <v>34</v>
      </c>
      <c r="B39" s="21">
        <f>IF(AND($CD39="",$CE39=""),"",IF($CE39="",$CD39,IF($CD39="",$CE39,MIN($CD39,$CE39))))</f>
      </c>
      <c r="C39" s="7">
        <f>IF($B39="","",IF($BF39=0,0,IF('Inputs 2'!$C$4="Annual salary",ROUND($AK39/IF(AND('Inputs 2'!$C$88="Actual paydays",MONTH('Inputs 2'!$C$9)=1),MAX(1,MAX($BE$6:$BE$68)),'Inputs 2'!$C$8),2),$AK39)))</f>
      </c>
      <c r="D39" s="7">
        <f>IF($B39="","",SUMIF('Inputs 2'!$C$58:$C$67,$B39,'Inputs 2'!$D$58:$D$67))</f>
      </c>
      <c r="E39" s="7">
        <f>IF($B39="","",ROUND(MAX(0,MIN(IF($AL39="Percent",$AM39*($C39+$D39),$AM39),MAX(0,'Inputs 2'!$C$34-$AC38))),2))</f>
      </c>
      <c r="F39" s="7">
        <f>IF($B39="","",ROUND(MAX(0,MIN(IF('Inputs 2'!$C$32="Percent",'Inputs 2'!$D$32*($C39+$D39),'Inputs 2'!$D$32),MAX(0,'Inputs 2'!$C$34-$AC38-$E39))),2))</f>
      </c>
      <c r="G39" s="7">
        <f>IF($B39="","",IF($BF39=0,0,ROUND(MAX(0,MIN($BL39,'Inputs 2'!$C$37-'Inputs 2'!$C$54-$BI38)),2)))</f>
      </c>
      <c r="H39" s="7">
        <f>IF($B39="","",IF(OR($BF39=0,$BQ39=1),0,ROUND(MAX(0,MIN(IF($BS39=1,ROUND(MAX(0,MIN($BJ39,'Methodology &amp; Sources'!$C$13)-$BG38)/MAX(1,MAX($BE$6:$BE$68)-($BE38)),2),ROUND(MIN($BJ39,'Methodology &amp; Sources'!$C$13)/'Inputs 2'!$C$8,2)),MIN($BJ39,'Methodology &amp; Sources'!$C$13)-$BG38)),2)))</f>
      </c>
      <c r="I39" s="7">
        <f>IF($B39="","",IF(OR($BF39=0,$BR39=1),0,ROUND(MAX(0,MIN(IF($BT39=1,ROUND(MAX(0,MIN($BK39,IF('Inputs 2'!$C$12="MFJ",'Methodology &amp; Sources'!$C$14,'Methodology &amp; Sources'!$C$15))-$BH38)/MAX(1,MAX($BE$6:$BE$68)-($BE38)),2),ROUND(MIN($BK39,IF('Inputs 2'!$C$12="MFJ",'Methodology &amp; Sources'!$C$14,'Methodology &amp; Sources'!$C$15))/'Inputs 2'!$C$8,2)),MIN($BK39,IF('Inputs 2'!$C$12="MFJ",'Methodology &amp; Sources'!$C$14,'Methodology &amp; Sources'!$C$15))-$BH38)),2)))</f>
      </c>
      <c r="J39" s="7">
        <f>IF($B39="","",IF($BF39=0,0,$BM39))</f>
      </c>
      <c r="K39" s="7">
        <f>IF($B39="","",IF($BF39=0,0,$BN39+$BO39))</f>
      </c>
      <c r="L39" s="7">
        <f>IF($B39="","",IF($BF39=0,0,'Inputs 2'!$D$46))</f>
      </c>
      <c r="M39" s="7">
        <f>IF($B39="","",$C39+$D39+$L39-$E39-$G39-$H39-$I39-$J39-$K39)</f>
      </c>
      <c r="N39" s="7">
        <f>IF($B39="","",$C39+$D39+$L39-$G39-$H39-$I39-$J39-$K39)</f>
      </c>
      <c r="O39" s="7">
        <f>IF($B39="","",$C39+$D39+$L39-$E39-$H39-$I39-$J39-$K39-IF(OR($AN39="CA",$AN39="NJ"),0,$G39))</f>
      </c>
      <c r="P39" s="7">
        <f>IF($B39="","",IF('Inputs 2'!$C$18,0,ROUND(MAX(0,IF('Inputs 2'!$C$13,SUMPRODUCT(($AH39&gt;INDEX('Methodology &amp; Sources'!$B$29:$J$36,0,IF('Inputs 2'!$C$12="MFJ",1,IF('Inputs 2'!$C$12="HoH",7,4))))*($AH39-INDEX('Methodology &amp; Sources'!$B$29:$J$36,0,IF('Inputs 2'!$C$12="MFJ",1,IF('Inputs 2'!$C$12="HoH",7,4))))*INDEX('Methodology &amp; Sources'!$B$29:$J$36,0,IF('Inputs 2'!$C$12="MFJ",1,IF('Inputs 2'!$C$12="HoH",7,4))+2)),SUMPRODUCT(($AH39&gt;INDEX('Methodology &amp; Sources'!$B$19:$J$26,0,IF('Inputs 2'!$C$12="MFJ",1,IF('Inputs 2'!$C$12="HoH",7,4))))*($AH39-INDEX('Methodology &amp; Sources'!$B$19:$J$26,0,IF('Inputs 2'!$C$12="MFJ",1,IF('Inputs 2'!$C$12="HoH",7,4))))*INDEX('Methodology &amp; Sources'!$B$19:$J$26,0,IF('Inputs 2'!$C$12="MFJ",1,IF('Inputs 2'!$C$12="HoH",7,4))+2)))/'Inputs 2'!$C$8-$AO39/'Inputs 2'!$C$8)+$AR39+IF('Inputs 2'!$C$89="Aggregate",MAX(0,IF('Inputs 2'!$C$13,SUMPRODUCT((($AH39+$D39)&gt;INDEX('Methodology &amp; Sources'!$B$29:$J$36,0,IF('Inputs 2'!$C$12="MFJ",1,IF('Inputs 2'!$C$12="HoH",7,4))))*(($AH39+$D39)-INDEX('Methodology &amp; Sources'!$B$29:$J$36,0,IF('Inputs 2'!$C$12="MFJ",1,IF('Inputs 2'!$C$12="HoH",7,4))))*INDEX('Methodology &amp; Sources'!$B$29:$J$36,0,IF('Inputs 2'!$C$12="MFJ",1,IF('Inputs 2'!$C$12="HoH",7,4))+2)),SUMPRODUCT((($AH39+$D39)&gt;INDEX('Methodology &amp; Sources'!$B$19:$J$26,0,IF('Inputs 2'!$C$12="MFJ",1,IF('Inputs 2'!$C$12="HoH",7,4))))*(($AH39+$D39)-INDEX('Methodology &amp; Sources'!$B$19:$J$26,0,IF('Inputs 2'!$C$12="MFJ",1,IF('Inputs 2'!$C$12="HoH",7,4))))*INDEX('Methodology &amp; Sources'!$B$19:$J$26,0,IF('Inputs 2'!$C$12="MFJ",1,IF('Inputs 2'!$C$12="HoH",7,4))+2)))-IF('Inputs 2'!$C$13,SUMPRODUCT(($AH39&gt;INDEX('Methodology &amp; Sources'!$B$29:$J$36,0,IF('Inputs 2'!$C$12="MFJ",1,IF('Inputs 2'!$C$12="HoH",7,4))))*($AH39-INDEX('Methodology &amp; Sources'!$B$29:$J$36,0,IF('Inputs 2'!$C$12="MFJ",1,IF('Inputs 2'!$C$12="HoH",7,4))))*INDEX('Methodology &amp; Sources'!$B$29:$J$36,0,IF('Inputs 2'!$C$12="MFJ",1,IF('Inputs 2'!$C$12="HoH",7,4))+2)),SUMPRODUCT(($AH39&gt;INDEX('Methodology &amp; Sources'!$B$19:$J$26,0,IF('Inputs 2'!$C$12="MFJ",1,IF('Inputs 2'!$C$12="HoH",7,4))))*($AH39-INDEX('Methodology &amp; Sources'!$B$19:$J$26,0,IF('Inputs 2'!$C$12="MFJ",1,IF('Inputs 2'!$C$12="HoH",7,4))))*INDEX('Methodology &amp; Sources'!$B$19:$J$26,0,IF('Inputs 2'!$C$12="MFJ",1,IF('Inputs 2'!$C$12="HoH",7,4))+2)))),'Methodology &amp; Sources'!$C$10*$D39),2)))</f>
      </c>
      <c r="Q39" s="7">
        <f>IF($B39="","",ROUND('Methodology &amp; Sources'!$C$4*MIN($N39,MAX(0,'Methodology &amp; Sources'!$C$3-($AX39+$AB38-$AW39))),2))</f>
      </c>
      <c r="R39" s="7">
        <f>IF($B39="","",ROUND('Methodology &amp; Sources'!$C$5*$N39,2))</f>
      </c>
      <c r="S39" s="7">
        <f>IF($B39="","",ROUND('Methodology &amp; Sources'!$C$6*MAX(0,MIN($N39,$AG38+$N39-'Methodology &amp; Sources'!$C$7)),2))</f>
      </c>
      <c r="T39" s="7">
        <f>IF($B39="","",IF('Inputs 2'!$C$26,0,IF($AN39="CA",ROUND(IF($AI39&lt;=IF(($AS39+$AT39)&gt;=2,VLOOKUP($AN39,StateTables!$A$6:$AB$56,10,FALSE),VLOOKUP($AN39,StateTables!$A$6:$AB$56,9,FALSE)),0,MAX(0,SUMPRODUCT(($AJ39&gt;INDEX('Methodology &amp; Sources'!$B$39:$J$48,0,IF($AU39="Married",4,IF($AU39="Head of household",7,1))))*($AJ39-INDEX('Methodology &amp; Sources'!$B$39:$J$48,0,IF($AU39="Married",4,IF($AU39="Head of household",7,1))))*INDEX('Methodology &amp; Sources'!$B$39:$J$48,0,IF($AU39="Married",4,IF($AU39="Head of household",7,1))+2))-VLOOKUP($AN39,StateTables!$A$6:$AB$56,11,FALSE)*$AS39)/'Inputs 2'!$C$8)+'Inputs 2'!$C$25+VLOOKUP($AN39,StateTables!$A$6:$AB$56,13,FALSE)*$D39,2),IF(VLOOKUP($AN39,StateTables!$A$6:$AB$56,4,FALSE)="None",0,IF(ISNUMBER(SEARCH("MANUAL",VLOOKUP($AN39,StateTables!$A$6:$AB$56,5,FALSE))),'Inputs 2'!$C$28,ROUND(MAX(0,$BA39+$BB39)/'Inputs 2'!$C$8+'Inputs 2'!$C$25+$BC39,2))))))</f>
      </c>
      <c r="U39" s="7">
        <f>IF($B39="","",IF(VLOOKUP($AN39,StateTables!$A$6:$AB$56,24,FALSE)="flatq",IF(OR(MONTH($B39)=1,MONTH($B39)=4,MONTH($B39)=7,MONTH($B39)=10),VLOOKUP($AN39,StateTables!$A$6:$AB$56,25,FALSE),0),IF(VLOOKUP($AN39,StateTables!$A$6:$AB$56,24,FALSE)="dbl",MIN(ROUND(0.005*$N39,2),ROUND(0.6*52/'Inputs 2'!$C$8,2)),IF(OR(VLOOKUP($AN39,StateTables!$A$6:$AB$56,15,FALSE)="",VLOOKUP($AN39,StateTables!$A$6:$AB$56,15,FALSE)=0),0,ROUND(VLOOKUP($AN39,StateTables!$A$6:$AB$56,15,FALSE)*IF(OR(VLOOKUP($AN39,StateTables!$A$6:$AB$56,16,FALSE)="",VLOOKUP($AN39,StateTables!$A$6:$AB$56,16,FALSE)=0),$N39,MIN($N39,MAX(0,VLOOKUP($AN39,StateTables!$A$6:$AB$56,16,FALSE)-($AX39+$AB38-$AW39)))),2))))+IF(VLOOKUP($AN39,StateTables!$A$6:$AB$56,27,FALSE)="flatq",IF(OR(MONTH($B39)=1,MONTH($B39)=4,MONTH($B39)=7,MONTH($B39)=10),VLOOKUP($AN39,StateTables!$A$6:$AB$56,28,FALSE),0),IF(VLOOKUP($AN39,StateTables!$A$6:$AB$56,27,FALSE)="dbl",MIN(ROUND(0.005*$N39,2),ROUND(0.6*52/'Inputs 2'!$C$8,2)),IF(OR(VLOOKUP($AN39,StateTables!$A$6:$AB$56,18,FALSE)="",VLOOKUP($AN39,StateTables!$A$6:$AB$56,18,FALSE)=0),0,ROUND(VLOOKUP($AN39,StateTables!$A$6:$AB$56,18,FALSE)*IF(OR(VLOOKUP($AN39,StateTables!$A$6:$AB$56,19,FALSE)="",VLOOKUP($AN39,StateTables!$A$6:$AB$56,19,FALSE)=0),$N39,MIN($N39,MAX(0,VLOOKUP($AN39,StateTables!$A$6:$AB$56,19,FALSE)-($AX39+$AB38-$AW39)))),2)))))</f>
      </c>
      <c r="V39" s="7">
        <f>IF($B39="","",IF($AN39="NY",IF('Inputs 2'!$C$78,ROUND(SUMPRODUCT((MAX(0,($O39-$D39)*'Inputs 2'!$C$8-(IF($AU39="Married",5500,5000)+1000*$AS39))&gt;INDEX('Methodology &amp; Sources'!$B$184:$J$198,0,4))*(MAX(0,($O39-$D39)*'Inputs 2'!$C$8-(IF($AU39="Married",5500,5000)+1000*$AS39))-INDEX('Methodology &amp; Sources'!$B$184:$J$198,0,4))*INDEX('Methodology &amp; Sources'!$B$184:$J$198,0,4+2))/'Inputs 2'!$C$8+0.0425*$D39,2),0)+IF('Inputs 2'!$C$79="Resident",ROUND(0.1675*$T39,2),IF('Inputs 2'!$C$79="Nonresident",ROUND(0.005*MAX(0,($O39-$D39)-(IF($AU39="Married",7950,7400)+1000*$AS39)/'Inputs 2'!$C$8),2),0)),IF($AN39="PA",IF('Inputs 2'!$C$80="None",'Inputs 2'!$C$27+ROUND('Inputs 2'!$C$81*($C39+$D39),2),ROUND(IF('Inputs 2'!$C$80="Resident",IF($B39&lt;DATE(2027,7,1),0.03735,0.03735),IF($B39&lt;DATE(2027,7,1),0.03425,0.03425))*($C39+$D39),2)),IF($BF39=0,ROUND('Inputs 2'!$C$81*($C39+$D39),2),'Inputs 2'!$C$27+ROUND('Inputs 2'!$C$81*($C39+$D39),2)))))</f>
      </c>
      <c r="W39" s="7">
        <f>IF($B39="","",IF($BF39=0,0,$BP39))</f>
      </c>
      <c r="X39" s="7">
        <f>IF($B39="","",SUM($E39:$K39)+$P39+$Q39+$R39+$S39+$T39+$U39+$V39+$W39)</f>
      </c>
      <c r="Y39" s="22">
        <f>IF($B39="","",$C39+$D39-$X39)</f>
      </c>
      <c r="Z39" s="7">
        <f>IF($B39="","",$Z38+$C39+$D39)</f>
      </c>
      <c r="AA39" s="7">
        <f>IF($B39="","",$AA38+$Y39)</f>
      </c>
      <c r="AB39" s="7">
        <f>IF($B39="","",$AB38+MIN($N39,MAX(0,'Methodology &amp; Sources'!$C$3-($AX39+$AB38-$AW39))))</f>
      </c>
      <c r="AC39" s="7">
        <f>IF($B39="","",$AC38+$E39+$F39)</f>
      </c>
      <c r="AD39" s="3">
        <f>IF($B39="","",IF(AND($AB38&lt;'Methodology &amp; Sources'!$C$3,$AB39&gt;='Methodology &amp; Sources'!$C$3),"★ Social Security maxed on this check — from the next check your net rises by about $"&amp;TEXT(ROUND('Methodology &amp; Sources'!$C$4*$N39,2),"#,##0.00")&amp;". ","")&amp;IF(AND($AC38&lt;'Inputs 2'!$C$34,$AC39&gt;='Inputs 2'!$C$34),"★ 401(k) reaches the $"&amp;TEXT('Inputs 2'!$C$34,"#,##0")&amp;" cap on this check — deferrals stop and net pay rises. ","")&amp;IF(AND($AG38&lt;'Methodology &amp; Sources'!$C$7,$AG39&gt;='Methodology &amp; Sources'!$C$7),"★ Wages pass $200,000 — the 0.9% Additional Medicare Tax starts here. ","")&amp;IF(AND($BJ39&gt;0,$H39&gt;0,$BG38&lt;MIN($BJ39,'Methodology &amp; Sources'!$C$13),$BG38+$H39&gt;=MIN($BJ39,'Methodology &amp; Sources'!$C$13)),"★ Health FSA election is now fully deferred for the year. ",""))</f>
      </c>
      <c r="AE39" s="41" t="n"/>
      <c r="AF39" s="7">
        <f>IF(OR($B39="",$AE39=""),"",$AE39-$Y39)</f>
      </c>
      <c r="AG39" s="7">
        <f>IF($B39="","",$AG38+$N39)</f>
      </c>
      <c r="AH39" s="7">
        <f>IF($B39="","",MAX(0,($M39-$D39)*'Inputs 2'!$C$8+$AP39-$AQ39-IF('Inputs 2'!$C$13,0,IF('Inputs 2'!$C$12="MFJ",'Methodology &amp; Sources'!$C$8,'Methodology &amp; Sources'!$C$9))))</f>
      </c>
      <c r="AI39" s="7">
        <f>IF($B39="","",$O39*'Inputs 2'!$C$8)</f>
      </c>
      <c r="AJ39" s="7">
        <f>IF($B39="","",MAX(0,$AI39-VLOOKUP($AN39,StateTables!$A$6:$AB$56,12,FALSE)*$AT39-IF(($AS39+$AT39)&gt;=2,VLOOKUP($AN39,StateTables!$A$6:$AB$56,8,FALSE),VLOOKUP($AN39,StateTables!$A$6:$AB$56,7,FALSE))))</f>
      </c>
      <c r="AK39" s="7">
        <f>IF($B39="","",IFERROR(LOOKUP(2,1/(('Events 2'!$C$6:$C$17="Salary change")*('Events 2'!$B$6:$B$17&lt;=$B39)*('Events 2'!$B$6:$B$17&lt;&gt;"")),'Events 2'!$D$6:$D$17),IF('Inputs 2'!$C$4="Annual salary",'Inputs 2'!$C$5,'Inputs 2'!$C$6)))</f>
      </c>
      <c r="AL39">
        <f>IF($B39="","",IFERROR(LOOKUP(2,1/(('Events 2'!$C$6:$C$17="401(k) change")*('Events 2'!$B$6:$B$17&lt;=$B39)*('Events 2'!$B$6:$B$17&lt;&gt;"")),'Events 2'!$D$6:$D$17),'Inputs 2'!$C$30))</f>
      </c>
      <c r="AM39" s="7">
        <f>IF($B39="","",IFERROR(LOOKUP(2,1/(('Events 2'!$C$6:$C$17="401(k) change")*('Events 2'!$B$6:$B$17&lt;=$B39)*('Events 2'!$B$6:$B$17&lt;&gt;"")),'Events 2'!$E$6:$E$17),'Inputs 2'!$D$30))</f>
      </c>
      <c r="AN39">
        <f>IF($B39="","",IFERROR(LOOKUP(2,1/(('Events 2'!$C$6:$C$17="State move")*('Events 2'!$B$6:$B$17&lt;=$B39)*('Events 2'!$B$6:$B$17&lt;&gt;"")),'Events 2'!$D$6:$D$17),'Inputs 2'!$C$21))</f>
      </c>
      <c r="AO39" s="7">
        <f>IF($B39="","",IFERROR(LOOKUP(2,1/(('Events 2'!$C$6:$C$17="W-4 change")*('Events 2'!$B$6:$B$17&lt;=$B39)*('Events 2'!$B$6:$B$17&lt;&gt;"")),'Events 2'!$D$6:$D$17),'Inputs 2'!$C$14))</f>
      </c>
      <c r="AP39" s="7">
        <f>IF($B39="","",IFERROR(LOOKUP(2,1/(('Events 2'!$C$6:$C$17="W-4 change")*('Events 2'!$B$6:$B$17&lt;=$B39)*('Events 2'!$B$6:$B$17&lt;&gt;"")),'Events 2'!$E$6:$E$17),'Inputs 2'!$C$15))</f>
      </c>
      <c r="AQ39" s="7">
        <f>IF($B39="","",IFERROR(LOOKUP(2,1/(('Events 2'!$C$6:$C$17="W-4 change")*('Events 2'!$B$6:$B$17&lt;=$B39)*('Events 2'!$B$6:$B$17&lt;&gt;"")),'Events 2'!$F$6:$F$17),'Inputs 2'!$C$16))</f>
      </c>
      <c r="AR39" s="7">
        <f>IF($B39="","",IFERROR(LOOKUP(2,1/(('Events 2'!$C$6:$C$17="W-4 change")*('Events 2'!$B$6:$B$17&lt;=$B39)*('Events 2'!$B$6:$B$17&lt;&gt;"")),'Events 2'!$G$6:$G$17),'Inputs 2'!$C$17))</f>
      </c>
      <c r="AS39" s="6">
        <f>IF($B39="","",IFERROR(LOOKUP(2,1/((('Events 2'!$C$6:$C$17="State move")+('Events 2'!$C$6:$C$17="State cert change"))*('Events 2'!$B$6:$B$17&lt;=$B39)*('Events 2'!$B$6:$B$17&lt;&gt;"")),'Events 2'!$F$6:$F$17),'Inputs 2'!$C$23))</f>
      </c>
      <c r="AT39" s="6">
        <f>IF($B39="","",IFERROR(LOOKUP(2,1/((('Events 2'!$C$6:$C$17="State move")+('Events 2'!$C$6:$C$17="State cert change"))*('Events 2'!$B$6:$B$17&lt;=$B39)*('Events 2'!$B$6:$B$17&lt;&gt;"")),'Events 2'!$G$6:$G$17),'Inputs 2'!$C$24))</f>
      </c>
      <c r="AU39">
        <f>IF($B39="","",IFERROR(LOOKUP(2,1/(('Events 2'!$C$6:$C$17="State move")*('Events 2'!$B$6:$B$17&lt;=$B39)*('Events 2'!$B$6:$B$17&lt;&gt;"")),'Events 2'!$E$6:$E$17),'Inputs 2'!$C$22))</f>
      </c>
      <c r="AV39" s="6">
        <f>IF($B39="","",1+COUNTIFS('Events 2'!$C$6:$C$17,"Employer change",'Events 2'!$B$6:$B$17,"&lt;="&amp;$B39,'Events 2'!$B$6:$B$17,"&lt;&gt;"))</f>
      </c>
      <c r="AW39" s="7">
        <f>IF($B39="","",IF($AV39=1,'Inputs 2'!$C$49,IF(IFERROR(MATCH(IFERROR(LOOKUP(2,1/(('Events 2'!$C$6:$C$17="Employer change")*('Events 2'!$B$6:$B$17&lt;=$B39)*('Events 2'!$B$6:$B$17&lt;&gt;"")),'Events 2'!$B$6:$B$17),""),$B$6:$B$68,1),1)&lt;=1,'Inputs 2'!$C$49,INDEX($AB$6:$AB$68,MATCH(IFERROR(LOOKUP(2,1/(('Events 2'!$C$6:$C$17="Employer change")*('Events 2'!$B$6:$B$17&lt;=$B39)*('Events 2'!$B$6:$B$17&lt;&gt;"")),'Events 2'!$B$6:$B$17),""),$B$6:$B$68,1)-1))))</f>
      </c>
      <c r="AX39" s="7">
        <f>IF($B39="","",IF($AV39=1,'Inputs 2'!$C$49,IFERROR(LOOKUP(2,1/(('Events 2'!$C$6:$C$17="Employer change")*('Events 2'!$B$6:$B$17&lt;=$B39)*('Events 2'!$B$6:$B$17&lt;&gt;"")),'Events 2'!$D$6:$D$17),0)))</f>
      </c>
      <c r="AY39" s="7">
        <f>IF($B39="","",($O39-$D39)*'Inputs 2'!$C$8)</f>
      </c>
      <c r="AZ39" s="7">
        <f>IF($B39="","",IF($AN39="AL",MAX(0,$AY39-IF($AU39="Married",IF($AY39&lt;=25999,8500,MAX(5000,8500-175*CEILING(($AY39-25999)/500,1))),IF($AU39="Head of household",IF($AY39&lt;=25999,5200,MAX(2500,5200-135*CEILING(($AY39-25999)/500,1))),IF($AY39&lt;=25999,3000,MAX(2500,3000-25*CEILING(($AY39-25999)/500,1)))))-($P39-'Methodology &amp; Sources'!$C$10*$D39)*'Inputs 2'!$C$8-IF(OR($AU39="Married",$AU39="Head of household"),3000,1500)-$AT39*IF($AY39&lt;=50000,1000,IF($AY39&lt;=100000,500,300))),IF($AN39="AR",IF(MAX(0,$AY39-2470)&lt;97701,INT(MAX(0,$AY39-2470)/100)*100+50,MAX(0,$AY39-2470)),IF($AN39="DE",MAX(0,$AI39-3250),IF($AN39="HI",MAX(0,$AI39-1144*$AS39-4350),IF($AN39="KS",MAX(0,$AI39-(9160*IF($AU39="Married",2,1)+2320*$AT39+IF($AU39="Head of household",2320,0))),IF($AN39="MD",MAX(0,$AI39-3400-3200*$AS39),IF($AN39="MN",MAX(0,$AY39-5300*$AS39),IF($AN39="MO",MAX(0,$AI39-IF($AU39="Head of household",24150,IF($AU39="Married",IF('Inputs 2'!$C$83,16100,32200),16100))),IF($AN39="MT",$AY39,IF($AN39="ND",($C39+$L39)*'Inputs 2'!$C$8,IF($AN39="NE",MAX(0,$AY39-2440*$AS39),IF($AN39="NJ",MAX(0,$AY39-1000*$AS39),IF($AN39="NY",MAX(0,$AY39-(IF($AU39="Married",7950,7400)+1000*$AS39)),IF($AN39="OH",MAX(0,$AY39-650*$AS39),IF($AN39="OK",MAX(0,$AY39-1000*$AS39),IF($AN39="RI",MAX(0,$AI39-1000*$AS39),IF($AN39="SC",MAX(0,$AI39-5000*$AS39-IF($AS39=0,0,MIN(0.1*$AI39,7500))),IF($AN39="VA",MAX(0,$AI39-IF($AU39="Married",17500,8750)-930*$AS39-800*$AT39),IF($AN39="VT",MAX(0,$AI39-5400*$AS39),IF($AN39="WI",MAX(0,$AI39-MAX(0,IF($AU39="Married",9461-0.2*MAX(0,$AI39-25727),6702-0.12*MAX(0,$AI39-17780)))-400*$AS39),IF($AN39="WV",MAX(0,$AI39-2000*$AS39),$AI39))))))))))))))))))))))</f>
      </c>
      <c r="BA39" s="7">
        <f>IF($B39="","",IF($BW39&lt;&gt;"",$BW39,IF($BX39&lt;&gt;"",$BX39,IF($BY39&lt;&gt;"",$BY39,0))))</f>
      </c>
      <c r="BB39" s="7">
        <f>IF($B39="","",IF($AN39="AR",-29*$AS39,IF($AN39="DE",-110*$AS39,IF($AN39="MD",$AZ39*'Inputs 2'!$C$74,IF($AN39="AZ",'Inputs 2'!$C$82*($M39-$D39)*'Inputs 2'!$C$8,IF($AN39="CO",0.044*MAX(0,$AY39-IF($AU39="Married",10000,5000)),IF($AN39="IA",MAX(0,0.038*MAX(0,$AY39-IF($AU39="Head of household",19500,IF($AU39="Married",26000,13000)))-40*$AS39),IF($AN39="ID",0.053*MAX(0,$AY39-IF($AU39="Married",32000,16094)),IF($AN39="IL",0.0495*MAX(0,$AY39-(2925*$AS39+1000*$AT39)),IF($AN39="IN",(0.0295+'Inputs 2'!$C$76)*MAX(0,$AY39-(1000*$AS39+1500*$AT39+3000*'Inputs 2'!$C$86)),IF($AN39="KY",0.035*MAX(0,$AI39-3360),IF($AN39="LA",IF('Inputs 2'!$C$84="0",0.0309*$AI39,0.0309*MAX(0,$AI39-IF('Inputs 2'!$C$84="2",25750,12875))),IF($AN39="MA",0.05*MIN(MAX(0,$AY39-MIN(($BD38+$Q39+$R39+$S39),2000)-IF($AS39=0,0,IF($AS39=1,4400,1000*$AS39+3400))),1107750)+0.09*MAX(0,MAX(0,$AY39-MIN(($BD38+$Q39+$R39+$S39),2000)-IF($AS39=0,0,IF($AS39=1,4400,1000*$AS39+3400)))-1107750)-IF($AU39="Head of household",120,0)-110*'Inputs 2'!$C$75,IF($AN39="MI",0.0425*MAX(0,$AY39-5900*$AS39),IF($AN39="MS",0.04*MAX(0,$AI39-IF($AU39="Head of household",3400,IF($AU39="Married",4600,2300))-'Inputs 2'!$C$85-10000),IF($AN39="OR",IF(OR($AU39="Married",AND($AU39="Single",$AS39&gt;=3)),SUMPRODUCT((MAX(0,$AY39-MIN(($P39-'Methodology &amp; Sources'!$C$10*$D39)*'Inputs 2'!$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Sources'!$B$211:$J$214,0,4))*(MAX(0,$AY39-MIN(($P39-'Methodology &amp; Sources'!$C$10*$D39)*'Inputs 2'!$C$8,IF(OR($AU39="Married",AND($AU39="Single",$AS39&gt;=3)),IF($AY39&lt;250000,8750,IF($AY39&lt;260000,7000,IF($AY39&lt;270000,5250,IF($AY39&lt;280000,3500,IF($AY39&lt;290000,1750,0))))),IF($AY39&lt;125000,8750,IF($AY39&lt;130000,7000,IF($AY39&lt;135000,5250,IF($AY39&lt;140000,3500,IF($AY39&lt;145000,1750,0)))))))-IF(OR($AU39="Married",AND($AU39="Single",$AS39&gt;=3)),5820,2910))-INDEX('Methodology &amp; Sources'!$B$211:$J$214,0,4))*INDEX('Methodology &amp; Sources'!$B$211:$J$214,0,4+2)),SUMPRODUCT((MAX(0,$AY39-MIN(($P39-'Methodology &amp; Sources'!$C$10*$D39)*'Inputs 2'!$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Sources'!$B$211:$J$214,0,1))*(MAX(0,$AY39-MIN(($P39-'Methodology &amp; Sources'!$C$10*$D39)*'Inputs 2'!$C$8,IF(OR($AU39="Married",AND($AU39="Single",$AS39&gt;=3)),IF($AY39&lt;250000,8750,IF($AY39&lt;260000,7000,IF($AY39&lt;270000,5250,IF($AY39&lt;280000,3500,IF($AY39&lt;290000,1750,0))))),IF($AY39&lt;125000,8750,IF($AY39&lt;130000,7000,IF($AY39&lt;135000,5250,IF($AY39&lt;140000,3500,IF($AY39&lt;145000,1750,0)))))))-IF(OR($AU39="Married",AND($AU39="Single",$AS39&gt;=3)),5820,2910))-INDEX('Methodology &amp; Sources'!$B$211:$J$214,0,1))*INDEX('Methodology &amp; Sources'!$B$211:$J$214,0,1+2)))+263-263*IF(IF($AU39="Married",$AY39&gt;200000,$AY39&gt;100000),0,$AS39),IF($AN39="PA",0.0307*(($O39+$E39+$G39)*'Inputs 2'!$C$8),IF($AN39="NY",IF($AU39="Married",IF($AZ39&gt;=2155350,0,IF($AZ39&gt;=1077550,0.48,IF($AZ39&gt;=373200,1.21,IF($AZ39&gt;=323200,0.21,IF($AZ39&gt;=211550,-0.19,IF($AZ39&gt;=157650,-2.8,IF($AZ39&gt;=107650,-0.8,IF($AZ39&gt;=96800,0.05,IF($AZ39&gt;=80650,-0.1,IF($AZ39&gt;=13900,0.4,IF($AZ39&gt;=11700,-0.3,IF($AZ39&gt;=8500,0.5,0)))))))))))),IF($AZ39&gt;=1077550,0,IF($AZ39&gt;=265400,4.29,IF($AZ39&gt;=215400,2.29,IF($AZ39&gt;=157650,2.29,IF($AZ39&gt;=107650,0.29,IF($AZ39&gt;=96800,0.05,IF($AZ39&gt;=80650,-0.1,IF($AZ39&gt;=13900,0.4,IF($AZ39&gt;=11700,-0.3,IF($AZ39&gt;=8500,0.5,0))))))))))),0))))))))))))))))))</f>
      </c>
      <c r="BC39" s="7">
        <f>IF($B39="","",IF($AN39="AL",0.05*$D39,IF($AN39="AR",0.039*$D39,IF($AN39="ID",0.053*$D39,IF($AN39="IN",(0.0295+'Inputs 2'!$C$76)*$D39,IF($AN39="KS",0.05*$D39,IF($AN39="MA",0.09*MIN($D39,MAX(0,MAX(0,$AY39-MIN(($BD38+$Q39+$R39+$S39),2000)-IF($AS39=0,0,IF($AS39=1,4400,1000*$AS39+3400)))+$D39-1107750))+0.05*($D39-MIN($D39,MAX(0,MAX(0,$AY39-MIN(($BD38+$Q39+$R39+$S39),2000)-IF($AS39=0,0,IF($AS39=1,4400,1000*$AS39+3400)))+$D39-1107750))),IF($AN39="MD",(0.065+'Inputs 2'!$C$74)*$D39,IF($AN39="MI",0.0425*$D39,IF($AN39="MN",0.0625*$D39,IF($AN39="MO",0.047*$D39,IF($AN39="MT",0.05*$D39,IF($AN39="ND",0.015*$D39,IF($AN39="NE",0.035*$D39,IF($AN39="NJ",IF('Inputs 2'!$C$77="B",SUMPRODUCT(($D39*'Inputs 2'!$C$8&gt;INDEX('Methodology &amp; Sources'!$B$155:$J$162,0,4))*($D39*'Inputs 2'!$C$8-INDEX('Methodology &amp; Sources'!$B$155:$J$162,0,4))*INDEX('Methodology &amp; Sources'!$B$155:$J$162,0,4+2)),IF('Inputs 2'!$C$77="C",SUMPRODUCT(($D39*'Inputs 2'!$C$8&gt;INDEX('Methodology &amp; Sources'!$B$155:$J$162,0,7))*($D39*'Inputs 2'!$C$8-INDEX('Methodology &amp; Sources'!$B$155:$J$162,0,7))*INDEX('Methodology &amp; Sources'!$B$155:$J$162,0,7+2)),IF('Inputs 2'!$C$77="D",SUMPRODUCT(($D39*'Inputs 2'!$C$8&gt;INDEX('Methodology &amp; Sources'!$B$167:$J$179,0,1))*($D39*'Inputs 2'!$C$8-INDEX('Methodology &amp; Sources'!$B$167:$J$179,0,1))*INDEX('Methodology &amp; Sources'!$B$167:$J$179,0,1+2)),IF('Inputs 2'!$C$77="E",SUMPRODUCT(($D39*'Inputs 2'!$C$8&gt;INDEX('Methodology &amp; Sources'!$B$167:$J$179,0,4))*($D39*'Inputs 2'!$C$8-INDEX('Methodology &amp; Sources'!$B$167:$J$179,0,4))*INDEX('Methodology &amp; Sources'!$B$167:$J$179,0,4+2)),SUMPRODUCT(($D39*'Inputs 2'!$C$8&gt;INDEX('Methodology &amp; Sources'!$B$155:$J$162,0,1))*($D39*'Inputs 2'!$C$8-INDEX('Methodology &amp; Sources'!$B$155:$J$162,0,1))*INDEX('Methodology &amp; Sources'!$B$155:$J$162,0,1+2))))))/'Inputs 2'!$C$8,IF($AN39="NY",0.117*$D39,IF($AN39="OH",0.0275*$D39,IF($AN39="OK",0.045*$D39,IF($AN39="OR",0.08*$D39,IF($AN39="WI",IF($AY39&lt;12760,0.0354,IF($AY39&lt;25520,0.0465,IF($AY39&lt;280950,0.053,0.0765)))*$D39,0))))))))))))))))))))</f>
      </c>
      <c r="BD39" s="7">
        <f>IF($B39="","",$BD38+$Q39+$R39+$S39)</f>
      </c>
      <c r="BE39" s="6">
        <f>IF($B39="",$BE38,$BE38+$BF39)</f>
      </c>
      <c r="BF39" s="6">
        <f>IF($B39="","",IF(AND(IF(YEAR(IF('Inputs 2'!$C$7="Weekly",'Inputs 2'!$C$9+7*(($BE38+1)-1),IF('Inputs 2'!$C$7="Biweekly",'Inputs 2'!$C$9+14*(($BE38+1)-1),IF('Inputs 2'!$C$7="Semimonthly",DATE(YEAR('Inputs 2'!$C$9),MONTH('Inputs 2'!$C$9)+INT((($BE38+1)-1)/2),MIN(DAY('Inputs 2'!$C$9),DAY(EOMONTH(DATE(YEAR('Inputs 2'!$C$9),MONTH('Inputs 2'!$C$9)+INT((($BE38+1)-1)/2),1),0))))+IF(MOD(($BE38+1)-1,2)=1,15,0),EDATE('Inputs 2'!$C$9,($BE38+1)-1)))))&lt;&gt;'Inputs 2'!$C$10,"",IF('Inputs 2'!$C$7="Weekly",'Inputs 2'!$C$9+7*(($BE38+1)-1),IF('Inputs 2'!$C$7="Biweekly",'Inputs 2'!$C$9+14*(($BE38+1)-1),IF('Inputs 2'!$C$7="Semimonthly",DATE(YEAR('Inputs 2'!$C$9),MONTH('Inputs 2'!$C$9)+INT((($BE38+1)-1)/2),MIN(DAY('Inputs 2'!$C$9),DAY(EOMONTH(DATE(YEAR('Inputs 2'!$C$9),MONTH('Inputs 2'!$C$9)+INT((($BE38+1)-1)/2),1),0))))+IF(MOD(($BE38+1)-1,2)=1,15,0),EDATE('Inputs 2'!$C$9,($BE38+1)-1)))))&lt;&gt;"",$B39=IF(YEAR(IF('Inputs 2'!$C$7="Weekly",'Inputs 2'!$C$9+7*(($BE38+1)-1),IF('Inputs 2'!$C$7="Biweekly",'Inputs 2'!$C$9+14*(($BE38+1)-1),IF('Inputs 2'!$C$7="Semimonthly",DATE(YEAR('Inputs 2'!$C$9),MONTH('Inputs 2'!$C$9)+INT((($BE38+1)-1)/2),MIN(DAY('Inputs 2'!$C$9),DAY(EOMONTH(DATE(YEAR('Inputs 2'!$C$9),MONTH('Inputs 2'!$C$9)+INT((($BE38+1)-1)/2),1),0))))+IF(MOD(($BE38+1)-1,2)=1,15,0),EDATE('Inputs 2'!$C$9,($BE38+1)-1)))))&lt;&gt;'Inputs 2'!$C$10,"",IF('Inputs 2'!$C$7="Weekly",'Inputs 2'!$C$9+7*(($BE38+1)-1),IF('Inputs 2'!$C$7="Biweekly",'Inputs 2'!$C$9+14*(($BE38+1)-1),IF('Inputs 2'!$C$7="Semimonthly",DATE(YEAR('Inputs 2'!$C$9),MONTH('Inputs 2'!$C$9)+INT((($BE38+1)-1)/2),MIN(DAY('Inputs 2'!$C$9),DAY(EOMONTH(DATE(YEAR('Inputs 2'!$C$9),MONTH('Inputs 2'!$C$9)+INT((($BE38+1)-1)/2),1),0))))+IF(MOD(($BE38+1)-1,2)=1,15,0),EDATE('Inputs 2'!$C$9,($BE38+1)-1)))))),1,0))</f>
      </c>
      <c r="BG39" s="7">
        <f>IF($B39="","",$BG38+$H39)</f>
      </c>
      <c r="BH39" s="7">
        <f>IF($B39="","",$BH38+$I39)</f>
      </c>
      <c r="BI39" s="7">
        <f>IF($B39="","",$BI38+$G39)</f>
      </c>
      <c r="BJ39" s="7">
        <f>IF($B39="","",IFERROR(LOOKUP(2,1/(((('Events 2'!$C$6:$C$17="Deduction start"))*('Events 2'!$D$6:$D$17="Health FSA"))*('Events 2'!$B$6:$B$17&lt;=$B39)*('Events 2'!$B$6:$B$17&lt;&gt;"")),'Events 2'!$E$6:$E$17),'Inputs 2'!$D$38))</f>
      </c>
      <c r="BK39" s="7">
        <f>IF($B39="","",IFERROR(LOOKUP(2,1/(((('Events 2'!$C$6:$C$17="Deduction start"))*('Events 2'!$D$6:$D$17="Dependent-care FSA"))*('Events 2'!$B$6:$B$17&lt;=$B39)*('Events 2'!$B$6:$B$17&lt;&gt;"")),'Events 2'!$E$6:$E$17),'Inputs 2'!$D$39))</f>
      </c>
      <c r="BL39" s="7">
        <f>IF($B39="","",IFERROR(LOOKUP(2,1/(((('Events 2'!$C$6:$C$17="Deduction start")+('Events 2'!$C$6:$C$17="Deduction stop"))*('Events 2'!$D$6:$D$17="HSA"))*('Events 2'!$B$6:$B$17&lt;=$B39)*('Events 2'!$B$6:$B$17&lt;&gt;"")),'Events 2'!$I$6:$I$17),'Inputs 2'!$D$35))</f>
      </c>
      <c r="BM39" s="7">
        <f>IF($B39="","",IFERROR(LOOKUP(2,1/(((('Events 2'!$C$6:$C$17="Deduction start")+('Events 2'!$C$6:$C$17="Deduction stop"))*('Events 2'!$D$6:$D$17="Premiums"))*('Events 2'!$B$6:$B$17&lt;=$B39)*('Events 2'!$B$6:$B$17&lt;&gt;"")),'Events 2'!$I$6:$I$17),'Inputs 2'!$D$40+'Inputs 2'!$D$41+'Inputs 2'!$D$42))</f>
      </c>
      <c r="BN39" s="7">
        <f>IF($B39="","",IFERROR(LOOKUP(2,1/(((('Events 2'!$C$6:$C$17="Deduction start")+('Events 2'!$C$6:$C$17="Deduction stop"))*('Events 2'!$D$6:$D$17="Commuter"))*('Events 2'!$B$6:$B$17&lt;=$B39)*('Events 2'!$B$6:$B$17&lt;&gt;"")),'Events 2'!$I$6:$I$17),'Inputs 2'!$D$43))</f>
      </c>
      <c r="BO39" s="7">
        <f>IF($B39="","",IFERROR(LOOKUP(2,1/(((('Events 2'!$C$6:$C$17="Deduction start")+('Events 2'!$C$6:$C$17="Deduction stop"))*('Events 2'!$D$6:$D$17="Other pre-tax"))*('Events 2'!$B$6:$B$17&lt;=$B39)*('Events 2'!$B$6:$B$17&lt;&gt;"")),'Events 2'!$I$6:$I$17),'Inputs 2'!$D$44))</f>
      </c>
      <c r="BP39" s="7">
        <f>IF($B39="","",IFERROR(LOOKUP(2,1/(((('Events 2'!$C$6:$C$17="Deduction start")+('Events 2'!$C$6:$C$17="Deduction stop"))*('Events 2'!$D$6:$D$17="Other post-tax"))*('Events 2'!$B$6:$B$17&lt;=$B39)*('Events 2'!$B$6:$B$17&lt;&gt;"")),'Events 2'!$I$6:$I$17),'Inputs 2'!$D$45))</f>
      </c>
      <c r="BQ39" s="6">
        <f>IF($B39="","",IFERROR(LOOKUP(2,1/(((('Events 2'!$C$6:$C$17="Deduction start")+('Events 2'!$C$6:$C$17="Deduction stop"))*('Events 2'!$D$6:$D$17="Health FSA"))*('Events 2'!$B$6:$B$17&lt;=$B39)*('Events 2'!$B$6:$B$17&lt;&gt;"")),'Events 2'!$J$6:$J$17),0))</f>
      </c>
      <c r="BR39" s="6">
        <f>IF($B39="","",IFERROR(LOOKUP(2,1/(((('Events 2'!$C$6:$C$17="Deduction start")+('Events 2'!$C$6:$C$17="Deduction stop"))*('Events 2'!$D$6:$D$17="Dependent-care FSA"))*('Events 2'!$B$6:$B$17&lt;=$B39)*('Events 2'!$B$6:$B$17&lt;&gt;"")),'Events 2'!$J$6:$J$17),0))</f>
      </c>
      <c r="BS39" s="6">
        <f>IF($B39="","",IF(SUMPRODUCT(('Events 2'!$C$6:$C$17="Deduction start")*('Events 2'!$B$6:$B$17&lt;=$B39)*('Events 2'!$B$6:$B$17&lt;&gt;"")*('Events 2'!$D$6:$D$17="Health FSA"))&gt;0,1,0))</f>
      </c>
      <c r="BT39" s="6">
        <f>IF($B39="","",IF(SUMPRODUCT(('Events 2'!$C$6:$C$17="Deduction start")*('Events 2'!$B$6:$B$17&lt;=$B39)*('Events 2'!$B$6:$B$17&lt;&gt;"")*('Events 2'!$D$6:$D$17="Dependent-care FSA"))&gt;0,1,0))</f>
      </c>
      <c r="BU39" s="24">
        <f>IF($B39="","",IF('Inputs 2'!$C$13,SUMPRODUCT(($AH39&gt;=INDEX('Methodology &amp; Sources'!$B$29:$J$36,0,IF('Inputs 2'!$C$12="MFJ",1,IF('Inputs 2'!$C$12="HoH",7,4))))*INDEX('Methodology &amp; Sources'!$B$29:$J$36,0,IF('Inputs 2'!$C$12="MFJ",1,IF('Inputs 2'!$C$12="HoH",7,4))+2)),SUMPRODUCT(($AH39&gt;=INDEX('Methodology &amp; Sources'!$B$19:$J$26,0,IF('Inputs 2'!$C$12="MFJ",1,IF('Inputs 2'!$C$12="HoH",7,4))))*INDEX('Methodology &amp; Sources'!$B$19:$J$26,0,IF('Inputs 2'!$C$12="MFJ",1,IF('Inputs 2'!$C$12="HoH",7,4))+2))))</f>
      </c>
      <c r="BV39" s="24">
        <f>IF($B39="","",IF($BZ39&lt;&gt;"",$BZ39,IF($CA39&lt;&gt;"",$CA39,IF($CB39&lt;&gt;"",$CB39,IF($CC39&lt;&gt;"",$CC39,0)))))</f>
      </c>
      <c r="BW39" s="7">
        <f>IF($B39="","",IF($AN39="MD",IF(OR($AU39="Married",$AU39="Head of household"),SUMPRODUCT(($AZ39&gt;INDEX('Methodology &amp; Sources'!$B$114:$J$120,0,1))*($AZ39-INDEX('Methodology &amp; Sources'!$B$114:$J$120,0,1))*INDEX('Methodology &amp; Sources'!$B$114:$J$120,0,1+2)),SUMPRODUCT(($AZ39&gt;INDEX('Methodology &amp; Sources'!$B$103:$J$109,0,7))*($AZ39-INDEX('Methodology &amp; Sources'!$B$103:$J$109,0,7))*INDEX('Methodology &amp; Sources'!$B$103:$J$109,0,7+2))),IF($AN39="MO",SUMPRODUCT(($AZ39&gt;INDEX('Methodology &amp; Sources'!$B$125:$J$132,0,1))*($AZ39-INDEX('Methodology &amp; Sources'!$B$125:$J$132,0,1))*INDEX('Methodology &amp; Sources'!$B$125:$J$132,0,1+2)),IF($AN39="MT",IF($AU39="Head of household",SUMPRODUCT(($AZ39&gt;INDEX('Methodology &amp; Sources'!$B$137:$J$139,0,1))*($AZ39-INDEX('Methodology &amp; Sources'!$B$137:$J$139,0,1))*INDEX('Methodology &amp; Sources'!$B$137:$J$139,0,1+2)),IF($AU39="Married",SUMPRODUCT(($AZ39&gt;INDEX('Methodology &amp; Sources'!$B$125:$J$132,0,7))*($AZ39-INDEX('Methodology &amp; Sources'!$B$125:$J$132,0,7))*INDEX('Methodology &amp; Sources'!$B$125:$J$132,0,7+2)),SUMPRODUCT(($AZ39&gt;INDEX('Methodology &amp; Sources'!$B$125:$J$132,0,4))*($AZ39-INDEX('Methodology &amp; Sources'!$B$125:$J$132,0,4))*INDEX('Methodology &amp; Sources'!$B$125:$J$132,0,4+2)))),IF($AN39="ND",IF($AU39="Head of household",SUMPRODUCT(($AZ39&gt;INDEX('Methodology &amp; Sources'!$B$144:$J$150,0,1))*($AZ39-INDEX('Methodology &amp; Sources'!$B$144:$J$150,0,1))*INDEX('Methodology &amp; Sources'!$B$144:$J$150,0,1+2)),IF($AU39="Married",SUMPRODUCT(($AZ39&gt;INDEX('Methodology &amp; Sources'!$B$137:$J$139,0,7))*($AZ39-INDEX('Methodology &amp; Sources'!$B$137:$J$139,0,7))*INDEX('Methodology &amp; Sources'!$B$137:$J$139,0,7+2)),SUMPRODUCT(($AZ39&gt;INDEX('Methodology &amp; Sources'!$B$137:$J$139,0,4))*($AZ39-INDEX('Methodology &amp; Sources'!$B$137:$J$139,0,4))*INDEX('Methodology &amp; Sources'!$B$137:$J$139,0,4+2)))),IF($AN39="NJ",IF('Inputs 2'!$C$77="B",SUMPRODUCT(($AZ39&gt;INDEX('Methodology &amp; Sources'!$B$155:$J$162,0,4))*($AZ39-INDEX('Methodology &amp; Sources'!$B$155:$J$162,0,4))*INDEX('Methodology &amp; Sources'!$B$155:$J$162,0,4+2)),IF('Inputs 2'!$C$77="C",SUMPRODUCT(($AZ39&gt;INDEX('Methodology &amp; Sources'!$B$155:$J$162,0,7))*($AZ39-INDEX('Methodology &amp; Sources'!$B$155:$J$162,0,7))*INDEX('Methodology &amp; Sources'!$B$155:$J$162,0,7+2)),IF('Inputs 2'!$C$77="D",SUMPRODUCT(($AZ39&gt;INDEX('Methodology &amp; Sources'!$B$167:$J$179,0,1))*($AZ39-INDEX('Methodology &amp; Sources'!$B$167:$J$179,0,1))*INDEX('Methodology &amp; Sources'!$B$167:$J$179,0,1+2)),IF('Inputs 2'!$C$77="E",SUMPRODUCT(($AZ39&gt;INDEX('Methodology &amp; Sources'!$B$167:$J$179,0,4))*($AZ39-INDEX('Methodology &amp; Sources'!$B$167:$J$179,0,4))*INDEX('Methodology &amp; Sources'!$B$167:$J$179,0,4+2)),SUMPRODUCT(($AZ39&gt;INDEX('Methodology &amp; Sources'!$B$155:$J$162,0,1))*($AZ39-INDEX('Methodology &amp; Sources'!$B$155:$J$162,0,1))*INDEX('Methodology &amp; Sources'!$B$155:$J$162,0,1+2)))))),IF($AN39="NY",IF($AU39="Married",IF($AZ39&gt;=2155350,$AZ39*IF($AZ39&gt;25000000,0.117,IF($AZ39&gt;5000000,0.111,0.1045)),SUMPRODUCT(($AZ39&gt;INDEX('Methodology &amp; Sources'!$B$184:$J$198,0,1))*($AZ39-INDEX('Methodology &amp; Sources'!$B$184:$J$198,0,1))*INDEX('Methodology &amp; Sources'!$B$184:$J$198,0,1+2))),IF($AZ39&gt;=1077550,$AZ39*IF($AZ39&gt;25000000,0.117,IF($AZ39&gt;5000000,0.111,0.1045)),SUMPRODUCT(($AZ39&gt;INDEX('Methodology &amp; Sources'!$B$167:$J$179,0,7))*($AZ39-INDEX('Methodology &amp; Sources'!$B$167:$J$179,0,7))*INDEX('Methodology &amp; Sources'!$B$167:$J$179,0,7+2)))),"")))))))</f>
      </c>
      <c r="BX39" s="7">
        <f>IF($B39="","",IF($AN39="AL",IF(OR($AU39="Married",$AU39="Head of household"),SUMPRODUCT(($AZ39&gt;INDEX('Methodology &amp; Sources'!$B$82:$J$86,0,4))*($AZ39-INDEX('Methodology &amp; Sources'!$B$82:$J$86,0,4))*INDEX('Methodology &amp; Sources'!$B$82:$J$86,0,4+2)),SUMPRODUCT(($AZ39&gt;INDEX('Methodology &amp; Sources'!$B$82:$J$86,0,1))*($AZ39-INDEX('Methodology &amp; Sources'!$B$82:$J$86,0,1))*INDEX('Methodology &amp; Sources'!$B$82:$J$86,0,1+2))),IF($AN39="KS",IF($AU39="Married",SUMPRODUCT(($AZ39&gt;INDEX('Methodology &amp; Sources'!$B$103:$J$109,0,4))*($AZ39-INDEX('Methodology &amp; Sources'!$B$103:$J$109,0,4))*INDEX('Methodology &amp; Sources'!$B$103:$J$109,0,4+2)),SUMPRODUCT(($AZ39&gt;INDEX('Methodology &amp; Sources'!$B$103:$J$109,0,1))*($AZ39-INDEX('Methodology &amp; Sources'!$B$103:$J$109,0,1))*INDEX('Methodology &amp; Sources'!$B$103:$J$109,0,1+2))),IF($AN39="MN",IF($AU39="Married",SUMPRODUCT(($AZ39&gt;INDEX('Methodology &amp; Sources'!$B$114:$J$120,0,7))*($AZ39-INDEX('Methodology &amp; Sources'!$B$114:$J$120,0,7))*INDEX('Methodology &amp; Sources'!$B$114:$J$120,0,7+2)),SUMPRODUCT(($AZ39&gt;INDEX('Methodology &amp; Sources'!$B$114:$J$120,0,4))*($AZ39-INDEX('Methodology &amp; Sources'!$B$114:$J$120,0,4))*INDEX('Methodology &amp; Sources'!$B$114:$J$120,0,4+2))),IF($AN39="NE",MAX(IF($AU39="Married",SUMPRODUCT(($AZ39&gt;INDEX('Methodology &amp; Sources'!$B$144:$J$150,0,7))*($AZ39-INDEX('Methodology &amp; Sources'!$B$144:$J$150,0,7))*INDEX('Methodology &amp; Sources'!$B$144:$J$150,0,7+2)),SUMPRODUCT(($AZ39&gt;INDEX('Methodology &amp; Sources'!$B$144:$J$150,0,4))*($AZ39-INDEX('Methodology &amp; Sources'!$B$144:$J$150,0,4))*INDEX('Methodology &amp; Sources'!$B$144:$J$150,0,4+2))),0.015*$AZ39),IF($AN39="OH",IF($B39&gt;=DATE(2027,8,1),SUMPRODUCT(($AZ39&gt;INDEX('Methodology &amp; Sources'!$B$203:$J$206,0,1))*($AZ39-INDEX('Methodology &amp; Sources'!$B$203:$J$206,0,1))*INDEX('Methodology &amp; Sources'!$B$203:$J$206,0,1+2)),SUMPRODUCT(($AZ39&gt;INDEX('Methodology &amp; Sources'!$B$184:$J$198,0,7))*($AZ39-INDEX('Methodology &amp; Sources'!$B$184:$J$198,0,7))*INDEX('Methodology &amp; Sources'!$B$184:$J$198,0,7+2))),IF($AN39="OK",IF($AU39="Married",SUMPRODUCT(($AZ39&gt;INDEX('Methodology &amp; Sources'!$B$203:$J$206,0,7))*($AZ39-INDEX('Methodology &amp; Sources'!$B$203:$J$206,0,7))*INDEX('Methodology &amp; Sources'!$B$203:$J$206,0,7+2)),SUMPRODUCT(($AZ39&gt;INDEX('Methodology &amp; Sources'!$B$203:$J$206,0,4))*($AZ39-INDEX('Methodology &amp; Sources'!$B$203:$J$206,0,4))*INDEX('Methodology &amp; Sources'!$B$203:$J$206,0,4+2))),IF($AN39="RI",SUMPRODUCT(($AZ39&gt;INDEX('Methodology &amp; Sources'!$B$211:$J$214,0,7))*($AZ39-INDEX('Methodology &amp; Sources'!$B$211:$J$214,0,7))*INDEX('Methodology &amp; Sources'!$B$211:$J$214,0,7+2)),IF($AN39="VT",IF($AU39="Married",SUMPRODUCT(($AZ39&gt;INDEX('Methodology &amp; Sources'!$B$228:$J$232,0,1))*($AZ39-INDEX('Methodology &amp; Sources'!$B$228:$J$232,0,1))*INDEX('Methodology &amp; Sources'!$B$228:$J$232,0,1+2)),SUMPRODUCT(($AZ39&gt;INDEX('Methodology &amp; Sources'!$B$219:$J$223,0,7))*($AZ39-INDEX('Methodology &amp; Sources'!$B$219:$J$223,0,7))*INDEX('Methodology &amp; Sources'!$B$219:$J$223,0,7+2))),IF($AN39="WV",IF($AU39="Married",SUMPRODUCT(($AZ39&gt;INDEX('Methodology &amp; Sources'!$B$237:$J$241,0,7))*($AZ39-INDEX('Methodology &amp; Sources'!$B$237:$J$241,0,7))*INDEX('Methodology &amp; Sources'!$B$237:$J$241,0,7+2)),SUMPRODUCT(($AZ39&gt;INDEX('Methodology &amp; Sources'!$B$228:$J$232,0,7))*($AZ39-INDEX('Methodology &amp; Sources'!$B$228:$J$232,0,7))*INDEX('Methodology &amp; Sources'!$B$228:$J$232,0,7+2))),""))))))))))</f>
      </c>
      <c r="BY39" s="7">
        <f>IF($B39="","",IF($AN39="AR",SUMPRODUCT(($AZ39&gt;INDEX('Methodology &amp; Sources'!$B$82:$J$86,0,7))*($AZ39-INDEX('Methodology &amp; Sources'!$B$82:$J$86,0,7))*INDEX('Methodology &amp; Sources'!$B$82:$J$86,0,7+2)),IF($AN39="DE",SUMPRODUCT(($AZ39&gt;INDEX('Methodology &amp; Sources'!$B$91:$J$98,0,1))*($AZ39-INDEX('Methodology &amp; Sources'!$B$91:$J$98,0,1))*INDEX('Methodology &amp; Sources'!$B$91:$J$98,0,1+2)),IF($AN39="HI",IF($AU39="Married",SUMPRODUCT(($AZ39&gt;INDEX('Methodology &amp; Sources'!$B$91:$J$98,0,7))*($AZ39-INDEX('Methodology &amp; Sources'!$B$91:$J$98,0,7))*INDEX('Methodology &amp; Sources'!$B$91:$J$98,0,7+2)),SUMPRODUCT(($AZ39&gt;INDEX('Methodology &amp; Sources'!$B$91:$J$98,0,4))*($AZ39-INDEX('Methodology &amp; Sources'!$B$91:$J$98,0,4))*INDEX('Methodology &amp; Sources'!$B$91:$J$98,0,4+2))),IF($AN39="SC",SUMPRODUCT(($AZ39&gt;INDEX('Methodology &amp; Sources'!$B$219:$J$223,0,1))*($AZ39-INDEX('Methodology &amp; Sources'!$B$219:$J$223,0,1))*INDEX('Methodology &amp; Sources'!$B$219:$J$223,0,1+2)),IF($AN39="VA",SUMPRODUCT(($AZ39&gt;INDEX('Methodology &amp; Sources'!$B$219:$J$223,0,4))*($AZ39-INDEX('Methodology &amp; Sources'!$B$219:$J$223,0,4))*INDEX('Methodology &amp; Sources'!$B$219:$J$223,0,4+2)),IF($AN39="WI",SUMPRODUCT(($AZ39&gt;INDEX('Methodology &amp; Sources'!$B$228:$J$232,0,4))*($AZ39-INDEX('Methodology &amp; Sources'!$B$228:$J$232,0,4))*INDEX('Methodology &amp; Sources'!$B$228:$J$232,0,4+2)),"")))))))</f>
      </c>
      <c r="BZ39" s="24">
        <f>IF($B39="","",IF($AN39="NJ",IF('Inputs 2'!$C$77="B",SUMPRODUCT(($AZ39&gt;=INDEX('Methodology &amp; Sources'!$B$155:$J$162,0,4))*INDEX('Methodology &amp; Sources'!$B$155:$J$162,0,4+2)),IF('Inputs 2'!$C$77="C",SUMPRODUCT(($AZ39&gt;=INDEX('Methodology &amp; Sources'!$B$155:$J$162,0,7))*INDEX('Methodology &amp; Sources'!$B$155:$J$162,0,7+2)),IF('Inputs 2'!$C$77="D",SUMPRODUCT(($AZ39&gt;=INDEX('Methodology &amp; Sources'!$B$167:$J$179,0,1))*INDEX('Methodology &amp; Sources'!$B$167:$J$179,0,1+2)),IF('Inputs 2'!$C$77="E",SUMPRODUCT(($AZ39&gt;=INDEX('Methodology &amp; Sources'!$B$167:$J$179,0,4))*INDEX('Methodology &amp; Sources'!$B$167:$J$179,0,4+2)),SUMPRODUCT(($AZ39&gt;=INDEX('Methodology &amp; Sources'!$B$155:$J$162,0,1))*INDEX('Methodology &amp; Sources'!$B$155:$J$162,0,1+2)))))),IF($AN39="OR",IF(OR($AU39="Married",AND($AU39="Single",$AS39&gt;=3)),SUMPRODUCT((MAX(0,$AY39-MIN(($P39-'Methodology &amp; Sources'!$C$10*$D39)*'Inputs 2'!$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Sources'!$B$211:$J$214,0,4))*INDEX('Methodology &amp; Sources'!$B$211:$J$214,0,4+2)),SUMPRODUCT((MAX(0,$AY39-MIN(($P39-'Methodology &amp; Sources'!$C$10*$D39)*'Inputs 2'!$C$8,IF(OR($AU39="Married",AND($AU39="Single",$AS39&gt;=3)),IF($AY39&lt;250000,8750,IF($AY39&lt;260000,7000,IF($AY39&lt;270000,5250,IF($AY39&lt;280000,3500,IF($AY39&lt;290000,1750,0))))),IF($AY39&lt;125000,8750,IF($AY39&lt;130000,7000,IF($AY39&lt;135000,5250,IF($AY39&lt;140000,3500,IF($AY39&lt;145000,1750,0)))))))-IF(OR($AU39="Married",AND($AU39="Single",$AS39&gt;=3)),5820,2910))&gt;=INDEX('Methodology &amp; Sources'!$B$211:$J$214,0,1))*INDEX('Methodology &amp; Sources'!$B$211:$J$214,0,1+2)))*IF(($P39-'Methodology &amp; Sources'!$C$10*$D39)*'Inputs 2'!$C$8&gt;=IF(OR($AU39="Married",AND($AU39="Single",$AS39&gt;=3)),IF($AY39&lt;250000,8750,IF($AY39&lt;260000,7000,IF($AY39&lt;270000,5250,IF($AY39&lt;280000,3500,IF($AY39&lt;290000,1750,0))))),IF($AY39&lt;125000,8750,IF($AY39&lt;130000,7000,IF($AY39&lt;135000,5250,IF($AY39&lt;140000,3500,IF($AY39&lt;145000,1750,0)))))),1,1-IF('Inputs 2'!$C$13,SUMPRODUCT(($AH39&gt;=INDEX('Methodology &amp; Sources'!$B$29:$J$36,0,IF('Inputs 2'!$C$12="MFJ",1,IF('Inputs 2'!$C$12="HoH",7,4))))*INDEX('Methodology &amp; Sources'!$B$29:$J$36,0,IF('Inputs 2'!$C$12="MFJ",1,IF('Inputs 2'!$C$12="HoH",7,4))+2)),SUMPRODUCT(($AH39&gt;=INDEX('Methodology &amp; Sources'!$B$19:$J$26,0,IF('Inputs 2'!$C$12="MFJ",1,IF('Inputs 2'!$C$12="HoH",7,4))))*INDEX('Methodology &amp; Sources'!$B$19:$J$26,0,IF('Inputs 2'!$C$12="MFJ",1,IF('Inputs 2'!$C$12="HoH",7,4))+2)))),IF($AN39="MI",IF($AY39&gt;5900*$AS39,0.0425,0),""))))</f>
      </c>
      <c r="CA39" s="24">
        <f>IF($B39="","",IF($AN39="AL",IF(OR($AU39="Married",$AU39="Head of household"),SUMPRODUCT(($AZ39&gt;=INDEX('Methodology &amp; Sources'!$B$82:$J$86,0,4))*INDEX('Methodology &amp; Sources'!$B$82:$J$86,0,4+2)),SUMPRODUCT(($AZ39&gt;=INDEX('Methodology &amp; Sources'!$B$82:$J$86,0,1))*INDEX('Methodology &amp; Sources'!$B$82:$J$86,0,1+2)))*(1-IF('Inputs 2'!$C$13,SUMPRODUCT(($AH39&gt;=INDEX('Methodology &amp; Sources'!$B$29:$J$36,0,IF('Inputs 2'!$C$12="MFJ",1,IF('Inputs 2'!$C$12="HoH",7,4))))*INDEX('Methodology &amp; Sources'!$B$29:$J$36,0,IF('Inputs 2'!$C$12="MFJ",1,IF('Inputs 2'!$C$12="HoH",7,4))+2)),SUMPRODUCT(($AH39&gt;=INDEX('Methodology &amp; Sources'!$B$19:$J$26,0,IF('Inputs 2'!$C$12="MFJ",1,IF('Inputs 2'!$C$12="HoH",7,4))))*INDEX('Methodology &amp; Sources'!$B$19:$J$26,0,IF('Inputs 2'!$C$12="MFJ",1,IF('Inputs 2'!$C$12="HoH",7,4))+2)))),IF($AN39="KS",IF($AU39="Married",SUMPRODUCT(($AZ39&gt;=INDEX('Methodology &amp; Sources'!$B$103:$J$109,0,4))*INDEX('Methodology &amp; Sources'!$B$103:$J$109,0,4+2)),SUMPRODUCT(($AZ39&gt;=INDEX('Methodology &amp; Sources'!$B$103:$J$109,0,1))*INDEX('Methodology &amp; Sources'!$B$103:$J$109,0,1+2))),IF($AN39="MD",IF(OR($AU39="Married",$AU39="Head of household"),SUMPRODUCT(($AZ39&gt;=INDEX('Methodology &amp; Sources'!$B$114:$J$120,0,1))*INDEX('Methodology &amp; Sources'!$B$114:$J$120,0,1+2)),SUMPRODUCT(($AZ39&gt;=INDEX('Methodology &amp; Sources'!$B$103:$J$109,0,7))*INDEX('Methodology &amp; Sources'!$B$103:$J$109,0,7+2)))+'Inputs 2'!$C$74,IF($AN39="MT",IF($AU39="Head of household",SUMPRODUCT(($AZ39&gt;=INDEX('Methodology &amp; Sources'!$B$137:$J$139,0,1))*INDEX('Methodology &amp; Sources'!$B$137:$J$139,0,1+2)),IF($AU39="Married",SUMPRODUCT(($AZ39&gt;=INDEX('Methodology &amp; Sources'!$B$125:$J$132,0,7))*INDEX('Methodology &amp; Sources'!$B$125:$J$132,0,7+2)),SUMPRODUCT(($AZ39&gt;=INDEX('Methodology &amp; Sources'!$B$125:$J$132,0,4))*INDEX('Methodology &amp; Sources'!$B$125:$J$132,0,4+2)))),IF($AN39="ND",IF($AU39="Head of household",SUMPRODUCT(($AZ39&gt;=INDEX('Methodology &amp; Sources'!$B$144:$J$150,0,1))*INDEX('Methodology &amp; Sources'!$B$144:$J$150,0,1+2)),IF($AU39="Married",SUMPRODUCT(($AZ39&gt;=INDEX('Methodology &amp; Sources'!$B$137:$J$139,0,7))*INDEX('Methodology &amp; Sources'!$B$137:$J$139,0,7+2)),SUMPRODUCT(($AZ39&gt;=INDEX('Methodology &amp; Sources'!$B$137:$J$139,0,4))*INDEX('Methodology &amp; Sources'!$B$137:$J$139,0,4+2)))),IF($AN39="NY",IF($AU39="Married",IF($AZ39&gt;=2155350,IF($AZ39&gt;25000000,0.117,IF($AZ39&gt;5000000,0.111,0.1045)),SUMPRODUCT(($AZ39&gt;=INDEX('Methodology &amp; Sources'!$B$184:$J$198,0,1))*INDEX('Methodology &amp; Sources'!$B$184:$J$198,0,1+2))),IF($AZ39&gt;=1077550,IF($AZ39&gt;25000000,0.117,IF($AZ39&gt;5000000,0.111,0.1045)),SUMPRODUCT(($AZ39&gt;=INDEX('Methodology &amp; Sources'!$B$167:$J$179,0,7))*INDEX('Methodology &amp; Sources'!$B$167:$J$179,0,7+2)))),"")))))))</f>
      </c>
      <c r="CB39" s="24">
        <f>IF($B39="","",IF($AN39="CA",SUMPRODUCT(($AJ39&gt;=INDEX('Methodology &amp; Sources'!$B$39:$J$48,0,IF($AU39="Married",4,IF($AU39="Head of household",7,1))))*INDEX('Methodology &amp; Sources'!$B$39:$J$48,0,IF($AU39="Married",4,IF($AU39="Head of household",7,1))+2)),IF($AN39="HI",IF($AU39="Married",SUMPRODUCT(($AZ39&gt;=INDEX('Methodology &amp; Sources'!$B$91:$J$98,0,7))*INDEX('Methodology &amp; Sources'!$B$91:$J$98,0,7+2)),SUMPRODUCT(($AZ39&gt;=INDEX('Methodology &amp; Sources'!$B$91:$J$98,0,4))*INDEX('Methodology &amp; Sources'!$B$91:$J$98,0,4+2))),IF($AN39="MN",IF($AU39="Married",SUMPRODUCT(($AZ39&gt;=INDEX('Methodology &amp; Sources'!$B$114:$J$120,0,7))*INDEX('Methodology &amp; Sources'!$B$114:$J$120,0,7+2)),SUMPRODUCT(($AZ39&gt;=INDEX('Methodology &amp; Sources'!$B$114:$J$120,0,4))*INDEX('Methodology &amp; Sources'!$B$114:$J$120,0,4+2))),IF($AN39="MO",SUMPRODUCT(($AZ39&gt;=INDEX('Methodology &amp; Sources'!$B$125:$J$132,0,1))*INDEX('Methodology &amp; Sources'!$B$125:$J$132,0,1+2)),IF($AN39="NE",MAX(IF($AU39="Married",SUMPRODUCT(($AZ39&gt;=INDEX('Methodology &amp; Sources'!$B$144:$J$150,0,7))*INDEX('Methodology &amp; Sources'!$B$144:$J$150,0,7+2)),SUMPRODUCT(($AZ39&gt;=INDEX('Methodology &amp; Sources'!$B$144:$J$150,0,4))*INDEX('Methodology &amp; Sources'!$B$144:$J$150,0,4+2))),0.015),IF($AN39="OH",IF($B39&gt;=DATE(2027,8,1),SUMPRODUCT(($AZ39&gt;=INDEX('Methodology &amp; Sources'!$B$203:$J$206,0,1))*INDEX('Methodology &amp; Sources'!$B$203:$J$206,0,1+2)),SUMPRODUCT(($AZ39&gt;=INDEX('Methodology &amp; Sources'!$B$184:$J$198,0,7))*INDEX('Methodology &amp; Sources'!$B$184:$J$198,0,7+2))),IF($AN39="OK",IF($AU39="Married",SUMPRODUCT(($AZ39&gt;=INDEX('Methodology &amp; Sources'!$B$203:$J$206,0,7))*INDEX('Methodology &amp; Sources'!$B$203:$J$206,0,7+2)),SUMPRODUCT(($AZ39&gt;=INDEX('Methodology &amp; Sources'!$B$203:$J$206,0,4))*INDEX('Methodology &amp; Sources'!$B$203:$J$206,0,4+2))),IF($AN39="RI",SUMPRODUCT(($AZ39&gt;=INDEX('Methodology &amp; Sources'!$B$211:$J$214,0,7))*INDEX('Methodology &amp; Sources'!$B$211:$J$214,0,7+2)),IF($AN39="SC",SUMPRODUCT(($AZ39&gt;=INDEX('Methodology &amp; Sources'!$B$219:$J$223,0,1))*INDEX('Methodology &amp; Sources'!$B$219:$J$223,0,1+2)),IF($AN39="VT",IF($AU39="Married",SUMPRODUCT(($AZ39&gt;=INDEX('Methodology &amp; Sources'!$B$228:$J$232,0,1))*INDEX('Methodology &amp; Sources'!$B$228:$J$232,0,1+2)),SUMPRODUCT(($AZ39&gt;=INDEX('Methodology &amp; Sources'!$B$219:$J$223,0,7))*INDEX('Methodology &amp; Sources'!$B$219:$J$223,0,7+2))),IF($AN39="WV",IF($AU39="Married",SUMPRODUCT(($AZ39&gt;=INDEX('Methodology &amp; Sources'!$B$237:$J$241,0,7))*INDEX('Methodology &amp; Sources'!$B$237:$J$241,0,7+2)),SUMPRODUCT(($AZ39&gt;=INDEX('Methodology &amp; Sources'!$B$228:$J$232,0,7))*INDEX('Methodology &amp; Sources'!$B$228:$J$232,0,7+2))),IF($AN39="IN",(0.0295+'Inputs 2'!$C$76),"")))))))))))))</f>
      </c>
      <c r="CC39" s="24">
        <f>IF($B39="","",IF($AN39="AR",SUMPRODUCT(($AZ39&gt;=INDEX('Methodology &amp; Sources'!$B$82:$J$86,0,7))*INDEX('Methodology &amp; Sources'!$B$82:$J$86,0,7+2)),IF($AN39="DE",SUMPRODUCT(($AZ39&gt;=INDEX('Methodology &amp; Sources'!$B$91:$J$98,0,1))*INDEX('Methodology &amp; Sources'!$B$91:$J$98,0,1+2)),IF($AN39="VA",SUMPRODUCT(($AZ39&gt;=INDEX('Methodology &amp; Sources'!$B$219:$J$223,0,4))*INDEX('Methodology &amp; Sources'!$B$219:$J$223,0,4+2)),IF($AN39="WI",SUMPRODUCT(($AZ39&gt;=INDEX('Methodology &amp; Sources'!$B$228:$J$232,0,4))*INDEX('Methodology &amp; Sources'!$B$228:$J$232,0,4+2)),IF($AN39="AZ",'Inputs 2'!$C$82,IF($AN39="CO",IF($AY39&gt;IF($AU39="Married",10000,5000),0.044,0),IF($AN39="IA",IF($AY39&gt;IF($AU39="Head of household",19500,IF($AU39="Married",26000,13000)),0.038,0),IF($AN39="ID",IF($AY39&gt;IF($AU39="Married",32000,16094),0.053,0),IF($AN39="IL",IF($AY39&gt;(2925*$AS39+1000*$AT39),0.0495,0),IF($AN39="KY",IF($AI39&gt;3360,0.035,0),IF($AN39="LA",0.0309,IF($AN39="MA",IF(MAX(0,$AY39-MIN(($BD38+$Q39+$R39+$S39),2000)-IF($AS39=0,0,IF($AS39=1,4400,1000*$AS39+3400)))&gt;=1107750,0.09,0.05),IF($AN39="MS",IF($AI39-IF($AU39="Head of household",3400,IF($AU39="Married",4600,2300))-'Inputs 2'!$C$85&gt;10000,0.04,0),IF($AN39="PA",0.0307,"")))))))))))))))</f>
      </c>
      <c r="CD39" s="21">
        <f>IF(YEAR(IF('Inputs 2'!$C$7="Weekly",'Inputs 2'!$C$9+7*(($BE38+1)-1),IF('Inputs 2'!$C$7="Biweekly",'Inputs 2'!$C$9+14*(($BE38+1)-1),IF('Inputs 2'!$C$7="Semimonthly",DATE(YEAR('Inputs 2'!$C$9),MONTH('Inputs 2'!$C$9)+INT((($BE38+1)-1)/2),MIN(DAY('Inputs 2'!$C$9),DAY(EOMONTH(DATE(YEAR('Inputs 2'!$C$9),MONTH('Inputs 2'!$C$9)+INT((($BE38+1)-1)/2),1),0))))+IF(MOD(($BE38+1)-1,2)=1,15,0),EDATE('Inputs 2'!$C$9,($BE38+1)-1)))))&lt;&gt;'Inputs 2'!$C$10,"",IF('Inputs 2'!$C$7="Weekly",'Inputs 2'!$C$9+7*(($BE38+1)-1),IF('Inputs 2'!$C$7="Biweekly",'Inputs 2'!$C$9+14*(($BE38+1)-1),IF('Inputs 2'!$C$7="Semimonthly",DATE(YEAR('Inputs 2'!$C$9),MONTH('Inputs 2'!$C$9)+INT((($BE38+1)-1)/2),MIN(DAY('Inputs 2'!$C$9),DAY(EOMONTH(DATE(YEAR('Inputs 2'!$C$9),MONTH('Inputs 2'!$C$9)+INT((($BE38+1)-1)/2),1),0))))+IF(MOD(($BE38+1)-1,2)=1,15,0),EDATE('Inputs 2'!$C$9,($BE38+1)-1)))))</f>
      </c>
      <c r="CE39" s="21">
        <f>IF(SUMPRODUCT(MIN(IF(('Inputs 2'!$C$58:$C$67&gt;MAX($B$6:$B38))*('Inputs 2'!$C$58:$C$67&gt;=DATE('Inputs 2'!$C$10,1,1))*('Inputs 2'!$C$58:$C$67&lt;=DATE('Inputs 2'!$C$10,12,31)),'Inputs 2'!$C$58:$C$67,999999)))=999999,"",SUMPRODUCT(MIN(IF(('Inputs 2'!$C$58:$C$67&gt;MAX($B$6:$B38))*('Inputs 2'!$C$58:$C$67&gt;=DATE('Inputs 2'!$C$10,1,1))*('Inputs 2'!$C$58:$C$67&lt;=DATE('Inputs 2'!$C$10,12,31)),'Inputs 2'!$C$58:$C$67,999999))))</f>
      </c>
    </row>
    <row r="40">
      <c r="A40" t="n">
        <v>35</v>
      </c>
      <c r="B40" s="21">
        <f>IF(AND($CD40="",$CE40=""),"",IF($CE40="",$CD40,IF($CD40="",$CE40,MIN($CD40,$CE40))))</f>
      </c>
      <c r="C40" s="7">
        <f>IF($B40="","",IF($BF40=0,0,IF('Inputs 2'!$C$4="Annual salary",ROUND($AK40/IF(AND('Inputs 2'!$C$88="Actual paydays",MONTH('Inputs 2'!$C$9)=1),MAX(1,MAX($BE$6:$BE$68)),'Inputs 2'!$C$8),2),$AK40)))</f>
      </c>
      <c r="D40" s="7">
        <f>IF($B40="","",SUMIF('Inputs 2'!$C$58:$C$67,$B40,'Inputs 2'!$D$58:$D$67))</f>
      </c>
      <c r="E40" s="7">
        <f>IF($B40="","",ROUND(MAX(0,MIN(IF($AL40="Percent",$AM40*($C40+$D40),$AM40),MAX(0,'Inputs 2'!$C$34-$AC39))),2))</f>
      </c>
      <c r="F40" s="7">
        <f>IF($B40="","",ROUND(MAX(0,MIN(IF('Inputs 2'!$C$32="Percent",'Inputs 2'!$D$32*($C40+$D40),'Inputs 2'!$D$32),MAX(0,'Inputs 2'!$C$34-$AC39-$E40))),2))</f>
      </c>
      <c r="G40" s="7">
        <f>IF($B40="","",IF($BF40=0,0,ROUND(MAX(0,MIN($BL40,'Inputs 2'!$C$37-'Inputs 2'!$C$54-$BI39)),2)))</f>
      </c>
      <c r="H40" s="7">
        <f>IF($B40="","",IF(OR($BF40=0,$BQ40=1),0,ROUND(MAX(0,MIN(IF($BS40=1,ROUND(MAX(0,MIN($BJ40,'Methodology &amp; Sources'!$C$13)-$BG39)/MAX(1,MAX($BE$6:$BE$68)-($BE39)),2),ROUND(MIN($BJ40,'Methodology &amp; Sources'!$C$13)/'Inputs 2'!$C$8,2)),MIN($BJ40,'Methodology &amp; Sources'!$C$13)-$BG39)),2)))</f>
      </c>
      <c r="I40" s="7">
        <f>IF($B40="","",IF(OR($BF40=0,$BR40=1),0,ROUND(MAX(0,MIN(IF($BT40=1,ROUND(MAX(0,MIN($BK40,IF('Inputs 2'!$C$12="MFJ",'Methodology &amp; Sources'!$C$14,'Methodology &amp; Sources'!$C$15))-$BH39)/MAX(1,MAX($BE$6:$BE$68)-($BE39)),2),ROUND(MIN($BK40,IF('Inputs 2'!$C$12="MFJ",'Methodology &amp; Sources'!$C$14,'Methodology &amp; Sources'!$C$15))/'Inputs 2'!$C$8,2)),MIN($BK40,IF('Inputs 2'!$C$12="MFJ",'Methodology &amp; Sources'!$C$14,'Methodology &amp; Sources'!$C$15))-$BH39)),2)))</f>
      </c>
      <c r="J40" s="7">
        <f>IF($B40="","",IF($BF40=0,0,$BM40))</f>
      </c>
      <c r="K40" s="7">
        <f>IF($B40="","",IF($BF40=0,0,$BN40+$BO40))</f>
      </c>
      <c r="L40" s="7">
        <f>IF($B40="","",IF($BF40=0,0,'Inputs 2'!$D$46))</f>
      </c>
      <c r="M40" s="7">
        <f>IF($B40="","",$C40+$D40+$L40-$E40-$G40-$H40-$I40-$J40-$K40)</f>
      </c>
      <c r="N40" s="7">
        <f>IF($B40="","",$C40+$D40+$L40-$G40-$H40-$I40-$J40-$K40)</f>
      </c>
      <c r="O40" s="7">
        <f>IF($B40="","",$C40+$D40+$L40-$E40-$H40-$I40-$J40-$K40-IF(OR($AN40="CA",$AN40="NJ"),0,$G40))</f>
      </c>
      <c r="P40" s="7">
        <f>IF($B40="","",IF('Inputs 2'!$C$18,0,ROUND(MAX(0,IF('Inputs 2'!$C$13,SUMPRODUCT(($AH40&gt;INDEX('Methodology &amp; Sources'!$B$29:$J$36,0,IF('Inputs 2'!$C$12="MFJ",1,IF('Inputs 2'!$C$12="HoH",7,4))))*($AH40-INDEX('Methodology &amp; Sources'!$B$29:$J$36,0,IF('Inputs 2'!$C$12="MFJ",1,IF('Inputs 2'!$C$12="HoH",7,4))))*INDEX('Methodology &amp; Sources'!$B$29:$J$36,0,IF('Inputs 2'!$C$12="MFJ",1,IF('Inputs 2'!$C$12="HoH",7,4))+2)),SUMPRODUCT(($AH40&gt;INDEX('Methodology &amp; Sources'!$B$19:$J$26,0,IF('Inputs 2'!$C$12="MFJ",1,IF('Inputs 2'!$C$12="HoH",7,4))))*($AH40-INDEX('Methodology &amp; Sources'!$B$19:$J$26,0,IF('Inputs 2'!$C$12="MFJ",1,IF('Inputs 2'!$C$12="HoH",7,4))))*INDEX('Methodology &amp; Sources'!$B$19:$J$26,0,IF('Inputs 2'!$C$12="MFJ",1,IF('Inputs 2'!$C$12="HoH",7,4))+2)))/'Inputs 2'!$C$8-$AO40/'Inputs 2'!$C$8)+$AR40+IF('Inputs 2'!$C$89="Aggregate",MAX(0,IF('Inputs 2'!$C$13,SUMPRODUCT((($AH40+$D40)&gt;INDEX('Methodology &amp; Sources'!$B$29:$J$36,0,IF('Inputs 2'!$C$12="MFJ",1,IF('Inputs 2'!$C$12="HoH",7,4))))*(($AH40+$D40)-INDEX('Methodology &amp; Sources'!$B$29:$J$36,0,IF('Inputs 2'!$C$12="MFJ",1,IF('Inputs 2'!$C$12="HoH",7,4))))*INDEX('Methodology &amp; Sources'!$B$29:$J$36,0,IF('Inputs 2'!$C$12="MFJ",1,IF('Inputs 2'!$C$12="HoH",7,4))+2)),SUMPRODUCT((($AH40+$D40)&gt;INDEX('Methodology &amp; Sources'!$B$19:$J$26,0,IF('Inputs 2'!$C$12="MFJ",1,IF('Inputs 2'!$C$12="HoH",7,4))))*(($AH40+$D40)-INDEX('Methodology &amp; Sources'!$B$19:$J$26,0,IF('Inputs 2'!$C$12="MFJ",1,IF('Inputs 2'!$C$12="HoH",7,4))))*INDEX('Methodology &amp; Sources'!$B$19:$J$26,0,IF('Inputs 2'!$C$12="MFJ",1,IF('Inputs 2'!$C$12="HoH",7,4))+2)))-IF('Inputs 2'!$C$13,SUMPRODUCT(($AH40&gt;INDEX('Methodology &amp; Sources'!$B$29:$J$36,0,IF('Inputs 2'!$C$12="MFJ",1,IF('Inputs 2'!$C$12="HoH",7,4))))*($AH40-INDEX('Methodology &amp; Sources'!$B$29:$J$36,0,IF('Inputs 2'!$C$12="MFJ",1,IF('Inputs 2'!$C$12="HoH",7,4))))*INDEX('Methodology &amp; Sources'!$B$29:$J$36,0,IF('Inputs 2'!$C$12="MFJ",1,IF('Inputs 2'!$C$12="HoH",7,4))+2)),SUMPRODUCT(($AH40&gt;INDEX('Methodology &amp; Sources'!$B$19:$J$26,0,IF('Inputs 2'!$C$12="MFJ",1,IF('Inputs 2'!$C$12="HoH",7,4))))*($AH40-INDEX('Methodology &amp; Sources'!$B$19:$J$26,0,IF('Inputs 2'!$C$12="MFJ",1,IF('Inputs 2'!$C$12="HoH",7,4))))*INDEX('Methodology &amp; Sources'!$B$19:$J$26,0,IF('Inputs 2'!$C$12="MFJ",1,IF('Inputs 2'!$C$12="HoH",7,4))+2)))),'Methodology &amp; Sources'!$C$10*$D40),2)))</f>
      </c>
      <c r="Q40" s="7">
        <f>IF($B40="","",ROUND('Methodology &amp; Sources'!$C$4*MIN($N40,MAX(0,'Methodology &amp; Sources'!$C$3-($AX40+$AB39-$AW40))),2))</f>
      </c>
      <c r="R40" s="7">
        <f>IF($B40="","",ROUND('Methodology &amp; Sources'!$C$5*$N40,2))</f>
      </c>
      <c r="S40" s="7">
        <f>IF($B40="","",ROUND('Methodology &amp; Sources'!$C$6*MAX(0,MIN($N40,$AG39+$N40-'Methodology &amp; Sources'!$C$7)),2))</f>
      </c>
      <c r="T40" s="7">
        <f>IF($B40="","",IF('Inputs 2'!$C$26,0,IF($AN40="CA",ROUND(IF($AI40&lt;=IF(($AS40+$AT40)&gt;=2,VLOOKUP($AN40,StateTables!$A$6:$AB$56,10,FALSE),VLOOKUP($AN40,StateTables!$A$6:$AB$56,9,FALSE)),0,MAX(0,SUMPRODUCT(($AJ40&gt;INDEX('Methodology &amp; Sources'!$B$39:$J$48,0,IF($AU40="Married",4,IF($AU40="Head of household",7,1))))*($AJ40-INDEX('Methodology &amp; Sources'!$B$39:$J$48,0,IF($AU40="Married",4,IF($AU40="Head of household",7,1))))*INDEX('Methodology &amp; Sources'!$B$39:$J$48,0,IF($AU40="Married",4,IF($AU40="Head of household",7,1))+2))-VLOOKUP($AN40,StateTables!$A$6:$AB$56,11,FALSE)*$AS40)/'Inputs 2'!$C$8)+'Inputs 2'!$C$25+VLOOKUP($AN40,StateTables!$A$6:$AB$56,13,FALSE)*$D40,2),IF(VLOOKUP($AN40,StateTables!$A$6:$AB$56,4,FALSE)="None",0,IF(ISNUMBER(SEARCH("MANUAL",VLOOKUP($AN40,StateTables!$A$6:$AB$56,5,FALSE))),'Inputs 2'!$C$28,ROUND(MAX(0,$BA40+$BB40)/'Inputs 2'!$C$8+'Inputs 2'!$C$25+$BC40,2))))))</f>
      </c>
      <c r="U40" s="7">
        <f>IF($B40="","",IF(VLOOKUP($AN40,StateTables!$A$6:$AB$56,24,FALSE)="flatq",IF(OR(MONTH($B40)=1,MONTH($B40)=4,MONTH($B40)=7,MONTH($B40)=10),VLOOKUP($AN40,StateTables!$A$6:$AB$56,25,FALSE),0),IF(VLOOKUP($AN40,StateTables!$A$6:$AB$56,24,FALSE)="dbl",MIN(ROUND(0.005*$N40,2),ROUND(0.6*52/'Inputs 2'!$C$8,2)),IF(OR(VLOOKUP($AN40,StateTables!$A$6:$AB$56,15,FALSE)="",VLOOKUP($AN40,StateTables!$A$6:$AB$56,15,FALSE)=0),0,ROUND(VLOOKUP($AN40,StateTables!$A$6:$AB$56,15,FALSE)*IF(OR(VLOOKUP($AN40,StateTables!$A$6:$AB$56,16,FALSE)="",VLOOKUP($AN40,StateTables!$A$6:$AB$56,16,FALSE)=0),$N40,MIN($N40,MAX(0,VLOOKUP($AN40,StateTables!$A$6:$AB$56,16,FALSE)-($AX40+$AB39-$AW40)))),2))))+IF(VLOOKUP($AN40,StateTables!$A$6:$AB$56,27,FALSE)="flatq",IF(OR(MONTH($B40)=1,MONTH($B40)=4,MONTH($B40)=7,MONTH($B40)=10),VLOOKUP($AN40,StateTables!$A$6:$AB$56,28,FALSE),0),IF(VLOOKUP($AN40,StateTables!$A$6:$AB$56,27,FALSE)="dbl",MIN(ROUND(0.005*$N40,2),ROUND(0.6*52/'Inputs 2'!$C$8,2)),IF(OR(VLOOKUP($AN40,StateTables!$A$6:$AB$56,18,FALSE)="",VLOOKUP($AN40,StateTables!$A$6:$AB$56,18,FALSE)=0),0,ROUND(VLOOKUP($AN40,StateTables!$A$6:$AB$56,18,FALSE)*IF(OR(VLOOKUP($AN40,StateTables!$A$6:$AB$56,19,FALSE)="",VLOOKUP($AN40,StateTables!$A$6:$AB$56,19,FALSE)=0),$N40,MIN($N40,MAX(0,VLOOKUP($AN40,StateTables!$A$6:$AB$56,19,FALSE)-($AX40+$AB39-$AW40)))),2)))))</f>
      </c>
      <c r="V40" s="7">
        <f>IF($B40="","",IF($AN40="NY",IF('Inputs 2'!$C$78,ROUND(SUMPRODUCT((MAX(0,($O40-$D40)*'Inputs 2'!$C$8-(IF($AU40="Married",5500,5000)+1000*$AS40))&gt;INDEX('Methodology &amp; Sources'!$B$184:$J$198,0,4))*(MAX(0,($O40-$D40)*'Inputs 2'!$C$8-(IF($AU40="Married",5500,5000)+1000*$AS40))-INDEX('Methodology &amp; Sources'!$B$184:$J$198,0,4))*INDEX('Methodology &amp; Sources'!$B$184:$J$198,0,4+2))/'Inputs 2'!$C$8+0.0425*$D40,2),0)+IF('Inputs 2'!$C$79="Resident",ROUND(0.1675*$T40,2),IF('Inputs 2'!$C$79="Nonresident",ROUND(0.005*MAX(0,($O40-$D40)-(IF($AU40="Married",7950,7400)+1000*$AS40)/'Inputs 2'!$C$8),2),0)),IF($AN40="PA",IF('Inputs 2'!$C$80="None",'Inputs 2'!$C$27+ROUND('Inputs 2'!$C$81*($C40+$D40),2),ROUND(IF('Inputs 2'!$C$80="Resident",IF($B40&lt;DATE(2027,7,1),0.03735,0.03735),IF($B40&lt;DATE(2027,7,1),0.03425,0.03425))*($C40+$D40),2)),IF($BF40=0,ROUND('Inputs 2'!$C$81*($C40+$D40),2),'Inputs 2'!$C$27+ROUND('Inputs 2'!$C$81*($C40+$D40),2)))))</f>
      </c>
      <c r="W40" s="7">
        <f>IF($B40="","",IF($BF40=0,0,$BP40))</f>
      </c>
      <c r="X40" s="7">
        <f>IF($B40="","",SUM($E40:$K40)+$P40+$Q40+$R40+$S40+$T40+$U40+$V40+$W40)</f>
      </c>
      <c r="Y40" s="22">
        <f>IF($B40="","",$C40+$D40-$X40)</f>
      </c>
      <c r="Z40" s="7">
        <f>IF($B40="","",$Z39+$C40+$D40)</f>
      </c>
      <c r="AA40" s="7">
        <f>IF($B40="","",$AA39+$Y40)</f>
      </c>
      <c r="AB40" s="7">
        <f>IF($B40="","",$AB39+MIN($N40,MAX(0,'Methodology &amp; Sources'!$C$3-($AX40+$AB39-$AW40))))</f>
      </c>
      <c r="AC40" s="7">
        <f>IF($B40="","",$AC39+$E40+$F40)</f>
      </c>
      <c r="AD40" s="3">
        <f>IF($B40="","",IF(AND($AB39&lt;'Methodology &amp; Sources'!$C$3,$AB40&gt;='Methodology &amp; Sources'!$C$3),"★ Social Security maxed on this check — from the next check your net rises by about $"&amp;TEXT(ROUND('Methodology &amp; Sources'!$C$4*$N40,2),"#,##0.00")&amp;". ","")&amp;IF(AND($AC39&lt;'Inputs 2'!$C$34,$AC40&gt;='Inputs 2'!$C$34),"★ 401(k) reaches the $"&amp;TEXT('Inputs 2'!$C$34,"#,##0")&amp;" cap on this check — deferrals stop and net pay rises. ","")&amp;IF(AND($AG39&lt;'Methodology &amp; Sources'!$C$7,$AG40&gt;='Methodology &amp; Sources'!$C$7),"★ Wages pass $200,000 — the 0.9% Additional Medicare Tax starts here. ","")&amp;IF(AND($BJ40&gt;0,$H40&gt;0,$BG39&lt;MIN($BJ40,'Methodology &amp; Sources'!$C$13),$BG39+$H40&gt;=MIN($BJ40,'Methodology &amp; Sources'!$C$13)),"★ Health FSA election is now fully deferred for the year. ",""))</f>
      </c>
      <c r="AE40" s="41" t="n"/>
      <c r="AF40" s="7">
        <f>IF(OR($B40="",$AE40=""),"",$AE40-$Y40)</f>
      </c>
      <c r="AG40" s="7">
        <f>IF($B40="","",$AG39+$N40)</f>
      </c>
      <c r="AH40" s="7">
        <f>IF($B40="","",MAX(0,($M40-$D40)*'Inputs 2'!$C$8+$AP40-$AQ40-IF('Inputs 2'!$C$13,0,IF('Inputs 2'!$C$12="MFJ",'Methodology &amp; Sources'!$C$8,'Methodology &amp; Sources'!$C$9))))</f>
      </c>
      <c r="AI40" s="7">
        <f>IF($B40="","",$O40*'Inputs 2'!$C$8)</f>
      </c>
      <c r="AJ40" s="7">
        <f>IF($B40="","",MAX(0,$AI40-VLOOKUP($AN40,StateTables!$A$6:$AB$56,12,FALSE)*$AT40-IF(($AS40+$AT40)&gt;=2,VLOOKUP($AN40,StateTables!$A$6:$AB$56,8,FALSE),VLOOKUP($AN40,StateTables!$A$6:$AB$56,7,FALSE))))</f>
      </c>
      <c r="AK40" s="7">
        <f>IF($B40="","",IFERROR(LOOKUP(2,1/(('Events 2'!$C$6:$C$17="Salary change")*('Events 2'!$B$6:$B$17&lt;=$B40)*('Events 2'!$B$6:$B$17&lt;&gt;"")),'Events 2'!$D$6:$D$17),IF('Inputs 2'!$C$4="Annual salary",'Inputs 2'!$C$5,'Inputs 2'!$C$6)))</f>
      </c>
      <c r="AL40">
        <f>IF($B40="","",IFERROR(LOOKUP(2,1/(('Events 2'!$C$6:$C$17="401(k) change")*('Events 2'!$B$6:$B$17&lt;=$B40)*('Events 2'!$B$6:$B$17&lt;&gt;"")),'Events 2'!$D$6:$D$17),'Inputs 2'!$C$30))</f>
      </c>
      <c r="AM40" s="7">
        <f>IF($B40="","",IFERROR(LOOKUP(2,1/(('Events 2'!$C$6:$C$17="401(k) change")*('Events 2'!$B$6:$B$17&lt;=$B40)*('Events 2'!$B$6:$B$17&lt;&gt;"")),'Events 2'!$E$6:$E$17),'Inputs 2'!$D$30))</f>
      </c>
      <c r="AN40">
        <f>IF($B40="","",IFERROR(LOOKUP(2,1/(('Events 2'!$C$6:$C$17="State move")*('Events 2'!$B$6:$B$17&lt;=$B40)*('Events 2'!$B$6:$B$17&lt;&gt;"")),'Events 2'!$D$6:$D$17),'Inputs 2'!$C$21))</f>
      </c>
      <c r="AO40" s="7">
        <f>IF($B40="","",IFERROR(LOOKUP(2,1/(('Events 2'!$C$6:$C$17="W-4 change")*('Events 2'!$B$6:$B$17&lt;=$B40)*('Events 2'!$B$6:$B$17&lt;&gt;"")),'Events 2'!$D$6:$D$17),'Inputs 2'!$C$14))</f>
      </c>
      <c r="AP40" s="7">
        <f>IF($B40="","",IFERROR(LOOKUP(2,1/(('Events 2'!$C$6:$C$17="W-4 change")*('Events 2'!$B$6:$B$17&lt;=$B40)*('Events 2'!$B$6:$B$17&lt;&gt;"")),'Events 2'!$E$6:$E$17),'Inputs 2'!$C$15))</f>
      </c>
      <c r="AQ40" s="7">
        <f>IF($B40="","",IFERROR(LOOKUP(2,1/(('Events 2'!$C$6:$C$17="W-4 change")*('Events 2'!$B$6:$B$17&lt;=$B40)*('Events 2'!$B$6:$B$17&lt;&gt;"")),'Events 2'!$F$6:$F$17),'Inputs 2'!$C$16))</f>
      </c>
      <c r="AR40" s="7">
        <f>IF($B40="","",IFERROR(LOOKUP(2,1/(('Events 2'!$C$6:$C$17="W-4 change")*('Events 2'!$B$6:$B$17&lt;=$B40)*('Events 2'!$B$6:$B$17&lt;&gt;"")),'Events 2'!$G$6:$G$17),'Inputs 2'!$C$17))</f>
      </c>
      <c r="AS40" s="6">
        <f>IF($B40="","",IFERROR(LOOKUP(2,1/((('Events 2'!$C$6:$C$17="State move")+('Events 2'!$C$6:$C$17="State cert change"))*('Events 2'!$B$6:$B$17&lt;=$B40)*('Events 2'!$B$6:$B$17&lt;&gt;"")),'Events 2'!$F$6:$F$17),'Inputs 2'!$C$23))</f>
      </c>
      <c r="AT40" s="6">
        <f>IF($B40="","",IFERROR(LOOKUP(2,1/((('Events 2'!$C$6:$C$17="State move")+('Events 2'!$C$6:$C$17="State cert change"))*('Events 2'!$B$6:$B$17&lt;=$B40)*('Events 2'!$B$6:$B$17&lt;&gt;"")),'Events 2'!$G$6:$G$17),'Inputs 2'!$C$24))</f>
      </c>
      <c r="AU40">
        <f>IF($B40="","",IFERROR(LOOKUP(2,1/(('Events 2'!$C$6:$C$17="State move")*('Events 2'!$B$6:$B$17&lt;=$B40)*('Events 2'!$B$6:$B$17&lt;&gt;"")),'Events 2'!$E$6:$E$17),'Inputs 2'!$C$22))</f>
      </c>
      <c r="AV40" s="6">
        <f>IF($B40="","",1+COUNTIFS('Events 2'!$C$6:$C$17,"Employer change",'Events 2'!$B$6:$B$17,"&lt;="&amp;$B40,'Events 2'!$B$6:$B$17,"&lt;&gt;"))</f>
      </c>
      <c r="AW40" s="7">
        <f>IF($B40="","",IF($AV40=1,'Inputs 2'!$C$49,IF(IFERROR(MATCH(IFERROR(LOOKUP(2,1/(('Events 2'!$C$6:$C$17="Employer change")*('Events 2'!$B$6:$B$17&lt;=$B40)*('Events 2'!$B$6:$B$17&lt;&gt;"")),'Events 2'!$B$6:$B$17),""),$B$6:$B$68,1),1)&lt;=1,'Inputs 2'!$C$49,INDEX($AB$6:$AB$68,MATCH(IFERROR(LOOKUP(2,1/(('Events 2'!$C$6:$C$17="Employer change")*('Events 2'!$B$6:$B$17&lt;=$B40)*('Events 2'!$B$6:$B$17&lt;&gt;"")),'Events 2'!$B$6:$B$17),""),$B$6:$B$68,1)-1))))</f>
      </c>
      <c r="AX40" s="7">
        <f>IF($B40="","",IF($AV40=1,'Inputs 2'!$C$49,IFERROR(LOOKUP(2,1/(('Events 2'!$C$6:$C$17="Employer change")*('Events 2'!$B$6:$B$17&lt;=$B40)*('Events 2'!$B$6:$B$17&lt;&gt;"")),'Events 2'!$D$6:$D$17),0)))</f>
      </c>
      <c r="AY40" s="7">
        <f>IF($B40="","",($O40-$D40)*'Inputs 2'!$C$8)</f>
      </c>
      <c r="AZ40" s="7">
        <f>IF($B40="","",IF($AN40="AL",MAX(0,$AY40-IF($AU40="Married",IF($AY40&lt;=25999,8500,MAX(5000,8500-175*CEILING(($AY40-25999)/500,1))),IF($AU40="Head of household",IF($AY40&lt;=25999,5200,MAX(2500,5200-135*CEILING(($AY40-25999)/500,1))),IF($AY40&lt;=25999,3000,MAX(2500,3000-25*CEILING(($AY40-25999)/500,1)))))-($P40-'Methodology &amp; Sources'!$C$10*$D40)*'Inputs 2'!$C$8-IF(OR($AU40="Married",$AU40="Head of household"),3000,1500)-$AT40*IF($AY40&lt;=50000,1000,IF($AY40&lt;=100000,500,300))),IF($AN40="AR",IF(MAX(0,$AY40-2470)&lt;97701,INT(MAX(0,$AY40-2470)/100)*100+50,MAX(0,$AY40-2470)),IF($AN40="DE",MAX(0,$AI40-3250),IF($AN40="HI",MAX(0,$AI40-1144*$AS40-4350),IF($AN40="KS",MAX(0,$AI40-(9160*IF($AU40="Married",2,1)+2320*$AT40+IF($AU40="Head of household",2320,0))),IF($AN40="MD",MAX(0,$AI40-3400-3200*$AS40),IF($AN40="MN",MAX(0,$AY40-5300*$AS40),IF($AN40="MO",MAX(0,$AI40-IF($AU40="Head of household",24150,IF($AU40="Married",IF('Inputs 2'!$C$83,16100,32200),16100))),IF($AN40="MT",$AY40,IF($AN40="ND",($C40+$L40)*'Inputs 2'!$C$8,IF($AN40="NE",MAX(0,$AY40-2440*$AS40),IF($AN40="NJ",MAX(0,$AY40-1000*$AS40),IF($AN40="NY",MAX(0,$AY40-(IF($AU40="Married",7950,7400)+1000*$AS40)),IF($AN40="OH",MAX(0,$AY40-650*$AS40),IF($AN40="OK",MAX(0,$AY40-1000*$AS40),IF($AN40="RI",MAX(0,$AI40-1000*$AS40),IF($AN40="SC",MAX(0,$AI40-5000*$AS40-IF($AS40=0,0,MIN(0.1*$AI40,7500))),IF($AN40="VA",MAX(0,$AI40-IF($AU40="Married",17500,8750)-930*$AS40-800*$AT40),IF($AN40="VT",MAX(0,$AI40-5400*$AS40),IF($AN40="WI",MAX(0,$AI40-MAX(0,IF($AU40="Married",9461-0.2*MAX(0,$AI40-25727),6702-0.12*MAX(0,$AI40-17780)))-400*$AS40),IF($AN40="WV",MAX(0,$AI40-2000*$AS40),$AI40))))))))))))))))))))))</f>
      </c>
      <c r="BA40" s="7">
        <f>IF($B40="","",IF($BW40&lt;&gt;"",$BW40,IF($BX40&lt;&gt;"",$BX40,IF($BY40&lt;&gt;"",$BY40,0))))</f>
      </c>
      <c r="BB40" s="7">
        <f>IF($B40="","",IF($AN40="AR",-29*$AS40,IF($AN40="DE",-110*$AS40,IF($AN40="MD",$AZ40*'Inputs 2'!$C$74,IF($AN40="AZ",'Inputs 2'!$C$82*($M40-$D40)*'Inputs 2'!$C$8,IF($AN40="CO",0.044*MAX(0,$AY40-IF($AU40="Married",10000,5000)),IF($AN40="IA",MAX(0,0.038*MAX(0,$AY40-IF($AU40="Head of household",19500,IF($AU40="Married",26000,13000)))-40*$AS40),IF($AN40="ID",0.053*MAX(0,$AY40-IF($AU40="Married",32000,16094)),IF($AN40="IL",0.0495*MAX(0,$AY40-(2925*$AS40+1000*$AT40)),IF($AN40="IN",(0.0295+'Inputs 2'!$C$76)*MAX(0,$AY40-(1000*$AS40+1500*$AT40+3000*'Inputs 2'!$C$86)),IF($AN40="KY",0.035*MAX(0,$AI40-3360),IF($AN40="LA",IF('Inputs 2'!$C$84="0",0.0309*$AI40,0.0309*MAX(0,$AI40-IF('Inputs 2'!$C$84="2",25750,12875))),IF($AN40="MA",0.05*MIN(MAX(0,$AY40-MIN(($BD39+$Q40+$R40+$S40),2000)-IF($AS40=0,0,IF($AS40=1,4400,1000*$AS40+3400))),1107750)+0.09*MAX(0,MAX(0,$AY40-MIN(($BD39+$Q40+$R40+$S40),2000)-IF($AS40=0,0,IF($AS40=1,4400,1000*$AS40+3400)))-1107750)-IF($AU40="Head of household",120,0)-110*'Inputs 2'!$C$75,IF($AN40="MI",0.0425*MAX(0,$AY40-5900*$AS40),IF($AN40="MS",0.04*MAX(0,$AI40-IF($AU40="Head of household",3400,IF($AU40="Married",4600,2300))-'Inputs 2'!$C$85-10000),IF($AN40="OR",IF(OR($AU40="Married",AND($AU40="Single",$AS40&gt;=3)),SUMPRODUCT((MAX(0,$AY40-MIN(($P40-'Methodology &amp; Sources'!$C$10*$D40)*'Inputs 2'!$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Sources'!$B$211:$J$214,0,4))*(MAX(0,$AY40-MIN(($P40-'Methodology &amp; Sources'!$C$10*$D40)*'Inputs 2'!$C$8,IF(OR($AU40="Married",AND($AU40="Single",$AS40&gt;=3)),IF($AY40&lt;250000,8750,IF($AY40&lt;260000,7000,IF($AY40&lt;270000,5250,IF($AY40&lt;280000,3500,IF($AY40&lt;290000,1750,0))))),IF($AY40&lt;125000,8750,IF($AY40&lt;130000,7000,IF($AY40&lt;135000,5250,IF($AY40&lt;140000,3500,IF($AY40&lt;145000,1750,0)))))))-IF(OR($AU40="Married",AND($AU40="Single",$AS40&gt;=3)),5820,2910))-INDEX('Methodology &amp; Sources'!$B$211:$J$214,0,4))*INDEX('Methodology &amp; Sources'!$B$211:$J$214,0,4+2)),SUMPRODUCT((MAX(0,$AY40-MIN(($P40-'Methodology &amp; Sources'!$C$10*$D40)*'Inputs 2'!$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Sources'!$B$211:$J$214,0,1))*(MAX(0,$AY40-MIN(($P40-'Methodology &amp; Sources'!$C$10*$D40)*'Inputs 2'!$C$8,IF(OR($AU40="Married",AND($AU40="Single",$AS40&gt;=3)),IF($AY40&lt;250000,8750,IF($AY40&lt;260000,7000,IF($AY40&lt;270000,5250,IF($AY40&lt;280000,3500,IF($AY40&lt;290000,1750,0))))),IF($AY40&lt;125000,8750,IF($AY40&lt;130000,7000,IF($AY40&lt;135000,5250,IF($AY40&lt;140000,3500,IF($AY40&lt;145000,1750,0)))))))-IF(OR($AU40="Married",AND($AU40="Single",$AS40&gt;=3)),5820,2910))-INDEX('Methodology &amp; Sources'!$B$211:$J$214,0,1))*INDEX('Methodology &amp; Sources'!$B$211:$J$214,0,1+2)))+263-263*IF(IF($AU40="Married",$AY40&gt;200000,$AY40&gt;100000),0,$AS40),IF($AN40="PA",0.0307*(($O40+$E40+$G40)*'Inputs 2'!$C$8),IF($AN40="NY",IF($AU40="Married",IF($AZ40&gt;=2155350,0,IF($AZ40&gt;=1077550,0.48,IF($AZ40&gt;=373200,1.21,IF($AZ40&gt;=323200,0.21,IF($AZ40&gt;=211550,-0.19,IF($AZ40&gt;=157650,-2.8,IF($AZ40&gt;=107650,-0.8,IF($AZ40&gt;=96800,0.05,IF($AZ40&gt;=80650,-0.1,IF($AZ40&gt;=13900,0.4,IF($AZ40&gt;=11700,-0.3,IF($AZ40&gt;=8500,0.5,0)))))))))))),IF($AZ40&gt;=1077550,0,IF($AZ40&gt;=265400,4.29,IF($AZ40&gt;=215400,2.29,IF($AZ40&gt;=157650,2.29,IF($AZ40&gt;=107650,0.29,IF($AZ40&gt;=96800,0.05,IF($AZ40&gt;=80650,-0.1,IF($AZ40&gt;=13900,0.4,IF($AZ40&gt;=11700,-0.3,IF($AZ40&gt;=8500,0.5,0))))))))))),0))))))))))))))))))</f>
      </c>
      <c r="BC40" s="7">
        <f>IF($B40="","",IF($AN40="AL",0.05*$D40,IF($AN40="AR",0.039*$D40,IF($AN40="ID",0.053*$D40,IF($AN40="IN",(0.0295+'Inputs 2'!$C$76)*$D40,IF($AN40="KS",0.05*$D40,IF($AN40="MA",0.09*MIN($D40,MAX(0,MAX(0,$AY40-MIN(($BD39+$Q40+$R40+$S40),2000)-IF($AS40=0,0,IF($AS40=1,4400,1000*$AS40+3400)))+$D40-1107750))+0.05*($D40-MIN($D40,MAX(0,MAX(0,$AY40-MIN(($BD39+$Q40+$R40+$S40),2000)-IF($AS40=0,0,IF($AS40=1,4400,1000*$AS40+3400)))+$D40-1107750))),IF($AN40="MD",(0.065+'Inputs 2'!$C$74)*$D40,IF($AN40="MI",0.0425*$D40,IF($AN40="MN",0.0625*$D40,IF($AN40="MO",0.047*$D40,IF($AN40="MT",0.05*$D40,IF($AN40="ND",0.015*$D40,IF($AN40="NE",0.035*$D40,IF($AN40="NJ",IF('Inputs 2'!$C$77="B",SUMPRODUCT(($D40*'Inputs 2'!$C$8&gt;INDEX('Methodology &amp; Sources'!$B$155:$J$162,0,4))*($D40*'Inputs 2'!$C$8-INDEX('Methodology &amp; Sources'!$B$155:$J$162,0,4))*INDEX('Methodology &amp; Sources'!$B$155:$J$162,0,4+2)),IF('Inputs 2'!$C$77="C",SUMPRODUCT(($D40*'Inputs 2'!$C$8&gt;INDEX('Methodology &amp; Sources'!$B$155:$J$162,0,7))*($D40*'Inputs 2'!$C$8-INDEX('Methodology &amp; Sources'!$B$155:$J$162,0,7))*INDEX('Methodology &amp; Sources'!$B$155:$J$162,0,7+2)),IF('Inputs 2'!$C$77="D",SUMPRODUCT(($D40*'Inputs 2'!$C$8&gt;INDEX('Methodology &amp; Sources'!$B$167:$J$179,0,1))*($D40*'Inputs 2'!$C$8-INDEX('Methodology &amp; Sources'!$B$167:$J$179,0,1))*INDEX('Methodology &amp; Sources'!$B$167:$J$179,0,1+2)),IF('Inputs 2'!$C$77="E",SUMPRODUCT(($D40*'Inputs 2'!$C$8&gt;INDEX('Methodology &amp; Sources'!$B$167:$J$179,0,4))*($D40*'Inputs 2'!$C$8-INDEX('Methodology &amp; Sources'!$B$167:$J$179,0,4))*INDEX('Methodology &amp; Sources'!$B$167:$J$179,0,4+2)),SUMPRODUCT(($D40*'Inputs 2'!$C$8&gt;INDEX('Methodology &amp; Sources'!$B$155:$J$162,0,1))*($D40*'Inputs 2'!$C$8-INDEX('Methodology &amp; Sources'!$B$155:$J$162,0,1))*INDEX('Methodology &amp; Sources'!$B$155:$J$162,0,1+2))))))/'Inputs 2'!$C$8,IF($AN40="NY",0.117*$D40,IF($AN40="OH",0.0275*$D40,IF($AN40="OK",0.045*$D40,IF($AN40="OR",0.08*$D40,IF($AN40="WI",IF($AY40&lt;12760,0.0354,IF($AY40&lt;25520,0.0465,IF($AY40&lt;280950,0.053,0.0765)))*$D40,0))))))))))))))))))))</f>
      </c>
      <c r="BD40" s="7">
        <f>IF($B40="","",$BD39+$Q40+$R40+$S40)</f>
      </c>
      <c r="BE40" s="6">
        <f>IF($B40="",$BE39,$BE39+$BF40)</f>
      </c>
      <c r="BF40" s="6">
        <f>IF($B40="","",IF(AND(IF(YEAR(IF('Inputs 2'!$C$7="Weekly",'Inputs 2'!$C$9+7*(($BE39+1)-1),IF('Inputs 2'!$C$7="Biweekly",'Inputs 2'!$C$9+14*(($BE39+1)-1),IF('Inputs 2'!$C$7="Semimonthly",DATE(YEAR('Inputs 2'!$C$9),MONTH('Inputs 2'!$C$9)+INT((($BE39+1)-1)/2),MIN(DAY('Inputs 2'!$C$9),DAY(EOMONTH(DATE(YEAR('Inputs 2'!$C$9),MONTH('Inputs 2'!$C$9)+INT((($BE39+1)-1)/2),1),0))))+IF(MOD(($BE39+1)-1,2)=1,15,0),EDATE('Inputs 2'!$C$9,($BE39+1)-1)))))&lt;&gt;'Inputs 2'!$C$10,"",IF('Inputs 2'!$C$7="Weekly",'Inputs 2'!$C$9+7*(($BE39+1)-1),IF('Inputs 2'!$C$7="Biweekly",'Inputs 2'!$C$9+14*(($BE39+1)-1),IF('Inputs 2'!$C$7="Semimonthly",DATE(YEAR('Inputs 2'!$C$9),MONTH('Inputs 2'!$C$9)+INT((($BE39+1)-1)/2),MIN(DAY('Inputs 2'!$C$9),DAY(EOMONTH(DATE(YEAR('Inputs 2'!$C$9),MONTH('Inputs 2'!$C$9)+INT((($BE39+1)-1)/2),1),0))))+IF(MOD(($BE39+1)-1,2)=1,15,0),EDATE('Inputs 2'!$C$9,($BE39+1)-1)))))&lt;&gt;"",$B40=IF(YEAR(IF('Inputs 2'!$C$7="Weekly",'Inputs 2'!$C$9+7*(($BE39+1)-1),IF('Inputs 2'!$C$7="Biweekly",'Inputs 2'!$C$9+14*(($BE39+1)-1),IF('Inputs 2'!$C$7="Semimonthly",DATE(YEAR('Inputs 2'!$C$9),MONTH('Inputs 2'!$C$9)+INT((($BE39+1)-1)/2),MIN(DAY('Inputs 2'!$C$9),DAY(EOMONTH(DATE(YEAR('Inputs 2'!$C$9),MONTH('Inputs 2'!$C$9)+INT((($BE39+1)-1)/2),1),0))))+IF(MOD(($BE39+1)-1,2)=1,15,0),EDATE('Inputs 2'!$C$9,($BE39+1)-1)))))&lt;&gt;'Inputs 2'!$C$10,"",IF('Inputs 2'!$C$7="Weekly",'Inputs 2'!$C$9+7*(($BE39+1)-1),IF('Inputs 2'!$C$7="Biweekly",'Inputs 2'!$C$9+14*(($BE39+1)-1),IF('Inputs 2'!$C$7="Semimonthly",DATE(YEAR('Inputs 2'!$C$9),MONTH('Inputs 2'!$C$9)+INT((($BE39+1)-1)/2),MIN(DAY('Inputs 2'!$C$9),DAY(EOMONTH(DATE(YEAR('Inputs 2'!$C$9),MONTH('Inputs 2'!$C$9)+INT((($BE39+1)-1)/2),1),0))))+IF(MOD(($BE39+1)-1,2)=1,15,0),EDATE('Inputs 2'!$C$9,($BE39+1)-1)))))),1,0))</f>
      </c>
      <c r="BG40" s="7">
        <f>IF($B40="","",$BG39+$H40)</f>
      </c>
      <c r="BH40" s="7">
        <f>IF($B40="","",$BH39+$I40)</f>
      </c>
      <c r="BI40" s="7">
        <f>IF($B40="","",$BI39+$G40)</f>
      </c>
      <c r="BJ40" s="7">
        <f>IF($B40="","",IFERROR(LOOKUP(2,1/(((('Events 2'!$C$6:$C$17="Deduction start"))*('Events 2'!$D$6:$D$17="Health FSA"))*('Events 2'!$B$6:$B$17&lt;=$B40)*('Events 2'!$B$6:$B$17&lt;&gt;"")),'Events 2'!$E$6:$E$17),'Inputs 2'!$D$38))</f>
      </c>
      <c r="BK40" s="7">
        <f>IF($B40="","",IFERROR(LOOKUP(2,1/(((('Events 2'!$C$6:$C$17="Deduction start"))*('Events 2'!$D$6:$D$17="Dependent-care FSA"))*('Events 2'!$B$6:$B$17&lt;=$B40)*('Events 2'!$B$6:$B$17&lt;&gt;"")),'Events 2'!$E$6:$E$17),'Inputs 2'!$D$39))</f>
      </c>
      <c r="BL40" s="7">
        <f>IF($B40="","",IFERROR(LOOKUP(2,1/(((('Events 2'!$C$6:$C$17="Deduction start")+('Events 2'!$C$6:$C$17="Deduction stop"))*('Events 2'!$D$6:$D$17="HSA"))*('Events 2'!$B$6:$B$17&lt;=$B40)*('Events 2'!$B$6:$B$17&lt;&gt;"")),'Events 2'!$I$6:$I$17),'Inputs 2'!$D$35))</f>
      </c>
      <c r="BM40" s="7">
        <f>IF($B40="","",IFERROR(LOOKUP(2,1/(((('Events 2'!$C$6:$C$17="Deduction start")+('Events 2'!$C$6:$C$17="Deduction stop"))*('Events 2'!$D$6:$D$17="Premiums"))*('Events 2'!$B$6:$B$17&lt;=$B40)*('Events 2'!$B$6:$B$17&lt;&gt;"")),'Events 2'!$I$6:$I$17),'Inputs 2'!$D$40+'Inputs 2'!$D$41+'Inputs 2'!$D$42))</f>
      </c>
      <c r="BN40" s="7">
        <f>IF($B40="","",IFERROR(LOOKUP(2,1/(((('Events 2'!$C$6:$C$17="Deduction start")+('Events 2'!$C$6:$C$17="Deduction stop"))*('Events 2'!$D$6:$D$17="Commuter"))*('Events 2'!$B$6:$B$17&lt;=$B40)*('Events 2'!$B$6:$B$17&lt;&gt;"")),'Events 2'!$I$6:$I$17),'Inputs 2'!$D$43))</f>
      </c>
      <c r="BO40" s="7">
        <f>IF($B40="","",IFERROR(LOOKUP(2,1/(((('Events 2'!$C$6:$C$17="Deduction start")+('Events 2'!$C$6:$C$17="Deduction stop"))*('Events 2'!$D$6:$D$17="Other pre-tax"))*('Events 2'!$B$6:$B$17&lt;=$B40)*('Events 2'!$B$6:$B$17&lt;&gt;"")),'Events 2'!$I$6:$I$17),'Inputs 2'!$D$44))</f>
      </c>
      <c r="BP40" s="7">
        <f>IF($B40="","",IFERROR(LOOKUP(2,1/(((('Events 2'!$C$6:$C$17="Deduction start")+('Events 2'!$C$6:$C$17="Deduction stop"))*('Events 2'!$D$6:$D$17="Other post-tax"))*('Events 2'!$B$6:$B$17&lt;=$B40)*('Events 2'!$B$6:$B$17&lt;&gt;"")),'Events 2'!$I$6:$I$17),'Inputs 2'!$D$45))</f>
      </c>
      <c r="BQ40" s="6">
        <f>IF($B40="","",IFERROR(LOOKUP(2,1/(((('Events 2'!$C$6:$C$17="Deduction start")+('Events 2'!$C$6:$C$17="Deduction stop"))*('Events 2'!$D$6:$D$17="Health FSA"))*('Events 2'!$B$6:$B$17&lt;=$B40)*('Events 2'!$B$6:$B$17&lt;&gt;"")),'Events 2'!$J$6:$J$17),0))</f>
      </c>
      <c r="BR40" s="6">
        <f>IF($B40="","",IFERROR(LOOKUP(2,1/(((('Events 2'!$C$6:$C$17="Deduction start")+('Events 2'!$C$6:$C$17="Deduction stop"))*('Events 2'!$D$6:$D$17="Dependent-care FSA"))*('Events 2'!$B$6:$B$17&lt;=$B40)*('Events 2'!$B$6:$B$17&lt;&gt;"")),'Events 2'!$J$6:$J$17),0))</f>
      </c>
      <c r="BS40" s="6">
        <f>IF($B40="","",IF(SUMPRODUCT(('Events 2'!$C$6:$C$17="Deduction start")*('Events 2'!$B$6:$B$17&lt;=$B40)*('Events 2'!$B$6:$B$17&lt;&gt;"")*('Events 2'!$D$6:$D$17="Health FSA"))&gt;0,1,0))</f>
      </c>
      <c r="BT40" s="6">
        <f>IF($B40="","",IF(SUMPRODUCT(('Events 2'!$C$6:$C$17="Deduction start")*('Events 2'!$B$6:$B$17&lt;=$B40)*('Events 2'!$B$6:$B$17&lt;&gt;"")*('Events 2'!$D$6:$D$17="Dependent-care FSA"))&gt;0,1,0))</f>
      </c>
      <c r="BU40" s="24">
        <f>IF($B40="","",IF('Inputs 2'!$C$13,SUMPRODUCT(($AH40&gt;=INDEX('Methodology &amp; Sources'!$B$29:$J$36,0,IF('Inputs 2'!$C$12="MFJ",1,IF('Inputs 2'!$C$12="HoH",7,4))))*INDEX('Methodology &amp; Sources'!$B$29:$J$36,0,IF('Inputs 2'!$C$12="MFJ",1,IF('Inputs 2'!$C$12="HoH",7,4))+2)),SUMPRODUCT(($AH40&gt;=INDEX('Methodology &amp; Sources'!$B$19:$J$26,0,IF('Inputs 2'!$C$12="MFJ",1,IF('Inputs 2'!$C$12="HoH",7,4))))*INDEX('Methodology &amp; Sources'!$B$19:$J$26,0,IF('Inputs 2'!$C$12="MFJ",1,IF('Inputs 2'!$C$12="HoH",7,4))+2))))</f>
      </c>
      <c r="BV40" s="24">
        <f>IF($B40="","",IF($BZ40&lt;&gt;"",$BZ40,IF($CA40&lt;&gt;"",$CA40,IF($CB40&lt;&gt;"",$CB40,IF($CC40&lt;&gt;"",$CC40,0)))))</f>
      </c>
      <c r="BW40" s="7">
        <f>IF($B40="","",IF($AN40="MD",IF(OR($AU40="Married",$AU40="Head of household"),SUMPRODUCT(($AZ40&gt;INDEX('Methodology &amp; Sources'!$B$114:$J$120,0,1))*($AZ40-INDEX('Methodology &amp; Sources'!$B$114:$J$120,0,1))*INDEX('Methodology &amp; Sources'!$B$114:$J$120,0,1+2)),SUMPRODUCT(($AZ40&gt;INDEX('Methodology &amp; Sources'!$B$103:$J$109,0,7))*($AZ40-INDEX('Methodology &amp; Sources'!$B$103:$J$109,0,7))*INDEX('Methodology &amp; Sources'!$B$103:$J$109,0,7+2))),IF($AN40="MO",SUMPRODUCT(($AZ40&gt;INDEX('Methodology &amp; Sources'!$B$125:$J$132,0,1))*($AZ40-INDEX('Methodology &amp; Sources'!$B$125:$J$132,0,1))*INDEX('Methodology &amp; Sources'!$B$125:$J$132,0,1+2)),IF($AN40="MT",IF($AU40="Head of household",SUMPRODUCT(($AZ40&gt;INDEX('Methodology &amp; Sources'!$B$137:$J$139,0,1))*($AZ40-INDEX('Methodology &amp; Sources'!$B$137:$J$139,0,1))*INDEX('Methodology &amp; Sources'!$B$137:$J$139,0,1+2)),IF($AU40="Married",SUMPRODUCT(($AZ40&gt;INDEX('Methodology &amp; Sources'!$B$125:$J$132,0,7))*($AZ40-INDEX('Methodology &amp; Sources'!$B$125:$J$132,0,7))*INDEX('Methodology &amp; Sources'!$B$125:$J$132,0,7+2)),SUMPRODUCT(($AZ40&gt;INDEX('Methodology &amp; Sources'!$B$125:$J$132,0,4))*($AZ40-INDEX('Methodology &amp; Sources'!$B$125:$J$132,0,4))*INDEX('Methodology &amp; Sources'!$B$125:$J$132,0,4+2)))),IF($AN40="ND",IF($AU40="Head of household",SUMPRODUCT(($AZ40&gt;INDEX('Methodology &amp; Sources'!$B$144:$J$150,0,1))*($AZ40-INDEX('Methodology &amp; Sources'!$B$144:$J$150,0,1))*INDEX('Methodology &amp; Sources'!$B$144:$J$150,0,1+2)),IF($AU40="Married",SUMPRODUCT(($AZ40&gt;INDEX('Methodology &amp; Sources'!$B$137:$J$139,0,7))*($AZ40-INDEX('Methodology &amp; Sources'!$B$137:$J$139,0,7))*INDEX('Methodology &amp; Sources'!$B$137:$J$139,0,7+2)),SUMPRODUCT(($AZ40&gt;INDEX('Methodology &amp; Sources'!$B$137:$J$139,0,4))*($AZ40-INDEX('Methodology &amp; Sources'!$B$137:$J$139,0,4))*INDEX('Methodology &amp; Sources'!$B$137:$J$139,0,4+2)))),IF($AN40="NJ",IF('Inputs 2'!$C$77="B",SUMPRODUCT(($AZ40&gt;INDEX('Methodology &amp; Sources'!$B$155:$J$162,0,4))*($AZ40-INDEX('Methodology &amp; Sources'!$B$155:$J$162,0,4))*INDEX('Methodology &amp; Sources'!$B$155:$J$162,0,4+2)),IF('Inputs 2'!$C$77="C",SUMPRODUCT(($AZ40&gt;INDEX('Methodology &amp; Sources'!$B$155:$J$162,0,7))*($AZ40-INDEX('Methodology &amp; Sources'!$B$155:$J$162,0,7))*INDEX('Methodology &amp; Sources'!$B$155:$J$162,0,7+2)),IF('Inputs 2'!$C$77="D",SUMPRODUCT(($AZ40&gt;INDEX('Methodology &amp; Sources'!$B$167:$J$179,0,1))*($AZ40-INDEX('Methodology &amp; Sources'!$B$167:$J$179,0,1))*INDEX('Methodology &amp; Sources'!$B$167:$J$179,0,1+2)),IF('Inputs 2'!$C$77="E",SUMPRODUCT(($AZ40&gt;INDEX('Methodology &amp; Sources'!$B$167:$J$179,0,4))*($AZ40-INDEX('Methodology &amp; Sources'!$B$167:$J$179,0,4))*INDEX('Methodology &amp; Sources'!$B$167:$J$179,0,4+2)),SUMPRODUCT(($AZ40&gt;INDEX('Methodology &amp; Sources'!$B$155:$J$162,0,1))*($AZ40-INDEX('Methodology &amp; Sources'!$B$155:$J$162,0,1))*INDEX('Methodology &amp; Sources'!$B$155:$J$162,0,1+2)))))),IF($AN40="NY",IF($AU40="Married",IF($AZ40&gt;=2155350,$AZ40*IF($AZ40&gt;25000000,0.117,IF($AZ40&gt;5000000,0.111,0.1045)),SUMPRODUCT(($AZ40&gt;INDEX('Methodology &amp; Sources'!$B$184:$J$198,0,1))*($AZ40-INDEX('Methodology &amp; Sources'!$B$184:$J$198,0,1))*INDEX('Methodology &amp; Sources'!$B$184:$J$198,0,1+2))),IF($AZ40&gt;=1077550,$AZ40*IF($AZ40&gt;25000000,0.117,IF($AZ40&gt;5000000,0.111,0.1045)),SUMPRODUCT(($AZ40&gt;INDEX('Methodology &amp; Sources'!$B$167:$J$179,0,7))*($AZ40-INDEX('Methodology &amp; Sources'!$B$167:$J$179,0,7))*INDEX('Methodology &amp; Sources'!$B$167:$J$179,0,7+2)))),"")))))))</f>
      </c>
      <c r="BX40" s="7">
        <f>IF($B40="","",IF($AN40="AL",IF(OR($AU40="Married",$AU40="Head of household"),SUMPRODUCT(($AZ40&gt;INDEX('Methodology &amp; Sources'!$B$82:$J$86,0,4))*($AZ40-INDEX('Methodology &amp; Sources'!$B$82:$J$86,0,4))*INDEX('Methodology &amp; Sources'!$B$82:$J$86,0,4+2)),SUMPRODUCT(($AZ40&gt;INDEX('Methodology &amp; Sources'!$B$82:$J$86,0,1))*($AZ40-INDEX('Methodology &amp; Sources'!$B$82:$J$86,0,1))*INDEX('Methodology &amp; Sources'!$B$82:$J$86,0,1+2))),IF($AN40="KS",IF($AU40="Married",SUMPRODUCT(($AZ40&gt;INDEX('Methodology &amp; Sources'!$B$103:$J$109,0,4))*($AZ40-INDEX('Methodology &amp; Sources'!$B$103:$J$109,0,4))*INDEX('Methodology &amp; Sources'!$B$103:$J$109,0,4+2)),SUMPRODUCT(($AZ40&gt;INDEX('Methodology &amp; Sources'!$B$103:$J$109,0,1))*($AZ40-INDEX('Methodology &amp; Sources'!$B$103:$J$109,0,1))*INDEX('Methodology &amp; Sources'!$B$103:$J$109,0,1+2))),IF($AN40="MN",IF($AU40="Married",SUMPRODUCT(($AZ40&gt;INDEX('Methodology &amp; Sources'!$B$114:$J$120,0,7))*($AZ40-INDEX('Methodology &amp; Sources'!$B$114:$J$120,0,7))*INDEX('Methodology &amp; Sources'!$B$114:$J$120,0,7+2)),SUMPRODUCT(($AZ40&gt;INDEX('Methodology &amp; Sources'!$B$114:$J$120,0,4))*($AZ40-INDEX('Methodology &amp; Sources'!$B$114:$J$120,0,4))*INDEX('Methodology &amp; Sources'!$B$114:$J$120,0,4+2))),IF($AN40="NE",MAX(IF($AU40="Married",SUMPRODUCT(($AZ40&gt;INDEX('Methodology &amp; Sources'!$B$144:$J$150,0,7))*($AZ40-INDEX('Methodology &amp; Sources'!$B$144:$J$150,0,7))*INDEX('Methodology &amp; Sources'!$B$144:$J$150,0,7+2)),SUMPRODUCT(($AZ40&gt;INDEX('Methodology &amp; Sources'!$B$144:$J$150,0,4))*($AZ40-INDEX('Methodology &amp; Sources'!$B$144:$J$150,0,4))*INDEX('Methodology &amp; Sources'!$B$144:$J$150,0,4+2))),0.015*$AZ40),IF($AN40="OH",IF($B40&gt;=DATE(2027,8,1),SUMPRODUCT(($AZ40&gt;INDEX('Methodology &amp; Sources'!$B$203:$J$206,0,1))*($AZ40-INDEX('Methodology &amp; Sources'!$B$203:$J$206,0,1))*INDEX('Methodology &amp; Sources'!$B$203:$J$206,0,1+2)),SUMPRODUCT(($AZ40&gt;INDEX('Methodology &amp; Sources'!$B$184:$J$198,0,7))*($AZ40-INDEX('Methodology &amp; Sources'!$B$184:$J$198,0,7))*INDEX('Methodology &amp; Sources'!$B$184:$J$198,0,7+2))),IF($AN40="OK",IF($AU40="Married",SUMPRODUCT(($AZ40&gt;INDEX('Methodology &amp; Sources'!$B$203:$J$206,0,7))*($AZ40-INDEX('Methodology &amp; Sources'!$B$203:$J$206,0,7))*INDEX('Methodology &amp; Sources'!$B$203:$J$206,0,7+2)),SUMPRODUCT(($AZ40&gt;INDEX('Methodology &amp; Sources'!$B$203:$J$206,0,4))*($AZ40-INDEX('Methodology &amp; Sources'!$B$203:$J$206,0,4))*INDEX('Methodology &amp; Sources'!$B$203:$J$206,0,4+2))),IF($AN40="RI",SUMPRODUCT(($AZ40&gt;INDEX('Methodology &amp; Sources'!$B$211:$J$214,0,7))*($AZ40-INDEX('Methodology &amp; Sources'!$B$211:$J$214,0,7))*INDEX('Methodology &amp; Sources'!$B$211:$J$214,0,7+2)),IF($AN40="VT",IF($AU40="Married",SUMPRODUCT(($AZ40&gt;INDEX('Methodology &amp; Sources'!$B$228:$J$232,0,1))*($AZ40-INDEX('Methodology &amp; Sources'!$B$228:$J$232,0,1))*INDEX('Methodology &amp; Sources'!$B$228:$J$232,0,1+2)),SUMPRODUCT(($AZ40&gt;INDEX('Methodology &amp; Sources'!$B$219:$J$223,0,7))*($AZ40-INDEX('Methodology &amp; Sources'!$B$219:$J$223,0,7))*INDEX('Methodology &amp; Sources'!$B$219:$J$223,0,7+2))),IF($AN40="WV",IF($AU40="Married",SUMPRODUCT(($AZ40&gt;INDEX('Methodology &amp; Sources'!$B$237:$J$241,0,7))*($AZ40-INDEX('Methodology &amp; Sources'!$B$237:$J$241,0,7))*INDEX('Methodology &amp; Sources'!$B$237:$J$241,0,7+2)),SUMPRODUCT(($AZ40&gt;INDEX('Methodology &amp; Sources'!$B$228:$J$232,0,7))*($AZ40-INDEX('Methodology &amp; Sources'!$B$228:$J$232,0,7))*INDEX('Methodology &amp; Sources'!$B$228:$J$232,0,7+2))),""))))))))))</f>
      </c>
      <c r="BY40" s="7">
        <f>IF($B40="","",IF($AN40="AR",SUMPRODUCT(($AZ40&gt;INDEX('Methodology &amp; Sources'!$B$82:$J$86,0,7))*($AZ40-INDEX('Methodology &amp; Sources'!$B$82:$J$86,0,7))*INDEX('Methodology &amp; Sources'!$B$82:$J$86,0,7+2)),IF($AN40="DE",SUMPRODUCT(($AZ40&gt;INDEX('Methodology &amp; Sources'!$B$91:$J$98,0,1))*($AZ40-INDEX('Methodology &amp; Sources'!$B$91:$J$98,0,1))*INDEX('Methodology &amp; Sources'!$B$91:$J$98,0,1+2)),IF($AN40="HI",IF($AU40="Married",SUMPRODUCT(($AZ40&gt;INDEX('Methodology &amp; Sources'!$B$91:$J$98,0,7))*($AZ40-INDEX('Methodology &amp; Sources'!$B$91:$J$98,0,7))*INDEX('Methodology &amp; Sources'!$B$91:$J$98,0,7+2)),SUMPRODUCT(($AZ40&gt;INDEX('Methodology &amp; Sources'!$B$91:$J$98,0,4))*($AZ40-INDEX('Methodology &amp; Sources'!$B$91:$J$98,0,4))*INDEX('Methodology &amp; Sources'!$B$91:$J$98,0,4+2))),IF($AN40="SC",SUMPRODUCT(($AZ40&gt;INDEX('Methodology &amp; Sources'!$B$219:$J$223,0,1))*($AZ40-INDEX('Methodology &amp; Sources'!$B$219:$J$223,0,1))*INDEX('Methodology &amp; Sources'!$B$219:$J$223,0,1+2)),IF($AN40="VA",SUMPRODUCT(($AZ40&gt;INDEX('Methodology &amp; Sources'!$B$219:$J$223,0,4))*($AZ40-INDEX('Methodology &amp; Sources'!$B$219:$J$223,0,4))*INDEX('Methodology &amp; Sources'!$B$219:$J$223,0,4+2)),IF($AN40="WI",SUMPRODUCT(($AZ40&gt;INDEX('Methodology &amp; Sources'!$B$228:$J$232,0,4))*($AZ40-INDEX('Methodology &amp; Sources'!$B$228:$J$232,0,4))*INDEX('Methodology &amp; Sources'!$B$228:$J$232,0,4+2)),"")))))))</f>
      </c>
      <c r="BZ40" s="24">
        <f>IF($B40="","",IF($AN40="NJ",IF('Inputs 2'!$C$77="B",SUMPRODUCT(($AZ40&gt;=INDEX('Methodology &amp; Sources'!$B$155:$J$162,0,4))*INDEX('Methodology &amp; Sources'!$B$155:$J$162,0,4+2)),IF('Inputs 2'!$C$77="C",SUMPRODUCT(($AZ40&gt;=INDEX('Methodology &amp; Sources'!$B$155:$J$162,0,7))*INDEX('Methodology &amp; Sources'!$B$155:$J$162,0,7+2)),IF('Inputs 2'!$C$77="D",SUMPRODUCT(($AZ40&gt;=INDEX('Methodology &amp; Sources'!$B$167:$J$179,0,1))*INDEX('Methodology &amp; Sources'!$B$167:$J$179,0,1+2)),IF('Inputs 2'!$C$77="E",SUMPRODUCT(($AZ40&gt;=INDEX('Methodology &amp; Sources'!$B$167:$J$179,0,4))*INDEX('Methodology &amp; Sources'!$B$167:$J$179,0,4+2)),SUMPRODUCT(($AZ40&gt;=INDEX('Methodology &amp; Sources'!$B$155:$J$162,0,1))*INDEX('Methodology &amp; Sources'!$B$155:$J$162,0,1+2)))))),IF($AN40="OR",IF(OR($AU40="Married",AND($AU40="Single",$AS40&gt;=3)),SUMPRODUCT((MAX(0,$AY40-MIN(($P40-'Methodology &amp; Sources'!$C$10*$D40)*'Inputs 2'!$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Sources'!$B$211:$J$214,0,4))*INDEX('Methodology &amp; Sources'!$B$211:$J$214,0,4+2)),SUMPRODUCT((MAX(0,$AY40-MIN(($P40-'Methodology &amp; Sources'!$C$10*$D40)*'Inputs 2'!$C$8,IF(OR($AU40="Married",AND($AU40="Single",$AS40&gt;=3)),IF($AY40&lt;250000,8750,IF($AY40&lt;260000,7000,IF($AY40&lt;270000,5250,IF($AY40&lt;280000,3500,IF($AY40&lt;290000,1750,0))))),IF($AY40&lt;125000,8750,IF($AY40&lt;130000,7000,IF($AY40&lt;135000,5250,IF($AY40&lt;140000,3500,IF($AY40&lt;145000,1750,0)))))))-IF(OR($AU40="Married",AND($AU40="Single",$AS40&gt;=3)),5820,2910))&gt;=INDEX('Methodology &amp; Sources'!$B$211:$J$214,0,1))*INDEX('Methodology &amp; Sources'!$B$211:$J$214,0,1+2)))*IF(($P40-'Methodology &amp; Sources'!$C$10*$D40)*'Inputs 2'!$C$8&gt;=IF(OR($AU40="Married",AND($AU40="Single",$AS40&gt;=3)),IF($AY40&lt;250000,8750,IF($AY40&lt;260000,7000,IF($AY40&lt;270000,5250,IF($AY40&lt;280000,3500,IF($AY40&lt;290000,1750,0))))),IF($AY40&lt;125000,8750,IF($AY40&lt;130000,7000,IF($AY40&lt;135000,5250,IF($AY40&lt;140000,3500,IF($AY40&lt;145000,1750,0)))))),1,1-IF('Inputs 2'!$C$13,SUMPRODUCT(($AH40&gt;=INDEX('Methodology &amp; Sources'!$B$29:$J$36,0,IF('Inputs 2'!$C$12="MFJ",1,IF('Inputs 2'!$C$12="HoH",7,4))))*INDEX('Methodology &amp; Sources'!$B$29:$J$36,0,IF('Inputs 2'!$C$12="MFJ",1,IF('Inputs 2'!$C$12="HoH",7,4))+2)),SUMPRODUCT(($AH40&gt;=INDEX('Methodology &amp; Sources'!$B$19:$J$26,0,IF('Inputs 2'!$C$12="MFJ",1,IF('Inputs 2'!$C$12="HoH",7,4))))*INDEX('Methodology &amp; Sources'!$B$19:$J$26,0,IF('Inputs 2'!$C$12="MFJ",1,IF('Inputs 2'!$C$12="HoH",7,4))+2)))),IF($AN40="MI",IF($AY40&gt;5900*$AS40,0.0425,0),""))))</f>
      </c>
      <c r="CA40" s="24">
        <f>IF($B40="","",IF($AN40="AL",IF(OR($AU40="Married",$AU40="Head of household"),SUMPRODUCT(($AZ40&gt;=INDEX('Methodology &amp; Sources'!$B$82:$J$86,0,4))*INDEX('Methodology &amp; Sources'!$B$82:$J$86,0,4+2)),SUMPRODUCT(($AZ40&gt;=INDEX('Methodology &amp; Sources'!$B$82:$J$86,0,1))*INDEX('Methodology &amp; Sources'!$B$82:$J$86,0,1+2)))*(1-IF('Inputs 2'!$C$13,SUMPRODUCT(($AH40&gt;=INDEX('Methodology &amp; Sources'!$B$29:$J$36,0,IF('Inputs 2'!$C$12="MFJ",1,IF('Inputs 2'!$C$12="HoH",7,4))))*INDEX('Methodology &amp; Sources'!$B$29:$J$36,0,IF('Inputs 2'!$C$12="MFJ",1,IF('Inputs 2'!$C$12="HoH",7,4))+2)),SUMPRODUCT(($AH40&gt;=INDEX('Methodology &amp; Sources'!$B$19:$J$26,0,IF('Inputs 2'!$C$12="MFJ",1,IF('Inputs 2'!$C$12="HoH",7,4))))*INDEX('Methodology &amp; Sources'!$B$19:$J$26,0,IF('Inputs 2'!$C$12="MFJ",1,IF('Inputs 2'!$C$12="HoH",7,4))+2)))),IF($AN40="KS",IF($AU40="Married",SUMPRODUCT(($AZ40&gt;=INDEX('Methodology &amp; Sources'!$B$103:$J$109,0,4))*INDEX('Methodology &amp; Sources'!$B$103:$J$109,0,4+2)),SUMPRODUCT(($AZ40&gt;=INDEX('Methodology &amp; Sources'!$B$103:$J$109,0,1))*INDEX('Methodology &amp; Sources'!$B$103:$J$109,0,1+2))),IF($AN40="MD",IF(OR($AU40="Married",$AU40="Head of household"),SUMPRODUCT(($AZ40&gt;=INDEX('Methodology &amp; Sources'!$B$114:$J$120,0,1))*INDEX('Methodology &amp; Sources'!$B$114:$J$120,0,1+2)),SUMPRODUCT(($AZ40&gt;=INDEX('Methodology &amp; Sources'!$B$103:$J$109,0,7))*INDEX('Methodology &amp; Sources'!$B$103:$J$109,0,7+2)))+'Inputs 2'!$C$74,IF($AN40="MT",IF($AU40="Head of household",SUMPRODUCT(($AZ40&gt;=INDEX('Methodology &amp; Sources'!$B$137:$J$139,0,1))*INDEX('Methodology &amp; Sources'!$B$137:$J$139,0,1+2)),IF($AU40="Married",SUMPRODUCT(($AZ40&gt;=INDEX('Methodology &amp; Sources'!$B$125:$J$132,0,7))*INDEX('Methodology &amp; Sources'!$B$125:$J$132,0,7+2)),SUMPRODUCT(($AZ40&gt;=INDEX('Methodology &amp; Sources'!$B$125:$J$132,0,4))*INDEX('Methodology &amp; Sources'!$B$125:$J$132,0,4+2)))),IF($AN40="ND",IF($AU40="Head of household",SUMPRODUCT(($AZ40&gt;=INDEX('Methodology &amp; Sources'!$B$144:$J$150,0,1))*INDEX('Methodology &amp; Sources'!$B$144:$J$150,0,1+2)),IF($AU40="Married",SUMPRODUCT(($AZ40&gt;=INDEX('Methodology &amp; Sources'!$B$137:$J$139,0,7))*INDEX('Methodology &amp; Sources'!$B$137:$J$139,0,7+2)),SUMPRODUCT(($AZ40&gt;=INDEX('Methodology &amp; Sources'!$B$137:$J$139,0,4))*INDEX('Methodology &amp; Sources'!$B$137:$J$139,0,4+2)))),IF($AN40="NY",IF($AU40="Married",IF($AZ40&gt;=2155350,IF($AZ40&gt;25000000,0.117,IF($AZ40&gt;5000000,0.111,0.1045)),SUMPRODUCT(($AZ40&gt;=INDEX('Methodology &amp; Sources'!$B$184:$J$198,0,1))*INDEX('Methodology &amp; Sources'!$B$184:$J$198,0,1+2))),IF($AZ40&gt;=1077550,IF($AZ40&gt;25000000,0.117,IF($AZ40&gt;5000000,0.111,0.1045)),SUMPRODUCT(($AZ40&gt;=INDEX('Methodology &amp; Sources'!$B$167:$J$179,0,7))*INDEX('Methodology &amp; Sources'!$B$167:$J$179,0,7+2)))),"")))))))</f>
      </c>
      <c r="CB40" s="24">
        <f>IF($B40="","",IF($AN40="CA",SUMPRODUCT(($AJ40&gt;=INDEX('Methodology &amp; Sources'!$B$39:$J$48,0,IF($AU40="Married",4,IF($AU40="Head of household",7,1))))*INDEX('Methodology &amp; Sources'!$B$39:$J$48,0,IF($AU40="Married",4,IF($AU40="Head of household",7,1))+2)),IF($AN40="HI",IF($AU40="Married",SUMPRODUCT(($AZ40&gt;=INDEX('Methodology &amp; Sources'!$B$91:$J$98,0,7))*INDEX('Methodology &amp; Sources'!$B$91:$J$98,0,7+2)),SUMPRODUCT(($AZ40&gt;=INDEX('Methodology &amp; Sources'!$B$91:$J$98,0,4))*INDEX('Methodology &amp; Sources'!$B$91:$J$98,0,4+2))),IF($AN40="MN",IF($AU40="Married",SUMPRODUCT(($AZ40&gt;=INDEX('Methodology &amp; Sources'!$B$114:$J$120,0,7))*INDEX('Methodology &amp; Sources'!$B$114:$J$120,0,7+2)),SUMPRODUCT(($AZ40&gt;=INDEX('Methodology &amp; Sources'!$B$114:$J$120,0,4))*INDEX('Methodology &amp; Sources'!$B$114:$J$120,0,4+2))),IF($AN40="MO",SUMPRODUCT(($AZ40&gt;=INDEX('Methodology &amp; Sources'!$B$125:$J$132,0,1))*INDEX('Methodology &amp; Sources'!$B$125:$J$132,0,1+2)),IF($AN40="NE",MAX(IF($AU40="Married",SUMPRODUCT(($AZ40&gt;=INDEX('Methodology &amp; Sources'!$B$144:$J$150,0,7))*INDEX('Methodology &amp; Sources'!$B$144:$J$150,0,7+2)),SUMPRODUCT(($AZ40&gt;=INDEX('Methodology &amp; Sources'!$B$144:$J$150,0,4))*INDEX('Methodology &amp; Sources'!$B$144:$J$150,0,4+2))),0.015),IF($AN40="OH",IF($B40&gt;=DATE(2027,8,1),SUMPRODUCT(($AZ40&gt;=INDEX('Methodology &amp; Sources'!$B$203:$J$206,0,1))*INDEX('Methodology &amp; Sources'!$B$203:$J$206,0,1+2)),SUMPRODUCT(($AZ40&gt;=INDEX('Methodology &amp; Sources'!$B$184:$J$198,0,7))*INDEX('Methodology &amp; Sources'!$B$184:$J$198,0,7+2))),IF($AN40="OK",IF($AU40="Married",SUMPRODUCT(($AZ40&gt;=INDEX('Methodology &amp; Sources'!$B$203:$J$206,0,7))*INDEX('Methodology &amp; Sources'!$B$203:$J$206,0,7+2)),SUMPRODUCT(($AZ40&gt;=INDEX('Methodology &amp; Sources'!$B$203:$J$206,0,4))*INDEX('Methodology &amp; Sources'!$B$203:$J$206,0,4+2))),IF($AN40="RI",SUMPRODUCT(($AZ40&gt;=INDEX('Methodology &amp; Sources'!$B$211:$J$214,0,7))*INDEX('Methodology &amp; Sources'!$B$211:$J$214,0,7+2)),IF($AN40="SC",SUMPRODUCT(($AZ40&gt;=INDEX('Methodology &amp; Sources'!$B$219:$J$223,0,1))*INDEX('Methodology &amp; Sources'!$B$219:$J$223,0,1+2)),IF($AN40="VT",IF($AU40="Married",SUMPRODUCT(($AZ40&gt;=INDEX('Methodology &amp; Sources'!$B$228:$J$232,0,1))*INDEX('Methodology &amp; Sources'!$B$228:$J$232,0,1+2)),SUMPRODUCT(($AZ40&gt;=INDEX('Methodology &amp; Sources'!$B$219:$J$223,0,7))*INDEX('Methodology &amp; Sources'!$B$219:$J$223,0,7+2))),IF($AN40="WV",IF($AU40="Married",SUMPRODUCT(($AZ40&gt;=INDEX('Methodology &amp; Sources'!$B$237:$J$241,0,7))*INDEX('Methodology &amp; Sources'!$B$237:$J$241,0,7+2)),SUMPRODUCT(($AZ40&gt;=INDEX('Methodology &amp; Sources'!$B$228:$J$232,0,7))*INDEX('Methodology &amp; Sources'!$B$228:$J$232,0,7+2))),IF($AN40="IN",(0.0295+'Inputs 2'!$C$76),"")))))))))))))</f>
      </c>
      <c r="CC40" s="24">
        <f>IF($B40="","",IF($AN40="AR",SUMPRODUCT(($AZ40&gt;=INDEX('Methodology &amp; Sources'!$B$82:$J$86,0,7))*INDEX('Methodology &amp; Sources'!$B$82:$J$86,0,7+2)),IF($AN40="DE",SUMPRODUCT(($AZ40&gt;=INDEX('Methodology &amp; Sources'!$B$91:$J$98,0,1))*INDEX('Methodology &amp; Sources'!$B$91:$J$98,0,1+2)),IF($AN40="VA",SUMPRODUCT(($AZ40&gt;=INDEX('Methodology &amp; Sources'!$B$219:$J$223,0,4))*INDEX('Methodology &amp; Sources'!$B$219:$J$223,0,4+2)),IF($AN40="WI",SUMPRODUCT(($AZ40&gt;=INDEX('Methodology &amp; Sources'!$B$228:$J$232,0,4))*INDEX('Methodology &amp; Sources'!$B$228:$J$232,0,4+2)),IF($AN40="AZ",'Inputs 2'!$C$82,IF($AN40="CO",IF($AY40&gt;IF($AU40="Married",10000,5000),0.044,0),IF($AN40="IA",IF($AY40&gt;IF($AU40="Head of household",19500,IF($AU40="Married",26000,13000)),0.038,0),IF($AN40="ID",IF($AY40&gt;IF($AU40="Married",32000,16094),0.053,0),IF($AN40="IL",IF($AY40&gt;(2925*$AS40+1000*$AT40),0.0495,0),IF($AN40="KY",IF($AI40&gt;3360,0.035,0),IF($AN40="LA",0.0309,IF($AN40="MA",IF(MAX(0,$AY40-MIN(($BD39+$Q40+$R40+$S40),2000)-IF($AS40=0,0,IF($AS40=1,4400,1000*$AS40+3400)))&gt;=1107750,0.09,0.05),IF($AN40="MS",IF($AI40-IF($AU40="Head of household",3400,IF($AU40="Married",4600,2300))-'Inputs 2'!$C$85&gt;10000,0.04,0),IF($AN40="PA",0.0307,"")))))))))))))))</f>
      </c>
      <c r="CD40" s="21">
        <f>IF(YEAR(IF('Inputs 2'!$C$7="Weekly",'Inputs 2'!$C$9+7*(($BE39+1)-1),IF('Inputs 2'!$C$7="Biweekly",'Inputs 2'!$C$9+14*(($BE39+1)-1),IF('Inputs 2'!$C$7="Semimonthly",DATE(YEAR('Inputs 2'!$C$9),MONTH('Inputs 2'!$C$9)+INT((($BE39+1)-1)/2),MIN(DAY('Inputs 2'!$C$9),DAY(EOMONTH(DATE(YEAR('Inputs 2'!$C$9),MONTH('Inputs 2'!$C$9)+INT((($BE39+1)-1)/2),1),0))))+IF(MOD(($BE39+1)-1,2)=1,15,0),EDATE('Inputs 2'!$C$9,($BE39+1)-1)))))&lt;&gt;'Inputs 2'!$C$10,"",IF('Inputs 2'!$C$7="Weekly",'Inputs 2'!$C$9+7*(($BE39+1)-1),IF('Inputs 2'!$C$7="Biweekly",'Inputs 2'!$C$9+14*(($BE39+1)-1),IF('Inputs 2'!$C$7="Semimonthly",DATE(YEAR('Inputs 2'!$C$9),MONTH('Inputs 2'!$C$9)+INT((($BE39+1)-1)/2),MIN(DAY('Inputs 2'!$C$9),DAY(EOMONTH(DATE(YEAR('Inputs 2'!$C$9),MONTH('Inputs 2'!$C$9)+INT((($BE39+1)-1)/2),1),0))))+IF(MOD(($BE39+1)-1,2)=1,15,0),EDATE('Inputs 2'!$C$9,($BE39+1)-1)))))</f>
      </c>
      <c r="CE40" s="21">
        <f>IF(SUMPRODUCT(MIN(IF(('Inputs 2'!$C$58:$C$67&gt;MAX($B$6:$B39))*('Inputs 2'!$C$58:$C$67&gt;=DATE('Inputs 2'!$C$10,1,1))*('Inputs 2'!$C$58:$C$67&lt;=DATE('Inputs 2'!$C$10,12,31)),'Inputs 2'!$C$58:$C$67,999999)))=999999,"",SUMPRODUCT(MIN(IF(('Inputs 2'!$C$58:$C$67&gt;MAX($B$6:$B39))*('Inputs 2'!$C$58:$C$67&gt;=DATE('Inputs 2'!$C$10,1,1))*('Inputs 2'!$C$58:$C$67&lt;=DATE('Inputs 2'!$C$10,12,31)),'Inputs 2'!$C$58:$C$67,999999))))</f>
      </c>
    </row>
    <row r="41">
      <c r="A41" t="n">
        <v>36</v>
      </c>
      <c r="B41" s="21">
        <f>IF(AND($CD41="",$CE41=""),"",IF($CE41="",$CD41,IF($CD41="",$CE41,MIN($CD41,$CE41))))</f>
      </c>
      <c r="C41" s="7">
        <f>IF($B41="","",IF($BF41=0,0,IF('Inputs 2'!$C$4="Annual salary",ROUND($AK41/IF(AND('Inputs 2'!$C$88="Actual paydays",MONTH('Inputs 2'!$C$9)=1),MAX(1,MAX($BE$6:$BE$68)),'Inputs 2'!$C$8),2),$AK41)))</f>
      </c>
      <c r="D41" s="7">
        <f>IF($B41="","",SUMIF('Inputs 2'!$C$58:$C$67,$B41,'Inputs 2'!$D$58:$D$67))</f>
      </c>
      <c r="E41" s="7">
        <f>IF($B41="","",ROUND(MAX(0,MIN(IF($AL41="Percent",$AM41*($C41+$D41),$AM41),MAX(0,'Inputs 2'!$C$34-$AC40))),2))</f>
      </c>
      <c r="F41" s="7">
        <f>IF($B41="","",ROUND(MAX(0,MIN(IF('Inputs 2'!$C$32="Percent",'Inputs 2'!$D$32*($C41+$D41),'Inputs 2'!$D$32),MAX(0,'Inputs 2'!$C$34-$AC40-$E41))),2))</f>
      </c>
      <c r="G41" s="7">
        <f>IF($B41="","",IF($BF41=0,0,ROUND(MAX(0,MIN($BL41,'Inputs 2'!$C$37-'Inputs 2'!$C$54-$BI40)),2)))</f>
      </c>
      <c r="H41" s="7">
        <f>IF($B41="","",IF(OR($BF41=0,$BQ41=1),0,ROUND(MAX(0,MIN(IF($BS41=1,ROUND(MAX(0,MIN($BJ41,'Methodology &amp; Sources'!$C$13)-$BG40)/MAX(1,MAX($BE$6:$BE$68)-($BE40)),2),ROUND(MIN($BJ41,'Methodology &amp; Sources'!$C$13)/'Inputs 2'!$C$8,2)),MIN($BJ41,'Methodology &amp; Sources'!$C$13)-$BG40)),2)))</f>
      </c>
      <c r="I41" s="7">
        <f>IF($B41="","",IF(OR($BF41=0,$BR41=1),0,ROUND(MAX(0,MIN(IF($BT41=1,ROUND(MAX(0,MIN($BK41,IF('Inputs 2'!$C$12="MFJ",'Methodology &amp; Sources'!$C$14,'Methodology &amp; Sources'!$C$15))-$BH40)/MAX(1,MAX($BE$6:$BE$68)-($BE40)),2),ROUND(MIN($BK41,IF('Inputs 2'!$C$12="MFJ",'Methodology &amp; Sources'!$C$14,'Methodology &amp; Sources'!$C$15))/'Inputs 2'!$C$8,2)),MIN($BK41,IF('Inputs 2'!$C$12="MFJ",'Methodology &amp; Sources'!$C$14,'Methodology &amp; Sources'!$C$15))-$BH40)),2)))</f>
      </c>
      <c r="J41" s="7">
        <f>IF($B41="","",IF($BF41=0,0,$BM41))</f>
      </c>
      <c r="K41" s="7">
        <f>IF($B41="","",IF($BF41=0,0,$BN41+$BO41))</f>
      </c>
      <c r="L41" s="7">
        <f>IF($B41="","",IF($BF41=0,0,'Inputs 2'!$D$46))</f>
      </c>
      <c r="M41" s="7">
        <f>IF($B41="","",$C41+$D41+$L41-$E41-$G41-$H41-$I41-$J41-$K41)</f>
      </c>
      <c r="N41" s="7">
        <f>IF($B41="","",$C41+$D41+$L41-$G41-$H41-$I41-$J41-$K41)</f>
      </c>
      <c r="O41" s="7">
        <f>IF($B41="","",$C41+$D41+$L41-$E41-$H41-$I41-$J41-$K41-IF(OR($AN41="CA",$AN41="NJ"),0,$G41))</f>
      </c>
      <c r="P41" s="7">
        <f>IF($B41="","",IF('Inputs 2'!$C$18,0,ROUND(MAX(0,IF('Inputs 2'!$C$13,SUMPRODUCT(($AH41&gt;INDEX('Methodology &amp; Sources'!$B$29:$J$36,0,IF('Inputs 2'!$C$12="MFJ",1,IF('Inputs 2'!$C$12="HoH",7,4))))*($AH41-INDEX('Methodology &amp; Sources'!$B$29:$J$36,0,IF('Inputs 2'!$C$12="MFJ",1,IF('Inputs 2'!$C$12="HoH",7,4))))*INDEX('Methodology &amp; Sources'!$B$29:$J$36,0,IF('Inputs 2'!$C$12="MFJ",1,IF('Inputs 2'!$C$12="HoH",7,4))+2)),SUMPRODUCT(($AH41&gt;INDEX('Methodology &amp; Sources'!$B$19:$J$26,0,IF('Inputs 2'!$C$12="MFJ",1,IF('Inputs 2'!$C$12="HoH",7,4))))*($AH41-INDEX('Methodology &amp; Sources'!$B$19:$J$26,0,IF('Inputs 2'!$C$12="MFJ",1,IF('Inputs 2'!$C$12="HoH",7,4))))*INDEX('Methodology &amp; Sources'!$B$19:$J$26,0,IF('Inputs 2'!$C$12="MFJ",1,IF('Inputs 2'!$C$12="HoH",7,4))+2)))/'Inputs 2'!$C$8-$AO41/'Inputs 2'!$C$8)+$AR41+IF('Inputs 2'!$C$89="Aggregate",MAX(0,IF('Inputs 2'!$C$13,SUMPRODUCT((($AH41+$D41)&gt;INDEX('Methodology &amp; Sources'!$B$29:$J$36,0,IF('Inputs 2'!$C$12="MFJ",1,IF('Inputs 2'!$C$12="HoH",7,4))))*(($AH41+$D41)-INDEX('Methodology &amp; Sources'!$B$29:$J$36,0,IF('Inputs 2'!$C$12="MFJ",1,IF('Inputs 2'!$C$12="HoH",7,4))))*INDEX('Methodology &amp; Sources'!$B$29:$J$36,0,IF('Inputs 2'!$C$12="MFJ",1,IF('Inputs 2'!$C$12="HoH",7,4))+2)),SUMPRODUCT((($AH41+$D41)&gt;INDEX('Methodology &amp; Sources'!$B$19:$J$26,0,IF('Inputs 2'!$C$12="MFJ",1,IF('Inputs 2'!$C$12="HoH",7,4))))*(($AH41+$D41)-INDEX('Methodology &amp; Sources'!$B$19:$J$26,0,IF('Inputs 2'!$C$12="MFJ",1,IF('Inputs 2'!$C$12="HoH",7,4))))*INDEX('Methodology &amp; Sources'!$B$19:$J$26,0,IF('Inputs 2'!$C$12="MFJ",1,IF('Inputs 2'!$C$12="HoH",7,4))+2)))-IF('Inputs 2'!$C$13,SUMPRODUCT(($AH41&gt;INDEX('Methodology &amp; Sources'!$B$29:$J$36,0,IF('Inputs 2'!$C$12="MFJ",1,IF('Inputs 2'!$C$12="HoH",7,4))))*($AH41-INDEX('Methodology &amp; Sources'!$B$29:$J$36,0,IF('Inputs 2'!$C$12="MFJ",1,IF('Inputs 2'!$C$12="HoH",7,4))))*INDEX('Methodology &amp; Sources'!$B$29:$J$36,0,IF('Inputs 2'!$C$12="MFJ",1,IF('Inputs 2'!$C$12="HoH",7,4))+2)),SUMPRODUCT(($AH41&gt;INDEX('Methodology &amp; Sources'!$B$19:$J$26,0,IF('Inputs 2'!$C$12="MFJ",1,IF('Inputs 2'!$C$12="HoH",7,4))))*($AH41-INDEX('Methodology &amp; Sources'!$B$19:$J$26,0,IF('Inputs 2'!$C$12="MFJ",1,IF('Inputs 2'!$C$12="HoH",7,4))))*INDEX('Methodology &amp; Sources'!$B$19:$J$26,0,IF('Inputs 2'!$C$12="MFJ",1,IF('Inputs 2'!$C$12="HoH",7,4))+2)))),'Methodology &amp; Sources'!$C$10*$D41),2)))</f>
      </c>
      <c r="Q41" s="7">
        <f>IF($B41="","",ROUND('Methodology &amp; Sources'!$C$4*MIN($N41,MAX(0,'Methodology &amp; Sources'!$C$3-($AX41+$AB40-$AW41))),2))</f>
      </c>
      <c r="R41" s="7">
        <f>IF($B41="","",ROUND('Methodology &amp; Sources'!$C$5*$N41,2))</f>
      </c>
      <c r="S41" s="7">
        <f>IF($B41="","",ROUND('Methodology &amp; Sources'!$C$6*MAX(0,MIN($N41,$AG40+$N41-'Methodology &amp; Sources'!$C$7)),2))</f>
      </c>
      <c r="T41" s="7">
        <f>IF($B41="","",IF('Inputs 2'!$C$26,0,IF($AN41="CA",ROUND(IF($AI41&lt;=IF(($AS41+$AT41)&gt;=2,VLOOKUP($AN41,StateTables!$A$6:$AB$56,10,FALSE),VLOOKUP($AN41,StateTables!$A$6:$AB$56,9,FALSE)),0,MAX(0,SUMPRODUCT(($AJ41&gt;INDEX('Methodology &amp; Sources'!$B$39:$J$48,0,IF($AU41="Married",4,IF($AU41="Head of household",7,1))))*($AJ41-INDEX('Methodology &amp; Sources'!$B$39:$J$48,0,IF($AU41="Married",4,IF($AU41="Head of household",7,1))))*INDEX('Methodology &amp; Sources'!$B$39:$J$48,0,IF($AU41="Married",4,IF($AU41="Head of household",7,1))+2))-VLOOKUP($AN41,StateTables!$A$6:$AB$56,11,FALSE)*$AS41)/'Inputs 2'!$C$8)+'Inputs 2'!$C$25+VLOOKUP($AN41,StateTables!$A$6:$AB$56,13,FALSE)*$D41,2),IF(VLOOKUP($AN41,StateTables!$A$6:$AB$56,4,FALSE)="None",0,IF(ISNUMBER(SEARCH("MANUAL",VLOOKUP($AN41,StateTables!$A$6:$AB$56,5,FALSE))),'Inputs 2'!$C$28,ROUND(MAX(0,$BA41+$BB41)/'Inputs 2'!$C$8+'Inputs 2'!$C$25+$BC41,2))))))</f>
      </c>
      <c r="U41" s="7">
        <f>IF($B41="","",IF(VLOOKUP($AN41,StateTables!$A$6:$AB$56,24,FALSE)="flatq",IF(OR(MONTH($B41)=1,MONTH($B41)=4,MONTH($B41)=7,MONTH($B41)=10),VLOOKUP($AN41,StateTables!$A$6:$AB$56,25,FALSE),0),IF(VLOOKUP($AN41,StateTables!$A$6:$AB$56,24,FALSE)="dbl",MIN(ROUND(0.005*$N41,2),ROUND(0.6*52/'Inputs 2'!$C$8,2)),IF(OR(VLOOKUP($AN41,StateTables!$A$6:$AB$56,15,FALSE)="",VLOOKUP($AN41,StateTables!$A$6:$AB$56,15,FALSE)=0),0,ROUND(VLOOKUP($AN41,StateTables!$A$6:$AB$56,15,FALSE)*IF(OR(VLOOKUP($AN41,StateTables!$A$6:$AB$56,16,FALSE)="",VLOOKUP($AN41,StateTables!$A$6:$AB$56,16,FALSE)=0),$N41,MIN($N41,MAX(0,VLOOKUP($AN41,StateTables!$A$6:$AB$56,16,FALSE)-($AX41+$AB40-$AW41)))),2))))+IF(VLOOKUP($AN41,StateTables!$A$6:$AB$56,27,FALSE)="flatq",IF(OR(MONTH($B41)=1,MONTH($B41)=4,MONTH($B41)=7,MONTH($B41)=10),VLOOKUP($AN41,StateTables!$A$6:$AB$56,28,FALSE),0),IF(VLOOKUP($AN41,StateTables!$A$6:$AB$56,27,FALSE)="dbl",MIN(ROUND(0.005*$N41,2),ROUND(0.6*52/'Inputs 2'!$C$8,2)),IF(OR(VLOOKUP($AN41,StateTables!$A$6:$AB$56,18,FALSE)="",VLOOKUP($AN41,StateTables!$A$6:$AB$56,18,FALSE)=0),0,ROUND(VLOOKUP($AN41,StateTables!$A$6:$AB$56,18,FALSE)*IF(OR(VLOOKUP($AN41,StateTables!$A$6:$AB$56,19,FALSE)="",VLOOKUP($AN41,StateTables!$A$6:$AB$56,19,FALSE)=0),$N41,MIN($N41,MAX(0,VLOOKUP($AN41,StateTables!$A$6:$AB$56,19,FALSE)-($AX41+$AB40-$AW41)))),2)))))</f>
      </c>
      <c r="V41" s="7">
        <f>IF($B41="","",IF($AN41="NY",IF('Inputs 2'!$C$78,ROUND(SUMPRODUCT((MAX(0,($O41-$D41)*'Inputs 2'!$C$8-(IF($AU41="Married",5500,5000)+1000*$AS41))&gt;INDEX('Methodology &amp; Sources'!$B$184:$J$198,0,4))*(MAX(0,($O41-$D41)*'Inputs 2'!$C$8-(IF($AU41="Married",5500,5000)+1000*$AS41))-INDEX('Methodology &amp; Sources'!$B$184:$J$198,0,4))*INDEX('Methodology &amp; Sources'!$B$184:$J$198,0,4+2))/'Inputs 2'!$C$8+0.0425*$D41,2),0)+IF('Inputs 2'!$C$79="Resident",ROUND(0.1675*$T41,2),IF('Inputs 2'!$C$79="Nonresident",ROUND(0.005*MAX(0,($O41-$D41)-(IF($AU41="Married",7950,7400)+1000*$AS41)/'Inputs 2'!$C$8),2),0)),IF($AN41="PA",IF('Inputs 2'!$C$80="None",'Inputs 2'!$C$27+ROUND('Inputs 2'!$C$81*($C41+$D41),2),ROUND(IF('Inputs 2'!$C$80="Resident",IF($B41&lt;DATE(2027,7,1),0.03735,0.03735),IF($B41&lt;DATE(2027,7,1),0.03425,0.03425))*($C41+$D41),2)),IF($BF41=0,ROUND('Inputs 2'!$C$81*($C41+$D41),2),'Inputs 2'!$C$27+ROUND('Inputs 2'!$C$81*($C41+$D41),2)))))</f>
      </c>
      <c r="W41" s="7">
        <f>IF($B41="","",IF($BF41=0,0,$BP41))</f>
      </c>
      <c r="X41" s="7">
        <f>IF($B41="","",SUM($E41:$K41)+$P41+$Q41+$R41+$S41+$T41+$U41+$V41+$W41)</f>
      </c>
      <c r="Y41" s="22">
        <f>IF($B41="","",$C41+$D41-$X41)</f>
      </c>
      <c r="Z41" s="7">
        <f>IF($B41="","",$Z40+$C41+$D41)</f>
      </c>
      <c r="AA41" s="7">
        <f>IF($B41="","",$AA40+$Y41)</f>
      </c>
      <c r="AB41" s="7">
        <f>IF($B41="","",$AB40+MIN($N41,MAX(0,'Methodology &amp; Sources'!$C$3-($AX41+$AB40-$AW41))))</f>
      </c>
      <c r="AC41" s="7">
        <f>IF($B41="","",$AC40+$E41+$F41)</f>
      </c>
      <c r="AD41" s="3">
        <f>IF($B41="","",IF(AND($AB40&lt;'Methodology &amp; Sources'!$C$3,$AB41&gt;='Methodology &amp; Sources'!$C$3),"★ Social Security maxed on this check — from the next check your net rises by about $"&amp;TEXT(ROUND('Methodology &amp; Sources'!$C$4*$N41,2),"#,##0.00")&amp;". ","")&amp;IF(AND($AC40&lt;'Inputs 2'!$C$34,$AC41&gt;='Inputs 2'!$C$34),"★ 401(k) reaches the $"&amp;TEXT('Inputs 2'!$C$34,"#,##0")&amp;" cap on this check — deferrals stop and net pay rises. ","")&amp;IF(AND($AG40&lt;'Methodology &amp; Sources'!$C$7,$AG41&gt;='Methodology &amp; Sources'!$C$7),"★ Wages pass $200,000 — the 0.9% Additional Medicare Tax starts here. ","")&amp;IF(AND($BJ41&gt;0,$H41&gt;0,$BG40&lt;MIN($BJ41,'Methodology &amp; Sources'!$C$13),$BG40+$H41&gt;=MIN($BJ41,'Methodology &amp; Sources'!$C$13)),"★ Health FSA election is now fully deferred for the year. ",""))</f>
      </c>
      <c r="AE41" s="41" t="n"/>
      <c r="AF41" s="7">
        <f>IF(OR($B41="",$AE41=""),"",$AE41-$Y41)</f>
      </c>
      <c r="AG41" s="7">
        <f>IF($B41="","",$AG40+$N41)</f>
      </c>
      <c r="AH41" s="7">
        <f>IF($B41="","",MAX(0,($M41-$D41)*'Inputs 2'!$C$8+$AP41-$AQ41-IF('Inputs 2'!$C$13,0,IF('Inputs 2'!$C$12="MFJ",'Methodology &amp; Sources'!$C$8,'Methodology &amp; Sources'!$C$9))))</f>
      </c>
      <c r="AI41" s="7">
        <f>IF($B41="","",$O41*'Inputs 2'!$C$8)</f>
      </c>
      <c r="AJ41" s="7">
        <f>IF($B41="","",MAX(0,$AI41-VLOOKUP($AN41,StateTables!$A$6:$AB$56,12,FALSE)*$AT41-IF(($AS41+$AT41)&gt;=2,VLOOKUP($AN41,StateTables!$A$6:$AB$56,8,FALSE),VLOOKUP($AN41,StateTables!$A$6:$AB$56,7,FALSE))))</f>
      </c>
      <c r="AK41" s="7">
        <f>IF($B41="","",IFERROR(LOOKUP(2,1/(('Events 2'!$C$6:$C$17="Salary change")*('Events 2'!$B$6:$B$17&lt;=$B41)*('Events 2'!$B$6:$B$17&lt;&gt;"")),'Events 2'!$D$6:$D$17),IF('Inputs 2'!$C$4="Annual salary",'Inputs 2'!$C$5,'Inputs 2'!$C$6)))</f>
      </c>
      <c r="AL41">
        <f>IF($B41="","",IFERROR(LOOKUP(2,1/(('Events 2'!$C$6:$C$17="401(k) change")*('Events 2'!$B$6:$B$17&lt;=$B41)*('Events 2'!$B$6:$B$17&lt;&gt;"")),'Events 2'!$D$6:$D$17),'Inputs 2'!$C$30))</f>
      </c>
      <c r="AM41" s="7">
        <f>IF($B41="","",IFERROR(LOOKUP(2,1/(('Events 2'!$C$6:$C$17="401(k) change")*('Events 2'!$B$6:$B$17&lt;=$B41)*('Events 2'!$B$6:$B$17&lt;&gt;"")),'Events 2'!$E$6:$E$17),'Inputs 2'!$D$30))</f>
      </c>
      <c r="AN41">
        <f>IF($B41="","",IFERROR(LOOKUP(2,1/(('Events 2'!$C$6:$C$17="State move")*('Events 2'!$B$6:$B$17&lt;=$B41)*('Events 2'!$B$6:$B$17&lt;&gt;"")),'Events 2'!$D$6:$D$17),'Inputs 2'!$C$21))</f>
      </c>
      <c r="AO41" s="7">
        <f>IF($B41="","",IFERROR(LOOKUP(2,1/(('Events 2'!$C$6:$C$17="W-4 change")*('Events 2'!$B$6:$B$17&lt;=$B41)*('Events 2'!$B$6:$B$17&lt;&gt;"")),'Events 2'!$D$6:$D$17),'Inputs 2'!$C$14))</f>
      </c>
      <c r="AP41" s="7">
        <f>IF($B41="","",IFERROR(LOOKUP(2,1/(('Events 2'!$C$6:$C$17="W-4 change")*('Events 2'!$B$6:$B$17&lt;=$B41)*('Events 2'!$B$6:$B$17&lt;&gt;"")),'Events 2'!$E$6:$E$17),'Inputs 2'!$C$15))</f>
      </c>
      <c r="AQ41" s="7">
        <f>IF($B41="","",IFERROR(LOOKUP(2,1/(('Events 2'!$C$6:$C$17="W-4 change")*('Events 2'!$B$6:$B$17&lt;=$B41)*('Events 2'!$B$6:$B$17&lt;&gt;"")),'Events 2'!$F$6:$F$17),'Inputs 2'!$C$16))</f>
      </c>
      <c r="AR41" s="7">
        <f>IF($B41="","",IFERROR(LOOKUP(2,1/(('Events 2'!$C$6:$C$17="W-4 change")*('Events 2'!$B$6:$B$17&lt;=$B41)*('Events 2'!$B$6:$B$17&lt;&gt;"")),'Events 2'!$G$6:$G$17),'Inputs 2'!$C$17))</f>
      </c>
      <c r="AS41" s="6">
        <f>IF($B41="","",IFERROR(LOOKUP(2,1/((('Events 2'!$C$6:$C$17="State move")+('Events 2'!$C$6:$C$17="State cert change"))*('Events 2'!$B$6:$B$17&lt;=$B41)*('Events 2'!$B$6:$B$17&lt;&gt;"")),'Events 2'!$F$6:$F$17),'Inputs 2'!$C$23))</f>
      </c>
      <c r="AT41" s="6">
        <f>IF($B41="","",IFERROR(LOOKUP(2,1/((('Events 2'!$C$6:$C$17="State move")+('Events 2'!$C$6:$C$17="State cert change"))*('Events 2'!$B$6:$B$17&lt;=$B41)*('Events 2'!$B$6:$B$17&lt;&gt;"")),'Events 2'!$G$6:$G$17),'Inputs 2'!$C$24))</f>
      </c>
      <c r="AU41">
        <f>IF($B41="","",IFERROR(LOOKUP(2,1/(('Events 2'!$C$6:$C$17="State move")*('Events 2'!$B$6:$B$17&lt;=$B41)*('Events 2'!$B$6:$B$17&lt;&gt;"")),'Events 2'!$E$6:$E$17),'Inputs 2'!$C$22))</f>
      </c>
      <c r="AV41" s="6">
        <f>IF($B41="","",1+COUNTIFS('Events 2'!$C$6:$C$17,"Employer change",'Events 2'!$B$6:$B$17,"&lt;="&amp;$B41,'Events 2'!$B$6:$B$17,"&lt;&gt;"))</f>
      </c>
      <c r="AW41" s="7">
        <f>IF($B41="","",IF($AV41=1,'Inputs 2'!$C$49,IF(IFERROR(MATCH(IFERROR(LOOKUP(2,1/(('Events 2'!$C$6:$C$17="Employer change")*('Events 2'!$B$6:$B$17&lt;=$B41)*('Events 2'!$B$6:$B$17&lt;&gt;"")),'Events 2'!$B$6:$B$17),""),$B$6:$B$68,1),1)&lt;=1,'Inputs 2'!$C$49,INDEX($AB$6:$AB$68,MATCH(IFERROR(LOOKUP(2,1/(('Events 2'!$C$6:$C$17="Employer change")*('Events 2'!$B$6:$B$17&lt;=$B41)*('Events 2'!$B$6:$B$17&lt;&gt;"")),'Events 2'!$B$6:$B$17),""),$B$6:$B$68,1)-1))))</f>
      </c>
      <c r="AX41" s="7">
        <f>IF($B41="","",IF($AV41=1,'Inputs 2'!$C$49,IFERROR(LOOKUP(2,1/(('Events 2'!$C$6:$C$17="Employer change")*('Events 2'!$B$6:$B$17&lt;=$B41)*('Events 2'!$B$6:$B$17&lt;&gt;"")),'Events 2'!$D$6:$D$17),0)))</f>
      </c>
      <c r="AY41" s="7">
        <f>IF($B41="","",($O41-$D41)*'Inputs 2'!$C$8)</f>
      </c>
      <c r="AZ41" s="7">
        <f>IF($B41="","",IF($AN41="AL",MAX(0,$AY41-IF($AU41="Married",IF($AY41&lt;=25999,8500,MAX(5000,8500-175*CEILING(($AY41-25999)/500,1))),IF($AU41="Head of household",IF($AY41&lt;=25999,5200,MAX(2500,5200-135*CEILING(($AY41-25999)/500,1))),IF($AY41&lt;=25999,3000,MAX(2500,3000-25*CEILING(($AY41-25999)/500,1)))))-($P41-'Methodology &amp; Sources'!$C$10*$D41)*'Inputs 2'!$C$8-IF(OR($AU41="Married",$AU41="Head of household"),3000,1500)-$AT41*IF($AY41&lt;=50000,1000,IF($AY41&lt;=100000,500,300))),IF($AN41="AR",IF(MAX(0,$AY41-2470)&lt;97701,INT(MAX(0,$AY41-2470)/100)*100+50,MAX(0,$AY41-2470)),IF($AN41="DE",MAX(0,$AI41-3250),IF($AN41="HI",MAX(0,$AI41-1144*$AS41-4350),IF($AN41="KS",MAX(0,$AI41-(9160*IF($AU41="Married",2,1)+2320*$AT41+IF($AU41="Head of household",2320,0))),IF($AN41="MD",MAX(0,$AI41-3400-3200*$AS41),IF($AN41="MN",MAX(0,$AY41-5300*$AS41),IF($AN41="MO",MAX(0,$AI41-IF($AU41="Head of household",24150,IF($AU41="Married",IF('Inputs 2'!$C$83,16100,32200),16100))),IF($AN41="MT",$AY41,IF($AN41="ND",($C41+$L41)*'Inputs 2'!$C$8,IF($AN41="NE",MAX(0,$AY41-2440*$AS41),IF($AN41="NJ",MAX(0,$AY41-1000*$AS41),IF($AN41="NY",MAX(0,$AY41-(IF($AU41="Married",7950,7400)+1000*$AS41)),IF($AN41="OH",MAX(0,$AY41-650*$AS41),IF($AN41="OK",MAX(0,$AY41-1000*$AS41),IF($AN41="RI",MAX(0,$AI41-1000*$AS41),IF($AN41="SC",MAX(0,$AI41-5000*$AS41-IF($AS41=0,0,MIN(0.1*$AI41,7500))),IF($AN41="VA",MAX(0,$AI41-IF($AU41="Married",17500,8750)-930*$AS41-800*$AT41),IF($AN41="VT",MAX(0,$AI41-5400*$AS41),IF($AN41="WI",MAX(0,$AI41-MAX(0,IF($AU41="Married",9461-0.2*MAX(0,$AI41-25727),6702-0.12*MAX(0,$AI41-17780)))-400*$AS41),IF($AN41="WV",MAX(0,$AI41-2000*$AS41),$AI41))))))))))))))))))))))</f>
      </c>
      <c r="BA41" s="7">
        <f>IF($B41="","",IF($BW41&lt;&gt;"",$BW41,IF($BX41&lt;&gt;"",$BX41,IF($BY41&lt;&gt;"",$BY41,0))))</f>
      </c>
      <c r="BB41" s="7">
        <f>IF($B41="","",IF($AN41="AR",-29*$AS41,IF($AN41="DE",-110*$AS41,IF($AN41="MD",$AZ41*'Inputs 2'!$C$74,IF($AN41="AZ",'Inputs 2'!$C$82*($M41-$D41)*'Inputs 2'!$C$8,IF($AN41="CO",0.044*MAX(0,$AY41-IF($AU41="Married",10000,5000)),IF($AN41="IA",MAX(0,0.038*MAX(0,$AY41-IF($AU41="Head of household",19500,IF($AU41="Married",26000,13000)))-40*$AS41),IF($AN41="ID",0.053*MAX(0,$AY41-IF($AU41="Married",32000,16094)),IF($AN41="IL",0.0495*MAX(0,$AY41-(2925*$AS41+1000*$AT41)),IF($AN41="IN",(0.0295+'Inputs 2'!$C$76)*MAX(0,$AY41-(1000*$AS41+1500*$AT41+3000*'Inputs 2'!$C$86)),IF($AN41="KY",0.035*MAX(0,$AI41-3360),IF($AN41="LA",IF('Inputs 2'!$C$84="0",0.0309*$AI41,0.0309*MAX(0,$AI41-IF('Inputs 2'!$C$84="2",25750,12875))),IF($AN41="MA",0.05*MIN(MAX(0,$AY41-MIN(($BD40+$Q41+$R41+$S41),2000)-IF($AS41=0,0,IF($AS41=1,4400,1000*$AS41+3400))),1107750)+0.09*MAX(0,MAX(0,$AY41-MIN(($BD40+$Q41+$R41+$S41),2000)-IF($AS41=0,0,IF($AS41=1,4400,1000*$AS41+3400)))-1107750)-IF($AU41="Head of household",120,0)-110*'Inputs 2'!$C$75,IF($AN41="MI",0.0425*MAX(0,$AY41-5900*$AS41),IF($AN41="MS",0.04*MAX(0,$AI41-IF($AU41="Head of household",3400,IF($AU41="Married",4600,2300))-'Inputs 2'!$C$85-10000),IF($AN41="OR",IF(OR($AU41="Married",AND($AU41="Single",$AS41&gt;=3)),SUMPRODUCT((MAX(0,$AY41-MIN(($P41-'Methodology &amp; Sources'!$C$10*$D41)*'Inputs 2'!$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Sources'!$B$211:$J$214,0,4))*(MAX(0,$AY41-MIN(($P41-'Methodology &amp; Sources'!$C$10*$D41)*'Inputs 2'!$C$8,IF(OR($AU41="Married",AND($AU41="Single",$AS41&gt;=3)),IF($AY41&lt;250000,8750,IF($AY41&lt;260000,7000,IF($AY41&lt;270000,5250,IF($AY41&lt;280000,3500,IF($AY41&lt;290000,1750,0))))),IF($AY41&lt;125000,8750,IF($AY41&lt;130000,7000,IF($AY41&lt;135000,5250,IF($AY41&lt;140000,3500,IF($AY41&lt;145000,1750,0)))))))-IF(OR($AU41="Married",AND($AU41="Single",$AS41&gt;=3)),5820,2910))-INDEX('Methodology &amp; Sources'!$B$211:$J$214,0,4))*INDEX('Methodology &amp; Sources'!$B$211:$J$214,0,4+2)),SUMPRODUCT((MAX(0,$AY41-MIN(($P41-'Methodology &amp; Sources'!$C$10*$D41)*'Inputs 2'!$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Sources'!$B$211:$J$214,0,1))*(MAX(0,$AY41-MIN(($P41-'Methodology &amp; Sources'!$C$10*$D41)*'Inputs 2'!$C$8,IF(OR($AU41="Married",AND($AU41="Single",$AS41&gt;=3)),IF($AY41&lt;250000,8750,IF($AY41&lt;260000,7000,IF($AY41&lt;270000,5250,IF($AY41&lt;280000,3500,IF($AY41&lt;290000,1750,0))))),IF($AY41&lt;125000,8750,IF($AY41&lt;130000,7000,IF($AY41&lt;135000,5250,IF($AY41&lt;140000,3500,IF($AY41&lt;145000,1750,0)))))))-IF(OR($AU41="Married",AND($AU41="Single",$AS41&gt;=3)),5820,2910))-INDEX('Methodology &amp; Sources'!$B$211:$J$214,0,1))*INDEX('Methodology &amp; Sources'!$B$211:$J$214,0,1+2)))+263-263*IF(IF($AU41="Married",$AY41&gt;200000,$AY41&gt;100000),0,$AS41),IF($AN41="PA",0.0307*(($O41+$E41+$G41)*'Inputs 2'!$C$8),IF($AN41="NY",IF($AU41="Married",IF($AZ41&gt;=2155350,0,IF($AZ41&gt;=1077550,0.48,IF($AZ41&gt;=373200,1.21,IF($AZ41&gt;=323200,0.21,IF($AZ41&gt;=211550,-0.19,IF($AZ41&gt;=157650,-2.8,IF($AZ41&gt;=107650,-0.8,IF($AZ41&gt;=96800,0.05,IF($AZ41&gt;=80650,-0.1,IF($AZ41&gt;=13900,0.4,IF($AZ41&gt;=11700,-0.3,IF($AZ41&gt;=8500,0.5,0)))))))))))),IF($AZ41&gt;=1077550,0,IF($AZ41&gt;=265400,4.29,IF($AZ41&gt;=215400,2.29,IF($AZ41&gt;=157650,2.29,IF($AZ41&gt;=107650,0.29,IF($AZ41&gt;=96800,0.05,IF($AZ41&gt;=80650,-0.1,IF($AZ41&gt;=13900,0.4,IF($AZ41&gt;=11700,-0.3,IF($AZ41&gt;=8500,0.5,0))))))))))),0))))))))))))))))))</f>
      </c>
      <c r="BC41" s="7">
        <f>IF($B41="","",IF($AN41="AL",0.05*$D41,IF($AN41="AR",0.039*$D41,IF($AN41="ID",0.053*$D41,IF($AN41="IN",(0.0295+'Inputs 2'!$C$76)*$D41,IF($AN41="KS",0.05*$D41,IF($AN41="MA",0.09*MIN($D41,MAX(0,MAX(0,$AY41-MIN(($BD40+$Q41+$R41+$S41),2000)-IF($AS41=0,0,IF($AS41=1,4400,1000*$AS41+3400)))+$D41-1107750))+0.05*($D41-MIN($D41,MAX(0,MAX(0,$AY41-MIN(($BD40+$Q41+$R41+$S41),2000)-IF($AS41=0,0,IF($AS41=1,4400,1000*$AS41+3400)))+$D41-1107750))),IF($AN41="MD",(0.065+'Inputs 2'!$C$74)*$D41,IF($AN41="MI",0.0425*$D41,IF($AN41="MN",0.0625*$D41,IF($AN41="MO",0.047*$D41,IF($AN41="MT",0.05*$D41,IF($AN41="ND",0.015*$D41,IF($AN41="NE",0.035*$D41,IF($AN41="NJ",IF('Inputs 2'!$C$77="B",SUMPRODUCT(($D41*'Inputs 2'!$C$8&gt;INDEX('Methodology &amp; Sources'!$B$155:$J$162,0,4))*($D41*'Inputs 2'!$C$8-INDEX('Methodology &amp; Sources'!$B$155:$J$162,0,4))*INDEX('Methodology &amp; Sources'!$B$155:$J$162,0,4+2)),IF('Inputs 2'!$C$77="C",SUMPRODUCT(($D41*'Inputs 2'!$C$8&gt;INDEX('Methodology &amp; Sources'!$B$155:$J$162,0,7))*($D41*'Inputs 2'!$C$8-INDEX('Methodology &amp; Sources'!$B$155:$J$162,0,7))*INDEX('Methodology &amp; Sources'!$B$155:$J$162,0,7+2)),IF('Inputs 2'!$C$77="D",SUMPRODUCT(($D41*'Inputs 2'!$C$8&gt;INDEX('Methodology &amp; Sources'!$B$167:$J$179,0,1))*($D41*'Inputs 2'!$C$8-INDEX('Methodology &amp; Sources'!$B$167:$J$179,0,1))*INDEX('Methodology &amp; Sources'!$B$167:$J$179,0,1+2)),IF('Inputs 2'!$C$77="E",SUMPRODUCT(($D41*'Inputs 2'!$C$8&gt;INDEX('Methodology &amp; Sources'!$B$167:$J$179,0,4))*($D41*'Inputs 2'!$C$8-INDEX('Methodology &amp; Sources'!$B$167:$J$179,0,4))*INDEX('Methodology &amp; Sources'!$B$167:$J$179,0,4+2)),SUMPRODUCT(($D41*'Inputs 2'!$C$8&gt;INDEX('Methodology &amp; Sources'!$B$155:$J$162,0,1))*($D41*'Inputs 2'!$C$8-INDEX('Methodology &amp; Sources'!$B$155:$J$162,0,1))*INDEX('Methodology &amp; Sources'!$B$155:$J$162,0,1+2))))))/'Inputs 2'!$C$8,IF($AN41="NY",0.117*$D41,IF($AN41="OH",0.0275*$D41,IF($AN41="OK",0.045*$D41,IF($AN41="OR",0.08*$D41,IF($AN41="WI",IF($AY41&lt;12760,0.0354,IF($AY41&lt;25520,0.0465,IF($AY41&lt;280950,0.053,0.0765)))*$D41,0))))))))))))))))))))</f>
      </c>
      <c r="BD41" s="7">
        <f>IF($B41="","",$BD40+$Q41+$R41+$S41)</f>
      </c>
      <c r="BE41" s="6">
        <f>IF($B41="",$BE40,$BE40+$BF41)</f>
      </c>
      <c r="BF41" s="6">
        <f>IF($B41="","",IF(AND(IF(YEAR(IF('Inputs 2'!$C$7="Weekly",'Inputs 2'!$C$9+7*(($BE40+1)-1),IF('Inputs 2'!$C$7="Biweekly",'Inputs 2'!$C$9+14*(($BE40+1)-1),IF('Inputs 2'!$C$7="Semimonthly",DATE(YEAR('Inputs 2'!$C$9),MONTH('Inputs 2'!$C$9)+INT((($BE40+1)-1)/2),MIN(DAY('Inputs 2'!$C$9),DAY(EOMONTH(DATE(YEAR('Inputs 2'!$C$9),MONTH('Inputs 2'!$C$9)+INT((($BE40+1)-1)/2),1),0))))+IF(MOD(($BE40+1)-1,2)=1,15,0),EDATE('Inputs 2'!$C$9,($BE40+1)-1)))))&lt;&gt;'Inputs 2'!$C$10,"",IF('Inputs 2'!$C$7="Weekly",'Inputs 2'!$C$9+7*(($BE40+1)-1),IF('Inputs 2'!$C$7="Biweekly",'Inputs 2'!$C$9+14*(($BE40+1)-1),IF('Inputs 2'!$C$7="Semimonthly",DATE(YEAR('Inputs 2'!$C$9),MONTH('Inputs 2'!$C$9)+INT((($BE40+1)-1)/2),MIN(DAY('Inputs 2'!$C$9),DAY(EOMONTH(DATE(YEAR('Inputs 2'!$C$9),MONTH('Inputs 2'!$C$9)+INT((($BE40+1)-1)/2),1),0))))+IF(MOD(($BE40+1)-1,2)=1,15,0),EDATE('Inputs 2'!$C$9,($BE40+1)-1)))))&lt;&gt;"",$B41=IF(YEAR(IF('Inputs 2'!$C$7="Weekly",'Inputs 2'!$C$9+7*(($BE40+1)-1),IF('Inputs 2'!$C$7="Biweekly",'Inputs 2'!$C$9+14*(($BE40+1)-1),IF('Inputs 2'!$C$7="Semimonthly",DATE(YEAR('Inputs 2'!$C$9),MONTH('Inputs 2'!$C$9)+INT((($BE40+1)-1)/2),MIN(DAY('Inputs 2'!$C$9),DAY(EOMONTH(DATE(YEAR('Inputs 2'!$C$9),MONTH('Inputs 2'!$C$9)+INT((($BE40+1)-1)/2),1),0))))+IF(MOD(($BE40+1)-1,2)=1,15,0),EDATE('Inputs 2'!$C$9,($BE40+1)-1)))))&lt;&gt;'Inputs 2'!$C$10,"",IF('Inputs 2'!$C$7="Weekly",'Inputs 2'!$C$9+7*(($BE40+1)-1),IF('Inputs 2'!$C$7="Biweekly",'Inputs 2'!$C$9+14*(($BE40+1)-1),IF('Inputs 2'!$C$7="Semimonthly",DATE(YEAR('Inputs 2'!$C$9),MONTH('Inputs 2'!$C$9)+INT((($BE40+1)-1)/2),MIN(DAY('Inputs 2'!$C$9),DAY(EOMONTH(DATE(YEAR('Inputs 2'!$C$9),MONTH('Inputs 2'!$C$9)+INT((($BE40+1)-1)/2),1),0))))+IF(MOD(($BE40+1)-1,2)=1,15,0),EDATE('Inputs 2'!$C$9,($BE40+1)-1)))))),1,0))</f>
      </c>
      <c r="BG41" s="7">
        <f>IF($B41="","",$BG40+$H41)</f>
      </c>
      <c r="BH41" s="7">
        <f>IF($B41="","",$BH40+$I41)</f>
      </c>
      <c r="BI41" s="7">
        <f>IF($B41="","",$BI40+$G41)</f>
      </c>
      <c r="BJ41" s="7">
        <f>IF($B41="","",IFERROR(LOOKUP(2,1/(((('Events 2'!$C$6:$C$17="Deduction start"))*('Events 2'!$D$6:$D$17="Health FSA"))*('Events 2'!$B$6:$B$17&lt;=$B41)*('Events 2'!$B$6:$B$17&lt;&gt;"")),'Events 2'!$E$6:$E$17),'Inputs 2'!$D$38))</f>
      </c>
      <c r="BK41" s="7">
        <f>IF($B41="","",IFERROR(LOOKUP(2,1/(((('Events 2'!$C$6:$C$17="Deduction start"))*('Events 2'!$D$6:$D$17="Dependent-care FSA"))*('Events 2'!$B$6:$B$17&lt;=$B41)*('Events 2'!$B$6:$B$17&lt;&gt;"")),'Events 2'!$E$6:$E$17),'Inputs 2'!$D$39))</f>
      </c>
      <c r="BL41" s="7">
        <f>IF($B41="","",IFERROR(LOOKUP(2,1/(((('Events 2'!$C$6:$C$17="Deduction start")+('Events 2'!$C$6:$C$17="Deduction stop"))*('Events 2'!$D$6:$D$17="HSA"))*('Events 2'!$B$6:$B$17&lt;=$B41)*('Events 2'!$B$6:$B$17&lt;&gt;"")),'Events 2'!$I$6:$I$17),'Inputs 2'!$D$35))</f>
      </c>
      <c r="BM41" s="7">
        <f>IF($B41="","",IFERROR(LOOKUP(2,1/(((('Events 2'!$C$6:$C$17="Deduction start")+('Events 2'!$C$6:$C$17="Deduction stop"))*('Events 2'!$D$6:$D$17="Premiums"))*('Events 2'!$B$6:$B$17&lt;=$B41)*('Events 2'!$B$6:$B$17&lt;&gt;"")),'Events 2'!$I$6:$I$17),'Inputs 2'!$D$40+'Inputs 2'!$D$41+'Inputs 2'!$D$42))</f>
      </c>
      <c r="BN41" s="7">
        <f>IF($B41="","",IFERROR(LOOKUP(2,1/(((('Events 2'!$C$6:$C$17="Deduction start")+('Events 2'!$C$6:$C$17="Deduction stop"))*('Events 2'!$D$6:$D$17="Commuter"))*('Events 2'!$B$6:$B$17&lt;=$B41)*('Events 2'!$B$6:$B$17&lt;&gt;"")),'Events 2'!$I$6:$I$17),'Inputs 2'!$D$43))</f>
      </c>
      <c r="BO41" s="7">
        <f>IF($B41="","",IFERROR(LOOKUP(2,1/(((('Events 2'!$C$6:$C$17="Deduction start")+('Events 2'!$C$6:$C$17="Deduction stop"))*('Events 2'!$D$6:$D$17="Other pre-tax"))*('Events 2'!$B$6:$B$17&lt;=$B41)*('Events 2'!$B$6:$B$17&lt;&gt;"")),'Events 2'!$I$6:$I$17),'Inputs 2'!$D$44))</f>
      </c>
      <c r="BP41" s="7">
        <f>IF($B41="","",IFERROR(LOOKUP(2,1/(((('Events 2'!$C$6:$C$17="Deduction start")+('Events 2'!$C$6:$C$17="Deduction stop"))*('Events 2'!$D$6:$D$17="Other post-tax"))*('Events 2'!$B$6:$B$17&lt;=$B41)*('Events 2'!$B$6:$B$17&lt;&gt;"")),'Events 2'!$I$6:$I$17),'Inputs 2'!$D$45))</f>
      </c>
      <c r="BQ41" s="6">
        <f>IF($B41="","",IFERROR(LOOKUP(2,1/(((('Events 2'!$C$6:$C$17="Deduction start")+('Events 2'!$C$6:$C$17="Deduction stop"))*('Events 2'!$D$6:$D$17="Health FSA"))*('Events 2'!$B$6:$B$17&lt;=$B41)*('Events 2'!$B$6:$B$17&lt;&gt;"")),'Events 2'!$J$6:$J$17),0))</f>
      </c>
      <c r="BR41" s="6">
        <f>IF($B41="","",IFERROR(LOOKUP(2,1/(((('Events 2'!$C$6:$C$17="Deduction start")+('Events 2'!$C$6:$C$17="Deduction stop"))*('Events 2'!$D$6:$D$17="Dependent-care FSA"))*('Events 2'!$B$6:$B$17&lt;=$B41)*('Events 2'!$B$6:$B$17&lt;&gt;"")),'Events 2'!$J$6:$J$17),0))</f>
      </c>
      <c r="BS41" s="6">
        <f>IF($B41="","",IF(SUMPRODUCT(('Events 2'!$C$6:$C$17="Deduction start")*('Events 2'!$B$6:$B$17&lt;=$B41)*('Events 2'!$B$6:$B$17&lt;&gt;"")*('Events 2'!$D$6:$D$17="Health FSA"))&gt;0,1,0))</f>
      </c>
      <c r="BT41" s="6">
        <f>IF($B41="","",IF(SUMPRODUCT(('Events 2'!$C$6:$C$17="Deduction start")*('Events 2'!$B$6:$B$17&lt;=$B41)*('Events 2'!$B$6:$B$17&lt;&gt;"")*('Events 2'!$D$6:$D$17="Dependent-care FSA"))&gt;0,1,0))</f>
      </c>
      <c r="BU41" s="24">
        <f>IF($B41="","",IF('Inputs 2'!$C$13,SUMPRODUCT(($AH41&gt;=INDEX('Methodology &amp; Sources'!$B$29:$J$36,0,IF('Inputs 2'!$C$12="MFJ",1,IF('Inputs 2'!$C$12="HoH",7,4))))*INDEX('Methodology &amp; Sources'!$B$29:$J$36,0,IF('Inputs 2'!$C$12="MFJ",1,IF('Inputs 2'!$C$12="HoH",7,4))+2)),SUMPRODUCT(($AH41&gt;=INDEX('Methodology &amp; Sources'!$B$19:$J$26,0,IF('Inputs 2'!$C$12="MFJ",1,IF('Inputs 2'!$C$12="HoH",7,4))))*INDEX('Methodology &amp; Sources'!$B$19:$J$26,0,IF('Inputs 2'!$C$12="MFJ",1,IF('Inputs 2'!$C$12="HoH",7,4))+2))))</f>
      </c>
      <c r="BV41" s="24">
        <f>IF($B41="","",IF($BZ41&lt;&gt;"",$BZ41,IF($CA41&lt;&gt;"",$CA41,IF($CB41&lt;&gt;"",$CB41,IF($CC41&lt;&gt;"",$CC41,0)))))</f>
      </c>
      <c r="BW41" s="7">
        <f>IF($B41="","",IF($AN41="MD",IF(OR($AU41="Married",$AU41="Head of household"),SUMPRODUCT(($AZ41&gt;INDEX('Methodology &amp; Sources'!$B$114:$J$120,0,1))*($AZ41-INDEX('Methodology &amp; Sources'!$B$114:$J$120,0,1))*INDEX('Methodology &amp; Sources'!$B$114:$J$120,0,1+2)),SUMPRODUCT(($AZ41&gt;INDEX('Methodology &amp; Sources'!$B$103:$J$109,0,7))*($AZ41-INDEX('Methodology &amp; Sources'!$B$103:$J$109,0,7))*INDEX('Methodology &amp; Sources'!$B$103:$J$109,0,7+2))),IF($AN41="MO",SUMPRODUCT(($AZ41&gt;INDEX('Methodology &amp; Sources'!$B$125:$J$132,0,1))*($AZ41-INDEX('Methodology &amp; Sources'!$B$125:$J$132,0,1))*INDEX('Methodology &amp; Sources'!$B$125:$J$132,0,1+2)),IF($AN41="MT",IF($AU41="Head of household",SUMPRODUCT(($AZ41&gt;INDEX('Methodology &amp; Sources'!$B$137:$J$139,0,1))*($AZ41-INDEX('Methodology &amp; Sources'!$B$137:$J$139,0,1))*INDEX('Methodology &amp; Sources'!$B$137:$J$139,0,1+2)),IF($AU41="Married",SUMPRODUCT(($AZ41&gt;INDEX('Methodology &amp; Sources'!$B$125:$J$132,0,7))*($AZ41-INDEX('Methodology &amp; Sources'!$B$125:$J$132,0,7))*INDEX('Methodology &amp; Sources'!$B$125:$J$132,0,7+2)),SUMPRODUCT(($AZ41&gt;INDEX('Methodology &amp; Sources'!$B$125:$J$132,0,4))*($AZ41-INDEX('Methodology &amp; Sources'!$B$125:$J$132,0,4))*INDEX('Methodology &amp; Sources'!$B$125:$J$132,0,4+2)))),IF($AN41="ND",IF($AU41="Head of household",SUMPRODUCT(($AZ41&gt;INDEX('Methodology &amp; Sources'!$B$144:$J$150,0,1))*($AZ41-INDEX('Methodology &amp; Sources'!$B$144:$J$150,0,1))*INDEX('Methodology &amp; Sources'!$B$144:$J$150,0,1+2)),IF($AU41="Married",SUMPRODUCT(($AZ41&gt;INDEX('Methodology &amp; Sources'!$B$137:$J$139,0,7))*($AZ41-INDEX('Methodology &amp; Sources'!$B$137:$J$139,0,7))*INDEX('Methodology &amp; Sources'!$B$137:$J$139,0,7+2)),SUMPRODUCT(($AZ41&gt;INDEX('Methodology &amp; Sources'!$B$137:$J$139,0,4))*($AZ41-INDEX('Methodology &amp; Sources'!$B$137:$J$139,0,4))*INDEX('Methodology &amp; Sources'!$B$137:$J$139,0,4+2)))),IF($AN41="NJ",IF('Inputs 2'!$C$77="B",SUMPRODUCT(($AZ41&gt;INDEX('Methodology &amp; Sources'!$B$155:$J$162,0,4))*($AZ41-INDEX('Methodology &amp; Sources'!$B$155:$J$162,0,4))*INDEX('Methodology &amp; Sources'!$B$155:$J$162,0,4+2)),IF('Inputs 2'!$C$77="C",SUMPRODUCT(($AZ41&gt;INDEX('Methodology &amp; Sources'!$B$155:$J$162,0,7))*($AZ41-INDEX('Methodology &amp; Sources'!$B$155:$J$162,0,7))*INDEX('Methodology &amp; Sources'!$B$155:$J$162,0,7+2)),IF('Inputs 2'!$C$77="D",SUMPRODUCT(($AZ41&gt;INDEX('Methodology &amp; Sources'!$B$167:$J$179,0,1))*($AZ41-INDEX('Methodology &amp; Sources'!$B$167:$J$179,0,1))*INDEX('Methodology &amp; Sources'!$B$167:$J$179,0,1+2)),IF('Inputs 2'!$C$77="E",SUMPRODUCT(($AZ41&gt;INDEX('Methodology &amp; Sources'!$B$167:$J$179,0,4))*($AZ41-INDEX('Methodology &amp; Sources'!$B$167:$J$179,0,4))*INDEX('Methodology &amp; Sources'!$B$167:$J$179,0,4+2)),SUMPRODUCT(($AZ41&gt;INDEX('Methodology &amp; Sources'!$B$155:$J$162,0,1))*($AZ41-INDEX('Methodology &amp; Sources'!$B$155:$J$162,0,1))*INDEX('Methodology &amp; Sources'!$B$155:$J$162,0,1+2)))))),IF($AN41="NY",IF($AU41="Married",IF($AZ41&gt;=2155350,$AZ41*IF($AZ41&gt;25000000,0.117,IF($AZ41&gt;5000000,0.111,0.1045)),SUMPRODUCT(($AZ41&gt;INDEX('Methodology &amp; Sources'!$B$184:$J$198,0,1))*($AZ41-INDEX('Methodology &amp; Sources'!$B$184:$J$198,0,1))*INDEX('Methodology &amp; Sources'!$B$184:$J$198,0,1+2))),IF($AZ41&gt;=1077550,$AZ41*IF($AZ41&gt;25000000,0.117,IF($AZ41&gt;5000000,0.111,0.1045)),SUMPRODUCT(($AZ41&gt;INDEX('Methodology &amp; Sources'!$B$167:$J$179,0,7))*($AZ41-INDEX('Methodology &amp; Sources'!$B$167:$J$179,0,7))*INDEX('Methodology &amp; Sources'!$B$167:$J$179,0,7+2)))),"")))))))</f>
      </c>
      <c r="BX41" s="7">
        <f>IF($B41="","",IF($AN41="AL",IF(OR($AU41="Married",$AU41="Head of household"),SUMPRODUCT(($AZ41&gt;INDEX('Methodology &amp; Sources'!$B$82:$J$86,0,4))*($AZ41-INDEX('Methodology &amp; Sources'!$B$82:$J$86,0,4))*INDEX('Methodology &amp; Sources'!$B$82:$J$86,0,4+2)),SUMPRODUCT(($AZ41&gt;INDEX('Methodology &amp; Sources'!$B$82:$J$86,0,1))*($AZ41-INDEX('Methodology &amp; Sources'!$B$82:$J$86,0,1))*INDEX('Methodology &amp; Sources'!$B$82:$J$86,0,1+2))),IF($AN41="KS",IF($AU41="Married",SUMPRODUCT(($AZ41&gt;INDEX('Methodology &amp; Sources'!$B$103:$J$109,0,4))*($AZ41-INDEX('Methodology &amp; Sources'!$B$103:$J$109,0,4))*INDEX('Methodology &amp; Sources'!$B$103:$J$109,0,4+2)),SUMPRODUCT(($AZ41&gt;INDEX('Methodology &amp; Sources'!$B$103:$J$109,0,1))*($AZ41-INDEX('Methodology &amp; Sources'!$B$103:$J$109,0,1))*INDEX('Methodology &amp; Sources'!$B$103:$J$109,0,1+2))),IF($AN41="MN",IF($AU41="Married",SUMPRODUCT(($AZ41&gt;INDEX('Methodology &amp; Sources'!$B$114:$J$120,0,7))*($AZ41-INDEX('Methodology &amp; Sources'!$B$114:$J$120,0,7))*INDEX('Methodology &amp; Sources'!$B$114:$J$120,0,7+2)),SUMPRODUCT(($AZ41&gt;INDEX('Methodology &amp; Sources'!$B$114:$J$120,0,4))*($AZ41-INDEX('Methodology &amp; Sources'!$B$114:$J$120,0,4))*INDEX('Methodology &amp; Sources'!$B$114:$J$120,0,4+2))),IF($AN41="NE",MAX(IF($AU41="Married",SUMPRODUCT(($AZ41&gt;INDEX('Methodology &amp; Sources'!$B$144:$J$150,0,7))*($AZ41-INDEX('Methodology &amp; Sources'!$B$144:$J$150,0,7))*INDEX('Methodology &amp; Sources'!$B$144:$J$150,0,7+2)),SUMPRODUCT(($AZ41&gt;INDEX('Methodology &amp; Sources'!$B$144:$J$150,0,4))*($AZ41-INDEX('Methodology &amp; Sources'!$B$144:$J$150,0,4))*INDEX('Methodology &amp; Sources'!$B$144:$J$150,0,4+2))),0.015*$AZ41),IF($AN41="OH",IF($B41&gt;=DATE(2027,8,1),SUMPRODUCT(($AZ41&gt;INDEX('Methodology &amp; Sources'!$B$203:$J$206,0,1))*($AZ41-INDEX('Methodology &amp; Sources'!$B$203:$J$206,0,1))*INDEX('Methodology &amp; Sources'!$B$203:$J$206,0,1+2)),SUMPRODUCT(($AZ41&gt;INDEX('Methodology &amp; Sources'!$B$184:$J$198,0,7))*($AZ41-INDEX('Methodology &amp; Sources'!$B$184:$J$198,0,7))*INDEX('Methodology &amp; Sources'!$B$184:$J$198,0,7+2))),IF($AN41="OK",IF($AU41="Married",SUMPRODUCT(($AZ41&gt;INDEX('Methodology &amp; Sources'!$B$203:$J$206,0,7))*($AZ41-INDEX('Methodology &amp; Sources'!$B$203:$J$206,0,7))*INDEX('Methodology &amp; Sources'!$B$203:$J$206,0,7+2)),SUMPRODUCT(($AZ41&gt;INDEX('Methodology &amp; Sources'!$B$203:$J$206,0,4))*($AZ41-INDEX('Methodology &amp; Sources'!$B$203:$J$206,0,4))*INDEX('Methodology &amp; Sources'!$B$203:$J$206,0,4+2))),IF($AN41="RI",SUMPRODUCT(($AZ41&gt;INDEX('Methodology &amp; Sources'!$B$211:$J$214,0,7))*($AZ41-INDEX('Methodology &amp; Sources'!$B$211:$J$214,0,7))*INDEX('Methodology &amp; Sources'!$B$211:$J$214,0,7+2)),IF($AN41="VT",IF($AU41="Married",SUMPRODUCT(($AZ41&gt;INDEX('Methodology &amp; Sources'!$B$228:$J$232,0,1))*($AZ41-INDEX('Methodology &amp; Sources'!$B$228:$J$232,0,1))*INDEX('Methodology &amp; Sources'!$B$228:$J$232,0,1+2)),SUMPRODUCT(($AZ41&gt;INDEX('Methodology &amp; Sources'!$B$219:$J$223,0,7))*($AZ41-INDEX('Methodology &amp; Sources'!$B$219:$J$223,0,7))*INDEX('Methodology &amp; Sources'!$B$219:$J$223,0,7+2))),IF($AN41="WV",IF($AU41="Married",SUMPRODUCT(($AZ41&gt;INDEX('Methodology &amp; Sources'!$B$237:$J$241,0,7))*($AZ41-INDEX('Methodology &amp; Sources'!$B$237:$J$241,0,7))*INDEX('Methodology &amp; Sources'!$B$237:$J$241,0,7+2)),SUMPRODUCT(($AZ41&gt;INDEX('Methodology &amp; Sources'!$B$228:$J$232,0,7))*($AZ41-INDEX('Methodology &amp; Sources'!$B$228:$J$232,0,7))*INDEX('Methodology &amp; Sources'!$B$228:$J$232,0,7+2))),""))))))))))</f>
      </c>
      <c r="BY41" s="7">
        <f>IF($B41="","",IF($AN41="AR",SUMPRODUCT(($AZ41&gt;INDEX('Methodology &amp; Sources'!$B$82:$J$86,0,7))*($AZ41-INDEX('Methodology &amp; Sources'!$B$82:$J$86,0,7))*INDEX('Methodology &amp; Sources'!$B$82:$J$86,0,7+2)),IF($AN41="DE",SUMPRODUCT(($AZ41&gt;INDEX('Methodology &amp; Sources'!$B$91:$J$98,0,1))*($AZ41-INDEX('Methodology &amp; Sources'!$B$91:$J$98,0,1))*INDEX('Methodology &amp; Sources'!$B$91:$J$98,0,1+2)),IF($AN41="HI",IF($AU41="Married",SUMPRODUCT(($AZ41&gt;INDEX('Methodology &amp; Sources'!$B$91:$J$98,0,7))*($AZ41-INDEX('Methodology &amp; Sources'!$B$91:$J$98,0,7))*INDEX('Methodology &amp; Sources'!$B$91:$J$98,0,7+2)),SUMPRODUCT(($AZ41&gt;INDEX('Methodology &amp; Sources'!$B$91:$J$98,0,4))*($AZ41-INDEX('Methodology &amp; Sources'!$B$91:$J$98,0,4))*INDEX('Methodology &amp; Sources'!$B$91:$J$98,0,4+2))),IF($AN41="SC",SUMPRODUCT(($AZ41&gt;INDEX('Methodology &amp; Sources'!$B$219:$J$223,0,1))*($AZ41-INDEX('Methodology &amp; Sources'!$B$219:$J$223,0,1))*INDEX('Methodology &amp; Sources'!$B$219:$J$223,0,1+2)),IF($AN41="VA",SUMPRODUCT(($AZ41&gt;INDEX('Methodology &amp; Sources'!$B$219:$J$223,0,4))*($AZ41-INDEX('Methodology &amp; Sources'!$B$219:$J$223,0,4))*INDEX('Methodology &amp; Sources'!$B$219:$J$223,0,4+2)),IF($AN41="WI",SUMPRODUCT(($AZ41&gt;INDEX('Methodology &amp; Sources'!$B$228:$J$232,0,4))*($AZ41-INDEX('Methodology &amp; Sources'!$B$228:$J$232,0,4))*INDEX('Methodology &amp; Sources'!$B$228:$J$232,0,4+2)),"")))))))</f>
      </c>
      <c r="BZ41" s="24">
        <f>IF($B41="","",IF($AN41="NJ",IF('Inputs 2'!$C$77="B",SUMPRODUCT(($AZ41&gt;=INDEX('Methodology &amp; Sources'!$B$155:$J$162,0,4))*INDEX('Methodology &amp; Sources'!$B$155:$J$162,0,4+2)),IF('Inputs 2'!$C$77="C",SUMPRODUCT(($AZ41&gt;=INDEX('Methodology &amp; Sources'!$B$155:$J$162,0,7))*INDEX('Methodology &amp; Sources'!$B$155:$J$162,0,7+2)),IF('Inputs 2'!$C$77="D",SUMPRODUCT(($AZ41&gt;=INDEX('Methodology &amp; Sources'!$B$167:$J$179,0,1))*INDEX('Methodology &amp; Sources'!$B$167:$J$179,0,1+2)),IF('Inputs 2'!$C$77="E",SUMPRODUCT(($AZ41&gt;=INDEX('Methodology &amp; Sources'!$B$167:$J$179,0,4))*INDEX('Methodology &amp; Sources'!$B$167:$J$179,0,4+2)),SUMPRODUCT(($AZ41&gt;=INDEX('Methodology &amp; Sources'!$B$155:$J$162,0,1))*INDEX('Methodology &amp; Sources'!$B$155:$J$162,0,1+2)))))),IF($AN41="OR",IF(OR($AU41="Married",AND($AU41="Single",$AS41&gt;=3)),SUMPRODUCT((MAX(0,$AY41-MIN(($P41-'Methodology &amp; Sources'!$C$10*$D41)*'Inputs 2'!$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Sources'!$B$211:$J$214,0,4))*INDEX('Methodology &amp; Sources'!$B$211:$J$214,0,4+2)),SUMPRODUCT((MAX(0,$AY41-MIN(($P41-'Methodology &amp; Sources'!$C$10*$D41)*'Inputs 2'!$C$8,IF(OR($AU41="Married",AND($AU41="Single",$AS41&gt;=3)),IF($AY41&lt;250000,8750,IF($AY41&lt;260000,7000,IF($AY41&lt;270000,5250,IF($AY41&lt;280000,3500,IF($AY41&lt;290000,1750,0))))),IF($AY41&lt;125000,8750,IF($AY41&lt;130000,7000,IF($AY41&lt;135000,5250,IF($AY41&lt;140000,3500,IF($AY41&lt;145000,1750,0)))))))-IF(OR($AU41="Married",AND($AU41="Single",$AS41&gt;=3)),5820,2910))&gt;=INDEX('Methodology &amp; Sources'!$B$211:$J$214,0,1))*INDEX('Methodology &amp; Sources'!$B$211:$J$214,0,1+2)))*IF(($P41-'Methodology &amp; Sources'!$C$10*$D41)*'Inputs 2'!$C$8&gt;=IF(OR($AU41="Married",AND($AU41="Single",$AS41&gt;=3)),IF($AY41&lt;250000,8750,IF($AY41&lt;260000,7000,IF($AY41&lt;270000,5250,IF($AY41&lt;280000,3500,IF($AY41&lt;290000,1750,0))))),IF($AY41&lt;125000,8750,IF($AY41&lt;130000,7000,IF($AY41&lt;135000,5250,IF($AY41&lt;140000,3500,IF($AY41&lt;145000,1750,0)))))),1,1-IF('Inputs 2'!$C$13,SUMPRODUCT(($AH41&gt;=INDEX('Methodology &amp; Sources'!$B$29:$J$36,0,IF('Inputs 2'!$C$12="MFJ",1,IF('Inputs 2'!$C$12="HoH",7,4))))*INDEX('Methodology &amp; Sources'!$B$29:$J$36,0,IF('Inputs 2'!$C$12="MFJ",1,IF('Inputs 2'!$C$12="HoH",7,4))+2)),SUMPRODUCT(($AH41&gt;=INDEX('Methodology &amp; Sources'!$B$19:$J$26,0,IF('Inputs 2'!$C$12="MFJ",1,IF('Inputs 2'!$C$12="HoH",7,4))))*INDEX('Methodology &amp; Sources'!$B$19:$J$26,0,IF('Inputs 2'!$C$12="MFJ",1,IF('Inputs 2'!$C$12="HoH",7,4))+2)))),IF($AN41="MI",IF($AY41&gt;5900*$AS41,0.0425,0),""))))</f>
      </c>
      <c r="CA41" s="24">
        <f>IF($B41="","",IF($AN41="AL",IF(OR($AU41="Married",$AU41="Head of household"),SUMPRODUCT(($AZ41&gt;=INDEX('Methodology &amp; Sources'!$B$82:$J$86,0,4))*INDEX('Methodology &amp; Sources'!$B$82:$J$86,0,4+2)),SUMPRODUCT(($AZ41&gt;=INDEX('Methodology &amp; Sources'!$B$82:$J$86,0,1))*INDEX('Methodology &amp; Sources'!$B$82:$J$86,0,1+2)))*(1-IF('Inputs 2'!$C$13,SUMPRODUCT(($AH41&gt;=INDEX('Methodology &amp; Sources'!$B$29:$J$36,0,IF('Inputs 2'!$C$12="MFJ",1,IF('Inputs 2'!$C$12="HoH",7,4))))*INDEX('Methodology &amp; Sources'!$B$29:$J$36,0,IF('Inputs 2'!$C$12="MFJ",1,IF('Inputs 2'!$C$12="HoH",7,4))+2)),SUMPRODUCT(($AH41&gt;=INDEX('Methodology &amp; Sources'!$B$19:$J$26,0,IF('Inputs 2'!$C$12="MFJ",1,IF('Inputs 2'!$C$12="HoH",7,4))))*INDEX('Methodology &amp; Sources'!$B$19:$J$26,0,IF('Inputs 2'!$C$12="MFJ",1,IF('Inputs 2'!$C$12="HoH",7,4))+2)))),IF($AN41="KS",IF($AU41="Married",SUMPRODUCT(($AZ41&gt;=INDEX('Methodology &amp; Sources'!$B$103:$J$109,0,4))*INDEX('Methodology &amp; Sources'!$B$103:$J$109,0,4+2)),SUMPRODUCT(($AZ41&gt;=INDEX('Methodology &amp; Sources'!$B$103:$J$109,0,1))*INDEX('Methodology &amp; Sources'!$B$103:$J$109,0,1+2))),IF($AN41="MD",IF(OR($AU41="Married",$AU41="Head of household"),SUMPRODUCT(($AZ41&gt;=INDEX('Methodology &amp; Sources'!$B$114:$J$120,0,1))*INDEX('Methodology &amp; Sources'!$B$114:$J$120,0,1+2)),SUMPRODUCT(($AZ41&gt;=INDEX('Methodology &amp; Sources'!$B$103:$J$109,0,7))*INDEX('Methodology &amp; Sources'!$B$103:$J$109,0,7+2)))+'Inputs 2'!$C$74,IF($AN41="MT",IF($AU41="Head of household",SUMPRODUCT(($AZ41&gt;=INDEX('Methodology &amp; Sources'!$B$137:$J$139,0,1))*INDEX('Methodology &amp; Sources'!$B$137:$J$139,0,1+2)),IF($AU41="Married",SUMPRODUCT(($AZ41&gt;=INDEX('Methodology &amp; Sources'!$B$125:$J$132,0,7))*INDEX('Methodology &amp; Sources'!$B$125:$J$132,0,7+2)),SUMPRODUCT(($AZ41&gt;=INDEX('Methodology &amp; Sources'!$B$125:$J$132,0,4))*INDEX('Methodology &amp; Sources'!$B$125:$J$132,0,4+2)))),IF($AN41="ND",IF($AU41="Head of household",SUMPRODUCT(($AZ41&gt;=INDEX('Methodology &amp; Sources'!$B$144:$J$150,0,1))*INDEX('Methodology &amp; Sources'!$B$144:$J$150,0,1+2)),IF($AU41="Married",SUMPRODUCT(($AZ41&gt;=INDEX('Methodology &amp; Sources'!$B$137:$J$139,0,7))*INDEX('Methodology &amp; Sources'!$B$137:$J$139,0,7+2)),SUMPRODUCT(($AZ41&gt;=INDEX('Methodology &amp; Sources'!$B$137:$J$139,0,4))*INDEX('Methodology &amp; Sources'!$B$137:$J$139,0,4+2)))),IF($AN41="NY",IF($AU41="Married",IF($AZ41&gt;=2155350,IF($AZ41&gt;25000000,0.117,IF($AZ41&gt;5000000,0.111,0.1045)),SUMPRODUCT(($AZ41&gt;=INDEX('Methodology &amp; Sources'!$B$184:$J$198,0,1))*INDEX('Methodology &amp; Sources'!$B$184:$J$198,0,1+2))),IF($AZ41&gt;=1077550,IF($AZ41&gt;25000000,0.117,IF($AZ41&gt;5000000,0.111,0.1045)),SUMPRODUCT(($AZ41&gt;=INDEX('Methodology &amp; Sources'!$B$167:$J$179,0,7))*INDEX('Methodology &amp; Sources'!$B$167:$J$179,0,7+2)))),"")))))))</f>
      </c>
      <c r="CB41" s="24">
        <f>IF($B41="","",IF($AN41="CA",SUMPRODUCT(($AJ41&gt;=INDEX('Methodology &amp; Sources'!$B$39:$J$48,0,IF($AU41="Married",4,IF($AU41="Head of household",7,1))))*INDEX('Methodology &amp; Sources'!$B$39:$J$48,0,IF($AU41="Married",4,IF($AU41="Head of household",7,1))+2)),IF($AN41="HI",IF($AU41="Married",SUMPRODUCT(($AZ41&gt;=INDEX('Methodology &amp; Sources'!$B$91:$J$98,0,7))*INDEX('Methodology &amp; Sources'!$B$91:$J$98,0,7+2)),SUMPRODUCT(($AZ41&gt;=INDEX('Methodology &amp; Sources'!$B$91:$J$98,0,4))*INDEX('Methodology &amp; Sources'!$B$91:$J$98,0,4+2))),IF($AN41="MN",IF($AU41="Married",SUMPRODUCT(($AZ41&gt;=INDEX('Methodology &amp; Sources'!$B$114:$J$120,0,7))*INDEX('Methodology &amp; Sources'!$B$114:$J$120,0,7+2)),SUMPRODUCT(($AZ41&gt;=INDEX('Methodology &amp; Sources'!$B$114:$J$120,0,4))*INDEX('Methodology &amp; Sources'!$B$114:$J$120,0,4+2))),IF($AN41="MO",SUMPRODUCT(($AZ41&gt;=INDEX('Methodology &amp; Sources'!$B$125:$J$132,0,1))*INDEX('Methodology &amp; Sources'!$B$125:$J$132,0,1+2)),IF($AN41="NE",MAX(IF($AU41="Married",SUMPRODUCT(($AZ41&gt;=INDEX('Methodology &amp; Sources'!$B$144:$J$150,0,7))*INDEX('Methodology &amp; Sources'!$B$144:$J$150,0,7+2)),SUMPRODUCT(($AZ41&gt;=INDEX('Methodology &amp; Sources'!$B$144:$J$150,0,4))*INDEX('Methodology &amp; Sources'!$B$144:$J$150,0,4+2))),0.015),IF($AN41="OH",IF($B41&gt;=DATE(2027,8,1),SUMPRODUCT(($AZ41&gt;=INDEX('Methodology &amp; Sources'!$B$203:$J$206,0,1))*INDEX('Methodology &amp; Sources'!$B$203:$J$206,0,1+2)),SUMPRODUCT(($AZ41&gt;=INDEX('Methodology &amp; Sources'!$B$184:$J$198,0,7))*INDEX('Methodology &amp; Sources'!$B$184:$J$198,0,7+2))),IF($AN41="OK",IF($AU41="Married",SUMPRODUCT(($AZ41&gt;=INDEX('Methodology &amp; Sources'!$B$203:$J$206,0,7))*INDEX('Methodology &amp; Sources'!$B$203:$J$206,0,7+2)),SUMPRODUCT(($AZ41&gt;=INDEX('Methodology &amp; Sources'!$B$203:$J$206,0,4))*INDEX('Methodology &amp; Sources'!$B$203:$J$206,0,4+2))),IF($AN41="RI",SUMPRODUCT(($AZ41&gt;=INDEX('Methodology &amp; Sources'!$B$211:$J$214,0,7))*INDEX('Methodology &amp; Sources'!$B$211:$J$214,0,7+2)),IF($AN41="SC",SUMPRODUCT(($AZ41&gt;=INDEX('Methodology &amp; Sources'!$B$219:$J$223,0,1))*INDEX('Methodology &amp; Sources'!$B$219:$J$223,0,1+2)),IF($AN41="VT",IF($AU41="Married",SUMPRODUCT(($AZ41&gt;=INDEX('Methodology &amp; Sources'!$B$228:$J$232,0,1))*INDEX('Methodology &amp; Sources'!$B$228:$J$232,0,1+2)),SUMPRODUCT(($AZ41&gt;=INDEX('Methodology &amp; Sources'!$B$219:$J$223,0,7))*INDEX('Methodology &amp; Sources'!$B$219:$J$223,0,7+2))),IF($AN41="WV",IF($AU41="Married",SUMPRODUCT(($AZ41&gt;=INDEX('Methodology &amp; Sources'!$B$237:$J$241,0,7))*INDEX('Methodology &amp; Sources'!$B$237:$J$241,0,7+2)),SUMPRODUCT(($AZ41&gt;=INDEX('Methodology &amp; Sources'!$B$228:$J$232,0,7))*INDEX('Methodology &amp; Sources'!$B$228:$J$232,0,7+2))),IF($AN41="IN",(0.0295+'Inputs 2'!$C$76),"")))))))))))))</f>
      </c>
      <c r="CC41" s="24">
        <f>IF($B41="","",IF($AN41="AR",SUMPRODUCT(($AZ41&gt;=INDEX('Methodology &amp; Sources'!$B$82:$J$86,0,7))*INDEX('Methodology &amp; Sources'!$B$82:$J$86,0,7+2)),IF($AN41="DE",SUMPRODUCT(($AZ41&gt;=INDEX('Methodology &amp; Sources'!$B$91:$J$98,0,1))*INDEX('Methodology &amp; Sources'!$B$91:$J$98,0,1+2)),IF($AN41="VA",SUMPRODUCT(($AZ41&gt;=INDEX('Methodology &amp; Sources'!$B$219:$J$223,0,4))*INDEX('Methodology &amp; Sources'!$B$219:$J$223,0,4+2)),IF($AN41="WI",SUMPRODUCT(($AZ41&gt;=INDEX('Methodology &amp; Sources'!$B$228:$J$232,0,4))*INDEX('Methodology &amp; Sources'!$B$228:$J$232,0,4+2)),IF($AN41="AZ",'Inputs 2'!$C$82,IF($AN41="CO",IF($AY41&gt;IF($AU41="Married",10000,5000),0.044,0),IF($AN41="IA",IF($AY41&gt;IF($AU41="Head of household",19500,IF($AU41="Married",26000,13000)),0.038,0),IF($AN41="ID",IF($AY41&gt;IF($AU41="Married",32000,16094),0.053,0),IF($AN41="IL",IF($AY41&gt;(2925*$AS41+1000*$AT41),0.0495,0),IF($AN41="KY",IF($AI41&gt;3360,0.035,0),IF($AN41="LA",0.0309,IF($AN41="MA",IF(MAX(0,$AY41-MIN(($BD40+$Q41+$R41+$S41),2000)-IF($AS41=0,0,IF($AS41=1,4400,1000*$AS41+3400)))&gt;=1107750,0.09,0.05),IF($AN41="MS",IF($AI41-IF($AU41="Head of household",3400,IF($AU41="Married",4600,2300))-'Inputs 2'!$C$85&gt;10000,0.04,0),IF($AN41="PA",0.0307,"")))))))))))))))</f>
      </c>
      <c r="CD41" s="21">
        <f>IF(YEAR(IF('Inputs 2'!$C$7="Weekly",'Inputs 2'!$C$9+7*(($BE40+1)-1),IF('Inputs 2'!$C$7="Biweekly",'Inputs 2'!$C$9+14*(($BE40+1)-1),IF('Inputs 2'!$C$7="Semimonthly",DATE(YEAR('Inputs 2'!$C$9),MONTH('Inputs 2'!$C$9)+INT((($BE40+1)-1)/2),MIN(DAY('Inputs 2'!$C$9),DAY(EOMONTH(DATE(YEAR('Inputs 2'!$C$9),MONTH('Inputs 2'!$C$9)+INT((($BE40+1)-1)/2),1),0))))+IF(MOD(($BE40+1)-1,2)=1,15,0),EDATE('Inputs 2'!$C$9,($BE40+1)-1)))))&lt;&gt;'Inputs 2'!$C$10,"",IF('Inputs 2'!$C$7="Weekly",'Inputs 2'!$C$9+7*(($BE40+1)-1),IF('Inputs 2'!$C$7="Biweekly",'Inputs 2'!$C$9+14*(($BE40+1)-1),IF('Inputs 2'!$C$7="Semimonthly",DATE(YEAR('Inputs 2'!$C$9),MONTH('Inputs 2'!$C$9)+INT((($BE40+1)-1)/2),MIN(DAY('Inputs 2'!$C$9),DAY(EOMONTH(DATE(YEAR('Inputs 2'!$C$9),MONTH('Inputs 2'!$C$9)+INT((($BE40+1)-1)/2),1),0))))+IF(MOD(($BE40+1)-1,2)=1,15,0),EDATE('Inputs 2'!$C$9,($BE40+1)-1)))))</f>
      </c>
      <c r="CE41" s="21">
        <f>IF(SUMPRODUCT(MIN(IF(('Inputs 2'!$C$58:$C$67&gt;MAX($B$6:$B40))*('Inputs 2'!$C$58:$C$67&gt;=DATE('Inputs 2'!$C$10,1,1))*('Inputs 2'!$C$58:$C$67&lt;=DATE('Inputs 2'!$C$10,12,31)),'Inputs 2'!$C$58:$C$67,999999)))=999999,"",SUMPRODUCT(MIN(IF(('Inputs 2'!$C$58:$C$67&gt;MAX($B$6:$B40))*('Inputs 2'!$C$58:$C$67&gt;=DATE('Inputs 2'!$C$10,1,1))*('Inputs 2'!$C$58:$C$67&lt;=DATE('Inputs 2'!$C$10,12,31)),'Inputs 2'!$C$58:$C$67,999999))))</f>
      </c>
    </row>
    <row r="42">
      <c r="A42" t="n">
        <v>37</v>
      </c>
      <c r="B42" s="21">
        <f>IF(AND($CD42="",$CE42=""),"",IF($CE42="",$CD42,IF($CD42="",$CE42,MIN($CD42,$CE42))))</f>
      </c>
      <c r="C42" s="7">
        <f>IF($B42="","",IF($BF42=0,0,IF('Inputs 2'!$C$4="Annual salary",ROUND($AK42/IF(AND('Inputs 2'!$C$88="Actual paydays",MONTH('Inputs 2'!$C$9)=1),MAX(1,MAX($BE$6:$BE$68)),'Inputs 2'!$C$8),2),$AK42)))</f>
      </c>
      <c r="D42" s="7">
        <f>IF($B42="","",SUMIF('Inputs 2'!$C$58:$C$67,$B42,'Inputs 2'!$D$58:$D$67))</f>
      </c>
      <c r="E42" s="7">
        <f>IF($B42="","",ROUND(MAX(0,MIN(IF($AL42="Percent",$AM42*($C42+$D42),$AM42),MAX(0,'Inputs 2'!$C$34-$AC41))),2))</f>
      </c>
      <c r="F42" s="7">
        <f>IF($B42="","",ROUND(MAX(0,MIN(IF('Inputs 2'!$C$32="Percent",'Inputs 2'!$D$32*($C42+$D42),'Inputs 2'!$D$32),MAX(0,'Inputs 2'!$C$34-$AC41-$E42))),2))</f>
      </c>
      <c r="G42" s="7">
        <f>IF($B42="","",IF($BF42=0,0,ROUND(MAX(0,MIN($BL42,'Inputs 2'!$C$37-'Inputs 2'!$C$54-$BI41)),2)))</f>
      </c>
      <c r="H42" s="7">
        <f>IF($B42="","",IF(OR($BF42=0,$BQ42=1),0,ROUND(MAX(0,MIN(IF($BS42=1,ROUND(MAX(0,MIN($BJ42,'Methodology &amp; Sources'!$C$13)-$BG41)/MAX(1,MAX($BE$6:$BE$68)-($BE41)),2),ROUND(MIN($BJ42,'Methodology &amp; Sources'!$C$13)/'Inputs 2'!$C$8,2)),MIN($BJ42,'Methodology &amp; Sources'!$C$13)-$BG41)),2)))</f>
      </c>
      <c r="I42" s="7">
        <f>IF($B42="","",IF(OR($BF42=0,$BR42=1),0,ROUND(MAX(0,MIN(IF($BT42=1,ROUND(MAX(0,MIN($BK42,IF('Inputs 2'!$C$12="MFJ",'Methodology &amp; Sources'!$C$14,'Methodology &amp; Sources'!$C$15))-$BH41)/MAX(1,MAX($BE$6:$BE$68)-($BE41)),2),ROUND(MIN($BK42,IF('Inputs 2'!$C$12="MFJ",'Methodology &amp; Sources'!$C$14,'Methodology &amp; Sources'!$C$15))/'Inputs 2'!$C$8,2)),MIN($BK42,IF('Inputs 2'!$C$12="MFJ",'Methodology &amp; Sources'!$C$14,'Methodology &amp; Sources'!$C$15))-$BH41)),2)))</f>
      </c>
      <c r="J42" s="7">
        <f>IF($B42="","",IF($BF42=0,0,$BM42))</f>
      </c>
      <c r="K42" s="7">
        <f>IF($B42="","",IF($BF42=0,0,$BN42+$BO42))</f>
      </c>
      <c r="L42" s="7">
        <f>IF($B42="","",IF($BF42=0,0,'Inputs 2'!$D$46))</f>
      </c>
      <c r="M42" s="7">
        <f>IF($B42="","",$C42+$D42+$L42-$E42-$G42-$H42-$I42-$J42-$K42)</f>
      </c>
      <c r="N42" s="7">
        <f>IF($B42="","",$C42+$D42+$L42-$G42-$H42-$I42-$J42-$K42)</f>
      </c>
      <c r="O42" s="7">
        <f>IF($B42="","",$C42+$D42+$L42-$E42-$H42-$I42-$J42-$K42-IF(OR($AN42="CA",$AN42="NJ"),0,$G42))</f>
      </c>
      <c r="P42" s="7">
        <f>IF($B42="","",IF('Inputs 2'!$C$18,0,ROUND(MAX(0,IF('Inputs 2'!$C$13,SUMPRODUCT(($AH42&gt;INDEX('Methodology &amp; Sources'!$B$29:$J$36,0,IF('Inputs 2'!$C$12="MFJ",1,IF('Inputs 2'!$C$12="HoH",7,4))))*($AH42-INDEX('Methodology &amp; Sources'!$B$29:$J$36,0,IF('Inputs 2'!$C$12="MFJ",1,IF('Inputs 2'!$C$12="HoH",7,4))))*INDEX('Methodology &amp; Sources'!$B$29:$J$36,0,IF('Inputs 2'!$C$12="MFJ",1,IF('Inputs 2'!$C$12="HoH",7,4))+2)),SUMPRODUCT(($AH42&gt;INDEX('Methodology &amp; Sources'!$B$19:$J$26,0,IF('Inputs 2'!$C$12="MFJ",1,IF('Inputs 2'!$C$12="HoH",7,4))))*($AH42-INDEX('Methodology &amp; Sources'!$B$19:$J$26,0,IF('Inputs 2'!$C$12="MFJ",1,IF('Inputs 2'!$C$12="HoH",7,4))))*INDEX('Methodology &amp; Sources'!$B$19:$J$26,0,IF('Inputs 2'!$C$12="MFJ",1,IF('Inputs 2'!$C$12="HoH",7,4))+2)))/'Inputs 2'!$C$8-$AO42/'Inputs 2'!$C$8)+$AR42+IF('Inputs 2'!$C$89="Aggregate",MAX(0,IF('Inputs 2'!$C$13,SUMPRODUCT((($AH42+$D42)&gt;INDEX('Methodology &amp; Sources'!$B$29:$J$36,0,IF('Inputs 2'!$C$12="MFJ",1,IF('Inputs 2'!$C$12="HoH",7,4))))*(($AH42+$D42)-INDEX('Methodology &amp; Sources'!$B$29:$J$36,0,IF('Inputs 2'!$C$12="MFJ",1,IF('Inputs 2'!$C$12="HoH",7,4))))*INDEX('Methodology &amp; Sources'!$B$29:$J$36,0,IF('Inputs 2'!$C$12="MFJ",1,IF('Inputs 2'!$C$12="HoH",7,4))+2)),SUMPRODUCT((($AH42+$D42)&gt;INDEX('Methodology &amp; Sources'!$B$19:$J$26,0,IF('Inputs 2'!$C$12="MFJ",1,IF('Inputs 2'!$C$12="HoH",7,4))))*(($AH42+$D42)-INDEX('Methodology &amp; Sources'!$B$19:$J$26,0,IF('Inputs 2'!$C$12="MFJ",1,IF('Inputs 2'!$C$12="HoH",7,4))))*INDEX('Methodology &amp; Sources'!$B$19:$J$26,0,IF('Inputs 2'!$C$12="MFJ",1,IF('Inputs 2'!$C$12="HoH",7,4))+2)))-IF('Inputs 2'!$C$13,SUMPRODUCT(($AH42&gt;INDEX('Methodology &amp; Sources'!$B$29:$J$36,0,IF('Inputs 2'!$C$12="MFJ",1,IF('Inputs 2'!$C$12="HoH",7,4))))*($AH42-INDEX('Methodology &amp; Sources'!$B$29:$J$36,0,IF('Inputs 2'!$C$12="MFJ",1,IF('Inputs 2'!$C$12="HoH",7,4))))*INDEX('Methodology &amp; Sources'!$B$29:$J$36,0,IF('Inputs 2'!$C$12="MFJ",1,IF('Inputs 2'!$C$12="HoH",7,4))+2)),SUMPRODUCT(($AH42&gt;INDEX('Methodology &amp; Sources'!$B$19:$J$26,0,IF('Inputs 2'!$C$12="MFJ",1,IF('Inputs 2'!$C$12="HoH",7,4))))*($AH42-INDEX('Methodology &amp; Sources'!$B$19:$J$26,0,IF('Inputs 2'!$C$12="MFJ",1,IF('Inputs 2'!$C$12="HoH",7,4))))*INDEX('Methodology &amp; Sources'!$B$19:$J$26,0,IF('Inputs 2'!$C$12="MFJ",1,IF('Inputs 2'!$C$12="HoH",7,4))+2)))),'Methodology &amp; Sources'!$C$10*$D42),2)))</f>
      </c>
      <c r="Q42" s="7">
        <f>IF($B42="","",ROUND('Methodology &amp; Sources'!$C$4*MIN($N42,MAX(0,'Methodology &amp; Sources'!$C$3-($AX42+$AB41-$AW42))),2))</f>
      </c>
      <c r="R42" s="7">
        <f>IF($B42="","",ROUND('Methodology &amp; Sources'!$C$5*$N42,2))</f>
      </c>
      <c r="S42" s="7">
        <f>IF($B42="","",ROUND('Methodology &amp; Sources'!$C$6*MAX(0,MIN($N42,$AG41+$N42-'Methodology &amp; Sources'!$C$7)),2))</f>
      </c>
      <c r="T42" s="7">
        <f>IF($B42="","",IF('Inputs 2'!$C$26,0,IF($AN42="CA",ROUND(IF($AI42&lt;=IF(($AS42+$AT42)&gt;=2,VLOOKUP($AN42,StateTables!$A$6:$AB$56,10,FALSE),VLOOKUP($AN42,StateTables!$A$6:$AB$56,9,FALSE)),0,MAX(0,SUMPRODUCT(($AJ42&gt;INDEX('Methodology &amp; Sources'!$B$39:$J$48,0,IF($AU42="Married",4,IF($AU42="Head of household",7,1))))*($AJ42-INDEX('Methodology &amp; Sources'!$B$39:$J$48,0,IF($AU42="Married",4,IF($AU42="Head of household",7,1))))*INDEX('Methodology &amp; Sources'!$B$39:$J$48,0,IF($AU42="Married",4,IF($AU42="Head of household",7,1))+2))-VLOOKUP($AN42,StateTables!$A$6:$AB$56,11,FALSE)*$AS42)/'Inputs 2'!$C$8)+'Inputs 2'!$C$25+VLOOKUP($AN42,StateTables!$A$6:$AB$56,13,FALSE)*$D42,2),IF(VLOOKUP($AN42,StateTables!$A$6:$AB$56,4,FALSE)="None",0,IF(ISNUMBER(SEARCH("MANUAL",VLOOKUP($AN42,StateTables!$A$6:$AB$56,5,FALSE))),'Inputs 2'!$C$28,ROUND(MAX(0,$BA42+$BB42)/'Inputs 2'!$C$8+'Inputs 2'!$C$25+$BC42,2))))))</f>
      </c>
      <c r="U42" s="7">
        <f>IF($B42="","",IF(VLOOKUP($AN42,StateTables!$A$6:$AB$56,24,FALSE)="flatq",IF(OR(MONTH($B42)=1,MONTH($B42)=4,MONTH($B42)=7,MONTH($B42)=10),VLOOKUP($AN42,StateTables!$A$6:$AB$56,25,FALSE),0),IF(VLOOKUP($AN42,StateTables!$A$6:$AB$56,24,FALSE)="dbl",MIN(ROUND(0.005*$N42,2),ROUND(0.6*52/'Inputs 2'!$C$8,2)),IF(OR(VLOOKUP($AN42,StateTables!$A$6:$AB$56,15,FALSE)="",VLOOKUP($AN42,StateTables!$A$6:$AB$56,15,FALSE)=0),0,ROUND(VLOOKUP($AN42,StateTables!$A$6:$AB$56,15,FALSE)*IF(OR(VLOOKUP($AN42,StateTables!$A$6:$AB$56,16,FALSE)="",VLOOKUP($AN42,StateTables!$A$6:$AB$56,16,FALSE)=0),$N42,MIN($N42,MAX(0,VLOOKUP($AN42,StateTables!$A$6:$AB$56,16,FALSE)-($AX42+$AB41-$AW42)))),2))))+IF(VLOOKUP($AN42,StateTables!$A$6:$AB$56,27,FALSE)="flatq",IF(OR(MONTH($B42)=1,MONTH($B42)=4,MONTH($B42)=7,MONTH($B42)=10),VLOOKUP($AN42,StateTables!$A$6:$AB$56,28,FALSE),0),IF(VLOOKUP($AN42,StateTables!$A$6:$AB$56,27,FALSE)="dbl",MIN(ROUND(0.005*$N42,2),ROUND(0.6*52/'Inputs 2'!$C$8,2)),IF(OR(VLOOKUP($AN42,StateTables!$A$6:$AB$56,18,FALSE)="",VLOOKUP($AN42,StateTables!$A$6:$AB$56,18,FALSE)=0),0,ROUND(VLOOKUP($AN42,StateTables!$A$6:$AB$56,18,FALSE)*IF(OR(VLOOKUP($AN42,StateTables!$A$6:$AB$56,19,FALSE)="",VLOOKUP($AN42,StateTables!$A$6:$AB$56,19,FALSE)=0),$N42,MIN($N42,MAX(0,VLOOKUP($AN42,StateTables!$A$6:$AB$56,19,FALSE)-($AX42+$AB41-$AW42)))),2)))))</f>
      </c>
      <c r="V42" s="7">
        <f>IF($B42="","",IF($AN42="NY",IF('Inputs 2'!$C$78,ROUND(SUMPRODUCT((MAX(0,($O42-$D42)*'Inputs 2'!$C$8-(IF($AU42="Married",5500,5000)+1000*$AS42))&gt;INDEX('Methodology &amp; Sources'!$B$184:$J$198,0,4))*(MAX(0,($O42-$D42)*'Inputs 2'!$C$8-(IF($AU42="Married",5500,5000)+1000*$AS42))-INDEX('Methodology &amp; Sources'!$B$184:$J$198,0,4))*INDEX('Methodology &amp; Sources'!$B$184:$J$198,0,4+2))/'Inputs 2'!$C$8+0.0425*$D42,2),0)+IF('Inputs 2'!$C$79="Resident",ROUND(0.1675*$T42,2),IF('Inputs 2'!$C$79="Nonresident",ROUND(0.005*MAX(0,($O42-$D42)-(IF($AU42="Married",7950,7400)+1000*$AS42)/'Inputs 2'!$C$8),2),0)),IF($AN42="PA",IF('Inputs 2'!$C$80="None",'Inputs 2'!$C$27+ROUND('Inputs 2'!$C$81*($C42+$D42),2),ROUND(IF('Inputs 2'!$C$80="Resident",IF($B42&lt;DATE(2027,7,1),0.03735,0.03735),IF($B42&lt;DATE(2027,7,1),0.03425,0.03425))*($C42+$D42),2)),IF($BF42=0,ROUND('Inputs 2'!$C$81*($C42+$D42),2),'Inputs 2'!$C$27+ROUND('Inputs 2'!$C$81*($C42+$D42),2)))))</f>
      </c>
      <c r="W42" s="7">
        <f>IF($B42="","",IF($BF42=0,0,$BP42))</f>
      </c>
      <c r="X42" s="7">
        <f>IF($B42="","",SUM($E42:$K42)+$P42+$Q42+$R42+$S42+$T42+$U42+$V42+$W42)</f>
      </c>
      <c r="Y42" s="22">
        <f>IF($B42="","",$C42+$D42-$X42)</f>
      </c>
      <c r="Z42" s="7">
        <f>IF($B42="","",$Z41+$C42+$D42)</f>
      </c>
      <c r="AA42" s="7">
        <f>IF($B42="","",$AA41+$Y42)</f>
      </c>
      <c r="AB42" s="7">
        <f>IF($B42="","",$AB41+MIN($N42,MAX(0,'Methodology &amp; Sources'!$C$3-($AX42+$AB41-$AW42))))</f>
      </c>
      <c r="AC42" s="7">
        <f>IF($B42="","",$AC41+$E42+$F42)</f>
      </c>
      <c r="AD42" s="3">
        <f>IF($B42="","",IF(AND($AB41&lt;'Methodology &amp; Sources'!$C$3,$AB42&gt;='Methodology &amp; Sources'!$C$3),"★ Social Security maxed on this check — from the next check your net rises by about $"&amp;TEXT(ROUND('Methodology &amp; Sources'!$C$4*$N42,2),"#,##0.00")&amp;". ","")&amp;IF(AND($AC41&lt;'Inputs 2'!$C$34,$AC42&gt;='Inputs 2'!$C$34),"★ 401(k) reaches the $"&amp;TEXT('Inputs 2'!$C$34,"#,##0")&amp;" cap on this check — deferrals stop and net pay rises. ","")&amp;IF(AND($AG41&lt;'Methodology &amp; Sources'!$C$7,$AG42&gt;='Methodology &amp; Sources'!$C$7),"★ Wages pass $200,000 — the 0.9% Additional Medicare Tax starts here. ","")&amp;IF(AND($BJ42&gt;0,$H42&gt;0,$BG41&lt;MIN($BJ42,'Methodology &amp; Sources'!$C$13),$BG41+$H42&gt;=MIN($BJ42,'Methodology &amp; Sources'!$C$13)),"★ Health FSA election is now fully deferred for the year. ",""))</f>
      </c>
      <c r="AE42" s="41" t="n"/>
      <c r="AF42" s="7">
        <f>IF(OR($B42="",$AE42=""),"",$AE42-$Y42)</f>
      </c>
      <c r="AG42" s="7">
        <f>IF($B42="","",$AG41+$N42)</f>
      </c>
      <c r="AH42" s="7">
        <f>IF($B42="","",MAX(0,($M42-$D42)*'Inputs 2'!$C$8+$AP42-$AQ42-IF('Inputs 2'!$C$13,0,IF('Inputs 2'!$C$12="MFJ",'Methodology &amp; Sources'!$C$8,'Methodology &amp; Sources'!$C$9))))</f>
      </c>
      <c r="AI42" s="7">
        <f>IF($B42="","",$O42*'Inputs 2'!$C$8)</f>
      </c>
      <c r="AJ42" s="7">
        <f>IF($B42="","",MAX(0,$AI42-VLOOKUP($AN42,StateTables!$A$6:$AB$56,12,FALSE)*$AT42-IF(($AS42+$AT42)&gt;=2,VLOOKUP($AN42,StateTables!$A$6:$AB$56,8,FALSE),VLOOKUP($AN42,StateTables!$A$6:$AB$56,7,FALSE))))</f>
      </c>
      <c r="AK42" s="7">
        <f>IF($B42="","",IFERROR(LOOKUP(2,1/(('Events 2'!$C$6:$C$17="Salary change")*('Events 2'!$B$6:$B$17&lt;=$B42)*('Events 2'!$B$6:$B$17&lt;&gt;"")),'Events 2'!$D$6:$D$17),IF('Inputs 2'!$C$4="Annual salary",'Inputs 2'!$C$5,'Inputs 2'!$C$6)))</f>
      </c>
      <c r="AL42">
        <f>IF($B42="","",IFERROR(LOOKUP(2,1/(('Events 2'!$C$6:$C$17="401(k) change")*('Events 2'!$B$6:$B$17&lt;=$B42)*('Events 2'!$B$6:$B$17&lt;&gt;"")),'Events 2'!$D$6:$D$17),'Inputs 2'!$C$30))</f>
      </c>
      <c r="AM42" s="7">
        <f>IF($B42="","",IFERROR(LOOKUP(2,1/(('Events 2'!$C$6:$C$17="401(k) change")*('Events 2'!$B$6:$B$17&lt;=$B42)*('Events 2'!$B$6:$B$17&lt;&gt;"")),'Events 2'!$E$6:$E$17),'Inputs 2'!$D$30))</f>
      </c>
      <c r="AN42">
        <f>IF($B42="","",IFERROR(LOOKUP(2,1/(('Events 2'!$C$6:$C$17="State move")*('Events 2'!$B$6:$B$17&lt;=$B42)*('Events 2'!$B$6:$B$17&lt;&gt;"")),'Events 2'!$D$6:$D$17),'Inputs 2'!$C$21))</f>
      </c>
      <c r="AO42" s="7">
        <f>IF($B42="","",IFERROR(LOOKUP(2,1/(('Events 2'!$C$6:$C$17="W-4 change")*('Events 2'!$B$6:$B$17&lt;=$B42)*('Events 2'!$B$6:$B$17&lt;&gt;"")),'Events 2'!$D$6:$D$17),'Inputs 2'!$C$14))</f>
      </c>
      <c r="AP42" s="7">
        <f>IF($B42="","",IFERROR(LOOKUP(2,1/(('Events 2'!$C$6:$C$17="W-4 change")*('Events 2'!$B$6:$B$17&lt;=$B42)*('Events 2'!$B$6:$B$17&lt;&gt;"")),'Events 2'!$E$6:$E$17),'Inputs 2'!$C$15))</f>
      </c>
      <c r="AQ42" s="7">
        <f>IF($B42="","",IFERROR(LOOKUP(2,1/(('Events 2'!$C$6:$C$17="W-4 change")*('Events 2'!$B$6:$B$17&lt;=$B42)*('Events 2'!$B$6:$B$17&lt;&gt;"")),'Events 2'!$F$6:$F$17),'Inputs 2'!$C$16))</f>
      </c>
      <c r="AR42" s="7">
        <f>IF($B42="","",IFERROR(LOOKUP(2,1/(('Events 2'!$C$6:$C$17="W-4 change")*('Events 2'!$B$6:$B$17&lt;=$B42)*('Events 2'!$B$6:$B$17&lt;&gt;"")),'Events 2'!$G$6:$G$17),'Inputs 2'!$C$17))</f>
      </c>
      <c r="AS42" s="6">
        <f>IF($B42="","",IFERROR(LOOKUP(2,1/((('Events 2'!$C$6:$C$17="State move")+('Events 2'!$C$6:$C$17="State cert change"))*('Events 2'!$B$6:$B$17&lt;=$B42)*('Events 2'!$B$6:$B$17&lt;&gt;"")),'Events 2'!$F$6:$F$17),'Inputs 2'!$C$23))</f>
      </c>
      <c r="AT42" s="6">
        <f>IF($B42="","",IFERROR(LOOKUP(2,1/((('Events 2'!$C$6:$C$17="State move")+('Events 2'!$C$6:$C$17="State cert change"))*('Events 2'!$B$6:$B$17&lt;=$B42)*('Events 2'!$B$6:$B$17&lt;&gt;"")),'Events 2'!$G$6:$G$17),'Inputs 2'!$C$24))</f>
      </c>
      <c r="AU42">
        <f>IF($B42="","",IFERROR(LOOKUP(2,1/(('Events 2'!$C$6:$C$17="State move")*('Events 2'!$B$6:$B$17&lt;=$B42)*('Events 2'!$B$6:$B$17&lt;&gt;"")),'Events 2'!$E$6:$E$17),'Inputs 2'!$C$22))</f>
      </c>
      <c r="AV42" s="6">
        <f>IF($B42="","",1+COUNTIFS('Events 2'!$C$6:$C$17,"Employer change",'Events 2'!$B$6:$B$17,"&lt;="&amp;$B42,'Events 2'!$B$6:$B$17,"&lt;&gt;"))</f>
      </c>
      <c r="AW42" s="7">
        <f>IF($B42="","",IF($AV42=1,'Inputs 2'!$C$49,IF(IFERROR(MATCH(IFERROR(LOOKUP(2,1/(('Events 2'!$C$6:$C$17="Employer change")*('Events 2'!$B$6:$B$17&lt;=$B42)*('Events 2'!$B$6:$B$17&lt;&gt;"")),'Events 2'!$B$6:$B$17),""),$B$6:$B$68,1),1)&lt;=1,'Inputs 2'!$C$49,INDEX($AB$6:$AB$68,MATCH(IFERROR(LOOKUP(2,1/(('Events 2'!$C$6:$C$17="Employer change")*('Events 2'!$B$6:$B$17&lt;=$B42)*('Events 2'!$B$6:$B$17&lt;&gt;"")),'Events 2'!$B$6:$B$17),""),$B$6:$B$68,1)-1))))</f>
      </c>
      <c r="AX42" s="7">
        <f>IF($B42="","",IF($AV42=1,'Inputs 2'!$C$49,IFERROR(LOOKUP(2,1/(('Events 2'!$C$6:$C$17="Employer change")*('Events 2'!$B$6:$B$17&lt;=$B42)*('Events 2'!$B$6:$B$17&lt;&gt;"")),'Events 2'!$D$6:$D$17),0)))</f>
      </c>
      <c r="AY42" s="7">
        <f>IF($B42="","",($O42-$D42)*'Inputs 2'!$C$8)</f>
      </c>
      <c r="AZ42" s="7">
        <f>IF($B42="","",IF($AN42="AL",MAX(0,$AY42-IF($AU42="Married",IF($AY42&lt;=25999,8500,MAX(5000,8500-175*CEILING(($AY42-25999)/500,1))),IF($AU42="Head of household",IF($AY42&lt;=25999,5200,MAX(2500,5200-135*CEILING(($AY42-25999)/500,1))),IF($AY42&lt;=25999,3000,MAX(2500,3000-25*CEILING(($AY42-25999)/500,1)))))-($P42-'Methodology &amp; Sources'!$C$10*$D42)*'Inputs 2'!$C$8-IF(OR($AU42="Married",$AU42="Head of household"),3000,1500)-$AT42*IF($AY42&lt;=50000,1000,IF($AY42&lt;=100000,500,300))),IF($AN42="AR",IF(MAX(0,$AY42-2470)&lt;97701,INT(MAX(0,$AY42-2470)/100)*100+50,MAX(0,$AY42-2470)),IF($AN42="DE",MAX(0,$AI42-3250),IF($AN42="HI",MAX(0,$AI42-1144*$AS42-4350),IF($AN42="KS",MAX(0,$AI42-(9160*IF($AU42="Married",2,1)+2320*$AT42+IF($AU42="Head of household",2320,0))),IF($AN42="MD",MAX(0,$AI42-3400-3200*$AS42),IF($AN42="MN",MAX(0,$AY42-5300*$AS42),IF($AN42="MO",MAX(0,$AI42-IF($AU42="Head of household",24150,IF($AU42="Married",IF('Inputs 2'!$C$83,16100,32200),16100))),IF($AN42="MT",$AY42,IF($AN42="ND",($C42+$L42)*'Inputs 2'!$C$8,IF($AN42="NE",MAX(0,$AY42-2440*$AS42),IF($AN42="NJ",MAX(0,$AY42-1000*$AS42),IF($AN42="NY",MAX(0,$AY42-(IF($AU42="Married",7950,7400)+1000*$AS42)),IF($AN42="OH",MAX(0,$AY42-650*$AS42),IF($AN42="OK",MAX(0,$AY42-1000*$AS42),IF($AN42="RI",MAX(0,$AI42-1000*$AS42),IF($AN42="SC",MAX(0,$AI42-5000*$AS42-IF($AS42=0,0,MIN(0.1*$AI42,7500))),IF($AN42="VA",MAX(0,$AI42-IF($AU42="Married",17500,8750)-930*$AS42-800*$AT42),IF($AN42="VT",MAX(0,$AI42-5400*$AS42),IF($AN42="WI",MAX(0,$AI42-MAX(0,IF($AU42="Married",9461-0.2*MAX(0,$AI42-25727),6702-0.12*MAX(0,$AI42-17780)))-400*$AS42),IF($AN42="WV",MAX(0,$AI42-2000*$AS42),$AI42))))))))))))))))))))))</f>
      </c>
      <c r="BA42" s="7">
        <f>IF($B42="","",IF($BW42&lt;&gt;"",$BW42,IF($BX42&lt;&gt;"",$BX42,IF($BY42&lt;&gt;"",$BY42,0))))</f>
      </c>
      <c r="BB42" s="7">
        <f>IF($B42="","",IF($AN42="AR",-29*$AS42,IF($AN42="DE",-110*$AS42,IF($AN42="MD",$AZ42*'Inputs 2'!$C$74,IF($AN42="AZ",'Inputs 2'!$C$82*($M42-$D42)*'Inputs 2'!$C$8,IF($AN42="CO",0.044*MAX(0,$AY42-IF($AU42="Married",10000,5000)),IF($AN42="IA",MAX(0,0.038*MAX(0,$AY42-IF($AU42="Head of household",19500,IF($AU42="Married",26000,13000)))-40*$AS42),IF($AN42="ID",0.053*MAX(0,$AY42-IF($AU42="Married",32000,16094)),IF($AN42="IL",0.0495*MAX(0,$AY42-(2925*$AS42+1000*$AT42)),IF($AN42="IN",(0.0295+'Inputs 2'!$C$76)*MAX(0,$AY42-(1000*$AS42+1500*$AT42+3000*'Inputs 2'!$C$86)),IF($AN42="KY",0.035*MAX(0,$AI42-3360),IF($AN42="LA",IF('Inputs 2'!$C$84="0",0.0309*$AI42,0.0309*MAX(0,$AI42-IF('Inputs 2'!$C$84="2",25750,12875))),IF($AN42="MA",0.05*MIN(MAX(0,$AY42-MIN(($BD41+$Q42+$R42+$S42),2000)-IF($AS42=0,0,IF($AS42=1,4400,1000*$AS42+3400))),1107750)+0.09*MAX(0,MAX(0,$AY42-MIN(($BD41+$Q42+$R42+$S42),2000)-IF($AS42=0,0,IF($AS42=1,4400,1000*$AS42+3400)))-1107750)-IF($AU42="Head of household",120,0)-110*'Inputs 2'!$C$75,IF($AN42="MI",0.0425*MAX(0,$AY42-5900*$AS42),IF($AN42="MS",0.04*MAX(0,$AI42-IF($AU42="Head of household",3400,IF($AU42="Married",4600,2300))-'Inputs 2'!$C$85-10000),IF($AN42="OR",IF(OR($AU42="Married",AND($AU42="Single",$AS42&gt;=3)),SUMPRODUCT((MAX(0,$AY42-MIN(($P42-'Methodology &amp; Sources'!$C$10*$D42)*'Inputs 2'!$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Sources'!$B$211:$J$214,0,4))*(MAX(0,$AY42-MIN(($P42-'Methodology &amp; Sources'!$C$10*$D42)*'Inputs 2'!$C$8,IF(OR($AU42="Married",AND($AU42="Single",$AS42&gt;=3)),IF($AY42&lt;250000,8750,IF($AY42&lt;260000,7000,IF($AY42&lt;270000,5250,IF($AY42&lt;280000,3500,IF($AY42&lt;290000,1750,0))))),IF($AY42&lt;125000,8750,IF($AY42&lt;130000,7000,IF($AY42&lt;135000,5250,IF($AY42&lt;140000,3500,IF($AY42&lt;145000,1750,0)))))))-IF(OR($AU42="Married",AND($AU42="Single",$AS42&gt;=3)),5820,2910))-INDEX('Methodology &amp; Sources'!$B$211:$J$214,0,4))*INDEX('Methodology &amp; Sources'!$B$211:$J$214,0,4+2)),SUMPRODUCT((MAX(0,$AY42-MIN(($P42-'Methodology &amp; Sources'!$C$10*$D42)*'Inputs 2'!$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Sources'!$B$211:$J$214,0,1))*(MAX(0,$AY42-MIN(($P42-'Methodology &amp; Sources'!$C$10*$D42)*'Inputs 2'!$C$8,IF(OR($AU42="Married",AND($AU42="Single",$AS42&gt;=3)),IF($AY42&lt;250000,8750,IF($AY42&lt;260000,7000,IF($AY42&lt;270000,5250,IF($AY42&lt;280000,3500,IF($AY42&lt;290000,1750,0))))),IF($AY42&lt;125000,8750,IF($AY42&lt;130000,7000,IF($AY42&lt;135000,5250,IF($AY42&lt;140000,3500,IF($AY42&lt;145000,1750,0)))))))-IF(OR($AU42="Married",AND($AU42="Single",$AS42&gt;=3)),5820,2910))-INDEX('Methodology &amp; Sources'!$B$211:$J$214,0,1))*INDEX('Methodology &amp; Sources'!$B$211:$J$214,0,1+2)))+263-263*IF(IF($AU42="Married",$AY42&gt;200000,$AY42&gt;100000),0,$AS42),IF($AN42="PA",0.0307*(($O42+$E42+$G42)*'Inputs 2'!$C$8),IF($AN42="NY",IF($AU42="Married",IF($AZ42&gt;=2155350,0,IF($AZ42&gt;=1077550,0.48,IF($AZ42&gt;=373200,1.21,IF($AZ42&gt;=323200,0.21,IF($AZ42&gt;=211550,-0.19,IF($AZ42&gt;=157650,-2.8,IF($AZ42&gt;=107650,-0.8,IF($AZ42&gt;=96800,0.05,IF($AZ42&gt;=80650,-0.1,IF($AZ42&gt;=13900,0.4,IF($AZ42&gt;=11700,-0.3,IF($AZ42&gt;=8500,0.5,0)))))))))))),IF($AZ42&gt;=1077550,0,IF($AZ42&gt;=265400,4.29,IF($AZ42&gt;=215400,2.29,IF($AZ42&gt;=157650,2.29,IF($AZ42&gt;=107650,0.29,IF($AZ42&gt;=96800,0.05,IF($AZ42&gt;=80650,-0.1,IF($AZ42&gt;=13900,0.4,IF($AZ42&gt;=11700,-0.3,IF($AZ42&gt;=8500,0.5,0))))))))))),0))))))))))))))))))</f>
      </c>
      <c r="BC42" s="7">
        <f>IF($B42="","",IF($AN42="AL",0.05*$D42,IF($AN42="AR",0.039*$D42,IF($AN42="ID",0.053*$D42,IF($AN42="IN",(0.0295+'Inputs 2'!$C$76)*$D42,IF($AN42="KS",0.05*$D42,IF($AN42="MA",0.09*MIN($D42,MAX(0,MAX(0,$AY42-MIN(($BD41+$Q42+$R42+$S42),2000)-IF($AS42=0,0,IF($AS42=1,4400,1000*$AS42+3400)))+$D42-1107750))+0.05*($D42-MIN($D42,MAX(0,MAX(0,$AY42-MIN(($BD41+$Q42+$R42+$S42),2000)-IF($AS42=0,0,IF($AS42=1,4400,1000*$AS42+3400)))+$D42-1107750))),IF($AN42="MD",(0.065+'Inputs 2'!$C$74)*$D42,IF($AN42="MI",0.0425*$D42,IF($AN42="MN",0.0625*$D42,IF($AN42="MO",0.047*$D42,IF($AN42="MT",0.05*$D42,IF($AN42="ND",0.015*$D42,IF($AN42="NE",0.035*$D42,IF($AN42="NJ",IF('Inputs 2'!$C$77="B",SUMPRODUCT(($D42*'Inputs 2'!$C$8&gt;INDEX('Methodology &amp; Sources'!$B$155:$J$162,0,4))*($D42*'Inputs 2'!$C$8-INDEX('Methodology &amp; Sources'!$B$155:$J$162,0,4))*INDEX('Methodology &amp; Sources'!$B$155:$J$162,0,4+2)),IF('Inputs 2'!$C$77="C",SUMPRODUCT(($D42*'Inputs 2'!$C$8&gt;INDEX('Methodology &amp; Sources'!$B$155:$J$162,0,7))*($D42*'Inputs 2'!$C$8-INDEX('Methodology &amp; Sources'!$B$155:$J$162,0,7))*INDEX('Methodology &amp; Sources'!$B$155:$J$162,0,7+2)),IF('Inputs 2'!$C$77="D",SUMPRODUCT(($D42*'Inputs 2'!$C$8&gt;INDEX('Methodology &amp; Sources'!$B$167:$J$179,0,1))*($D42*'Inputs 2'!$C$8-INDEX('Methodology &amp; Sources'!$B$167:$J$179,0,1))*INDEX('Methodology &amp; Sources'!$B$167:$J$179,0,1+2)),IF('Inputs 2'!$C$77="E",SUMPRODUCT(($D42*'Inputs 2'!$C$8&gt;INDEX('Methodology &amp; Sources'!$B$167:$J$179,0,4))*($D42*'Inputs 2'!$C$8-INDEX('Methodology &amp; Sources'!$B$167:$J$179,0,4))*INDEX('Methodology &amp; Sources'!$B$167:$J$179,0,4+2)),SUMPRODUCT(($D42*'Inputs 2'!$C$8&gt;INDEX('Methodology &amp; Sources'!$B$155:$J$162,0,1))*($D42*'Inputs 2'!$C$8-INDEX('Methodology &amp; Sources'!$B$155:$J$162,0,1))*INDEX('Methodology &amp; Sources'!$B$155:$J$162,0,1+2))))))/'Inputs 2'!$C$8,IF($AN42="NY",0.117*$D42,IF($AN42="OH",0.0275*$D42,IF($AN42="OK",0.045*$D42,IF($AN42="OR",0.08*$D42,IF($AN42="WI",IF($AY42&lt;12760,0.0354,IF($AY42&lt;25520,0.0465,IF($AY42&lt;280950,0.053,0.0765)))*$D42,0))))))))))))))))))))</f>
      </c>
      <c r="BD42" s="7">
        <f>IF($B42="","",$BD41+$Q42+$R42+$S42)</f>
      </c>
      <c r="BE42" s="6">
        <f>IF($B42="",$BE41,$BE41+$BF42)</f>
      </c>
      <c r="BF42" s="6">
        <f>IF($B42="","",IF(AND(IF(YEAR(IF('Inputs 2'!$C$7="Weekly",'Inputs 2'!$C$9+7*(($BE41+1)-1),IF('Inputs 2'!$C$7="Biweekly",'Inputs 2'!$C$9+14*(($BE41+1)-1),IF('Inputs 2'!$C$7="Semimonthly",DATE(YEAR('Inputs 2'!$C$9),MONTH('Inputs 2'!$C$9)+INT((($BE41+1)-1)/2),MIN(DAY('Inputs 2'!$C$9),DAY(EOMONTH(DATE(YEAR('Inputs 2'!$C$9),MONTH('Inputs 2'!$C$9)+INT((($BE41+1)-1)/2),1),0))))+IF(MOD(($BE41+1)-1,2)=1,15,0),EDATE('Inputs 2'!$C$9,($BE41+1)-1)))))&lt;&gt;'Inputs 2'!$C$10,"",IF('Inputs 2'!$C$7="Weekly",'Inputs 2'!$C$9+7*(($BE41+1)-1),IF('Inputs 2'!$C$7="Biweekly",'Inputs 2'!$C$9+14*(($BE41+1)-1),IF('Inputs 2'!$C$7="Semimonthly",DATE(YEAR('Inputs 2'!$C$9),MONTH('Inputs 2'!$C$9)+INT((($BE41+1)-1)/2),MIN(DAY('Inputs 2'!$C$9),DAY(EOMONTH(DATE(YEAR('Inputs 2'!$C$9),MONTH('Inputs 2'!$C$9)+INT((($BE41+1)-1)/2),1),0))))+IF(MOD(($BE41+1)-1,2)=1,15,0),EDATE('Inputs 2'!$C$9,($BE41+1)-1)))))&lt;&gt;"",$B42=IF(YEAR(IF('Inputs 2'!$C$7="Weekly",'Inputs 2'!$C$9+7*(($BE41+1)-1),IF('Inputs 2'!$C$7="Biweekly",'Inputs 2'!$C$9+14*(($BE41+1)-1),IF('Inputs 2'!$C$7="Semimonthly",DATE(YEAR('Inputs 2'!$C$9),MONTH('Inputs 2'!$C$9)+INT((($BE41+1)-1)/2),MIN(DAY('Inputs 2'!$C$9),DAY(EOMONTH(DATE(YEAR('Inputs 2'!$C$9),MONTH('Inputs 2'!$C$9)+INT((($BE41+1)-1)/2),1),0))))+IF(MOD(($BE41+1)-1,2)=1,15,0),EDATE('Inputs 2'!$C$9,($BE41+1)-1)))))&lt;&gt;'Inputs 2'!$C$10,"",IF('Inputs 2'!$C$7="Weekly",'Inputs 2'!$C$9+7*(($BE41+1)-1),IF('Inputs 2'!$C$7="Biweekly",'Inputs 2'!$C$9+14*(($BE41+1)-1),IF('Inputs 2'!$C$7="Semimonthly",DATE(YEAR('Inputs 2'!$C$9),MONTH('Inputs 2'!$C$9)+INT((($BE41+1)-1)/2),MIN(DAY('Inputs 2'!$C$9),DAY(EOMONTH(DATE(YEAR('Inputs 2'!$C$9),MONTH('Inputs 2'!$C$9)+INT((($BE41+1)-1)/2),1),0))))+IF(MOD(($BE41+1)-1,2)=1,15,0),EDATE('Inputs 2'!$C$9,($BE41+1)-1)))))),1,0))</f>
      </c>
      <c r="BG42" s="7">
        <f>IF($B42="","",$BG41+$H42)</f>
      </c>
      <c r="BH42" s="7">
        <f>IF($B42="","",$BH41+$I42)</f>
      </c>
      <c r="BI42" s="7">
        <f>IF($B42="","",$BI41+$G42)</f>
      </c>
      <c r="BJ42" s="7">
        <f>IF($B42="","",IFERROR(LOOKUP(2,1/(((('Events 2'!$C$6:$C$17="Deduction start"))*('Events 2'!$D$6:$D$17="Health FSA"))*('Events 2'!$B$6:$B$17&lt;=$B42)*('Events 2'!$B$6:$B$17&lt;&gt;"")),'Events 2'!$E$6:$E$17),'Inputs 2'!$D$38))</f>
      </c>
      <c r="BK42" s="7">
        <f>IF($B42="","",IFERROR(LOOKUP(2,1/(((('Events 2'!$C$6:$C$17="Deduction start"))*('Events 2'!$D$6:$D$17="Dependent-care FSA"))*('Events 2'!$B$6:$B$17&lt;=$B42)*('Events 2'!$B$6:$B$17&lt;&gt;"")),'Events 2'!$E$6:$E$17),'Inputs 2'!$D$39))</f>
      </c>
      <c r="BL42" s="7">
        <f>IF($B42="","",IFERROR(LOOKUP(2,1/(((('Events 2'!$C$6:$C$17="Deduction start")+('Events 2'!$C$6:$C$17="Deduction stop"))*('Events 2'!$D$6:$D$17="HSA"))*('Events 2'!$B$6:$B$17&lt;=$B42)*('Events 2'!$B$6:$B$17&lt;&gt;"")),'Events 2'!$I$6:$I$17),'Inputs 2'!$D$35))</f>
      </c>
      <c r="BM42" s="7">
        <f>IF($B42="","",IFERROR(LOOKUP(2,1/(((('Events 2'!$C$6:$C$17="Deduction start")+('Events 2'!$C$6:$C$17="Deduction stop"))*('Events 2'!$D$6:$D$17="Premiums"))*('Events 2'!$B$6:$B$17&lt;=$B42)*('Events 2'!$B$6:$B$17&lt;&gt;"")),'Events 2'!$I$6:$I$17),'Inputs 2'!$D$40+'Inputs 2'!$D$41+'Inputs 2'!$D$42))</f>
      </c>
      <c r="BN42" s="7">
        <f>IF($B42="","",IFERROR(LOOKUP(2,1/(((('Events 2'!$C$6:$C$17="Deduction start")+('Events 2'!$C$6:$C$17="Deduction stop"))*('Events 2'!$D$6:$D$17="Commuter"))*('Events 2'!$B$6:$B$17&lt;=$B42)*('Events 2'!$B$6:$B$17&lt;&gt;"")),'Events 2'!$I$6:$I$17),'Inputs 2'!$D$43))</f>
      </c>
      <c r="BO42" s="7">
        <f>IF($B42="","",IFERROR(LOOKUP(2,1/(((('Events 2'!$C$6:$C$17="Deduction start")+('Events 2'!$C$6:$C$17="Deduction stop"))*('Events 2'!$D$6:$D$17="Other pre-tax"))*('Events 2'!$B$6:$B$17&lt;=$B42)*('Events 2'!$B$6:$B$17&lt;&gt;"")),'Events 2'!$I$6:$I$17),'Inputs 2'!$D$44))</f>
      </c>
      <c r="BP42" s="7">
        <f>IF($B42="","",IFERROR(LOOKUP(2,1/(((('Events 2'!$C$6:$C$17="Deduction start")+('Events 2'!$C$6:$C$17="Deduction stop"))*('Events 2'!$D$6:$D$17="Other post-tax"))*('Events 2'!$B$6:$B$17&lt;=$B42)*('Events 2'!$B$6:$B$17&lt;&gt;"")),'Events 2'!$I$6:$I$17),'Inputs 2'!$D$45))</f>
      </c>
      <c r="BQ42" s="6">
        <f>IF($B42="","",IFERROR(LOOKUP(2,1/(((('Events 2'!$C$6:$C$17="Deduction start")+('Events 2'!$C$6:$C$17="Deduction stop"))*('Events 2'!$D$6:$D$17="Health FSA"))*('Events 2'!$B$6:$B$17&lt;=$B42)*('Events 2'!$B$6:$B$17&lt;&gt;"")),'Events 2'!$J$6:$J$17),0))</f>
      </c>
      <c r="BR42" s="6">
        <f>IF($B42="","",IFERROR(LOOKUP(2,1/(((('Events 2'!$C$6:$C$17="Deduction start")+('Events 2'!$C$6:$C$17="Deduction stop"))*('Events 2'!$D$6:$D$17="Dependent-care FSA"))*('Events 2'!$B$6:$B$17&lt;=$B42)*('Events 2'!$B$6:$B$17&lt;&gt;"")),'Events 2'!$J$6:$J$17),0))</f>
      </c>
      <c r="BS42" s="6">
        <f>IF($B42="","",IF(SUMPRODUCT(('Events 2'!$C$6:$C$17="Deduction start")*('Events 2'!$B$6:$B$17&lt;=$B42)*('Events 2'!$B$6:$B$17&lt;&gt;"")*('Events 2'!$D$6:$D$17="Health FSA"))&gt;0,1,0))</f>
      </c>
      <c r="BT42" s="6">
        <f>IF($B42="","",IF(SUMPRODUCT(('Events 2'!$C$6:$C$17="Deduction start")*('Events 2'!$B$6:$B$17&lt;=$B42)*('Events 2'!$B$6:$B$17&lt;&gt;"")*('Events 2'!$D$6:$D$17="Dependent-care FSA"))&gt;0,1,0))</f>
      </c>
      <c r="BU42" s="24">
        <f>IF($B42="","",IF('Inputs 2'!$C$13,SUMPRODUCT(($AH42&gt;=INDEX('Methodology &amp; Sources'!$B$29:$J$36,0,IF('Inputs 2'!$C$12="MFJ",1,IF('Inputs 2'!$C$12="HoH",7,4))))*INDEX('Methodology &amp; Sources'!$B$29:$J$36,0,IF('Inputs 2'!$C$12="MFJ",1,IF('Inputs 2'!$C$12="HoH",7,4))+2)),SUMPRODUCT(($AH42&gt;=INDEX('Methodology &amp; Sources'!$B$19:$J$26,0,IF('Inputs 2'!$C$12="MFJ",1,IF('Inputs 2'!$C$12="HoH",7,4))))*INDEX('Methodology &amp; Sources'!$B$19:$J$26,0,IF('Inputs 2'!$C$12="MFJ",1,IF('Inputs 2'!$C$12="HoH",7,4))+2))))</f>
      </c>
      <c r="BV42" s="24">
        <f>IF($B42="","",IF($BZ42&lt;&gt;"",$BZ42,IF($CA42&lt;&gt;"",$CA42,IF($CB42&lt;&gt;"",$CB42,IF($CC42&lt;&gt;"",$CC42,0)))))</f>
      </c>
      <c r="BW42" s="7">
        <f>IF($B42="","",IF($AN42="MD",IF(OR($AU42="Married",$AU42="Head of household"),SUMPRODUCT(($AZ42&gt;INDEX('Methodology &amp; Sources'!$B$114:$J$120,0,1))*($AZ42-INDEX('Methodology &amp; Sources'!$B$114:$J$120,0,1))*INDEX('Methodology &amp; Sources'!$B$114:$J$120,0,1+2)),SUMPRODUCT(($AZ42&gt;INDEX('Methodology &amp; Sources'!$B$103:$J$109,0,7))*($AZ42-INDEX('Methodology &amp; Sources'!$B$103:$J$109,0,7))*INDEX('Methodology &amp; Sources'!$B$103:$J$109,0,7+2))),IF($AN42="MO",SUMPRODUCT(($AZ42&gt;INDEX('Methodology &amp; Sources'!$B$125:$J$132,0,1))*($AZ42-INDEX('Methodology &amp; Sources'!$B$125:$J$132,0,1))*INDEX('Methodology &amp; Sources'!$B$125:$J$132,0,1+2)),IF($AN42="MT",IF($AU42="Head of household",SUMPRODUCT(($AZ42&gt;INDEX('Methodology &amp; Sources'!$B$137:$J$139,0,1))*($AZ42-INDEX('Methodology &amp; Sources'!$B$137:$J$139,0,1))*INDEX('Methodology &amp; Sources'!$B$137:$J$139,0,1+2)),IF($AU42="Married",SUMPRODUCT(($AZ42&gt;INDEX('Methodology &amp; Sources'!$B$125:$J$132,0,7))*($AZ42-INDEX('Methodology &amp; Sources'!$B$125:$J$132,0,7))*INDEX('Methodology &amp; Sources'!$B$125:$J$132,0,7+2)),SUMPRODUCT(($AZ42&gt;INDEX('Methodology &amp; Sources'!$B$125:$J$132,0,4))*($AZ42-INDEX('Methodology &amp; Sources'!$B$125:$J$132,0,4))*INDEX('Methodology &amp; Sources'!$B$125:$J$132,0,4+2)))),IF($AN42="ND",IF($AU42="Head of household",SUMPRODUCT(($AZ42&gt;INDEX('Methodology &amp; Sources'!$B$144:$J$150,0,1))*($AZ42-INDEX('Methodology &amp; Sources'!$B$144:$J$150,0,1))*INDEX('Methodology &amp; Sources'!$B$144:$J$150,0,1+2)),IF($AU42="Married",SUMPRODUCT(($AZ42&gt;INDEX('Methodology &amp; Sources'!$B$137:$J$139,0,7))*($AZ42-INDEX('Methodology &amp; Sources'!$B$137:$J$139,0,7))*INDEX('Methodology &amp; Sources'!$B$137:$J$139,0,7+2)),SUMPRODUCT(($AZ42&gt;INDEX('Methodology &amp; Sources'!$B$137:$J$139,0,4))*($AZ42-INDEX('Methodology &amp; Sources'!$B$137:$J$139,0,4))*INDEX('Methodology &amp; Sources'!$B$137:$J$139,0,4+2)))),IF($AN42="NJ",IF('Inputs 2'!$C$77="B",SUMPRODUCT(($AZ42&gt;INDEX('Methodology &amp; Sources'!$B$155:$J$162,0,4))*($AZ42-INDEX('Methodology &amp; Sources'!$B$155:$J$162,0,4))*INDEX('Methodology &amp; Sources'!$B$155:$J$162,0,4+2)),IF('Inputs 2'!$C$77="C",SUMPRODUCT(($AZ42&gt;INDEX('Methodology &amp; Sources'!$B$155:$J$162,0,7))*($AZ42-INDEX('Methodology &amp; Sources'!$B$155:$J$162,0,7))*INDEX('Methodology &amp; Sources'!$B$155:$J$162,0,7+2)),IF('Inputs 2'!$C$77="D",SUMPRODUCT(($AZ42&gt;INDEX('Methodology &amp; Sources'!$B$167:$J$179,0,1))*($AZ42-INDEX('Methodology &amp; Sources'!$B$167:$J$179,0,1))*INDEX('Methodology &amp; Sources'!$B$167:$J$179,0,1+2)),IF('Inputs 2'!$C$77="E",SUMPRODUCT(($AZ42&gt;INDEX('Methodology &amp; Sources'!$B$167:$J$179,0,4))*($AZ42-INDEX('Methodology &amp; Sources'!$B$167:$J$179,0,4))*INDEX('Methodology &amp; Sources'!$B$167:$J$179,0,4+2)),SUMPRODUCT(($AZ42&gt;INDEX('Methodology &amp; Sources'!$B$155:$J$162,0,1))*($AZ42-INDEX('Methodology &amp; Sources'!$B$155:$J$162,0,1))*INDEX('Methodology &amp; Sources'!$B$155:$J$162,0,1+2)))))),IF($AN42="NY",IF($AU42="Married",IF($AZ42&gt;=2155350,$AZ42*IF($AZ42&gt;25000000,0.117,IF($AZ42&gt;5000000,0.111,0.1045)),SUMPRODUCT(($AZ42&gt;INDEX('Methodology &amp; Sources'!$B$184:$J$198,0,1))*($AZ42-INDEX('Methodology &amp; Sources'!$B$184:$J$198,0,1))*INDEX('Methodology &amp; Sources'!$B$184:$J$198,0,1+2))),IF($AZ42&gt;=1077550,$AZ42*IF($AZ42&gt;25000000,0.117,IF($AZ42&gt;5000000,0.111,0.1045)),SUMPRODUCT(($AZ42&gt;INDEX('Methodology &amp; Sources'!$B$167:$J$179,0,7))*($AZ42-INDEX('Methodology &amp; Sources'!$B$167:$J$179,0,7))*INDEX('Methodology &amp; Sources'!$B$167:$J$179,0,7+2)))),"")))))))</f>
      </c>
      <c r="BX42" s="7">
        <f>IF($B42="","",IF($AN42="AL",IF(OR($AU42="Married",$AU42="Head of household"),SUMPRODUCT(($AZ42&gt;INDEX('Methodology &amp; Sources'!$B$82:$J$86,0,4))*($AZ42-INDEX('Methodology &amp; Sources'!$B$82:$J$86,0,4))*INDEX('Methodology &amp; Sources'!$B$82:$J$86,0,4+2)),SUMPRODUCT(($AZ42&gt;INDEX('Methodology &amp; Sources'!$B$82:$J$86,0,1))*($AZ42-INDEX('Methodology &amp; Sources'!$B$82:$J$86,0,1))*INDEX('Methodology &amp; Sources'!$B$82:$J$86,0,1+2))),IF($AN42="KS",IF($AU42="Married",SUMPRODUCT(($AZ42&gt;INDEX('Methodology &amp; Sources'!$B$103:$J$109,0,4))*($AZ42-INDEX('Methodology &amp; Sources'!$B$103:$J$109,0,4))*INDEX('Methodology &amp; Sources'!$B$103:$J$109,0,4+2)),SUMPRODUCT(($AZ42&gt;INDEX('Methodology &amp; Sources'!$B$103:$J$109,0,1))*($AZ42-INDEX('Methodology &amp; Sources'!$B$103:$J$109,0,1))*INDEX('Methodology &amp; Sources'!$B$103:$J$109,0,1+2))),IF($AN42="MN",IF($AU42="Married",SUMPRODUCT(($AZ42&gt;INDEX('Methodology &amp; Sources'!$B$114:$J$120,0,7))*($AZ42-INDEX('Methodology &amp; Sources'!$B$114:$J$120,0,7))*INDEX('Methodology &amp; Sources'!$B$114:$J$120,0,7+2)),SUMPRODUCT(($AZ42&gt;INDEX('Methodology &amp; Sources'!$B$114:$J$120,0,4))*($AZ42-INDEX('Methodology &amp; Sources'!$B$114:$J$120,0,4))*INDEX('Methodology &amp; Sources'!$B$114:$J$120,0,4+2))),IF($AN42="NE",MAX(IF($AU42="Married",SUMPRODUCT(($AZ42&gt;INDEX('Methodology &amp; Sources'!$B$144:$J$150,0,7))*($AZ42-INDEX('Methodology &amp; Sources'!$B$144:$J$150,0,7))*INDEX('Methodology &amp; Sources'!$B$144:$J$150,0,7+2)),SUMPRODUCT(($AZ42&gt;INDEX('Methodology &amp; Sources'!$B$144:$J$150,0,4))*($AZ42-INDEX('Methodology &amp; Sources'!$B$144:$J$150,0,4))*INDEX('Methodology &amp; Sources'!$B$144:$J$150,0,4+2))),0.015*$AZ42),IF($AN42="OH",IF($B42&gt;=DATE(2027,8,1),SUMPRODUCT(($AZ42&gt;INDEX('Methodology &amp; Sources'!$B$203:$J$206,0,1))*($AZ42-INDEX('Methodology &amp; Sources'!$B$203:$J$206,0,1))*INDEX('Methodology &amp; Sources'!$B$203:$J$206,0,1+2)),SUMPRODUCT(($AZ42&gt;INDEX('Methodology &amp; Sources'!$B$184:$J$198,0,7))*($AZ42-INDEX('Methodology &amp; Sources'!$B$184:$J$198,0,7))*INDEX('Methodology &amp; Sources'!$B$184:$J$198,0,7+2))),IF($AN42="OK",IF($AU42="Married",SUMPRODUCT(($AZ42&gt;INDEX('Methodology &amp; Sources'!$B$203:$J$206,0,7))*($AZ42-INDEX('Methodology &amp; Sources'!$B$203:$J$206,0,7))*INDEX('Methodology &amp; Sources'!$B$203:$J$206,0,7+2)),SUMPRODUCT(($AZ42&gt;INDEX('Methodology &amp; Sources'!$B$203:$J$206,0,4))*($AZ42-INDEX('Methodology &amp; Sources'!$B$203:$J$206,0,4))*INDEX('Methodology &amp; Sources'!$B$203:$J$206,0,4+2))),IF($AN42="RI",SUMPRODUCT(($AZ42&gt;INDEX('Methodology &amp; Sources'!$B$211:$J$214,0,7))*($AZ42-INDEX('Methodology &amp; Sources'!$B$211:$J$214,0,7))*INDEX('Methodology &amp; Sources'!$B$211:$J$214,0,7+2)),IF($AN42="VT",IF($AU42="Married",SUMPRODUCT(($AZ42&gt;INDEX('Methodology &amp; Sources'!$B$228:$J$232,0,1))*($AZ42-INDEX('Methodology &amp; Sources'!$B$228:$J$232,0,1))*INDEX('Methodology &amp; Sources'!$B$228:$J$232,0,1+2)),SUMPRODUCT(($AZ42&gt;INDEX('Methodology &amp; Sources'!$B$219:$J$223,0,7))*($AZ42-INDEX('Methodology &amp; Sources'!$B$219:$J$223,0,7))*INDEX('Methodology &amp; Sources'!$B$219:$J$223,0,7+2))),IF($AN42="WV",IF($AU42="Married",SUMPRODUCT(($AZ42&gt;INDEX('Methodology &amp; Sources'!$B$237:$J$241,0,7))*($AZ42-INDEX('Methodology &amp; Sources'!$B$237:$J$241,0,7))*INDEX('Methodology &amp; Sources'!$B$237:$J$241,0,7+2)),SUMPRODUCT(($AZ42&gt;INDEX('Methodology &amp; Sources'!$B$228:$J$232,0,7))*($AZ42-INDEX('Methodology &amp; Sources'!$B$228:$J$232,0,7))*INDEX('Methodology &amp; Sources'!$B$228:$J$232,0,7+2))),""))))))))))</f>
      </c>
      <c r="BY42" s="7">
        <f>IF($B42="","",IF($AN42="AR",SUMPRODUCT(($AZ42&gt;INDEX('Methodology &amp; Sources'!$B$82:$J$86,0,7))*($AZ42-INDEX('Methodology &amp; Sources'!$B$82:$J$86,0,7))*INDEX('Methodology &amp; Sources'!$B$82:$J$86,0,7+2)),IF($AN42="DE",SUMPRODUCT(($AZ42&gt;INDEX('Methodology &amp; Sources'!$B$91:$J$98,0,1))*($AZ42-INDEX('Methodology &amp; Sources'!$B$91:$J$98,0,1))*INDEX('Methodology &amp; Sources'!$B$91:$J$98,0,1+2)),IF($AN42="HI",IF($AU42="Married",SUMPRODUCT(($AZ42&gt;INDEX('Methodology &amp; Sources'!$B$91:$J$98,0,7))*($AZ42-INDEX('Methodology &amp; Sources'!$B$91:$J$98,0,7))*INDEX('Methodology &amp; Sources'!$B$91:$J$98,0,7+2)),SUMPRODUCT(($AZ42&gt;INDEX('Methodology &amp; Sources'!$B$91:$J$98,0,4))*($AZ42-INDEX('Methodology &amp; Sources'!$B$91:$J$98,0,4))*INDEX('Methodology &amp; Sources'!$B$91:$J$98,0,4+2))),IF($AN42="SC",SUMPRODUCT(($AZ42&gt;INDEX('Methodology &amp; Sources'!$B$219:$J$223,0,1))*($AZ42-INDEX('Methodology &amp; Sources'!$B$219:$J$223,0,1))*INDEX('Methodology &amp; Sources'!$B$219:$J$223,0,1+2)),IF($AN42="VA",SUMPRODUCT(($AZ42&gt;INDEX('Methodology &amp; Sources'!$B$219:$J$223,0,4))*($AZ42-INDEX('Methodology &amp; Sources'!$B$219:$J$223,0,4))*INDEX('Methodology &amp; Sources'!$B$219:$J$223,0,4+2)),IF($AN42="WI",SUMPRODUCT(($AZ42&gt;INDEX('Methodology &amp; Sources'!$B$228:$J$232,0,4))*($AZ42-INDEX('Methodology &amp; Sources'!$B$228:$J$232,0,4))*INDEX('Methodology &amp; Sources'!$B$228:$J$232,0,4+2)),"")))))))</f>
      </c>
      <c r="BZ42" s="24">
        <f>IF($B42="","",IF($AN42="NJ",IF('Inputs 2'!$C$77="B",SUMPRODUCT(($AZ42&gt;=INDEX('Methodology &amp; Sources'!$B$155:$J$162,0,4))*INDEX('Methodology &amp; Sources'!$B$155:$J$162,0,4+2)),IF('Inputs 2'!$C$77="C",SUMPRODUCT(($AZ42&gt;=INDEX('Methodology &amp; Sources'!$B$155:$J$162,0,7))*INDEX('Methodology &amp; Sources'!$B$155:$J$162,0,7+2)),IF('Inputs 2'!$C$77="D",SUMPRODUCT(($AZ42&gt;=INDEX('Methodology &amp; Sources'!$B$167:$J$179,0,1))*INDEX('Methodology &amp; Sources'!$B$167:$J$179,0,1+2)),IF('Inputs 2'!$C$77="E",SUMPRODUCT(($AZ42&gt;=INDEX('Methodology &amp; Sources'!$B$167:$J$179,0,4))*INDEX('Methodology &amp; Sources'!$B$167:$J$179,0,4+2)),SUMPRODUCT(($AZ42&gt;=INDEX('Methodology &amp; Sources'!$B$155:$J$162,0,1))*INDEX('Methodology &amp; Sources'!$B$155:$J$162,0,1+2)))))),IF($AN42="OR",IF(OR($AU42="Married",AND($AU42="Single",$AS42&gt;=3)),SUMPRODUCT((MAX(0,$AY42-MIN(($P42-'Methodology &amp; Sources'!$C$10*$D42)*'Inputs 2'!$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Sources'!$B$211:$J$214,0,4))*INDEX('Methodology &amp; Sources'!$B$211:$J$214,0,4+2)),SUMPRODUCT((MAX(0,$AY42-MIN(($P42-'Methodology &amp; Sources'!$C$10*$D42)*'Inputs 2'!$C$8,IF(OR($AU42="Married",AND($AU42="Single",$AS42&gt;=3)),IF($AY42&lt;250000,8750,IF($AY42&lt;260000,7000,IF($AY42&lt;270000,5250,IF($AY42&lt;280000,3500,IF($AY42&lt;290000,1750,0))))),IF($AY42&lt;125000,8750,IF($AY42&lt;130000,7000,IF($AY42&lt;135000,5250,IF($AY42&lt;140000,3500,IF($AY42&lt;145000,1750,0)))))))-IF(OR($AU42="Married",AND($AU42="Single",$AS42&gt;=3)),5820,2910))&gt;=INDEX('Methodology &amp; Sources'!$B$211:$J$214,0,1))*INDEX('Methodology &amp; Sources'!$B$211:$J$214,0,1+2)))*IF(($P42-'Methodology &amp; Sources'!$C$10*$D42)*'Inputs 2'!$C$8&gt;=IF(OR($AU42="Married",AND($AU42="Single",$AS42&gt;=3)),IF($AY42&lt;250000,8750,IF($AY42&lt;260000,7000,IF($AY42&lt;270000,5250,IF($AY42&lt;280000,3500,IF($AY42&lt;290000,1750,0))))),IF($AY42&lt;125000,8750,IF($AY42&lt;130000,7000,IF($AY42&lt;135000,5250,IF($AY42&lt;140000,3500,IF($AY42&lt;145000,1750,0)))))),1,1-IF('Inputs 2'!$C$13,SUMPRODUCT(($AH42&gt;=INDEX('Methodology &amp; Sources'!$B$29:$J$36,0,IF('Inputs 2'!$C$12="MFJ",1,IF('Inputs 2'!$C$12="HoH",7,4))))*INDEX('Methodology &amp; Sources'!$B$29:$J$36,0,IF('Inputs 2'!$C$12="MFJ",1,IF('Inputs 2'!$C$12="HoH",7,4))+2)),SUMPRODUCT(($AH42&gt;=INDEX('Methodology &amp; Sources'!$B$19:$J$26,0,IF('Inputs 2'!$C$12="MFJ",1,IF('Inputs 2'!$C$12="HoH",7,4))))*INDEX('Methodology &amp; Sources'!$B$19:$J$26,0,IF('Inputs 2'!$C$12="MFJ",1,IF('Inputs 2'!$C$12="HoH",7,4))+2)))),IF($AN42="MI",IF($AY42&gt;5900*$AS42,0.0425,0),""))))</f>
      </c>
      <c r="CA42" s="24">
        <f>IF($B42="","",IF($AN42="AL",IF(OR($AU42="Married",$AU42="Head of household"),SUMPRODUCT(($AZ42&gt;=INDEX('Methodology &amp; Sources'!$B$82:$J$86,0,4))*INDEX('Methodology &amp; Sources'!$B$82:$J$86,0,4+2)),SUMPRODUCT(($AZ42&gt;=INDEX('Methodology &amp; Sources'!$B$82:$J$86,0,1))*INDEX('Methodology &amp; Sources'!$B$82:$J$86,0,1+2)))*(1-IF('Inputs 2'!$C$13,SUMPRODUCT(($AH42&gt;=INDEX('Methodology &amp; Sources'!$B$29:$J$36,0,IF('Inputs 2'!$C$12="MFJ",1,IF('Inputs 2'!$C$12="HoH",7,4))))*INDEX('Methodology &amp; Sources'!$B$29:$J$36,0,IF('Inputs 2'!$C$12="MFJ",1,IF('Inputs 2'!$C$12="HoH",7,4))+2)),SUMPRODUCT(($AH42&gt;=INDEX('Methodology &amp; Sources'!$B$19:$J$26,0,IF('Inputs 2'!$C$12="MFJ",1,IF('Inputs 2'!$C$12="HoH",7,4))))*INDEX('Methodology &amp; Sources'!$B$19:$J$26,0,IF('Inputs 2'!$C$12="MFJ",1,IF('Inputs 2'!$C$12="HoH",7,4))+2)))),IF($AN42="KS",IF($AU42="Married",SUMPRODUCT(($AZ42&gt;=INDEX('Methodology &amp; Sources'!$B$103:$J$109,0,4))*INDEX('Methodology &amp; Sources'!$B$103:$J$109,0,4+2)),SUMPRODUCT(($AZ42&gt;=INDEX('Methodology &amp; Sources'!$B$103:$J$109,0,1))*INDEX('Methodology &amp; Sources'!$B$103:$J$109,0,1+2))),IF($AN42="MD",IF(OR($AU42="Married",$AU42="Head of household"),SUMPRODUCT(($AZ42&gt;=INDEX('Methodology &amp; Sources'!$B$114:$J$120,0,1))*INDEX('Methodology &amp; Sources'!$B$114:$J$120,0,1+2)),SUMPRODUCT(($AZ42&gt;=INDEX('Methodology &amp; Sources'!$B$103:$J$109,0,7))*INDEX('Methodology &amp; Sources'!$B$103:$J$109,0,7+2)))+'Inputs 2'!$C$74,IF($AN42="MT",IF($AU42="Head of household",SUMPRODUCT(($AZ42&gt;=INDEX('Methodology &amp; Sources'!$B$137:$J$139,0,1))*INDEX('Methodology &amp; Sources'!$B$137:$J$139,0,1+2)),IF($AU42="Married",SUMPRODUCT(($AZ42&gt;=INDEX('Methodology &amp; Sources'!$B$125:$J$132,0,7))*INDEX('Methodology &amp; Sources'!$B$125:$J$132,0,7+2)),SUMPRODUCT(($AZ42&gt;=INDEX('Methodology &amp; Sources'!$B$125:$J$132,0,4))*INDEX('Methodology &amp; Sources'!$B$125:$J$132,0,4+2)))),IF($AN42="ND",IF($AU42="Head of household",SUMPRODUCT(($AZ42&gt;=INDEX('Methodology &amp; Sources'!$B$144:$J$150,0,1))*INDEX('Methodology &amp; Sources'!$B$144:$J$150,0,1+2)),IF($AU42="Married",SUMPRODUCT(($AZ42&gt;=INDEX('Methodology &amp; Sources'!$B$137:$J$139,0,7))*INDEX('Methodology &amp; Sources'!$B$137:$J$139,0,7+2)),SUMPRODUCT(($AZ42&gt;=INDEX('Methodology &amp; Sources'!$B$137:$J$139,0,4))*INDEX('Methodology &amp; Sources'!$B$137:$J$139,0,4+2)))),IF($AN42="NY",IF($AU42="Married",IF($AZ42&gt;=2155350,IF($AZ42&gt;25000000,0.117,IF($AZ42&gt;5000000,0.111,0.1045)),SUMPRODUCT(($AZ42&gt;=INDEX('Methodology &amp; Sources'!$B$184:$J$198,0,1))*INDEX('Methodology &amp; Sources'!$B$184:$J$198,0,1+2))),IF($AZ42&gt;=1077550,IF($AZ42&gt;25000000,0.117,IF($AZ42&gt;5000000,0.111,0.1045)),SUMPRODUCT(($AZ42&gt;=INDEX('Methodology &amp; Sources'!$B$167:$J$179,0,7))*INDEX('Methodology &amp; Sources'!$B$167:$J$179,0,7+2)))),"")))))))</f>
      </c>
      <c r="CB42" s="24">
        <f>IF($B42="","",IF($AN42="CA",SUMPRODUCT(($AJ42&gt;=INDEX('Methodology &amp; Sources'!$B$39:$J$48,0,IF($AU42="Married",4,IF($AU42="Head of household",7,1))))*INDEX('Methodology &amp; Sources'!$B$39:$J$48,0,IF($AU42="Married",4,IF($AU42="Head of household",7,1))+2)),IF($AN42="HI",IF($AU42="Married",SUMPRODUCT(($AZ42&gt;=INDEX('Methodology &amp; Sources'!$B$91:$J$98,0,7))*INDEX('Methodology &amp; Sources'!$B$91:$J$98,0,7+2)),SUMPRODUCT(($AZ42&gt;=INDEX('Methodology &amp; Sources'!$B$91:$J$98,0,4))*INDEX('Methodology &amp; Sources'!$B$91:$J$98,0,4+2))),IF($AN42="MN",IF($AU42="Married",SUMPRODUCT(($AZ42&gt;=INDEX('Methodology &amp; Sources'!$B$114:$J$120,0,7))*INDEX('Methodology &amp; Sources'!$B$114:$J$120,0,7+2)),SUMPRODUCT(($AZ42&gt;=INDEX('Methodology &amp; Sources'!$B$114:$J$120,0,4))*INDEX('Methodology &amp; Sources'!$B$114:$J$120,0,4+2))),IF($AN42="MO",SUMPRODUCT(($AZ42&gt;=INDEX('Methodology &amp; Sources'!$B$125:$J$132,0,1))*INDEX('Methodology &amp; Sources'!$B$125:$J$132,0,1+2)),IF($AN42="NE",MAX(IF($AU42="Married",SUMPRODUCT(($AZ42&gt;=INDEX('Methodology &amp; Sources'!$B$144:$J$150,0,7))*INDEX('Methodology &amp; Sources'!$B$144:$J$150,0,7+2)),SUMPRODUCT(($AZ42&gt;=INDEX('Methodology &amp; Sources'!$B$144:$J$150,0,4))*INDEX('Methodology &amp; Sources'!$B$144:$J$150,0,4+2))),0.015),IF($AN42="OH",IF($B42&gt;=DATE(2027,8,1),SUMPRODUCT(($AZ42&gt;=INDEX('Methodology &amp; Sources'!$B$203:$J$206,0,1))*INDEX('Methodology &amp; Sources'!$B$203:$J$206,0,1+2)),SUMPRODUCT(($AZ42&gt;=INDEX('Methodology &amp; Sources'!$B$184:$J$198,0,7))*INDEX('Methodology &amp; Sources'!$B$184:$J$198,0,7+2))),IF($AN42="OK",IF($AU42="Married",SUMPRODUCT(($AZ42&gt;=INDEX('Methodology &amp; Sources'!$B$203:$J$206,0,7))*INDEX('Methodology &amp; Sources'!$B$203:$J$206,0,7+2)),SUMPRODUCT(($AZ42&gt;=INDEX('Methodology &amp; Sources'!$B$203:$J$206,0,4))*INDEX('Methodology &amp; Sources'!$B$203:$J$206,0,4+2))),IF($AN42="RI",SUMPRODUCT(($AZ42&gt;=INDEX('Methodology &amp; Sources'!$B$211:$J$214,0,7))*INDEX('Methodology &amp; Sources'!$B$211:$J$214,0,7+2)),IF($AN42="SC",SUMPRODUCT(($AZ42&gt;=INDEX('Methodology &amp; Sources'!$B$219:$J$223,0,1))*INDEX('Methodology &amp; Sources'!$B$219:$J$223,0,1+2)),IF($AN42="VT",IF($AU42="Married",SUMPRODUCT(($AZ42&gt;=INDEX('Methodology &amp; Sources'!$B$228:$J$232,0,1))*INDEX('Methodology &amp; Sources'!$B$228:$J$232,0,1+2)),SUMPRODUCT(($AZ42&gt;=INDEX('Methodology &amp; Sources'!$B$219:$J$223,0,7))*INDEX('Methodology &amp; Sources'!$B$219:$J$223,0,7+2))),IF($AN42="WV",IF($AU42="Married",SUMPRODUCT(($AZ42&gt;=INDEX('Methodology &amp; Sources'!$B$237:$J$241,0,7))*INDEX('Methodology &amp; Sources'!$B$237:$J$241,0,7+2)),SUMPRODUCT(($AZ42&gt;=INDEX('Methodology &amp; Sources'!$B$228:$J$232,0,7))*INDEX('Methodology &amp; Sources'!$B$228:$J$232,0,7+2))),IF($AN42="IN",(0.0295+'Inputs 2'!$C$76),"")))))))))))))</f>
      </c>
      <c r="CC42" s="24">
        <f>IF($B42="","",IF($AN42="AR",SUMPRODUCT(($AZ42&gt;=INDEX('Methodology &amp; Sources'!$B$82:$J$86,0,7))*INDEX('Methodology &amp; Sources'!$B$82:$J$86,0,7+2)),IF($AN42="DE",SUMPRODUCT(($AZ42&gt;=INDEX('Methodology &amp; Sources'!$B$91:$J$98,0,1))*INDEX('Methodology &amp; Sources'!$B$91:$J$98,0,1+2)),IF($AN42="VA",SUMPRODUCT(($AZ42&gt;=INDEX('Methodology &amp; Sources'!$B$219:$J$223,0,4))*INDEX('Methodology &amp; Sources'!$B$219:$J$223,0,4+2)),IF($AN42="WI",SUMPRODUCT(($AZ42&gt;=INDEX('Methodology &amp; Sources'!$B$228:$J$232,0,4))*INDEX('Methodology &amp; Sources'!$B$228:$J$232,0,4+2)),IF($AN42="AZ",'Inputs 2'!$C$82,IF($AN42="CO",IF($AY42&gt;IF($AU42="Married",10000,5000),0.044,0),IF($AN42="IA",IF($AY42&gt;IF($AU42="Head of household",19500,IF($AU42="Married",26000,13000)),0.038,0),IF($AN42="ID",IF($AY42&gt;IF($AU42="Married",32000,16094),0.053,0),IF($AN42="IL",IF($AY42&gt;(2925*$AS42+1000*$AT42),0.0495,0),IF($AN42="KY",IF($AI42&gt;3360,0.035,0),IF($AN42="LA",0.0309,IF($AN42="MA",IF(MAX(0,$AY42-MIN(($BD41+$Q42+$R42+$S42),2000)-IF($AS42=0,0,IF($AS42=1,4400,1000*$AS42+3400)))&gt;=1107750,0.09,0.05),IF($AN42="MS",IF($AI42-IF($AU42="Head of household",3400,IF($AU42="Married",4600,2300))-'Inputs 2'!$C$85&gt;10000,0.04,0),IF($AN42="PA",0.0307,"")))))))))))))))</f>
      </c>
      <c r="CD42" s="21">
        <f>IF(YEAR(IF('Inputs 2'!$C$7="Weekly",'Inputs 2'!$C$9+7*(($BE41+1)-1),IF('Inputs 2'!$C$7="Biweekly",'Inputs 2'!$C$9+14*(($BE41+1)-1),IF('Inputs 2'!$C$7="Semimonthly",DATE(YEAR('Inputs 2'!$C$9),MONTH('Inputs 2'!$C$9)+INT((($BE41+1)-1)/2),MIN(DAY('Inputs 2'!$C$9),DAY(EOMONTH(DATE(YEAR('Inputs 2'!$C$9),MONTH('Inputs 2'!$C$9)+INT((($BE41+1)-1)/2),1),0))))+IF(MOD(($BE41+1)-1,2)=1,15,0),EDATE('Inputs 2'!$C$9,($BE41+1)-1)))))&lt;&gt;'Inputs 2'!$C$10,"",IF('Inputs 2'!$C$7="Weekly",'Inputs 2'!$C$9+7*(($BE41+1)-1),IF('Inputs 2'!$C$7="Biweekly",'Inputs 2'!$C$9+14*(($BE41+1)-1),IF('Inputs 2'!$C$7="Semimonthly",DATE(YEAR('Inputs 2'!$C$9),MONTH('Inputs 2'!$C$9)+INT((($BE41+1)-1)/2),MIN(DAY('Inputs 2'!$C$9),DAY(EOMONTH(DATE(YEAR('Inputs 2'!$C$9),MONTH('Inputs 2'!$C$9)+INT((($BE41+1)-1)/2),1),0))))+IF(MOD(($BE41+1)-1,2)=1,15,0),EDATE('Inputs 2'!$C$9,($BE41+1)-1)))))</f>
      </c>
      <c r="CE42" s="21">
        <f>IF(SUMPRODUCT(MIN(IF(('Inputs 2'!$C$58:$C$67&gt;MAX($B$6:$B41))*('Inputs 2'!$C$58:$C$67&gt;=DATE('Inputs 2'!$C$10,1,1))*('Inputs 2'!$C$58:$C$67&lt;=DATE('Inputs 2'!$C$10,12,31)),'Inputs 2'!$C$58:$C$67,999999)))=999999,"",SUMPRODUCT(MIN(IF(('Inputs 2'!$C$58:$C$67&gt;MAX($B$6:$B41))*('Inputs 2'!$C$58:$C$67&gt;=DATE('Inputs 2'!$C$10,1,1))*('Inputs 2'!$C$58:$C$67&lt;=DATE('Inputs 2'!$C$10,12,31)),'Inputs 2'!$C$58:$C$67,999999))))</f>
      </c>
    </row>
    <row r="43">
      <c r="A43" t="n">
        <v>38</v>
      </c>
      <c r="B43" s="21">
        <f>IF(AND($CD43="",$CE43=""),"",IF($CE43="",$CD43,IF($CD43="",$CE43,MIN($CD43,$CE43))))</f>
      </c>
      <c r="C43" s="7">
        <f>IF($B43="","",IF($BF43=0,0,IF('Inputs 2'!$C$4="Annual salary",ROUND($AK43/IF(AND('Inputs 2'!$C$88="Actual paydays",MONTH('Inputs 2'!$C$9)=1),MAX(1,MAX($BE$6:$BE$68)),'Inputs 2'!$C$8),2),$AK43)))</f>
      </c>
      <c r="D43" s="7">
        <f>IF($B43="","",SUMIF('Inputs 2'!$C$58:$C$67,$B43,'Inputs 2'!$D$58:$D$67))</f>
      </c>
      <c r="E43" s="7">
        <f>IF($B43="","",ROUND(MAX(0,MIN(IF($AL43="Percent",$AM43*($C43+$D43),$AM43),MAX(0,'Inputs 2'!$C$34-$AC42))),2))</f>
      </c>
      <c r="F43" s="7">
        <f>IF($B43="","",ROUND(MAX(0,MIN(IF('Inputs 2'!$C$32="Percent",'Inputs 2'!$D$32*($C43+$D43),'Inputs 2'!$D$32),MAX(0,'Inputs 2'!$C$34-$AC42-$E43))),2))</f>
      </c>
      <c r="G43" s="7">
        <f>IF($B43="","",IF($BF43=0,0,ROUND(MAX(0,MIN($BL43,'Inputs 2'!$C$37-'Inputs 2'!$C$54-$BI42)),2)))</f>
      </c>
      <c r="H43" s="7">
        <f>IF($B43="","",IF(OR($BF43=0,$BQ43=1),0,ROUND(MAX(0,MIN(IF($BS43=1,ROUND(MAX(0,MIN($BJ43,'Methodology &amp; Sources'!$C$13)-$BG42)/MAX(1,MAX($BE$6:$BE$68)-($BE42)),2),ROUND(MIN($BJ43,'Methodology &amp; Sources'!$C$13)/'Inputs 2'!$C$8,2)),MIN($BJ43,'Methodology &amp; Sources'!$C$13)-$BG42)),2)))</f>
      </c>
      <c r="I43" s="7">
        <f>IF($B43="","",IF(OR($BF43=0,$BR43=1),0,ROUND(MAX(0,MIN(IF($BT43=1,ROUND(MAX(0,MIN($BK43,IF('Inputs 2'!$C$12="MFJ",'Methodology &amp; Sources'!$C$14,'Methodology &amp; Sources'!$C$15))-$BH42)/MAX(1,MAX($BE$6:$BE$68)-($BE42)),2),ROUND(MIN($BK43,IF('Inputs 2'!$C$12="MFJ",'Methodology &amp; Sources'!$C$14,'Methodology &amp; Sources'!$C$15))/'Inputs 2'!$C$8,2)),MIN($BK43,IF('Inputs 2'!$C$12="MFJ",'Methodology &amp; Sources'!$C$14,'Methodology &amp; Sources'!$C$15))-$BH42)),2)))</f>
      </c>
      <c r="J43" s="7">
        <f>IF($B43="","",IF($BF43=0,0,$BM43))</f>
      </c>
      <c r="K43" s="7">
        <f>IF($B43="","",IF($BF43=0,0,$BN43+$BO43))</f>
      </c>
      <c r="L43" s="7">
        <f>IF($B43="","",IF($BF43=0,0,'Inputs 2'!$D$46))</f>
      </c>
      <c r="M43" s="7">
        <f>IF($B43="","",$C43+$D43+$L43-$E43-$G43-$H43-$I43-$J43-$K43)</f>
      </c>
      <c r="N43" s="7">
        <f>IF($B43="","",$C43+$D43+$L43-$G43-$H43-$I43-$J43-$K43)</f>
      </c>
      <c r="O43" s="7">
        <f>IF($B43="","",$C43+$D43+$L43-$E43-$H43-$I43-$J43-$K43-IF(OR($AN43="CA",$AN43="NJ"),0,$G43))</f>
      </c>
      <c r="P43" s="7">
        <f>IF($B43="","",IF('Inputs 2'!$C$18,0,ROUND(MAX(0,IF('Inputs 2'!$C$13,SUMPRODUCT(($AH43&gt;INDEX('Methodology &amp; Sources'!$B$29:$J$36,0,IF('Inputs 2'!$C$12="MFJ",1,IF('Inputs 2'!$C$12="HoH",7,4))))*($AH43-INDEX('Methodology &amp; Sources'!$B$29:$J$36,0,IF('Inputs 2'!$C$12="MFJ",1,IF('Inputs 2'!$C$12="HoH",7,4))))*INDEX('Methodology &amp; Sources'!$B$29:$J$36,0,IF('Inputs 2'!$C$12="MFJ",1,IF('Inputs 2'!$C$12="HoH",7,4))+2)),SUMPRODUCT(($AH43&gt;INDEX('Methodology &amp; Sources'!$B$19:$J$26,0,IF('Inputs 2'!$C$12="MFJ",1,IF('Inputs 2'!$C$12="HoH",7,4))))*($AH43-INDEX('Methodology &amp; Sources'!$B$19:$J$26,0,IF('Inputs 2'!$C$12="MFJ",1,IF('Inputs 2'!$C$12="HoH",7,4))))*INDEX('Methodology &amp; Sources'!$B$19:$J$26,0,IF('Inputs 2'!$C$12="MFJ",1,IF('Inputs 2'!$C$12="HoH",7,4))+2)))/'Inputs 2'!$C$8-$AO43/'Inputs 2'!$C$8)+$AR43+IF('Inputs 2'!$C$89="Aggregate",MAX(0,IF('Inputs 2'!$C$13,SUMPRODUCT((($AH43+$D43)&gt;INDEX('Methodology &amp; Sources'!$B$29:$J$36,0,IF('Inputs 2'!$C$12="MFJ",1,IF('Inputs 2'!$C$12="HoH",7,4))))*(($AH43+$D43)-INDEX('Methodology &amp; Sources'!$B$29:$J$36,0,IF('Inputs 2'!$C$12="MFJ",1,IF('Inputs 2'!$C$12="HoH",7,4))))*INDEX('Methodology &amp; Sources'!$B$29:$J$36,0,IF('Inputs 2'!$C$12="MFJ",1,IF('Inputs 2'!$C$12="HoH",7,4))+2)),SUMPRODUCT((($AH43+$D43)&gt;INDEX('Methodology &amp; Sources'!$B$19:$J$26,0,IF('Inputs 2'!$C$12="MFJ",1,IF('Inputs 2'!$C$12="HoH",7,4))))*(($AH43+$D43)-INDEX('Methodology &amp; Sources'!$B$19:$J$26,0,IF('Inputs 2'!$C$12="MFJ",1,IF('Inputs 2'!$C$12="HoH",7,4))))*INDEX('Methodology &amp; Sources'!$B$19:$J$26,0,IF('Inputs 2'!$C$12="MFJ",1,IF('Inputs 2'!$C$12="HoH",7,4))+2)))-IF('Inputs 2'!$C$13,SUMPRODUCT(($AH43&gt;INDEX('Methodology &amp; Sources'!$B$29:$J$36,0,IF('Inputs 2'!$C$12="MFJ",1,IF('Inputs 2'!$C$12="HoH",7,4))))*($AH43-INDEX('Methodology &amp; Sources'!$B$29:$J$36,0,IF('Inputs 2'!$C$12="MFJ",1,IF('Inputs 2'!$C$12="HoH",7,4))))*INDEX('Methodology &amp; Sources'!$B$29:$J$36,0,IF('Inputs 2'!$C$12="MFJ",1,IF('Inputs 2'!$C$12="HoH",7,4))+2)),SUMPRODUCT(($AH43&gt;INDEX('Methodology &amp; Sources'!$B$19:$J$26,0,IF('Inputs 2'!$C$12="MFJ",1,IF('Inputs 2'!$C$12="HoH",7,4))))*($AH43-INDEX('Methodology &amp; Sources'!$B$19:$J$26,0,IF('Inputs 2'!$C$12="MFJ",1,IF('Inputs 2'!$C$12="HoH",7,4))))*INDEX('Methodology &amp; Sources'!$B$19:$J$26,0,IF('Inputs 2'!$C$12="MFJ",1,IF('Inputs 2'!$C$12="HoH",7,4))+2)))),'Methodology &amp; Sources'!$C$10*$D43),2)))</f>
      </c>
      <c r="Q43" s="7">
        <f>IF($B43="","",ROUND('Methodology &amp; Sources'!$C$4*MIN($N43,MAX(0,'Methodology &amp; Sources'!$C$3-($AX43+$AB42-$AW43))),2))</f>
      </c>
      <c r="R43" s="7">
        <f>IF($B43="","",ROUND('Methodology &amp; Sources'!$C$5*$N43,2))</f>
      </c>
      <c r="S43" s="7">
        <f>IF($B43="","",ROUND('Methodology &amp; Sources'!$C$6*MAX(0,MIN($N43,$AG42+$N43-'Methodology &amp; Sources'!$C$7)),2))</f>
      </c>
      <c r="T43" s="7">
        <f>IF($B43="","",IF('Inputs 2'!$C$26,0,IF($AN43="CA",ROUND(IF($AI43&lt;=IF(($AS43+$AT43)&gt;=2,VLOOKUP($AN43,StateTables!$A$6:$AB$56,10,FALSE),VLOOKUP($AN43,StateTables!$A$6:$AB$56,9,FALSE)),0,MAX(0,SUMPRODUCT(($AJ43&gt;INDEX('Methodology &amp; Sources'!$B$39:$J$48,0,IF($AU43="Married",4,IF($AU43="Head of household",7,1))))*($AJ43-INDEX('Methodology &amp; Sources'!$B$39:$J$48,0,IF($AU43="Married",4,IF($AU43="Head of household",7,1))))*INDEX('Methodology &amp; Sources'!$B$39:$J$48,0,IF($AU43="Married",4,IF($AU43="Head of household",7,1))+2))-VLOOKUP($AN43,StateTables!$A$6:$AB$56,11,FALSE)*$AS43)/'Inputs 2'!$C$8)+'Inputs 2'!$C$25+VLOOKUP($AN43,StateTables!$A$6:$AB$56,13,FALSE)*$D43,2),IF(VLOOKUP($AN43,StateTables!$A$6:$AB$56,4,FALSE)="None",0,IF(ISNUMBER(SEARCH("MANUAL",VLOOKUP($AN43,StateTables!$A$6:$AB$56,5,FALSE))),'Inputs 2'!$C$28,ROUND(MAX(0,$BA43+$BB43)/'Inputs 2'!$C$8+'Inputs 2'!$C$25+$BC43,2))))))</f>
      </c>
      <c r="U43" s="7">
        <f>IF($B43="","",IF(VLOOKUP($AN43,StateTables!$A$6:$AB$56,24,FALSE)="flatq",IF(OR(MONTH($B43)=1,MONTH($B43)=4,MONTH($B43)=7,MONTH($B43)=10),VLOOKUP($AN43,StateTables!$A$6:$AB$56,25,FALSE),0),IF(VLOOKUP($AN43,StateTables!$A$6:$AB$56,24,FALSE)="dbl",MIN(ROUND(0.005*$N43,2),ROUND(0.6*52/'Inputs 2'!$C$8,2)),IF(OR(VLOOKUP($AN43,StateTables!$A$6:$AB$56,15,FALSE)="",VLOOKUP($AN43,StateTables!$A$6:$AB$56,15,FALSE)=0),0,ROUND(VLOOKUP($AN43,StateTables!$A$6:$AB$56,15,FALSE)*IF(OR(VLOOKUP($AN43,StateTables!$A$6:$AB$56,16,FALSE)="",VLOOKUP($AN43,StateTables!$A$6:$AB$56,16,FALSE)=0),$N43,MIN($N43,MAX(0,VLOOKUP($AN43,StateTables!$A$6:$AB$56,16,FALSE)-($AX43+$AB42-$AW43)))),2))))+IF(VLOOKUP($AN43,StateTables!$A$6:$AB$56,27,FALSE)="flatq",IF(OR(MONTH($B43)=1,MONTH($B43)=4,MONTH($B43)=7,MONTH($B43)=10),VLOOKUP($AN43,StateTables!$A$6:$AB$56,28,FALSE),0),IF(VLOOKUP($AN43,StateTables!$A$6:$AB$56,27,FALSE)="dbl",MIN(ROUND(0.005*$N43,2),ROUND(0.6*52/'Inputs 2'!$C$8,2)),IF(OR(VLOOKUP($AN43,StateTables!$A$6:$AB$56,18,FALSE)="",VLOOKUP($AN43,StateTables!$A$6:$AB$56,18,FALSE)=0),0,ROUND(VLOOKUP($AN43,StateTables!$A$6:$AB$56,18,FALSE)*IF(OR(VLOOKUP($AN43,StateTables!$A$6:$AB$56,19,FALSE)="",VLOOKUP($AN43,StateTables!$A$6:$AB$56,19,FALSE)=0),$N43,MIN($N43,MAX(0,VLOOKUP($AN43,StateTables!$A$6:$AB$56,19,FALSE)-($AX43+$AB42-$AW43)))),2)))))</f>
      </c>
      <c r="V43" s="7">
        <f>IF($B43="","",IF($AN43="NY",IF('Inputs 2'!$C$78,ROUND(SUMPRODUCT((MAX(0,($O43-$D43)*'Inputs 2'!$C$8-(IF($AU43="Married",5500,5000)+1000*$AS43))&gt;INDEX('Methodology &amp; Sources'!$B$184:$J$198,0,4))*(MAX(0,($O43-$D43)*'Inputs 2'!$C$8-(IF($AU43="Married",5500,5000)+1000*$AS43))-INDEX('Methodology &amp; Sources'!$B$184:$J$198,0,4))*INDEX('Methodology &amp; Sources'!$B$184:$J$198,0,4+2))/'Inputs 2'!$C$8+0.0425*$D43,2),0)+IF('Inputs 2'!$C$79="Resident",ROUND(0.1675*$T43,2),IF('Inputs 2'!$C$79="Nonresident",ROUND(0.005*MAX(0,($O43-$D43)-(IF($AU43="Married",7950,7400)+1000*$AS43)/'Inputs 2'!$C$8),2),0)),IF($AN43="PA",IF('Inputs 2'!$C$80="None",'Inputs 2'!$C$27+ROUND('Inputs 2'!$C$81*($C43+$D43),2),ROUND(IF('Inputs 2'!$C$80="Resident",IF($B43&lt;DATE(2027,7,1),0.03735,0.03735),IF($B43&lt;DATE(2027,7,1),0.03425,0.03425))*($C43+$D43),2)),IF($BF43=0,ROUND('Inputs 2'!$C$81*($C43+$D43),2),'Inputs 2'!$C$27+ROUND('Inputs 2'!$C$81*($C43+$D43),2)))))</f>
      </c>
      <c r="W43" s="7">
        <f>IF($B43="","",IF($BF43=0,0,$BP43))</f>
      </c>
      <c r="X43" s="7">
        <f>IF($B43="","",SUM($E43:$K43)+$P43+$Q43+$R43+$S43+$T43+$U43+$V43+$W43)</f>
      </c>
      <c r="Y43" s="22">
        <f>IF($B43="","",$C43+$D43-$X43)</f>
      </c>
      <c r="Z43" s="7">
        <f>IF($B43="","",$Z42+$C43+$D43)</f>
      </c>
      <c r="AA43" s="7">
        <f>IF($B43="","",$AA42+$Y43)</f>
      </c>
      <c r="AB43" s="7">
        <f>IF($B43="","",$AB42+MIN($N43,MAX(0,'Methodology &amp; Sources'!$C$3-($AX43+$AB42-$AW43))))</f>
      </c>
      <c r="AC43" s="7">
        <f>IF($B43="","",$AC42+$E43+$F43)</f>
      </c>
      <c r="AD43" s="3">
        <f>IF($B43="","",IF(AND($AB42&lt;'Methodology &amp; Sources'!$C$3,$AB43&gt;='Methodology &amp; Sources'!$C$3),"★ Social Security maxed on this check — from the next check your net rises by about $"&amp;TEXT(ROUND('Methodology &amp; Sources'!$C$4*$N43,2),"#,##0.00")&amp;". ","")&amp;IF(AND($AC42&lt;'Inputs 2'!$C$34,$AC43&gt;='Inputs 2'!$C$34),"★ 401(k) reaches the $"&amp;TEXT('Inputs 2'!$C$34,"#,##0")&amp;" cap on this check — deferrals stop and net pay rises. ","")&amp;IF(AND($AG42&lt;'Methodology &amp; Sources'!$C$7,$AG43&gt;='Methodology &amp; Sources'!$C$7),"★ Wages pass $200,000 — the 0.9% Additional Medicare Tax starts here. ","")&amp;IF(AND($BJ43&gt;0,$H43&gt;0,$BG42&lt;MIN($BJ43,'Methodology &amp; Sources'!$C$13),$BG42+$H43&gt;=MIN($BJ43,'Methodology &amp; Sources'!$C$13)),"★ Health FSA election is now fully deferred for the year. ",""))</f>
      </c>
      <c r="AE43" s="41" t="n"/>
      <c r="AF43" s="7">
        <f>IF(OR($B43="",$AE43=""),"",$AE43-$Y43)</f>
      </c>
      <c r="AG43" s="7">
        <f>IF($B43="","",$AG42+$N43)</f>
      </c>
      <c r="AH43" s="7">
        <f>IF($B43="","",MAX(0,($M43-$D43)*'Inputs 2'!$C$8+$AP43-$AQ43-IF('Inputs 2'!$C$13,0,IF('Inputs 2'!$C$12="MFJ",'Methodology &amp; Sources'!$C$8,'Methodology &amp; Sources'!$C$9))))</f>
      </c>
      <c r="AI43" s="7">
        <f>IF($B43="","",$O43*'Inputs 2'!$C$8)</f>
      </c>
      <c r="AJ43" s="7">
        <f>IF($B43="","",MAX(0,$AI43-VLOOKUP($AN43,StateTables!$A$6:$AB$56,12,FALSE)*$AT43-IF(($AS43+$AT43)&gt;=2,VLOOKUP($AN43,StateTables!$A$6:$AB$56,8,FALSE),VLOOKUP($AN43,StateTables!$A$6:$AB$56,7,FALSE))))</f>
      </c>
      <c r="AK43" s="7">
        <f>IF($B43="","",IFERROR(LOOKUP(2,1/(('Events 2'!$C$6:$C$17="Salary change")*('Events 2'!$B$6:$B$17&lt;=$B43)*('Events 2'!$B$6:$B$17&lt;&gt;"")),'Events 2'!$D$6:$D$17),IF('Inputs 2'!$C$4="Annual salary",'Inputs 2'!$C$5,'Inputs 2'!$C$6)))</f>
      </c>
      <c r="AL43">
        <f>IF($B43="","",IFERROR(LOOKUP(2,1/(('Events 2'!$C$6:$C$17="401(k) change")*('Events 2'!$B$6:$B$17&lt;=$B43)*('Events 2'!$B$6:$B$17&lt;&gt;"")),'Events 2'!$D$6:$D$17),'Inputs 2'!$C$30))</f>
      </c>
      <c r="AM43" s="7">
        <f>IF($B43="","",IFERROR(LOOKUP(2,1/(('Events 2'!$C$6:$C$17="401(k) change")*('Events 2'!$B$6:$B$17&lt;=$B43)*('Events 2'!$B$6:$B$17&lt;&gt;"")),'Events 2'!$E$6:$E$17),'Inputs 2'!$D$30))</f>
      </c>
      <c r="AN43">
        <f>IF($B43="","",IFERROR(LOOKUP(2,1/(('Events 2'!$C$6:$C$17="State move")*('Events 2'!$B$6:$B$17&lt;=$B43)*('Events 2'!$B$6:$B$17&lt;&gt;"")),'Events 2'!$D$6:$D$17),'Inputs 2'!$C$21))</f>
      </c>
      <c r="AO43" s="7">
        <f>IF($B43="","",IFERROR(LOOKUP(2,1/(('Events 2'!$C$6:$C$17="W-4 change")*('Events 2'!$B$6:$B$17&lt;=$B43)*('Events 2'!$B$6:$B$17&lt;&gt;"")),'Events 2'!$D$6:$D$17),'Inputs 2'!$C$14))</f>
      </c>
      <c r="AP43" s="7">
        <f>IF($B43="","",IFERROR(LOOKUP(2,1/(('Events 2'!$C$6:$C$17="W-4 change")*('Events 2'!$B$6:$B$17&lt;=$B43)*('Events 2'!$B$6:$B$17&lt;&gt;"")),'Events 2'!$E$6:$E$17),'Inputs 2'!$C$15))</f>
      </c>
      <c r="AQ43" s="7">
        <f>IF($B43="","",IFERROR(LOOKUP(2,1/(('Events 2'!$C$6:$C$17="W-4 change")*('Events 2'!$B$6:$B$17&lt;=$B43)*('Events 2'!$B$6:$B$17&lt;&gt;"")),'Events 2'!$F$6:$F$17),'Inputs 2'!$C$16))</f>
      </c>
      <c r="AR43" s="7">
        <f>IF($B43="","",IFERROR(LOOKUP(2,1/(('Events 2'!$C$6:$C$17="W-4 change")*('Events 2'!$B$6:$B$17&lt;=$B43)*('Events 2'!$B$6:$B$17&lt;&gt;"")),'Events 2'!$G$6:$G$17),'Inputs 2'!$C$17))</f>
      </c>
      <c r="AS43" s="6">
        <f>IF($B43="","",IFERROR(LOOKUP(2,1/((('Events 2'!$C$6:$C$17="State move")+('Events 2'!$C$6:$C$17="State cert change"))*('Events 2'!$B$6:$B$17&lt;=$B43)*('Events 2'!$B$6:$B$17&lt;&gt;"")),'Events 2'!$F$6:$F$17),'Inputs 2'!$C$23))</f>
      </c>
      <c r="AT43" s="6">
        <f>IF($B43="","",IFERROR(LOOKUP(2,1/((('Events 2'!$C$6:$C$17="State move")+('Events 2'!$C$6:$C$17="State cert change"))*('Events 2'!$B$6:$B$17&lt;=$B43)*('Events 2'!$B$6:$B$17&lt;&gt;"")),'Events 2'!$G$6:$G$17),'Inputs 2'!$C$24))</f>
      </c>
      <c r="AU43">
        <f>IF($B43="","",IFERROR(LOOKUP(2,1/(('Events 2'!$C$6:$C$17="State move")*('Events 2'!$B$6:$B$17&lt;=$B43)*('Events 2'!$B$6:$B$17&lt;&gt;"")),'Events 2'!$E$6:$E$17),'Inputs 2'!$C$22))</f>
      </c>
      <c r="AV43" s="6">
        <f>IF($B43="","",1+COUNTIFS('Events 2'!$C$6:$C$17,"Employer change",'Events 2'!$B$6:$B$17,"&lt;="&amp;$B43,'Events 2'!$B$6:$B$17,"&lt;&gt;"))</f>
      </c>
      <c r="AW43" s="7">
        <f>IF($B43="","",IF($AV43=1,'Inputs 2'!$C$49,IF(IFERROR(MATCH(IFERROR(LOOKUP(2,1/(('Events 2'!$C$6:$C$17="Employer change")*('Events 2'!$B$6:$B$17&lt;=$B43)*('Events 2'!$B$6:$B$17&lt;&gt;"")),'Events 2'!$B$6:$B$17),""),$B$6:$B$68,1),1)&lt;=1,'Inputs 2'!$C$49,INDEX($AB$6:$AB$68,MATCH(IFERROR(LOOKUP(2,1/(('Events 2'!$C$6:$C$17="Employer change")*('Events 2'!$B$6:$B$17&lt;=$B43)*('Events 2'!$B$6:$B$17&lt;&gt;"")),'Events 2'!$B$6:$B$17),""),$B$6:$B$68,1)-1))))</f>
      </c>
      <c r="AX43" s="7">
        <f>IF($B43="","",IF($AV43=1,'Inputs 2'!$C$49,IFERROR(LOOKUP(2,1/(('Events 2'!$C$6:$C$17="Employer change")*('Events 2'!$B$6:$B$17&lt;=$B43)*('Events 2'!$B$6:$B$17&lt;&gt;"")),'Events 2'!$D$6:$D$17),0)))</f>
      </c>
      <c r="AY43" s="7">
        <f>IF($B43="","",($O43-$D43)*'Inputs 2'!$C$8)</f>
      </c>
      <c r="AZ43" s="7">
        <f>IF($B43="","",IF($AN43="AL",MAX(0,$AY43-IF($AU43="Married",IF($AY43&lt;=25999,8500,MAX(5000,8500-175*CEILING(($AY43-25999)/500,1))),IF($AU43="Head of household",IF($AY43&lt;=25999,5200,MAX(2500,5200-135*CEILING(($AY43-25999)/500,1))),IF($AY43&lt;=25999,3000,MAX(2500,3000-25*CEILING(($AY43-25999)/500,1)))))-($P43-'Methodology &amp; Sources'!$C$10*$D43)*'Inputs 2'!$C$8-IF(OR($AU43="Married",$AU43="Head of household"),3000,1500)-$AT43*IF($AY43&lt;=50000,1000,IF($AY43&lt;=100000,500,300))),IF($AN43="AR",IF(MAX(0,$AY43-2470)&lt;97701,INT(MAX(0,$AY43-2470)/100)*100+50,MAX(0,$AY43-2470)),IF($AN43="DE",MAX(0,$AI43-3250),IF($AN43="HI",MAX(0,$AI43-1144*$AS43-4350),IF($AN43="KS",MAX(0,$AI43-(9160*IF($AU43="Married",2,1)+2320*$AT43+IF($AU43="Head of household",2320,0))),IF($AN43="MD",MAX(0,$AI43-3400-3200*$AS43),IF($AN43="MN",MAX(0,$AY43-5300*$AS43),IF($AN43="MO",MAX(0,$AI43-IF($AU43="Head of household",24150,IF($AU43="Married",IF('Inputs 2'!$C$83,16100,32200),16100))),IF($AN43="MT",$AY43,IF($AN43="ND",($C43+$L43)*'Inputs 2'!$C$8,IF($AN43="NE",MAX(0,$AY43-2440*$AS43),IF($AN43="NJ",MAX(0,$AY43-1000*$AS43),IF($AN43="NY",MAX(0,$AY43-(IF($AU43="Married",7950,7400)+1000*$AS43)),IF($AN43="OH",MAX(0,$AY43-650*$AS43),IF($AN43="OK",MAX(0,$AY43-1000*$AS43),IF($AN43="RI",MAX(0,$AI43-1000*$AS43),IF($AN43="SC",MAX(0,$AI43-5000*$AS43-IF($AS43=0,0,MIN(0.1*$AI43,7500))),IF($AN43="VA",MAX(0,$AI43-IF($AU43="Married",17500,8750)-930*$AS43-800*$AT43),IF($AN43="VT",MAX(0,$AI43-5400*$AS43),IF($AN43="WI",MAX(0,$AI43-MAX(0,IF($AU43="Married",9461-0.2*MAX(0,$AI43-25727),6702-0.12*MAX(0,$AI43-17780)))-400*$AS43),IF($AN43="WV",MAX(0,$AI43-2000*$AS43),$AI43))))))))))))))))))))))</f>
      </c>
      <c r="BA43" s="7">
        <f>IF($B43="","",IF($BW43&lt;&gt;"",$BW43,IF($BX43&lt;&gt;"",$BX43,IF($BY43&lt;&gt;"",$BY43,0))))</f>
      </c>
      <c r="BB43" s="7">
        <f>IF($B43="","",IF($AN43="AR",-29*$AS43,IF($AN43="DE",-110*$AS43,IF($AN43="MD",$AZ43*'Inputs 2'!$C$74,IF($AN43="AZ",'Inputs 2'!$C$82*($M43-$D43)*'Inputs 2'!$C$8,IF($AN43="CO",0.044*MAX(0,$AY43-IF($AU43="Married",10000,5000)),IF($AN43="IA",MAX(0,0.038*MAX(0,$AY43-IF($AU43="Head of household",19500,IF($AU43="Married",26000,13000)))-40*$AS43),IF($AN43="ID",0.053*MAX(0,$AY43-IF($AU43="Married",32000,16094)),IF($AN43="IL",0.0495*MAX(0,$AY43-(2925*$AS43+1000*$AT43)),IF($AN43="IN",(0.0295+'Inputs 2'!$C$76)*MAX(0,$AY43-(1000*$AS43+1500*$AT43+3000*'Inputs 2'!$C$86)),IF($AN43="KY",0.035*MAX(0,$AI43-3360),IF($AN43="LA",IF('Inputs 2'!$C$84="0",0.0309*$AI43,0.0309*MAX(0,$AI43-IF('Inputs 2'!$C$84="2",25750,12875))),IF($AN43="MA",0.05*MIN(MAX(0,$AY43-MIN(($BD42+$Q43+$R43+$S43),2000)-IF($AS43=0,0,IF($AS43=1,4400,1000*$AS43+3400))),1107750)+0.09*MAX(0,MAX(0,$AY43-MIN(($BD42+$Q43+$R43+$S43),2000)-IF($AS43=0,0,IF($AS43=1,4400,1000*$AS43+3400)))-1107750)-IF($AU43="Head of household",120,0)-110*'Inputs 2'!$C$75,IF($AN43="MI",0.0425*MAX(0,$AY43-5900*$AS43),IF($AN43="MS",0.04*MAX(0,$AI43-IF($AU43="Head of household",3400,IF($AU43="Married",4600,2300))-'Inputs 2'!$C$85-10000),IF($AN43="OR",IF(OR($AU43="Married",AND($AU43="Single",$AS43&gt;=3)),SUMPRODUCT((MAX(0,$AY43-MIN(($P43-'Methodology &amp; Sources'!$C$10*$D43)*'Inputs 2'!$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Sources'!$B$211:$J$214,0,4))*(MAX(0,$AY43-MIN(($P43-'Methodology &amp; Sources'!$C$10*$D43)*'Inputs 2'!$C$8,IF(OR($AU43="Married",AND($AU43="Single",$AS43&gt;=3)),IF($AY43&lt;250000,8750,IF($AY43&lt;260000,7000,IF($AY43&lt;270000,5250,IF($AY43&lt;280000,3500,IF($AY43&lt;290000,1750,0))))),IF($AY43&lt;125000,8750,IF($AY43&lt;130000,7000,IF($AY43&lt;135000,5250,IF($AY43&lt;140000,3500,IF($AY43&lt;145000,1750,0)))))))-IF(OR($AU43="Married",AND($AU43="Single",$AS43&gt;=3)),5820,2910))-INDEX('Methodology &amp; Sources'!$B$211:$J$214,0,4))*INDEX('Methodology &amp; Sources'!$B$211:$J$214,0,4+2)),SUMPRODUCT((MAX(0,$AY43-MIN(($P43-'Methodology &amp; Sources'!$C$10*$D43)*'Inputs 2'!$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Sources'!$B$211:$J$214,0,1))*(MAX(0,$AY43-MIN(($P43-'Methodology &amp; Sources'!$C$10*$D43)*'Inputs 2'!$C$8,IF(OR($AU43="Married",AND($AU43="Single",$AS43&gt;=3)),IF($AY43&lt;250000,8750,IF($AY43&lt;260000,7000,IF($AY43&lt;270000,5250,IF($AY43&lt;280000,3500,IF($AY43&lt;290000,1750,0))))),IF($AY43&lt;125000,8750,IF($AY43&lt;130000,7000,IF($AY43&lt;135000,5250,IF($AY43&lt;140000,3500,IF($AY43&lt;145000,1750,0)))))))-IF(OR($AU43="Married",AND($AU43="Single",$AS43&gt;=3)),5820,2910))-INDEX('Methodology &amp; Sources'!$B$211:$J$214,0,1))*INDEX('Methodology &amp; Sources'!$B$211:$J$214,0,1+2)))+263-263*IF(IF($AU43="Married",$AY43&gt;200000,$AY43&gt;100000),0,$AS43),IF($AN43="PA",0.0307*(($O43+$E43+$G43)*'Inputs 2'!$C$8),IF($AN43="NY",IF($AU43="Married",IF($AZ43&gt;=2155350,0,IF($AZ43&gt;=1077550,0.48,IF($AZ43&gt;=373200,1.21,IF($AZ43&gt;=323200,0.21,IF($AZ43&gt;=211550,-0.19,IF($AZ43&gt;=157650,-2.8,IF($AZ43&gt;=107650,-0.8,IF($AZ43&gt;=96800,0.05,IF($AZ43&gt;=80650,-0.1,IF($AZ43&gt;=13900,0.4,IF($AZ43&gt;=11700,-0.3,IF($AZ43&gt;=8500,0.5,0)))))))))))),IF($AZ43&gt;=1077550,0,IF($AZ43&gt;=265400,4.29,IF($AZ43&gt;=215400,2.29,IF($AZ43&gt;=157650,2.29,IF($AZ43&gt;=107650,0.29,IF($AZ43&gt;=96800,0.05,IF($AZ43&gt;=80650,-0.1,IF($AZ43&gt;=13900,0.4,IF($AZ43&gt;=11700,-0.3,IF($AZ43&gt;=8500,0.5,0))))))))))),0))))))))))))))))))</f>
      </c>
      <c r="BC43" s="7">
        <f>IF($B43="","",IF($AN43="AL",0.05*$D43,IF($AN43="AR",0.039*$D43,IF($AN43="ID",0.053*$D43,IF($AN43="IN",(0.0295+'Inputs 2'!$C$76)*$D43,IF($AN43="KS",0.05*$D43,IF($AN43="MA",0.09*MIN($D43,MAX(0,MAX(0,$AY43-MIN(($BD42+$Q43+$R43+$S43),2000)-IF($AS43=0,0,IF($AS43=1,4400,1000*$AS43+3400)))+$D43-1107750))+0.05*($D43-MIN($D43,MAX(0,MAX(0,$AY43-MIN(($BD42+$Q43+$R43+$S43),2000)-IF($AS43=0,0,IF($AS43=1,4400,1000*$AS43+3400)))+$D43-1107750))),IF($AN43="MD",(0.065+'Inputs 2'!$C$74)*$D43,IF($AN43="MI",0.0425*$D43,IF($AN43="MN",0.0625*$D43,IF($AN43="MO",0.047*$D43,IF($AN43="MT",0.05*$D43,IF($AN43="ND",0.015*$D43,IF($AN43="NE",0.035*$D43,IF($AN43="NJ",IF('Inputs 2'!$C$77="B",SUMPRODUCT(($D43*'Inputs 2'!$C$8&gt;INDEX('Methodology &amp; Sources'!$B$155:$J$162,0,4))*($D43*'Inputs 2'!$C$8-INDEX('Methodology &amp; Sources'!$B$155:$J$162,0,4))*INDEX('Methodology &amp; Sources'!$B$155:$J$162,0,4+2)),IF('Inputs 2'!$C$77="C",SUMPRODUCT(($D43*'Inputs 2'!$C$8&gt;INDEX('Methodology &amp; Sources'!$B$155:$J$162,0,7))*($D43*'Inputs 2'!$C$8-INDEX('Methodology &amp; Sources'!$B$155:$J$162,0,7))*INDEX('Methodology &amp; Sources'!$B$155:$J$162,0,7+2)),IF('Inputs 2'!$C$77="D",SUMPRODUCT(($D43*'Inputs 2'!$C$8&gt;INDEX('Methodology &amp; Sources'!$B$167:$J$179,0,1))*($D43*'Inputs 2'!$C$8-INDEX('Methodology &amp; Sources'!$B$167:$J$179,0,1))*INDEX('Methodology &amp; Sources'!$B$167:$J$179,0,1+2)),IF('Inputs 2'!$C$77="E",SUMPRODUCT(($D43*'Inputs 2'!$C$8&gt;INDEX('Methodology &amp; Sources'!$B$167:$J$179,0,4))*($D43*'Inputs 2'!$C$8-INDEX('Methodology &amp; Sources'!$B$167:$J$179,0,4))*INDEX('Methodology &amp; Sources'!$B$167:$J$179,0,4+2)),SUMPRODUCT(($D43*'Inputs 2'!$C$8&gt;INDEX('Methodology &amp; Sources'!$B$155:$J$162,0,1))*($D43*'Inputs 2'!$C$8-INDEX('Methodology &amp; Sources'!$B$155:$J$162,0,1))*INDEX('Methodology &amp; Sources'!$B$155:$J$162,0,1+2))))))/'Inputs 2'!$C$8,IF($AN43="NY",0.117*$D43,IF($AN43="OH",0.0275*$D43,IF($AN43="OK",0.045*$D43,IF($AN43="OR",0.08*$D43,IF($AN43="WI",IF($AY43&lt;12760,0.0354,IF($AY43&lt;25520,0.0465,IF($AY43&lt;280950,0.053,0.0765)))*$D43,0))))))))))))))))))))</f>
      </c>
      <c r="BD43" s="7">
        <f>IF($B43="","",$BD42+$Q43+$R43+$S43)</f>
      </c>
      <c r="BE43" s="6">
        <f>IF($B43="",$BE42,$BE42+$BF43)</f>
      </c>
      <c r="BF43" s="6">
        <f>IF($B43="","",IF(AND(IF(YEAR(IF('Inputs 2'!$C$7="Weekly",'Inputs 2'!$C$9+7*(($BE42+1)-1),IF('Inputs 2'!$C$7="Biweekly",'Inputs 2'!$C$9+14*(($BE42+1)-1),IF('Inputs 2'!$C$7="Semimonthly",DATE(YEAR('Inputs 2'!$C$9),MONTH('Inputs 2'!$C$9)+INT((($BE42+1)-1)/2),MIN(DAY('Inputs 2'!$C$9),DAY(EOMONTH(DATE(YEAR('Inputs 2'!$C$9),MONTH('Inputs 2'!$C$9)+INT((($BE42+1)-1)/2),1),0))))+IF(MOD(($BE42+1)-1,2)=1,15,0),EDATE('Inputs 2'!$C$9,($BE42+1)-1)))))&lt;&gt;'Inputs 2'!$C$10,"",IF('Inputs 2'!$C$7="Weekly",'Inputs 2'!$C$9+7*(($BE42+1)-1),IF('Inputs 2'!$C$7="Biweekly",'Inputs 2'!$C$9+14*(($BE42+1)-1),IF('Inputs 2'!$C$7="Semimonthly",DATE(YEAR('Inputs 2'!$C$9),MONTH('Inputs 2'!$C$9)+INT((($BE42+1)-1)/2),MIN(DAY('Inputs 2'!$C$9),DAY(EOMONTH(DATE(YEAR('Inputs 2'!$C$9),MONTH('Inputs 2'!$C$9)+INT((($BE42+1)-1)/2),1),0))))+IF(MOD(($BE42+1)-1,2)=1,15,0),EDATE('Inputs 2'!$C$9,($BE42+1)-1)))))&lt;&gt;"",$B43=IF(YEAR(IF('Inputs 2'!$C$7="Weekly",'Inputs 2'!$C$9+7*(($BE42+1)-1),IF('Inputs 2'!$C$7="Biweekly",'Inputs 2'!$C$9+14*(($BE42+1)-1),IF('Inputs 2'!$C$7="Semimonthly",DATE(YEAR('Inputs 2'!$C$9),MONTH('Inputs 2'!$C$9)+INT((($BE42+1)-1)/2),MIN(DAY('Inputs 2'!$C$9),DAY(EOMONTH(DATE(YEAR('Inputs 2'!$C$9),MONTH('Inputs 2'!$C$9)+INT((($BE42+1)-1)/2),1),0))))+IF(MOD(($BE42+1)-1,2)=1,15,0),EDATE('Inputs 2'!$C$9,($BE42+1)-1)))))&lt;&gt;'Inputs 2'!$C$10,"",IF('Inputs 2'!$C$7="Weekly",'Inputs 2'!$C$9+7*(($BE42+1)-1),IF('Inputs 2'!$C$7="Biweekly",'Inputs 2'!$C$9+14*(($BE42+1)-1),IF('Inputs 2'!$C$7="Semimonthly",DATE(YEAR('Inputs 2'!$C$9),MONTH('Inputs 2'!$C$9)+INT((($BE42+1)-1)/2),MIN(DAY('Inputs 2'!$C$9),DAY(EOMONTH(DATE(YEAR('Inputs 2'!$C$9),MONTH('Inputs 2'!$C$9)+INT((($BE42+1)-1)/2),1),0))))+IF(MOD(($BE42+1)-1,2)=1,15,0),EDATE('Inputs 2'!$C$9,($BE42+1)-1)))))),1,0))</f>
      </c>
      <c r="BG43" s="7">
        <f>IF($B43="","",$BG42+$H43)</f>
      </c>
      <c r="BH43" s="7">
        <f>IF($B43="","",$BH42+$I43)</f>
      </c>
      <c r="BI43" s="7">
        <f>IF($B43="","",$BI42+$G43)</f>
      </c>
      <c r="BJ43" s="7">
        <f>IF($B43="","",IFERROR(LOOKUP(2,1/(((('Events 2'!$C$6:$C$17="Deduction start"))*('Events 2'!$D$6:$D$17="Health FSA"))*('Events 2'!$B$6:$B$17&lt;=$B43)*('Events 2'!$B$6:$B$17&lt;&gt;"")),'Events 2'!$E$6:$E$17),'Inputs 2'!$D$38))</f>
      </c>
      <c r="BK43" s="7">
        <f>IF($B43="","",IFERROR(LOOKUP(2,1/(((('Events 2'!$C$6:$C$17="Deduction start"))*('Events 2'!$D$6:$D$17="Dependent-care FSA"))*('Events 2'!$B$6:$B$17&lt;=$B43)*('Events 2'!$B$6:$B$17&lt;&gt;"")),'Events 2'!$E$6:$E$17),'Inputs 2'!$D$39))</f>
      </c>
      <c r="BL43" s="7">
        <f>IF($B43="","",IFERROR(LOOKUP(2,1/(((('Events 2'!$C$6:$C$17="Deduction start")+('Events 2'!$C$6:$C$17="Deduction stop"))*('Events 2'!$D$6:$D$17="HSA"))*('Events 2'!$B$6:$B$17&lt;=$B43)*('Events 2'!$B$6:$B$17&lt;&gt;"")),'Events 2'!$I$6:$I$17),'Inputs 2'!$D$35))</f>
      </c>
      <c r="BM43" s="7">
        <f>IF($B43="","",IFERROR(LOOKUP(2,1/(((('Events 2'!$C$6:$C$17="Deduction start")+('Events 2'!$C$6:$C$17="Deduction stop"))*('Events 2'!$D$6:$D$17="Premiums"))*('Events 2'!$B$6:$B$17&lt;=$B43)*('Events 2'!$B$6:$B$17&lt;&gt;"")),'Events 2'!$I$6:$I$17),'Inputs 2'!$D$40+'Inputs 2'!$D$41+'Inputs 2'!$D$42))</f>
      </c>
      <c r="BN43" s="7">
        <f>IF($B43="","",IFERROR(LOOKUP(2,1/(((('Events 2'!$C$6:$C$17="Deduction start")+('Events 2'!$C$6:$C$17="Deduction stop"))*('Events 2'!$D$6:$D$17="Commuter"))*('Events 2'!$B$6:$B$17&lt;=$B43)*('Events 2'!$B$6:$B$17&lt;&gt;"")),'Events 2'!$I$6:$I$17),'Inputs 2'!$D$43))</f>
      </c>
      <c r="BO43" s="7">
        <f>IF($B43="","",IFERROR(LOOKUP(2,1/(((('Events 2'!$C$6:$C$17="Deduction start")+('Events 2'!$C$6:$C$17="Deduction stop"))*('Events 2'!$D$6:$D$17="Other pre-tax"))*('Events 2'!$B$6:$B$17&lt;=$B43)*('Events 2'!$B$6:$B$17&lt;&gt;"")),'Events 2'!$I$6:$I$17),'Inputs 2'!$D$44))</f>
      </c>
      <c r="BP43" s="7">
        <f>IF($B43="","",IFERROR(LOOKUP(2,1/(((('Events 2'!$C$6:$C$17="Deduction start")+('Events 2'!$C$6:$C$17="Deduction stop"))*('Events 2'!$D$6:$D$17="Other post-tax"))*('Events 2'!$B$6:$B$17&lt;=$B43)*('Events 2'!$B$6:$B$17&lt;&gt;"")),'Events 2'!$I$6:$I$17),'Inputs 2'!$D$45))</f>
      </c>
      <c r="BQ43" s="6">
        <f>IF($B43="","",IFERROR(LOOKUP(2,1/(((('Events 2'!$C$6:$C$17="Deduction start")+('Events 2'!$C$6:$C$17="Deduction stop"))*('Events 2'!$D$6:$D$17="Health FSA"))*('Events 2'!$B$6:$B$17&lt;=$B43)*('Events 2'!$B$6:$B$17&lt;&gt;"")),'Events 2'!$J$6:$J$17),0))</f>
      </c>
      <c r="BR43" s="6">
        <f>IF($B43="","",IFERROR(LOOKUP(2,1/(((('Events 2'!$C$6:$C$17="Deduction start")+('Events 2'!$C$6:$C$17="Deduction stop"))*('Events 2'!$D$6:$D$17="Dependent-care FSA"))*('Events 2'!$B$6:$B$17&lt;=$B43)*('Events 2'!$B$6:$B$17&lt;&gt;"")),'Events 2'!$J$6:$J$17),0))</f>
      </c>
      <c r="BS43" s="6">
        <f>IF($B43="","",IF(SUMPRODUCT(('Events 2'!$C$6:$C$17="Deduction start")*('Events 2'!$B$6:$B$17&lt;=$B43)*('Events 2'!$B$6:$B$17&lt;&gt;"")*('Events 2'!$D$6:$D$17="Health FSA"))&gt;0,1,0))</f>
      </c>
      <c r="BT43" s="6">
        <f>IF($B43="","",IF(SUMPRODUCT(('Events 2'!$C$6:$C$17="Deduction start")*('Events 2'!$B$6:$B$17&lt;=$B43)*('Events 2'!$B$6:$B$17&lt;&gt;"")*('Events 2'!$D$6:$D$17="Dependent-care FSA"))&gt;0,1,0))</f>
      </c>
      <c r="BU43" s="24">
        <f>IF($B43="","",IF('Inputs 2'!$C$13,SUMPRODUCT(($AH43&gt;=INDEX('Methodology &amp; Sources'!$B$29:$J$36,0,IF('Inputs 2'!$C$12="MFJ",1,IF('Inputs 2'!$C$12="HoH",7,4))))*INDEX('Methodology &amp; Sources'!$B$29:$J$36,0,IF('Inputs 2'!$C$12="MFJ",1,IF('Inputs 2'!$C$12="HoH",7,4))+2)),SUMPRODUCT(($AH43&gt;=INDEX('Methodology &amp; Sources'!$B$19:$J$26,0,IF('Inputs 2'!$C$12="MFJ",1,IF('Inputs 2'!$C$12="HoH",7,4))))*INDEX('Methodology &amp; Sources'!$B$19:$J$26,0,IF('Inputs 2'!$C$12="MFJ",1,IF('Inputs 2'!$C$12="HoH",7,4))+2))))</f>
      </c>
      <c r="BV43" s="24">
        <f>IF($B43="","",IF($BZ43&lt;&gt;"",$BZ43,IF($CA43&lt;&gt;"",$CA43,IF($CB43&lt;&gt;"",$CB43,IF($CC43&lt;&gt;"",$CC43,0)))))</f>
      </c>
      <c r="BW43" s="7">
        <f>IF($B43="","",IF($AN43="MD",IF(OR($AU43="Married",$AU43="Head of household"),SUMPRODUCT(($AZ43&gt;INDEX('Methodology &amp; Sources'!$B$114:$J$120,0,1))*($AZ43-INDEX('Methodology &amp; Sources'!$B$114:$J$120,0,1))*INDEX('Methodology &amp; Sources'!$B$114:$J$120,0,1+2)),SUMPRODUCT(($AZ43&gt;INDEX('Methodology &amp; Sources'!$B$103:$J$109,0,7))*($AZ43-INDEX('Methodology &amp; Sources'!$B$103:$J$109,0,7))*INDEX('Methodology &amp; Sources'!$B$103:$J$109,0,7+2))),IF($AN43="MO",SUMPRODUCT(($AZ43&gt;INDEX('Methodology &amp; Sources'!$B$125:$J$132,0,1))*($AZ43-INDEX('Methodology &amp; Sources'!$B$125:$J$132,0,1))*INDEX('Methodology &amp; Sources'!$B$125:$J$132,0,1+2)),IF($AN43="MT",IF($AU43="Head of household",SUMPRODUCT(($AZ43&gt;INDEX('Methodology &amp; Sources'!$B$137:$J$139,0,1))*($AZ43-INDEX('Methodology &amp; Sources'!$B$137:$J$139,0,1))*INDEX('Methodology &amp; Sources'!$B$137:$J$139,0,1+2)),IF($AU43="Married",SUMPRODUCT(($AZ43&gt;INDEX('Methodology &amp; Sources'!$B$125:$J$132,0,7))*($AZ43-INDEX('Methodology &amp; Sources'!$B$125:$J$132,0,7))*INDEX('Methodology &amp; Sources'!$B$125:$J$132,0,7+2)),SUMPRODUCT(($AZ43&gt;INDEX('Methodology &amp; Sources'!$B$125:$J$132,0,4))*($AZ43-INDEX('Methodology &amp; Sources'!$B$125:$J$132,0,4))*INDEX('Methodology &amp; Sources'!$B$125:$J$132,0,4+2)))),IF($AN43="ND",IF($AU43="Head of household",SUMPRODUCT(($AZ43&gt;INDEX('Methodology &amp; Sources'!$B$144:$J$150,0,1))*($AZ43-INDEX('Methodology &amp; Sources'!$B$144:$J$150,0,1))*INDEX('Methodology &amp; Sources'!$B$144:$J$150,0,1+2)),IF($AU43="Married",SUMPRODUCT(($AZ43&gt;INDEX('Methodology &amp; Sources'!$B$137:$J$139,0,7))*($AZ43-INDEX('Methodology &amp; Sources'!$B$137:$J$139,0,7))*INDEX('Methodology &amp; Sources'!$B$137:$J$139,0,7+2)),SUMPRODUCT(($AZ43&gt;INDEX('Methodology &amp; Sources'!$B$137:$J$139,0,4))*($AZ43-INDEX('Methodology &amp; Sources'!$B$137:$J$139,0,4))*INDEX('Methodology &amp; Sources'!$B$137:$J$139,0,4+2)))),IF($AN43="NJ",IF('Inputs 2'!$C$77="B",SUMPRODUCT(($AZ43&gt;INDEX('Methodology &amp; Sources'!$B$155:$J$162,0,4))*($AZ43-INDEX('Methodology &amp; Sources'!$B$155:$J$162,0,4))*INDEX('Methodology &amp; Sources'!$B$155:$J$162,0,4+2)),IF('Inputs 2'!$C$77="C",SUMPRODUCT(($AZ43&gt;INDEX('Methodology &amp; Sources'!$B$155:$J$162,0,7))*($AZ43-INDEX('Methodology &amp; Sources'!$B$155:$J$162,0,7))*INDEX('Methodology &amp; Sources'!$B$155:$J$162,0,7+2)),IF('Inputs 2'!$C$77="D",SUMPRODUCT(($AZ43&gt;INDEX('Methodology &amp; Sources'!$B$167:$J$179,0,1))*($AZ43-INDEX('Methodology &amp; Sources'!$B$167:$J$179,0,1))*INDEX('Methodology &amp; Sources'!$B$167:$J$179,0,1+2)),IF('Inputs 2'!$C$77="E",SUMPRODUCT(($AZ43&gt;INDEX('Methodology &amp; Sources'!$B$167:$J$179,0,4))*($AZ43-INDEX('Methodology &amp; Sources'!$B$167:$J$179,0,4))*INDEX('Methodology &amp; Sources'!$B$167:$J$179,0,4+2)),SUMPRODUCT(($AZ43&gt;INDEX('Methodology &amp; Sources'!$B$155:$J$162,0,1))*($AZ43-INDEX('Methodology &amp; Sources'!$B$155:$J$162,0,1))*INDEX('Methodology &amp; Sources'!$B$155:$J$162,0,1+2)))))),IF($AN43="NY",IF($AU43="Married",IF($AZ43&gt;=2155350,$AZ43*IF($AZ43&gt;25000000,0.117,IF($AZ43&gt;5000000,0.111,0.1045)),SUMPRODUCT(($AZ43&gt;INDEX('Methodology &amp; Sources'!$B$184:$J$198,0,1))*($AZ43-INDEX('Methodology &amp; Sources'!$B$184:$J$198,0,1))*INDEX('Methodology &amp; Sources'!$B$184:$J$198,0,1+2))),IF($AZ43&gt;=1077550,$AZ43*IF($AZ43&gt;25000000,0.117,IF($AZ43&gt;5000000,0.111,0.1045)),SUMPRODUCT(($AZ43&gt;INDEX('Methodology &amp; Sources'!$B$167:$J$179,0,7))*($AZ43-INDEX('Methodology &amp; Sources'!$B$167:$J$179,0,7))*INDEX('Methodology &amp; Sources'!$B$167:$J$179,0,7+2)))),"")))))))</f>
      </c>
      <c r="BX43" s="7">
        <f>IF($B43="","",IF($AN43="AL",IF(OR($AU43="Married",$AU43="Head of household"),SUMPRODUCT(($AZ43&gt;INDEX('Methodology &amp; Sources'!$B$82:$J$86,0,4))*($AZ43-INDEX('Methodology &amp; Sources'!$B$82:$J$86,0,4))*INDEX('Methodology &amp; Sources'!$B$82:$J$86,0,4+2)),SUMPRODUCT(($AZ43&gt;INDEX('Methodology &amp; Sources'!$B$82:$J$86,0,1))*($AZ43-INDEX('Methodology &amp; Sources'!$B$82:$J$86,0,1))*INDEX('Methodology &amp; Sources'!$B$82:$J$86,0,1+2))),IF($AN43="KS",IF($AU43="Married",SUMPRODUCT(($AZ43&gt;INDEX('Methodology &amp; Sources'!$B$103:$J$109,0,4))*($AZ43-INDEX('Methodology &amp; Sources'!$B$103:$J$109,0,4))*INDEX('Methodology &amp; Sources'!$B$103:$J$109,0,4+2)),SUMPRODUCT(($AZ43&gt;INDEX('Methodology &amp; Sources'!$B$103:$J$109,0,1))*($AZ43-INDEX('Methodology &amp; Sources'!$B$103:$J$109,0,1))*INDEX('Methodology &amp; Sources'!$B$103:$J$109,0,1+2))),IF($AN43="MN",IF($AU43="Married",SUMPRODUCT(($AZ43&gt;INDEX('Methodology &amp; Sources'!$B$114:$J$120,0,7))*($AZ43-INDEX('Methodology &amp; Sources'!$B$114:$J$120,0,7))*INDEX('Methodology &amp; Sources'!$B$114:$J$120,0,7+2)),SUMPRODUCT(($AZ43&gt;INDEX('Methodology &amp; Sources'!$B$114:$J$120,0,4))*($AZ43-INDEX('Methodology &amp; Sources'!$B$114:$J$120,0,4))*INDEX('Methodology &amp; Sources'!$B$114:$J$120,0,4+2))),IF($AN43="NE",MAX(IF($AU43="Married",SUMPRODUCT(($AZ43&gt;INDEX('Methodology &amp; Sources'!$B$144:$J$150,0,7))*($AZ43-INDEX('Methodology &amp; Sources'!$B$144:$J$150,0,7))*INDEX('Methodology &amp; Sources'!$B$144:$J$150,0,7+2)),SUMPRODUCT(($AZ43&gt;INDEX('Methodology &amp; Sources'!$B$144:$J$150,0,4))*($AZ43-INDEX('Methodology &amp; Sources'!$B$144:$J$150,0,4))*INDEX('Methodology &amp; Sources'!$B$144:$J$150,0,4+2))),0.015*$AZ43),IF($AN43="OH",IF($B43&gt;=DATE(2027,8,1),SUMPRODUCT(($AZ43&gt;INDEX('Methodology &amp; Sources'!$B$203:$J$206,0,1))*($AZ43-INDEX('Methodology &amp; Sources'!$B$203:$J$206,0,1))*INDEX('Methodology &amp; Sources'!$B$203:$J$206,0,1+2)),SUMPRODUCT(($AZ43&gt;INDEX('Methodology &amp; Sources'!$B$184:$J$198,0,7))*($AZ43-INDEX('Methodology &amp; Sources'!$B$184:$J$198,0,7))*INDEX('Methodology &amp; Sources'!$B$184:$J$198,0,7+2))),IF($AN43="OK",IF($AU43="Married",SUMPRODUCT(($AZ43&gt;INDEX('Methodology &amp; Sources'!$B$203:$J$206,0,7))*($AZ43-INDEX('Methodology &amp; Sources'!$B$203:$J$206,0,7))*INDEX('Methodology &amp; Sources'!$B$203:$J$206,0,7+2)),SUMPRODUCT(($AZ43&gt;INDEX('Methodology &amp; Sources'!$B$203:$J$206,0,4))*($AZ43-INDEX('Methodology &amp; Sources'!$B$203:$J$206,0,4))*INDEX('Methodology &amp; Sources'!$B$203:$J$206,0,4+2))),IF($AN43="RI",SUMPRODUCT(($AZ43&gt;INDEX('Methodology &amp; Sources'!$B$211:$J$214,0,7))*($AZ43-INDEX('Methodology &amp; Sources'!$B$211:$J$214,0,7))*INDEX('Methodology &amp; Sources'!$B$211:$J$214,0,7+2)),IF($AN43="VT",IF($AU43="Married",SUMPRODUCT(($AZ43&gt;INDEX('Methodology &amp; Sources'!$B$228:$J$232,0,1))*($AZ43-INDEX('Methodology &amp; Sources'!$B$228:$J$232,0,1))*INDEX('Methodology &amp; Sources'!$B$228:$J$232,0,1+2)),SUMPRODUCT(($AZ43&gt;INDEX('Methodology &amp; Sources'!$B$219:$J$223,0,7))*($AZ43-INDEX('Methodology &amp; Sources'!$B$219:$J$223,0,7))*INDEX('Methodology &amp; Sources'!$B$219:$J$223,0,7+2))),IF($AN43="WV",IF($AU43="Married",SUMPRODUCT(($AZ43&gt;INDEX('Methodology &amp; Sources'!$B$237:$J$241,0,7))*($AZ43-INDEX('Methodology &amp; Sources'!$B$237:$J$241,0,7))*INDEX('Methodology &amp; Sources'!$B$237:$J$241,0,7+2)),SUMPRODUCT(($AZ43&gt;INDEX('Methodology &amp; Sources'!$B$228:$J$232,0,7))*($AZ43-INDEX('Methodology &amp; Sources'!$B$228:$J$232,0,7))*INDEX('Methodology &amp; Sources'!$B$228:$J$232,0,7+2))),""))))))))))</f>
      </c>
      <c r="BY43" s="7">
        <f>IF($B43="","",IF($AN43="AR",SUMPRODUCT(($AZ43&gt;INDEX('Methodology &amp; Sources'!$B$82:$J$86,0,7))*($AZ43-INDEX('Methodology &amp; Sources'!$B$82:$J$86,0,7))*INDEX('Methodology &amp; Sources'!$B$82:$J$86,0,7+2)),IF($AN43="DE",SUMPRODUCT(($AZ43&gt;INDEX('Methodology &amp; Sources'!$B$91:$J$98,0,1))*($AZ43-INDEX('Methodology &amp; Sources'!$B$91:$J$98,0,1))*INDEX('Methodology &amp; Sources'!$B$91:$J$98,0,1+2)),IF($AN43="HI",IF($AU43="Married",SUMPRODUCT(($AZ43&gt;INDEX('Methodology &amp; Sources'!$B$91:$J$98,0,7))*($AZ43-INDEX('Methodology &amp; Sources'!$B$91:$J$98,0,7))*INDEX('Methodology &amp; Sources'!$B$91:$J$98,0,7+2)),SUMPRODUCT(($AZ43&gt;INDEX('Methodology &amp; Sources'!$B$91:$J$98,0,4))*($AZ43-INDEX('Methodology &amp; Sources'!$B$91:$J$98,0,4))*INDEX('Methodology &amp; Sources'!$B$91:$J$98,0,4+2))),IF($AN43="SC",SUMPRODUCT(($AZ43&gt;INDEX('Methodology &amp; Sources'!$B$219:$J$223,0,1))*($AZ43-INDEX('Methodology &amp; Sources'!$B$219:$J$223,0,1))*INDEX('Methodology &amp; Sources'!$B$219:$J$223,0,1+2)),IF($AN43="VA",SUMPRODUCT(($AZ43&gt;INDEX('Methodology &amp; Sources'!$B$219:$J$223,0,4))*($AZ43-INDEX('Methodology &amp; Sources'!$B$219:$J$223,0,4))*INDEX('Methodology &amp; Sources'!$B$219:$J$223,0,4+2)),IF($AN43="WI",SUMPRODUCT(($AZ43&gt;INDEX('Methodology &amp; Sources'!$B$228:$J$232,0,4))*($AZ43-INDEX('Methodology &amp; Sources'!$B$228:$J$232,0,4))*INDEX('Methodology &amp; Sources'!$B$228:$J$232,0,4+2)),"")))))))</f>
      </c>
      <c r="BZ43" s="24">
        <f>IF($B43="","",IF($AN43="NJ",IF('Inputs 2'!$C$77="B",SUMPRODUCT(($AZ43&gt;=INDEX('Methodology &amp; Sources'!$B$155:$J$162,0,4))*INDEX('Methodology &amp; Sources'!$B$155:$J$162,0,4+2)),IF('Inputs 2'!$C$77="C",SUMPRODUCT(($AZ43&gt;=INDEX('Methodology &amp; Sources'!$B$155:$J$162,0,7))*INDEX('Methodology &amp; Sources'!$B$155:$J$162,0,7+2)),IF('Inputs 2'!$C$77="D",SUMPRODUCT(($AZ43&gt;=INDEX('Methodology &amp; Sources'!$B$167:$J$179,0,1))*INDEX('Methodology &amp; Sources'!$B$167:$J$179,0,1+2)),IF('Inputs 2'!$C$77="E",SUMPRODUCT(($AZ43&gt;=INDEX('Methodology &amp; Sources'!$B$167:$J$179,0,4))*INDEX('Methodology &amp; Sources'!$B$167:$J$179,0,4+2)),SUMPRODUCT(($AZ43&gt;=INDEX('Methodology &amp; Sources'!$B$155:$J$162,0,1))*INDEX('Methodology &amp; Sources'!$B$155:$J$162,0,1+2)))))),IF($AN43="OR",IF(OR($AU43="Married",AND($AU43="Single",$AS43&gt;=3)),SUMPRODUCT((MAX(0,$AY43-MIN(($P43-'Methodology &amp; Sources'!$C$10*$D43)*'Inputs 2'!$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Sources'!$B$211:$J$214,0,4))*INDEX('Methodology &amp; Sources'!$B$211:$J$214,0,4+2)),SUMPRODUCT((MAX(0,$AY43-MIN(($P43-'Methodology &amp; Sources'!$C$10*$D43)*'Inputs 2'!$C$8,IF(OR($AU43="Married",AND($AU43="Single",$AS43&gt;=3)),IF($AY43&lt;250000,8750,IF($AY43&lt;260000,7000,IF($AY43&lt;270000,5250,IF($AY43&lt;280000,3500,IF($AY43&lt;290000,1750,0))))),IF($AY43&lt;125000,8750,IF($AY43&lt;130000,7000,IF($AY43&lt;135000,5250,IF($AY43&lt;140000,3500,IF($AY43&lt;145000,1750,0)))))))-IF(OR($AU43="Married",AND($AU43="Single",$AS43&gt;=3)),5820,2910))&gt;=INDEX('Methodology &amp; Sources'!$B$211:$J$214,0,1))*INDEX('Methodology &amp; Sources'!$B$211:$J$214,0,1+2)))*IF(($P43-'Methodology &amp; Sources'!$C$10*$D43)*'Inputs 2'!$C$8&gt;=IF(OR($AU43="Married",AND($AU43="Single",$AS43&gt;=3)),IF($AY43&lt;250000,8750,IF($AY43&lt;260000,7000,IF($AY43&lt;270000,5250,IF($AY43&lt;280000,3500,IF($AY43&lt;290000,1750,0))))),IF($AY43&lt;125000,8750,IF($AY43&lt;130000,7000,IF($AY43&lt;135000,5250,IF($AY43&lt;140000,3500,IF($AY43&lt;145000,1750,0)))))),1,1-IF('Inputs 2'!$C$13,SUMPRODUCT(($AH43&gt;=INDEX('Methodology &amp; Sources'!$B$29:$J$36,0,IF('Inputs 2'!$C$12="MFJ",1,IF('Inputs 2'!$C$12="HoH",7,4))))*INDEX('Methodology &amp; Sources'!$B$29:$J$36,0,IF('Inputs 2'!$C$12="MFJ",1,IF('Inputs 2'!$C$12="HoH",7,4))+2)),SUMPRODUCT(($AH43&gt;=INDEX('Methodology &amp; Sources'!$B$19:$J$26,0,IF('Inputs 2'!$C$12="MFJ",1,IF('Inputs 2'!$C$12="HoH",7,4))))*INDEX('Methodology &amp; Sources'!$B$19:$J$26,0,IF('Inputs 2'!$C$12="MFJ",1,IF('Inputs 2'!$C$12="HoH",7,4))+2)))),IF($AN43="MI",IF($AY43&gt;5900*$AS43,0.0425,0),""))))</f>
      </c>
      <c r="CA43" s="24">
        <f>IF($B43="","",IF($AN43="AL",IF(OR($AU43="Married",$AU43="Head of household"),SUMPRODUCT(($AZ43&gt;=INDEX('Methodology &amp; Sources'!$B$82:$J$86,0,4))*INDEX('Methodology &amp; Sources'!$B$82:$J$86,0,4+2)),SUMPRODUCT(($AZ43&gt;=INDEX('Methodology &amp; Sources'!$B$82:$J$86,0,1))*INDEX('Methodology &amp; Sources'!$B$82:$J$86,0,1+2)))*(1-IF('Inputs 2'!$C$13,SUMPRODUCT(($AH43&gt;=INDEX('Methodology &amp; Sources'!$B$29:$J$36,0,IF('Inputs 2'!$C$12="MFJ",1,IF('Inputs 2'!$C$12="HoH",7,4))))*INDEX('Methodology &amp; Sources'!$B$29:$J$36,0,IF('Inputs 2'!$C$12="MFJ",1,IF('Inputs 2'!$C$12="HoH",7,4))+2)),SUMPRODUCT(($AH43&gt;=INDEX('Methodology &amp; Sources'!$B$19:$J$26,0,IF('Inputs 2'!$C$12="MFJ",1,IF('Inputs 2'!$C$12="HoH",7,4))))*INDEX('Methodology &amp; Sources'!$B$19:$J$26,0,IF('Inputs 2'!$C$12="MFJ",1,IF('Inputs 2'!$C$12="HoH",7,4))+2)))),IF($AN43="KS",IF($AU43="Married",SUMPRODUCT(($AZ43&gt;=INDEX('Methodology &amp; Sources'!$B$103:$J$109,0,4))*INDEX('Methodology &amp; Sources'!$B$103:$J$109,0,4+2)),SUMPRODUCT(($AZ43&gt;=INDEX('Methodology &amp; Sources'!$B$103:$J$109,0,1))*INDEX('Methodology &amp; Sources'!$B$103:$J$109,0,1+2))),IF($AN43="MD",IF(OR($AU43="Married",$AU43="Head of household"),SUMPRODUCT(($AZ43&gt;=INDEX('Methodology &amp; Sources'!$B$114:$J$120,0,1))*INDEX('Methodology &amp; Sources'!$B$114:$J$120,0,1+2)),SUMPRODUCT(($AZ43&gt;=INDEX('Methodology &amp; Sources'!$B$103:$J$109,0,7))*INDEX('Methodology &amp; Sources'!$B$103:$J$109,0,7+2)))+'Inputs 2'!$C$74,IF($AN43="MT",IF($AU43="Head of household",SUMPRODUCT(($AZ43&gt;=INDEX('Methodology &amp; Sources'!$B$137:$J$139,0,1))*INDEX('Methodology &amp; Sources'!$B$137:$J$139,0,1+2)),IF($AU43="Married",SUMPRODUCT(($AZ43&gt;=INDEX('Methodology &amp; Sources'!$B$125:$J$132,0,7))*INDEX('Methodology &amp; Sources'!$B$125:$J$132,0,7+2)),SUMPRODUCT(($AZ43&gt;=INDEX('Methodology &amp; Sources'!$B$125:$J$132,0,4))*INDEX('Methodology &amp; Sources'!$B$125:$J$132,0,4+2)))),IF($AN43="ND",IF($AU43="Head of household",SUMPRODUCT(($AZ43&gt;=INDEX('Methodology &amp; Sources'!$B$144:$J$150,0,1))*INDEX('Methodology &amp; Sources'!$B$144:$J$150,0,1+2)),IF($AU43="Married",SUMPRODUCT(($AZ43&gt;=INDEX('Methodology &amp; Sources'!$B$137:$J$139,0,7))*INDEX('Methodology &amp; Sources'!$B$137:$J$139,0,7+2)),SUMPRODUCT(($AZ43&gt;=INDEX('Methodology &amp; Sources'!$B$137:$J$139,0,4))*INDEX('Methodology &amp; Sources'!$B$137:$J$139,0,4+2)))),IF($AN43="NY",IF($AU43="Married",IF($AZ43&gt;=2155350,IF($AZ43&gt;25000000,0.117,IF($AZ43&gt;5000000,0.111,0.1045)),SUMPRODUCT(($AZ43&gt;=INDEX('Methodology &amp; Sources'!$B$184:$J$198,0,1))*INDEX('Methodology &amp; Sources'!$B$184:$J$198,0,1+2))),IF($AZ43&gt;=1077550,IF($AZ43&gt;25000000,0.117,IF($AZ43&gt;5000000,0.111,0.1045)),SUMPRODUCT(($AZ43&gt;=INDEX('Methodology &amp; Sources'!$B$167:$J$179,0,7))*INDEX('Methodology &amp; Sources'!$B$167:$J$179,0,7+2)))),"")))))))</f>
      </c>
      <c r="CB43" s="24">
        <f>IF($B43="","",IF($AN43="CA",SUMPRODUCT(($AJ43&gt;=INDEX('Methodology &amp; Sources'!$B$39:$J$48,0,IF($AU43="Married",4,IF($AU43="Head of household",7,1))))*INDEX('Methodology &amp; Sources'!$B$39:$J$48,0,IF($AU43="Married",4,IF($AU43="Head of household",7,1))+2)),IF($AN43="HI",IF($AU43="Married",SUMPRODUCT(($AZ43&gt;=INDEX('Methodology &amp; Sources'!$B$91:$J$98,0,7))*INDEX('Methodology &amp; Sources'!$B$91:$J$98,0,7+2)),SUMPRODUCT(($AZ43&gt;=INDEX('Methodology &amp; Sources'!$B$91:$J$98,0,4))*INDEX('Methodology &amp; Sources'!$B$91:$J$98,0,4+2))),IF($AN43="MN",IF($AU43="Married",SUMPRODUCT(($AZ43&gt;=INDEX('Methodology &amp; Sources'!$B$114:$J$120,0,7))*INDEX('Methodology &amp; Sources'!$B$114:$J$120,0,7+2)),SUMPRODUCT(($AZ43&gt;=INDEX('Methodology &amp; Sources'!$B$114:$J$120,0,4))*INDEX('Methodology &amp; Sources'!$B$114:$J$120,0,4+2))),IF($AN43="MO",SUMPRODUCT(($AZ43&gt;=INDEX('Methodology &amp; Sources'!$B$125:$J$132,0,1))*INDEX('Methodology &amp; Sources'!$B$125:$J$132,0,1+2)),IF($AN43="NE",MAX(IF($AU43="Married",SUMPRODUCT(($AZ43&gt;=INDEX('Methodology &amp; Sources'!$B$144:$J$150,0,7))*INDEX('Methodology &amp; Sources'!$B$144:$J$150,0,7+2)),SUMPRODUCT(($AZ43&gt;=INDEX('Methodology &amp; Sources'!$B$144:$J$150,0,4))*INDEX('Methodology &amp; Sources'!$B$144:$J$150,0,4+2))),0.015),IF($AN43="OH",IF($B43&gt;=DATE(2027,8,1),SUMPRODUCT(($AZ43&gt;=INDEX('Methodology &amp; Sources'!$B$203:$J$206,0,1))*INDEX('Methodology &amp; Sources'!$B$203:$J$206,0,1+2)),SUMPRODUCT(($AZ43&gt;=INDEX('Methodology &amp; Sources'!$B$184:$J$198,0,7))*INDEX('Methodology &amp; Sources'!$B$184:$J$198,0,7+2))),IF($AN43="OK",IF($AU43="Married",SUMPRODUCT(($AZ43&gt;=INDEX('Methodology &amp; Sources'!$B$203:$J$206,0,7))*INDEX('Methodology &amp; Sources'!$B$203:$J$206,0,7+2)),SUMPRODUCT(($AZ43&gt;=INDEX('Methodology &amp; Sources'!$B$203:$J$206,0,4))*INDEX('Methodology &amp; Sources'!$B$203:$J$206,0,4+2))),IF($AN43="RI",SUMPRODUCT(($AZ43&gt;=INDEX('Methodology &amp; Sources'!$B$211:$J$214,0,7))*INDEX('Methodology &amp; Sources'!$B$211:$J$214,0,7+2)),IF($AN43="SC",SUMPRODUCT(($AZ43&gt;=INDEX('Methodology &amp; Sources'!$B$219:$J$223,0,1))*INDEX('Methodology &amp; Sources'!$B$219:$J$223,0,1+2)),IF($AN43="VT",IF($AU43="Married",SUMPRODUCT(($AZ43&gt;=INDEX('Methodology &amp; Sources'!$B$228:$J$232,0,1))*INDEX('Methodology &amp; Sources'!$B$228:$J$232,0,1+2)),SUMPRODUCT(($AZ43&gt;=INDEX('Methodology &amp; Sources'!$B$219:$J$223,0,7))*INDEX('Methodology &amp; Sources'!$B$219:$J$223,0,7+2))),IF($AN43="WV",IF($AU43="Married",SUMPRODUCT(($AZ43&gt;=INDEX('Methodology &amp; Sources'!$B$237:$J$241,0,7))*INDEX('Methodology &amp; Sources'!$B$237:$J$241,0,7+2)),SUMPRODUCT(($AZ43&gt;=INDEX('Methodology &amp; Sources'!$B$228:$J$232,0,7))*INDEX('Methodology &amp; Sources'!$B$228:$J$232,0,7+2))),IF($AN43="IN",(0.0295+'Inputs 2'!$C$76),"")))))))))))))</f>
      </c>
      <c r="CC43" s="24">
        <f>IF($B43="","",IF($AN43="AR",SUMPRODUCT(($AZ43&gt;=INDEX('Methodology &amp; Sources'!$B$82:$J$86,0,7))*INDEX('Methodology &amp; Sources'!$B$82:$J$86,0,7+2)),IF($AN43="DE",SUMPRODUCT(($AZ43&gt;=INDEX('Methodology &amp; Sources'!$B$91:$J$98,0,1))*INDEX('Methodology &amp; Sources'!$B$91:$J$98,0,1+2)),IF($AN43="VA",SUMPRODUCT(($AZ43&gt;=INDEX('Methodology &amp; Sources'!$B$219:$J$223,0,4))*INDEX('Methodology &amp; Sources'!$B$219:$J$223,0,4+2)),IF($AN43="WI",SUMPRODUCT(($AZ43&gt;=INDEX('Methodology &amp; Sources'!$B$228:$J$232,0,4))*INDEX('Methodology &amp; Sources'!$B$228:$J$232,0,4+2)),IF($AN43="AZ",'Inputs 2'!$C$82,IF($AN43="CO",IF($AY43&gt;IF($AU43="Married",10000,5000),0.044,0),IF($AN43="IA",IF($AY43&gt;IF($AU43="Head of household",19500,IF($AU43="Married",26000,13000)),0.038,0),IF($AN43="ID",IF($AY43&gt;IF($AU43="Married",32000,16094),0.053,0),IF($AN43="IL",IF($AY43&gt;(2925*$AS43+1000*$AT43),0.0495,0),IF($AN43="KY",IF($AI43&gt;3360,0.035,0),IF($AN43="LA",0.0309,IF($AN43="MA",IF(MAX(0,$AY43-MIN(($BD42+$Q43+$R43+$S43),2000)-IF($AS43=0,0,IF($AS43=1,4400,1000*$AS43+3400)))&gt;=1107750,0.09,0.05),IF($AN43="MS",IF($AI43-IF($AU43="Head of household",3400,IF($AU43="Married",4600,2300))-'Inputs 2'!$C$85&gt;10000,0.04,0),IF($AN43="PA",0.0307,"")))))))))))))))</f>
      </c>
      <c r="CD43" s="21">
        <f>IF(YEAR(IF('Inputs 2'!$C$7="Weekly",'Inputs 2'!$C$9+7*(($BE42+1)-1),IF('Inputs 2'!$C$7="Biweekly",'Inputs 2'!$C$9+14*(($BE42+1)-1),IF('Inputs 2'!$C$7="Semimonthly",DATE(YEAR('Inputs 2'!$C$9),MONTH('Inputs 2'!$C$9)+INT((($BE42+1)-1)/2),MIN(DAY('Inputs 2'!$C$9),DAY(EOMONTH(DATE(YEAR('Inputs 2'!$C$9),MONTH('Inputs 2'!$C$9)+INT((($BE42+1)-1)/2),1),0))))+IF(MOD(($BE42+1)-1,2)=1,15,0),EDATE('Inputs 2'!$C$9,($BE42+1)-1)))))&lt;&gt;'Inputs 2'!$C$10,"",IF('Inputs 2'!$C$7="Weekly",'Inputs 2'!$C$9+7*(($BE42+1)-1),IF('Inputs 2'!$C$7="Biweekly",'Inputs 2'!$C$9+14*(($BE42+1)-1),IF('Inputs 2'!$C$7="Semimonthly",DATE(YEAR('Inputs 2'!$C$9),MONTH('Inputs 2'!$C$9)+INT((($BE42+1)-1)/2),MIN(DAY('Inputs 2'!$C$9),DAY(EOMONTH(DATE(YEAR('Inputs 2'!$C$9),MONTH('Inputs 2'!$C$9)+INT((($BE42+1)-1)/2),1),0))))+IF(MOD(($BE42+1)-1,2)=1,15,0),EDATE('Inputs 2'!$C$9,($BE42+1)-1)))))</f>
      </c>
      <c r="CE43" s="21">
        <f>IF(SUMPRODUCT(MIN(IF(('Inputs 2'!$C$58:$C$67&gt;MAX($B$6:$B42))*('Inputs 2'!$C$58:$C$67&gt;=DATE('Inputs 2'!$C$10,1,1))*('Inputs 2'!$C$58:$C$67&lt;=DATE('Inputs 2'!$C$10,12,31)),'Inputs 2'!$C$58:$C$67,999999)))=999999,"",SUMPRODUCT(MIN(IF(('Inputs 2'!$C$58:$C$67&gt;MAX($B$6:$B42))*('Inputs 2'!$C$58:$C$67&gt;=DATE('Inputs 2'!$C$10,1,1))*('Inputs 2'!$C$58:$C$67&lt;=DATE('Inputs 2'!$C$10,12,31)),'Inputs 2'!$C$58:$C$67,999999))))</f>
      </c>
    </row>
    <row r="44">
      <c r="A44" t="n">
        <v>39</v>
      </c>
      <c r="B44" s="21">
        <f>IF(AND($CD44="",$CE44=""),"",IF($CE44="",$CD44,IF($CD44="",$CE44,MIN($CD44,$CE44))))</f>
      </c>
      <c r="C44" s="7">
        <f>IF($B44="","",IF($BF44=0,0,IF('Inputs 2'!$C$4="Annual salary",ROUND($AK44/IF(AND('Inputs 2'!$C$88="Actual paydays",MONTH('Inputs 2'!$C$9)=1),MAX(1,MAX($BE$6:$BE$68)),'Inputs 2'!$C$8),2),$AK44)))</f>
      </c>
      <c r="D44" s="7">
        <f>IF($B44="","",SUMIF('Inputs 2'!$C$58:$C$67,$B44,'Inputs 2'!$D$58:$D$67))</f>
      </c>
      <c r="E44" s="7">
        <f>IF($B44="","",ROUND(MAX(0,MIN(IF($AL44="Percent",$AM44*($C44+$D44),$AM44),MAX(0,'Inputs 2'!$C$34-$AC43))),2))</f>
      </c>
      <c r="F44" s="7">
        <f>IF($B44="","",ROUND(MAX(0,MIN(IF('Inputs 2'!$C$32="Percent",'Inputs 2'!$D$32*($C44+$D44),'Inputs 2'!$D$32),MAX(0,'Inputs 2'!$C$34-$AC43-$E44))),2))</f>
      </c>
      <c r="G44" s="7">
        <f>IF($B44="","",IF($BF44=0,0,ROUND(MAX(0,MIN($BL44,'Inputs 2'!$C$37-'Inputs 2'!$C$54-$BI43)),2)))</f>
      </c>
      <c r="H44" s="7">
        <f>IF($B44="","",IF(OR($BF44=0,$BQ44=1),0,ROUND(MAX(0,MIN(IF($BS44=1,ROUND(MAX(0,MIN($BJ44,'Methodology &amp; Sources'!$C$13)-$BG43)/MAX(1,MAX($BE$6:$BE$68)-($BE43)),2),ROUND(MIN($BJ44,'Methodology &amp; Sources'!$C$13)/'Inputs 2'!$C$8,2)),MIN($BJ44,'Methodology &amp; Sources'!$C$13)-$BG43)),2)))</f>
      </c>
      <c r="I44" s="7">
        <f>IF($B44="","",IF(OR($BF44=0,$BR44=1),0,ROUND(MAX(0,MIN(IF($BT44=1,ROUND(MAX(0,MIN($BK44,IF('Inputs 2'!$C$12="MFJ",'Methodology &amp; Sources'!$C$14,'Methodology &amp; Sources'!$C$15))-$BH43)/MAX(1,MAX($BE$6:$BE$68)-($BE43)),2),ROUND(MIN($BK44,IF('Inputs 2'!$C$12="MFJ",'Methodology &amp; Sources'!$C$14,'Methodology &amp; Sources'!$C$15))/'Inputs 2'!$C$8,2)),MIN($BK44,IF('Inputs 2'!$C$12="MFJ",'Methodology &amp; Sources'!$C$14,'Methodology &amp; Sources'!$C$15))-$BH43)),2)))</f>
      </c>
      <c r="J44" s="7">
        <f>IF($B44="","",IF($BF44=0,0,$BM44))</f>
      </c>
      <c r="K44" s="7">
        <f>IF($B44="","",IF($BF44=0,0,$BN44+$BO44))</f>
      </c>
      <c r="L44" s="7">
        <f>IF($B44="","",IF($BF44=0,0,'Inputs 2'!$D$46))</f>
      </c>
      <c r="M44" s="7">
        <f>IF($B44="","",$C44+$D44+$L44-$E44-$G44-$H44-$I44-$J44-$K44)</f>
      </c>
      <c r="N44" s="7">
        <f>IF($B44="","",$C44+$D44+$L44-$G44-$H44-$I44-$J44-$K44)</f>
      </c>
      <c r="O44" s="7">
        <f>IF($B44="","",$C44+$D44+$L44-$E44-$H44-$I44-$J44-$K44-IF(OR($AN44="CA",$AN44="NJ"),0,$G44))</f>
      </c>
      <c r="P44" s="7">
        <f>IF($B44="","",IF('Inputs 2'!$C$18,0,ROUND(MAX(0,IF('Inputs 2'!$C$13,SUMPRODUCT(($AH44&gt;INDEX('Methodology &amp; Sources'!$B$29:$J$36,0,IF('Inputs 2'!$C$12="MFJ",1,IF('Inputs 2'!$C$12="HoH",7,4))))*($AH44-INDEX('Methodology &amp; Sources'!$B$29:$J$36,0,IF('Inputs 2'!$C$12="MFJ",1,IF('Inputs 2'!$C$12="HoH",7,4))))*INDEX('Methodology &amp; Sources'!$B$29:$J$36,0,IF('Inputs 2'!$C$12="MFJ",1,IF('Inputs 2'!$C$12="HoH",7,4))+2)),SUMPRODUCT(($AH44&gt;INDEX('Methodology &amp; Sources'!$B$19:$J$26,0,IF('Inputs 2'!$C$12="MFJ",1,IF('Inputs 2'!$C$12="HoH",7,4))))*($AH44-INDEX('Methodology &amp; Sources'!$B$19:$J$26,0,IF('Inputs 2'!$C$12="MFJ",1,IF('Inputs 2'!$C$12="HoH",7,4))))*INDEX('Methodology &amp; Sources'!$B$19:$J$26,0,IF('Inputs 2'!$C$12="MFJ",1,IF('Inputs 2'!$C$12="HoH",7,4))+2)))/'Inputs 2'!$C$8-$AO44/'Inputs 2'!$C$8)+$AR44+IF('Inputs 2'!$C$89="Aggregate",MAX(0,IF('Inputs 2'!$C$13,SUMPRODUCT((($AH44+$D44)&gt;INDEX('Methodology &amp; Sources'!$B$29:$J$36,0,IF('Inputs 2'!$C$12="MFJ",1,IF('Inputs 2'!$C$12="HoH",7,4))))*(($AH44+$D44)-INDEX('Methodology &amp; Sources'!$B$29:$J$36,0,IF('Inputs 2'!$C$12="MFJ",1,IF('Inputs 2'!$C$12="HoH",7,4))))*INDEX('Methodology &amp; Sources'!$B$29:$J$36,0,IF('Inputs 2'!$C$12="MFJ",1,IF('Inputs 2'!$C$12="HoH",7,4))+2)),SUMPRODUCT((($AH44+$D44)&gt;INDEX('Methodology &amp; Sources'!$B$19:$J$26,0,IF('Inputs 2'!$C$12="MFJ",1,IF('Inputs 2'!$C$12="HoH",7,4))))*(($AH44+$D44)-INDEX('Methodology &amp; Sources'!$B$19:$J$26,0,IF('Inputs 2'!$C$12="MFJ",1,IF('Inputs 2'!$C$12="HoH",7,4))))*INDEX('Methodology &amp; Sources'!$B$19:$J$26,0,IF('Inputs 2'!$C$12="MFJ",1,IF('Inputs 2'!$C$12="HoH",7,4))+2)))-IF('Inputs 2'!$C$13,SUMPRODUCT(($AH44&gt;INDEX('Methodology &amp; Sources'!$B$29:$J$36,0,IF('Inputs 2'!$C$12="MFJ",1,IF('Inputs 2'!$C$12="HoH",7,4))))*($AH44-INDEX('Methodology &amp; Sources'!$B$29:$J$36,0,IF('Inputs 2'!$C$12="MFJ",1,IF('Inputs 2'!$C$12="HoH",7,4))))*INDEX('Methodology &amp; Sources'!$B$29:$J$36,0,IF('Inputs 2'!$C$12="MFJ",1,IF('Inputs 2'!$C$12="HoH",7,4))+2)),SUMPRODUCT(($AH44&gt;INDEX('Methodology &amp; Sources'!$B$19:$J$26,0,IF('Inputs 2'!$C$12="MFJ",1,IF('Inputs 2'!$C$12="HoH",7,4))))*($AH44-INDEX('Methodology &amp; Sources'!$B$19:$J$26,0,IF('Inputs 2'!$C$12="MFJ",1,IF('Inputs 2'!$C$12="HoH",7,4))))*INDEX('Methodology &amp; Sources'!$B$19:$J$26,0,IF('Inputs 2'!$C$12="MFJ",1,IF('Inputs 2'!$C$12="HoH",7,4))+2)))),'Methodology &amp; Sources'!$C$10*$D44),2)))</f>
      </c>
      <c r="Q44" s="7">
        <f>IF($B44="","",ROUND('Methodology &amp; Sources'!$C$4*MIN($N44,MAX(0,'Methodology &amp; Sources'!$C$3-($AX44+$AB43-$AW44))),2))</f>
      </c>
      <c r="R44" s="7">
        <f>IF($B44="","",ROUND('Methodology &amp; Sources'!$C$5*$N44,2))</f>
      </c>
      <c r="S44" s="7">
        <f>IF($B44="","",ROUND('Methodology &amp; Sources'!$C$6*MAX(0,MIN($N44,$AG43+$N44-'Methodology &amp; Sources'!$C$7)),2))</f>
      </c>
      <c r="T44" s="7">
        <f>IF($B44="","",IF('Inputs 2'!$C$26,0,IF($AN44="CA",ROUND(IF($AI44&lt;=IF(($AS44+$AT44)&gt;=2,VLOOKUP($AN44,StateTables!$A$6:$AB$56,10,FALSE),VLOOKUP($AN44,StateTables!$A$6:$AB$56,9,FALSE)),0,MAX(0,SUMPRODUCT(($AJ44&gt;INDEX('Methodology &amp; Sources'!$B$39:$J$48,0,IF($AU44="Married",4,IF($AU44="Head of household",7,1))))*($AJ44-INDEX('Methodology &amp; Sources'!$B$39:$J$48,0,IF($AU44="Married",4,IF($AU44="Head of household",7,1))))*INDEX('Methodology &amp; Sources'!$B$39:$J$48,0,IF($AU44="Married",4,IF($AU44="Head of household",7,1))+2))-VLOOKUP($AN44,StateTables!$A$6:$AB$56,11,FALSE)*$AS44)/'Inputs 2'!$C$8)+'Inputs 2'!$C$25+VLOOKUP($AN44,StateTables!$A$6:$AB$56,13,FALSE)*$D44,2),IF(VLOOKUP($AN44,StateTables!$A$6:$AB$56,4,FALSE)="None",0,IF(ISNUMBER(SEARCH("MANUAL",VLOOKUP($AN44,StateTables!$A$6:$AB$56,5,FALSE))),'Inputs 2'!$C$28,ROUND(MAX(0,$BA44+$BB44)/'Inputs 2'!$C$8+'Inputs 2'!$C$25+$BC44,2))))))</f>
      </c>
      <c r="U44" s="7">
        <f>IF($B44="","",IF(VLOOKUP($AN44,StateTables!$A$6:$AB$56,24,FALSE)="flatq",IF(OR(MONTH($B44)=1,MONTH($B44)=4,MONTH($B44)=7,MONTH($B44)=10),VLOOKUP($AN44,StateTables!$A$6:$AB$56,25,FALSE),0),IF(VLOOKUP($AN44,StateTables!$A$6:$AB$56,24,FALSE)="dbl",MIN(ROUND(0.005*$N44,2),ROUND(0.6*52/'Inputs 2'!$C$8,2)),IF(OR(VLOOKUP($AN44,StateTables!$A$6:$AB$56,15,FALSE)="",VLOOKUP($AN44,StateTables!$A$6:$AB$56,15,FALSE)=0),0,ROUND(VLOOKUP($AN44,StateTables!$A$6:$AB$56,15,FALSE)*IF(OR(VLOOKUP($AN44,StateTables!$A$6:$AB$56,16,FALSE)="",VLOOKUP($AN44,StateTables!$A$6:$AB$56,16,FALSE)=0),$N44,MIN($N44,MAX(0,VLOOKUP($AN44,StateTables!$A$6:$AB$56,16,FALSE)-($AX44+$AB43-$AW44)))),2))))+IF(VLOOKUP($AN44,StateTables!$A$6:$AB$56,27,FALSE)="flatq",IF(OR(MONTH($B44)=1,MONTH($B44)=4,MONTH($B44)=7,MONTH($B44)=10),VLOOKUP($AN44,StateTables!$A$6:$AB$56,28,FALSE),0),IF(VLOOKUP($AN44,StateTables!$A$6:$AB$56,27,FALSE)="dbl",MIN(ROUND(0.005*$N44,2),ROUND(0.6*52/'Inputs 2'!$C$8,2)),IF(OR(VLOOKUP($AN44,StateTables!$A$6:$AB$56,18,FALSE)="",VLOOKUP($AN44,StateTables!$A$6:$AB$56,18,FALSE)=0),0,ROUND(VLOOKUP($AN44,StateTables!$A$6:$AB$56,18,FALSE)*IF(OR(VLOOKUP($AN44,StateTables!$A$6:$AB$56,19,FALSE)="",VLOOKUP($AN44,StateTables!$A$6:$AB$56,19,FALSE)=0),$N44,MIN($N44,MAX(0,VLOOKUP($AN44,StateTables!$A$6:$AB$56,19,FALSE)-($AX44+$AB43-$AW44)))),2)))))</f>
      </c>
      <c r="V44" s="7">
        <f>IF($B44="","",IF($AN44="NY",IF('Inputs 2'!$C$78,ROUND(SUMPRODUCT((MAX(0,($O44-$D44)*'Inputs 2'!$C$8-(IF($AU44="Married",5500,5000)+1000*$AS44))&gt;INDEX('Methodology &amp; Sources'!$B$184:$J$198,0,4))*(MAX(0,($O44-$D44)*'Inputs 2'!$C$8-(IF($AU44="Married",5500,5000)+1000*$AS44))-INDEX('Methodology &amp; Sources'!$B$184:$J$198,0,4))*INDEX('Methodology &amp; Sources'!$B$184:$J$198,0,4+2))/'Inputs 2'!$C$8+0.0425*$D44,2),0)+IF('Inputs 2'!$C$79="Resident",ROUND(0.1675*$T44,2),IF('Inputs 2'!$C$79="Nonresident",ROUND(0.005*MAX(0,($O44-$D44)-(IF($AU44="Married",7950,7400)+1000*$AS44)/'Inputs 2'!$C$8),2),0)),IF($AN44="PA",IF('Inputs 2'!$C$80="None",'Inputs 2'!$C$27+ROUND('Inputs 2'!$C$81*($C44+$D44),2),ROUND(IF('Inputs 2'!$C$80="Resident",IF($B44&lt;DATE(2027,7,1),0.03735,0.03735),IF($B44&lt;DATE(2027,7,1),0.03425,0.03425))*($C44+$D44),2)),IF($BF44=0,ROUND('Inputs 2'!$C$81*($C44+$D44),2),'Inputs 2'!$C$27+ROUND('Inputs 2'!$C$81*($C44+$D44),2)))))</f>
      </c>
      <c r="W44" s="7">
        <f>IF($B44="","",IF($BF44=0,0,$BP44))</f>
      </c>
      <c r="X44" s="7">
        <f>IF($B44="","",SUM($E44:$K44)+$P44+$Q44+$R44+$S44+$T44+$U44+$V44+$W44)</f>
      </c>
      <c r="Y44" s="22">
        <f>IF($B44="","",$C44+$D44-$X44)</f>
      </c>
      <c r="Z44" s="7">
        <f>IF($B44="","",$Z43+$C44+$D44)</f>
      </c>
      <c r="AA44" s="7">
        <f>IF($B44="","",$AA43+$Y44)</f>
      </c>
      <c r="AB44" s="7">
        <f>IF($B44="","",$AB43+MIN($N44,MAX(0,'Methodology &amp; Sources'!$C$3-($AX44+$AB43-$AW44))))</f>
      </c>
      <c r="AC44" s="7">
        <f>IF($B44="","",$AC43+$E44+$F44)</f>
      </c>
      <c r="AD44" s="3">
        <f>IF($B44="","",IF(AND($AB43&lt;'Methodology &amp; Sources'!$C$3,$AB44&gt;='Methodology &amp; Sources'!$C$3),"★ Social Security maxed on this check — from the next check your net rises by about $"&amp;TEXT(ROUND('Methodology &amp; Sources'!$C$4*$N44,2),"#,##0.00")&amp;". ","")&amp;IF(AND($AC43&lt;'Inputs 2'!$C$34,$AC44&gt;='Inputs 2'!$C$34),"★ 401(k) reaches the $"&amp;TEXT('Inputs 2'!$C$34,"#,##0")&amp;" cap on this check — deferrals stop and net pay rises. ","")&amp;IF(AND($AG43&lt;'Methodology &amp; Sources'!$C$7,$AG44&gt;='Methodology &amp; Sources'!$C$7),"★ Wages pass $200,000 — the 0.9% Additional Medicare Tax starts here. ","")&amp;IF(AND($BJ44&gt;0,$H44&gt;0,$BG43&lt;MIN($BJ44,'Methodology &amp; Sources'!$C$13),$BG43+$H44&gt;=MIN($BJ44,'Methodology &amp; Sources'!$C$13)),"★ Health FSA election is now fully deferred for the year. ",""))</f>
      </c>
      <c r="AE44" s="41" t="n"/>
      <c r="AF44" s="7">
        <f>IF(OR($B44="",$AE44=""),"",$AE44-$Y44)</f>
      </c>
      <c r="AG44" s="7">
        <f>IF($B44="","",$AG43+$N44)</f>
      </c>
      <c r="AH44" s="7">
        <f>IF($B44="","",MAX(0,($M44-$D44)*'Inputs 2'!$C$8+$AP44-$AQ44-IF('Inputs 2'!$C$13,0,IF('Inputs 2'!$C$12="MFJ",'Methodology &amp; Sources'!$C$8,'Methodology &amp; Sources'!$C$9))))</f>
      </c>
      <c r="AI44" s="7">
        <f>IF($B44="","",$O44*'Inputs 2'!$C$8)</f>
      </c>
      <c r="AJ44" s="7">
        <f>IF($B44="","",MAX(0,$AI44-VLOOKUP($AN44,StateTables!$A$6:$AB$56,12,FALSE)*$AT44-IF(($AS44+$AT44)&gt;=2,VLOOKUP($AN44,StateTables!$A$6:$AB$56,8,FALSE),VLOOKUP($AN44,StateTables!$A$6:$AB$56,7,FALSE))))</f>
      </c>
      <c r="AK44" s="7">
        <f>IF($B44="","",IFERROR(LOOKUP(2,1/(('Events 2'!$C$6:$C$17="Salary change")*('Events 2'!$B$6:$B$17&lt;=$B44)*('Events 2'!$B$6:$B$17&lt;&gt;"")),'Events 2'!$D$6:$D$17),IF('Inputs 2'!$C$4="Annual salary",'Inputs 2'!$C$5,'Inputs 2'!$C$6)))</f>
      </c>
      <c r="AL44">
        <f>IF($B44="","",IFERROR(LOOKUP(2,1/(('Events 2'!$C$6:$C$17="401(k) change")*('Events 2'!$B$6:$B$17&lt;=$B44)*('Events 2'!$B$6:$B$17&lt;&gt;"")),'Events 2'!$D$6:$D$17),'Inputs 2'!$C$30))</f>
      </c>
      <c r="AM44" s="7">
        <f>IF($B44="","",IFERROR(LOOKUP(2,1/(('Events 2'!$C$6:$C$17="401(k) change")*('Events 2'!$B$6:$B$17&lt;=$B44)*('Events 2'!$B$6:$B$17&lt;&gt;"")),'Events 2'!$E$6:$E$17),'Inputs 2'!$D$30))</f>
      </c>
      <c r="AN44">
        <f>IF($B44="","",IFERROR(LOOKUP(2,1/(('Events 2'!$C$6:$C$17="State move")*('Events 2'!$B$6:$B$17&lt;=$B44)*('Events 2'!$B$6:$B$17&lt;&gt;"")),'Events 2'!$D$6:$D$17),'Inputs 2'!$C$21))</f>
      </c>
      <c r="AO44" s="7">
        <f>IF($B44="","",IFERROR(LOOKUP(2,1/(('Events 2'!$C$6:$C$17="W-4 change")*('Events 2'!$B$6:$B$17&lt;=$B44)*('Events 2'!$B$6:$B$17&lt;&gt;"")),'Events 2'!$D$6:$D$17),'Inputs 2'!$C$14))</f>
      </c>
      <c r="AP44" s="7">
        <f>IF($B44="","",IFERROR(LOOKUP(2,1/(('Events 2'!$C$6:$C$17="W-4 change")*('Events 2'!$B$6:$B$17&lt;=$B44)*('Events 2'!$B$6:$B$17&lt;&gt;"")),'Events 2'!$E$6:$E$17),'Inputs 2'!$C$15))</f>
      </c>
      <c r="AQ44" s="7">
        <f>IF($B44="","",IFERROR(LOOKUP(2,1/(('Events 2'!$C$6:$C$17="W-4 change")*('Events 2'!$B$6:$B$17&lt;=$B44)*('Events 2'!$B$6:$B$17&lt;&gt;"")),'Events 2'!$F$6:$F$17),'Inputs 2'!$C$16))</f>
      </c>
      <c r="AR44" s="7">
        <f>IF($B44="","",IFERROR(LOOKUP(2,1/(('Events 2'!$C$6:$C$17="W-4 change")*('Events 2'!$B$6:$B$17&lt;=$B44)*('Events 2'!$B$6:$B$17&lt;&gt;"")),'Events 2'!$G$6:$G$17),'Inputs 2'!$C$17))</f>
      </c>
      <c r="AS44" s="6">
        <f>IF($B44="","",IFERROR(LOOKUP(2,1/((('Events 2'!$C$6:$C$17="State move")+('Events 2'!$C$6:$C$17="State cert change"))*('Events 2'!$B$6:$B$17&lt;=$B44)*('Events 2'!$B$6:$B$17&lt;&gt;"")),'Events 2'!$F$6:$F$17),'Inputs 2'!$C$23))</f>
      </c>
      <c r="AT44" s="6">
        <f>IF($B44="","",IFERROR(LOOKUP(2,1/((('Events 2'!$C$6:$C$17="State move")+('Events 2'!$C$6:$C$17="State cert change"))*('Events 2'!$B$6:$B$17&lt;=$B44)*('Events 2'!$B$6:$B$17&lt;&gt;"")),'Events 2'!$G$6:$G$17),'Inputs 2'!$C$24))</f>
      </c>
      <c r="AU44">
        <f>IF($B44="","",IFERROR(LOOKUP(2,1/(('Events 2'!$C$6:$C$17="State move")*('Events 2'!$B$6:$B$17&lt;=$B44)*('Events 2'!$B$6:$B$17&lt;&gt;"")),'Events 2'!$E$6:$E$17),'Inputs 2'!$C$22))</f>
      </c>
      <c r="AV44" s="6">
        <f>IF($B44="","",1+COUNTIFS('Events 2'!$C$6:$C$17,"Employer change",'Events 2'!$B$6:$B$17,"&lt;="&amp;$B44,'Events 2'!$B$6:$B$17,"&lt;&gt;"))</f>
      </c>
      <c r="AW44" s="7">
        <f>IF($B44="","",IF($AV44=1,'Inputs 2'!$C$49,IF(IFERROR(MATCH(IFERROR(LOOKUP(2,1/(('Events 2'!$C$6:$C$17="Employer change")*('Events 2'!$B$6:$B$17&lt;=$B44)*('Events 2'!$B$6:$B$17&lt;&gt;"")),'Events 2'!$B$6:$B$17),""),$B$6:$B$68,1),1)&lt;=1,'Inputs 2'!$C$49,INDEX($AB$6:$AB$68,MATCH(IFERROR(LOOKUP(2,1/(('Events 2'!$C$6:$C$17="Employer change")*('Events 2'!$B$6:$B$17&lt;=$B44)*('Events 2'!$B$6:$B$17&lt;&gt;"")),'Events 2'!$B$6:$B$17),""),$B$6:$B$68,1)-1))))</f>
      </c>
      <c r="AX44" s="7">
        <f>IF($B44="","",IF($AV44=1,'Inputs 2'!$C$49,IFERROR(LOOKUP(2,1/(('Events 2'!$C$6:$C$17="Employer change")*('Events 2'!$B$6:$B$17&lt;=$B44)*('Events 2'!$B$6:$B$17&lt;&gt;"")),'Events 2'!$D$6:$D$17),0)))</f>
      </c>
      <c r="AY44" s="7">
        <f>IF($B44="","",($O44-$D44)*'Inputs 2'!$C$8)</f>
      </c>
      <c r="AZ44" s="7">
        <f>IF($B44="","",IF($AN44="AL",MAX(0,$AY44-IF($AU44="Married",IF($AY44&lt;=25999,8500,MAX(5000,8500-175*CEILING(($AY44-25999)/500,1))),IF($AU44="Head of household",IF($AY44&lt;=25999,5200,MAX(2500,5200-135*CEILING(($AY44-25999)/500,1))),IF($AY44&lt;=25999,3000,MAX(2500,3000-25*CEILING(($AY44-25999)/500,1)))))-($P44-'Methodology &amp; Sources'!$C$10*$D44)*'Inputs 2'!$C$8-IF(OR($AU44="Married",$AU44="Head of household"),3000,1500)-$AT44*IF($AY44&lt;=50000,1000,IF($AY44&lt;=100000,500,300))),IF($AN44="AR",IF(MAX(0,$AY44-2470)&lt;97701,INT(MAX(0,$AY44-2470)/100)*100+50,MAX(0,$AY44-2470)),IF($AN44="DE",MAX(0,$AI44-3250),IF($AN44="HI",MAX(0,$AI44-1144*$AS44-4350),IF($AN44="KS",MAX(0,$AI44-(9160*IF($AU44="Married",2,1)+2320*$AT44+IF($AU44="Head of household",2320,0))),IF($AN44="MD",MAX(0,$AI44-3400-3200*$AS44),IF($AN44="MN",MAX(0,$AY44-5300*$AS44),IF($AN44="MO",MAX(0,$AI44-IF($AU44="Head of household",24150,IF($AU44="Married",IF('Inputs 2'!$C$83,16100,32200),16100))),IF($AN44="MT",$AY44,IF($AN44="ND",($C44+$L44)*'Inputs 2'!$C$8,IF($AN44="NE",MAX(0,$AY44-2440*$AS44),IF($AN44="NJ",MAX(0,$AY44-1000*$AS44),IF($AN44="NY",MAX(0,$AY44-(IF($AU44="Married",7950,7400)+1000*$AS44)),IF($AN44="OH",MAX(0,$AY44-650*$AS44),IF($AN44="OK",MAX(0,$AY44-1000*$AS44),IF($AN44="RI",MAX(0,$AI44-1000*$AS44),IF($AN44="SC",MAX(0,$AI44-5000*$AS44-IF($AS44=0,0,MIN(0.1*$AI44,7500))),IF($AN44="VA",MAX(0,$AI44-IF($AU44="Married",17500,8750)-930*$AS44-800*$AT44),IF($AN44="VT",MAX(0,$AI44-5400*$AS44),IF($AN44="WI",MAX(0,$AI44-MAX(0,IF($AU44="Married",9461-0.2*MAX(0,$AI44-25727),6702-0.12*MAX(0,$AI44-17780)))-400*$AS44),IF($AN44="WV",MAX(0,$AI44-2000*$AS44),$AI44))))))))))))))))))))))</f>
      </c>
      <c r="BA44" s="7">
        <f>IF($B44="","",IF($BW44&lt;&gt;"",$BW44,IF($BX44&lt;&gt;"",$BX44,IF($BY44&lt;&gt;"",$BY44,0))))</f>
      </c>
      <c r="BB44" s="7">
        <f>IF($B44="","",IF($AN44="AR",-29*$AS44,IF($AN44="DE",-110*$AS44,IF($AN44="MD",$AZ44*'Inputs 2'!$C$74,IF($AN44="AZ",'Inputs 2'!$C$82*($M44-$D44)*'Inputs 2'!$C$8,IF($AN44="CO",0.044*MAX(0,$AY44-IF($AU44="Married",10000,5000)),IF($AN44="IA",MAX(0,0.038*MAX(0,$AY44-IF($AU44="Head of household",19500,IF($AU44="Married",26000,13000)))-40*$AS44),IF($AN44="ID",0.053*MAX(0,$AY44-IF($AU44="Married",32000,16094)),IF($AN44="IL",0.0495*MAX(0,$AY44-(2925*$AS44+1000*$AT44)),IF($AN44="IN",(0.0295+'Inputs 2'!$C$76)*MAX(0,$AY44-(1000*$AS44+1500*$AT44+3000*'Inputs 2'!$C$86)),IF($AN44="KY",0.035*MAX(0,$AI44-3360),IF($AN44="LA",IF('Inputs 2'!$C$84="0",0.0309*$AI44,0.0309*MAX(0,$AI44-IF('Inputs 2'!$C$84="2",25750,12875))),IF($AN44="MA",0.05*MIN(MAX(0,$AY44-MIN(($BD43+$Q44+$R44+$S44),2000)-IF($AS44=0,0,IF($AS44=1,4400,1000*$AS44+3400))),1107750)+0.09*MAX(0,MAX(0,$AY44-MIN(($BD43+$Q44+$R44+$S44),2000)-IF($AS44=0,0,IF($AS44=1,4400,1000*$AS44+3400)))-1107750)-IF($AU44="Head of household",120,0)-110*'Inputs 2'!$C$75,IF($AN44="MI",0.0425*MAX(0,$AY44-5900*$AS44),IF($AN44="MS",0.04*MAX(0,$AI44-IF($AU44="Head of household",3400,IF($AU44="Married",4600,2300))-'Inputs 2'!$C$85-10000),IF($AN44="OR",IF(OR($AU44="Married",AND($AU44="Single",$AS44&gt;=3)),SUMPRODUCT((MAX(0,$AY44-MIN(($P44-'Methodology &amp; Sources'!$C$10*$D44)*'Inputs 2'!$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Sources'!$B$211:$J$214,0,4))*(MAX(0,$AY44-MIN(($P44-'Methodology &amp; Sources'!$C$10*$D44)*'Inputs 2'!$C$8,IF(OR($AU44="Married",AND($AU44="Single",$AS44&gt;=3)),IF($AY44&lt;250000,8750,IF($AY44&lt;260000,7000,IF($AY44&lt;270000,5250,IF($AY44&lt;280000,3500,IF($AY44&lt;290000,1750,0))))),IF($AY44&lt;125000,8750,IF($AY44&lt;130000,7000,IF($AY44&lt;135000,5250,IF($AY44&lt;140000,3500,IF($AY44&lt;145000,1750,0)))))))-IF(OR($AU44="Married",AND($AU44="Single",$AS44&gt;=3)),5820,2910))-INDEX('Methodology &amp; Sources'!$B$211:$J$214,0,4))*INDEX('Methodology &amp; Sources'!$B$211:$J$214,0,4+2)),SUMPRODUCT((MAX(0,$AY44-MIN(($P44-'Methodology &amp; Sources'!$C$10*$D44)*'Inputs 2'!$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Sources'!$B$211:$J$214,0,1))*(MAX(0,$AY44-MIN(($P44-'Methodology &amp; Sources'!$C$10*$D44)*'Inputs 2'!$C$8,IF(OR($AU44="Married",AND($AU44="Single",$AS44&gt;=3)),IF($AY44&lt;250000,8750,IF($AY44&lt;260000,7000,IF($AY44&lt;270000,5250,IF($AY44&lt;280000,3500,IF($AY44&lt;290000,1750,0))))),IF($AY44&lt;125000,8750,IF($AY44&lt;130000,7000,IF($AY44&lt;135000,5250,IF($AY44&lt;140000,3500,IF($AY44&lt;145000,1750,0)))))))-IF(OR($AU44="Married",AND($AU44="Single",$AS44&gt;=3)),5820,2910))-INDEX('Methodology &amp; Sources'!$B$211:$J$214,0,1))*INDEX('Methodology &amp; Sources'!$B$211:$J$214,0,1+2)))+263-263*IF(IF($AU44="Married",$AY44&gt;200000,$AY44&gt;100000),0,$AS44),IF($AN44="PA",0.0307*(($O44+$E44+$G44)*'Inputs 2'!$C$8),IF($AN44="NY",IF($AU44="Married",IF($AZ44&gt;=2155350,0,IF($AZ44&gt;=1077550,0.48,IF($AZ44&gt;=373200,1.21,IF($AZ44&gt;=323200,0.21,IF($AZ44&gt;=211550,-0.19,IF($AZ44&gt;=157650,-2.8,IF($AZ44&gt;=107650,-0.8,IF($AZ44&gt;=96800,0.05,IF($AZ44&gt;=80650,-0.1,IF($AZ44&gt;=13900,0.4,IF($AZ44&gt;=11700,-0.3,IF($AZ44&gt;=8500,0.5,0)))))))))))),IF($AZ44&gt;=1077550,0,IF($AZ44&gt;=265400,4.29,IF($AZ44&gt;=215400,2.29,IF($AZ44&gt;=157650,2.29,IF($AZ44&gt;=107650,0.29,IF($AZ44&gt;=96800,0.05,IF($AZ44&gt;=80650,-0.1,IF($AZ44&gt;=13900,0.4,IF($AZ44&gt;=11700,-0.3,IF($AZ44&gt;=8500,0.5,0))))))))))),0))))))))))))))))))</f>
      </c>
      <c r="BC44" s="7">
        <f>IF($B44="","",IF($AN44="AL",0.05*$D44,IF($AN44="AR",0.039*$D44,IF($AN44="ID",0.053*$D44,IF($AN44="IN",(0.0295+'Inputs 2'!$C$76)*$D44,IF($AN44="KS",0.05*$D44,IF($AN44="MA",0.09*MIN($D44,MAX(0,MAX(0,$AY44-MIN(($BD43+$Q44+$R44+$S44),2000)-IF($AS44=0,0,IF($AS44=1,4400,1000*$AS44+3400)))+$D44-1107750))+0.05*($D44-MIN($D44,MAX(0,MAX(0,$AY44-MIN(($BD43+$Q44+$R44+$S44),2000)-IF($AS44=0,0,IF($AS44=1,4400,1000*$AS44+3400)))+$D44-1107750))),IF($AN44="MD",(0.065+'Inputs 2'!$C$74)*$D44,IF($AN44="MI",0.0425*$D44,IF($AN44="MN",0.0625*$D44,IF($AN44="MO",0.047*$D44,IF($AN44="MT",0.05*$D44,IF($AN44="ND",0.015*$D44,IF($AN44="NE",0.035*$D44,IF($AN44="NJ",IF('Inputs 2'!$C$77="B",SUMPRODUCT(($D44*'Inputs 2'!$C$8&gt;INDEX('Methodology &amp; Sources'!$B$155:$J$162,0,4))*($D44*'Inputs 2'!$C$8-INDEX('Methodology &amp; Sources'!$B$155:$J$162,0,4))*INDEX('Methodology &amp; Sources'!$B$155:$J$162,0,4+2)),IF('Inputs 2'!$C$77="C",SUMPRODUCT(($D44*'Inputs 2'!$C$8&gt;INDEX('Methodology &amp; Sources'!$B$155:$J$162,0,7))*($D44*'Inputs 2'!$C$8-INDEX('Methodology &amp; Sources'!$B$155:$J$162,0,7))*INDEX('Methodology &amp; Sources'!$B$155:$J$162,0,7+2)),IF('Inputs 2'!$C$77="D",SUMPRODUCT(($D44*'Inputs 2'!$C$8&gt;INDEX('Methodology &amp; Sources'!$B$167:$J$179,0,1))*($D44*'Inputs 2'!$C$8-INDEX('Methodology &amp; Sources'!$B$167:$J$179,0,1))*INDEX('Methodology &amp; Sources'!$B$167:$J$179,0,1+2)),IF('Inputs 2'!$C$77="E",SUMPRODUCT(($D44*'Inputs 2'!$C$8&gt;INDEX('Methodology &amp; Sources'!$B$167:$J$179,0,4))*($D44*'Inputs 2'!$C$8-INDEX('Methodology &amp; Sources'!$B$167:$J$179,0,4))*INDEX('Methodology &amp; Sources'!$B$167:$J$179,0,4+2)),SUMPRODUCT(($D44*'Inputs 2'!$C$8&gt;INDEX('Methodology &amp; Sources'!$B$155:$J$162,0,1))*($D44*'Inputs 2'!$C$8-INDEX('Methodology &amp; Sources'!$B$155:$J$162,0,1))*INDEX('Methodology &amp; Sources'!$B$155:$J$162,0,1+2))))))/'Inputs 2'!$C$8,IF($AN44="NY",0.117*$D44,IF($AN44="OH",0.0275*$D44,IF($AN44="OK",0.045*$D44,IF($AN44="OR",0.08*$D44,IF($AN44="WI",IF($AY44&lt;12760,0.0354,IF($AY44&lt;25520,0.0465,IF($AY44&lt;280950,0.053,0.0765)))*$D44,0))))))))))))))))))))</f>
      </c>
      <c r="BD44" s="7">
        <f>IF($B44="","",$BD43+$Q44+$R44+$S44)</f>
      </c>
      <c r="BE44" s="6">
        <f>IF($B44="",$BE43,$BE43+$BF44)</f>
      </c>
      <c r="BF44" s="6">
        <f>IF($B44="","",IF(AND(IF(YEAR(IF('Inputs 2'!$C$7="Weekly",'Inputs 2'!$C$9+7*(($BE43+1)-1),IF('Inputs 2'!$C$7="Biweekly",'Inputs 2'!$C$9+14*(($BE43+1)-1),IF('Inputs 2'!$C$7="Semimonthly",DATE(YEAR('Inputs 2'!$C$9),MONTH('Inputs 2'!$C$9)+INT((($BE43+1)-1)/2),MIN(DAY('Inputs 2'!$C$9),DAY(EOMONTH(DATE(YEAR('Inputs 2'!$C$9),MONTH('Inputs 2'!$C$9)+INT((($BE43+1)-1)/2),1),0))))+IF(MOD(($BE43+1)-1,2)=1,15,0),EDATE('Inputs 2'!$C$9,($BE43+1)-1)))))&lt;&gt;'Inputs 2'!$C$10,"",IF('Inputs 2'!$C$7="Weekly",'Inputs 2'!$C$9+7*(($BE43+1)-1),IF('Inputs 2'!$C$7="Biweekly",'Inputs 2'!$C$9+14*(($BE43+1)-1),IF('Inputs 2'!$C$7="Semimonthly",DATE(YEAR('Inputs 2'!$C$9),MONTH('Inputs 2'!$C$9)+INT((($BE43+1)-1)/2),MIN(DAY('Inputs 2'!$C$9),DAY(EOMONTH(DATE(YEAR('Inputs 2'!$C$9),MONTH('Inputs 2'!$C$9)+INT((($BE43+1)-1)/2),1),0))))+IF(MOD(($BE43+1)-1,2)=1,15,0),EDATE('Inputs 2'!$C$9,($BE43+1)-1)))))&lt;&gt;"",$B44=IF(YEAR(IF('Inputs 2'!$C$7="Weekly",'Inputs 2'!$C$9+7*(($BE43+1)-1),IF('Inputs 2'!$C$7="Biweekly",'Inputs 2'!$C$9+14*(($BE43+1)-1),IF('Inputs 2'!$C$7="Semimonthly",DATE(YEAR('Inputs 2'!$C$9),MONTH('Inputs 2'!$C$9)+INT((($BE43+1)-1)/2),MIN(DAY('Inputs 2'!$C$9),DAY(EOMONTH(DATE(YEAR('Inputs 2'!$C$9),MONTH('Inputs 2'!$C$9)+INT((($BE43+1)-1)/2),1),0))))+IF(MOD(($BE43+1)-1,2)=1,15,0),EDATE('Inputs 2'!$C$9,($BE43+1)-1)))))&lt;&gt;'Inputs 2'!$C$10,"",IF('Inputs 2'!$C$7="Weekly",'Inputs 2'!$C$9+7*(($BE43+1)-1),IF('Inputs 2'!$C$7="Biweekly",'Inputs 2'!$C$9+14*(($BE43+1)-1),IF('Inputs 2'!$C$7="Semimonthly",DATE(YEAR('Inputs 2'!$C$9),MONTH('Inputs 2'!$C$9)+INT((($BE43+1)-1)/2),MIN(DAY('Inputs 2'!$C$9),DAY(EOMONTH(DATE(YEAR('Inputs 2'!$C$9),MONTH('Inputs 2'!$C$9)+INT((($BE43+1)-1)/2),1),0))))+IF(MOD(($BE43+1)-1,2)=1,15,0),EDATE('Inputs 2'!$C$9,($BE43+1)-1)))))),1,0))</f>
      </c>
      <c r="BG44" s="7">
        <f>IF($B44="","",$BG43+$H44)</f>
      </c>
      <c r="BH44" s="7">
        <f>IF($B44="","",$BH43+$I44)</f>
      </c>
      <c r="BI44" s="7">
        <f>IF($B44="","",$BI43+$G44)</f>
      </c>
      <c r="BJ44" s="7">
        <f>IF($B44="","",IFERROR(LOOKUP(2,1/(((('Events 2'!$C$6:$C$17="Deduction start"))*('Events 2'!$D$6:$D$17="Health FSA"))*('Events 2'!$B$6:$B$17&lt;=$B44)*('Events 2'!$B$6:$B$17&lt;&gt;"")),'Events 2'!$E$6:$E$17),'Inputs 2'!$D$38))</f>
      </c>
      <c r="BK44" s="7">
        <f>IF($B44="","",IFERROR(LOOKUP(2,1/(((('Events 2'!$C$6:$C$17="Deduction start"))*('Events 2'!$D$6:$D$17="Dependent-care FSA"))*('Events 2'!$B$6:$B$17&lt;=$B44)*('Events 2'!$B$6:$B$17&lt;&gt;"")),'Events 2'!$E$6:$E$17),'Inputs 2'!$D$39))</f>
      </c>
      <c r="BL44" s="7">
        <f>IF($B44="","",IFERROR(LOOKUP(2,1/(((('Events 2'!$C$6:$C$17="Deduction start")+('Events 2'!$C$6:$C$17="Deduction stop"))*('Events 2'!$D$6:$D$17="HSA"))*('Events 2'!$B$6:$B$17&lt;=$B44)*('Events 2'!$B$6:$B$17&lt;&gt;"")),'Events 2'!$I$6:$I$17),'Inputs 2'!$D$35))</f>
      </c>
      <c r="BM44" s="7">
        <f>IF($B44="","",IFERROR(LOOKUP(2,1/(((('Events 2'!$C$6:$C$17="Deduction start")+('Events 2'!$C$6:$C$17="Deduction stop"))*('Events 2'!$D$6:$D$17="Premiums"))*('Events 2'!$B$6:$B$17&lt;=$B44)*('Events 2'!$B$6:$B$17&lt;&gt;"")),'Events 2'!$I$6:$I$17),'Inputs 2'!$D$40+'Inputs 2'!$D$41+'Inputs 2'!$D$42))</f>
      </c>
      <c r="BN44" s="7">
        <f>IF($B44="","",IFERROR(LOOKUP(2,1/(((('Events 2'!$C$6:$C$17="Deduction start")+('Events 2'!$C$6:$C$17="Deduction stop"))*('Events 2'!$D$6:$D$17="Commuter"))*('Events 2'!$B$6:$B$17&lt;=$B44)*('Events 2'!$B$6:$B$17&lt;&gt;"")),'Events 2'!$I$6:$I$17),'Inputs 2'!$D$43))</f>
      </c>
      <c r="BO44" s="7">
        <f>IF($B44="","",IFERROR(LOOKUP(2,1/(((('Events 2'!$C$6:$C$17="Deduction start")+('Events 2'!$C$6:$C$17="Deduction stop"))*('Events 2'!$D$6:$D$17="Other pre-tax"))*('Events 2'!$B$6:$B$17&lt;=$B44)*('Events 2'!$B$6:$B$17&lt;&gt;"")),'Events 2'!$I$6:$I$17),'Inputs 2'!$D$44))</f>
      </c>
      <c r="BP44" s="7">
        <f>IF($B44="","",IFERROR(LOOKUP(2,1/(((('Events 2'!$C$6:$C$17="Deduction start")+('Events 2'!$C$6:$C$17="Deduction stop"))*('Events 2'!$D$6:$D$17="Other post-tax"))*('Events 2'!$B$6:$B$17&lt;=$B44)*('Events 2'!$B$6:$B$17&lt;&gt;"")),'Events 2'!$I$6:$I$17),'Inputs 2'!$D$45))</f>
      </c>
      <c r="BQ44" s="6">
        <f>IF($B44="","",IFERROR(LOOKUP(2,1/(((('Events 2'!$C$6:$C$17="Deduction start")+('Events 2'!$C$6:$C$17="Deduction stop"))*('Events 2'!$D$6:$D$17="Health FSA"))*('Events 2'!$B$6:$B$17&lt;=$B44)*('Events 2'!$B$6:$B$17&lt;&gt;"")),'Events 2'!$J$6:$J$17),0))</f>
      </c>
      <c r="BR44" s="6">
        <f>IF($B44="","",IFERROR(LOOKUP(2,1/(((('Events 2'!$C$6:$C$17="Deduction start")+('Events 2'!$C$6:$C$17="Deduction stop"))*('Events 2'!$D$6:$D$17="Dependent-care FSA"))*('Events 2'!$B$6:$B$17&lt;=$B44)*('Events 2'!$B$6:$B$17&lt;&gt;"")),'Events 2'!$J$6:$J$17),0))</f>
      </c>
      <c r="BS44" s="6">
        <f>IF($B44="","",IF(SUMPRODUCT(('Events 2'!$C$6:$C$17="Deduction start")*('Events 2'!$B$6:$B$17&lt;=$B44)*('Events 2'!$B$6:$B$17&lt;&gt;"")*('Events 2'!$D$6:$D$17="Health FSA"))&gt;0,1,0))</f>
      </c>
      <c r="BT44" s="6">
        <f>IF($B44="","",IF(SUMPRODUCT(('Events 2'!$C$6:$C$17="Deduction start")*('Events 2'!$B$6:$B$17&lt;=$B44)*('Events 2'!$B$6:$B$17&lt;&gt;"")*('Events 2'!$D$6:$D$17="Dependent-care FSA"))&gt;0,1,0))</f>
      </c>
      <c r="BU44" s="24">
        <f>IF($B44="","",IF('Inputs 2'!$C$13,SUMPRODUCT(($AH44&gt;=INDEX('Methodology &amp; Sources'!$B$29:$J$36,0,IF('Inputs 2'!$C$12="MFJ",1,IF('Inputs 2'!$C$12="HoH",7,4))))*INDEX('Methodology &amp; Sources'!$B$29:$J$36,0,IF('Inputs 2'!$C$12="MFJ",1,IF('Inputs 2'!$C$12="HoH",7,4))+2)),SUMPRODUCT(($AH44&gt;=INDEX('Methodology &amp; Sources'!$B$19:$J$26,0,IF('Inputs 2'!$C$12="MFJ",1,IF('Inputs 2'!$C$12="HoH",7,4))))*INDEX('Methodology &amp; Sources'!$B$19:$J$26,0,IF('Inputs 2'!$C$12="MFJ",1,IF('Inputs 2'!$C$12="HoH",7,4))+2))))</f>
      </c>
      <c r="BV44" s="24">
        <f>IF($B44="","",IF($BZ44&lt;&gt;"",$BZ44,IF($CA44&lt;&gt;"",$CA44,IF($CB44&lt;&gt;"",$CB44,IF($CC44&lt;&gt;"",$CC44,0)))))</f>
      </c>
      <c r="BW44" s="7">
        <f>IF($B44="","",IF($AN44="MD",IF(OR($AU44="Married",$AU44="Head of household"),SUMPRODUCT(($AZ44&gt;INDEX('Methodology &amp; Sources'!$B$114:$J$120,0,1))*($AZ44-INDEX('Methodology &amp; Sources'!$B$114:$J$120,0,1))*INDEX('Methodology &amp; Sources'!$B$114:$J$120,0,1+2)),SUMPRODUCT(($AZ44&gt;INDEX('Methodology &amp; Sources'!$B$103:$J$109,0,7))*($AZ44-INDEX('Methodology &amp; Sources'!$B$103:$J$109,0,7))*INDEX('Methodology &amp; Sources'!$B$103:$J$109,0,7+2))),IF($AN44="MO",SUMPRODUCT(($AZ44&gt;INDEX('Methodology &amp; Sources'!$B$125:$J$132,0,1))*($AZ44-INDEX('Methodology &amp; Sources'!$B$125:$J$132,0,1))*INDEX('Methodology &amp; Sources'!$B$125:$J$132,0,1+2)),IF($AN44="MT",IF($AU44="Head of household",SUMPRODUCT(($AZ44&gt;INDEX('Methodology &amp; Sources'!$B$137:$J$139,0,1))*($AZ44-INDEX('Methodology &amp; Sources'!$B$137:$J$139,0,1))*INDEX('Methodology &amp; Sources'!$B$137:$J$139,0,1+2)),IF($AU44="Married",SUMPRODUCT(($AZ44&gt;INDEX('Methodology &amp; Sources'!$B$125:$J$132,0,7))*($AZ44-INDEX('Methodology &amp; Sources'!$B$125:$J$132,0,7))*INDEX('Methodology &amp; Sources'!$B$125:$J$132,0,7+2)),SUMPRODUCT(($AZ44&gt;INDEX('Methodology &amp; Sources'!$B$125:$J$132,0,4))*($AZ44-INDEX('Methodology &amp; Sources'!$B$125:$J$132,0,4))*INDEX('Methodology &amp; Sources'!$B$125:$J$132,0,4+2)))),IF($AN44="ND",IF($AU44="Head of household",SUMPRODUCT(($AZ44&gt;INDEX('Methodology &amp; Sources'!$B$144:$J$150,0,1))*($AZ44-INDEX('Methodology &amp; Sources'!$B$144:$J$150,0,1))*INDEX('Methodology &amp; Sources'!$B$144:$J$150,0,1+2)),IF($AU44="Married",SUMPRODUCT(($AZ44&gt;INDEX('Methodology &amp; Sources'!$B$137:$J$139,0,7))*($AZ44-INDEX('Methodology &amp; Sources'!$B$137:$J$139,0,7))*INDEX('Methodology &amp; Sources'!$B$137:$J$139,0,7+2)),SUMPRODUCT(($AZ44&gt;INDEX('Methodology &amp; Sources'!$B$137:$J$139,0,4))*($AZ44-INDEX('Methodology &amp; Sources'!$B$137:$J$139,0,4))*INDEX('Methodology &amp; Sources'!$B$137:$J$139,0,4+2)))),IF($AN44="NJ",IF('Inputs 2'!$C$77="B",SUMPRODUCT(($AZ44&gt;INDEX('Methodology &amp; Sources'!$B$155:$J$162,0,4))*($AZ44-INDEX('Methodology &amp; Sources'!$B$155:$J$162,0,4))*INDEX('Methodology &amp; Sources'!$B$155:$J$162,0,4+2)),IF('Inputs 2'!$C$77="C",SUMPRODUCT(($AZ44&gt;INDEX('Methodology &amp; Sources'!$B$155:$J$162,0,7))*($AZ44-INDEX('Methodology &amp; Sources'!$B$155:$J$162,0,7))*INDEX('Methodology &amp; Sources'!$B$155:$J$162,0,7+2)),IF('Inputs 2'!$C$77="D",SUMPRODUCT(($AZ44&gt;INDEX('Methodology &amp; Sources'!$B$167:$J$179,0,1))*($AZ44-INDEX('Methodology &amp; Sources'!$B$167:$J$179,0,1))*INDEX('Methodology &amp; Sources'!$B$167:$J$179,0,1+2)),IF('Inputs 2'!$C$77="E",SUMPRODUCT(($AZ44&gt;INDEX('Methodology &amp; Sources'!$B$167:$J$179,0,4))*($AZ44-INDEX('Methodology &amp; Sources'!$B$167:$J$179,0,4))*INDEX('Methodology &amp; Sources'!$B$167:$J$179,0,4+2)),SUMPRODUCT(($AZ44&gt;INDEX('Methodology &amp; Sources'!$B$155:$J$162,0,1))*($AZ44-INDEX('Methodology &amp; Sources'!$B$155:$J$162,0,1))*INDEX('Methodology &amp; Sources'!$B$155:$J$162,0,1+2)))))),IF($AN44="NY",IF($AU44="Married",IF($AZ44&gt;=2155350,$AZ44*IF($AZ44&gt;25000000,0.117,IF($AZ44&gt;5000000,0.111,0.1045)),SUMPRODUCT(($AZ44&gt;INDEX('Methodology &amp; Sources'!$B$184:$J$198,0,1))*($AZ44-INDEX('Methodology &amp; Sources'!$B$184:$J$198,0,1))*INDEX('Methodology &amp; Sources'!$B$184:$J$198,0,1+2))),IF($AZ44&gt;=1077550,$AZ44*IF($AZ44&gt;25000000,0.117,IF($AZ44&gt;5000000,0.111,0.1045)),SUMPRODUCT(($AZ44&gt;INDEX('Methodology &amp; Sources'!$B$167:$J$179,0,7))*($AZ44-INDEX('Methodology &amp; Sources'!$B$167:$J$179,0,7))*INDEX('Methodology &amp; Sources'!$B$167:$J$179,0,7+2)))),"")))))))</f>
      </c>
      <c r="BX44" s="7">
        <f>IF($B44="","",IF($AN44="AL",IF(OR($AU44="Married",$AU44="Head of household"),SUMPRODUCT(($AZ44&gt;INDEX('Methodology &amp; Sources'!$B$82:$J$86,0,4))*($AZ44-INDEX('Methodology &amp; Sources'!$B$82:$J$86,0,4))*INDEX('Methodology &amp; Sources'!$B$82:$J$86,0,4+2)),SUMPRODUCT(($AZ44&gt;INDEX('Methodology &amp; Sources'!$B$82:$J$86,0,1))*($AZ44-INDEX('Methodology &amp; Sources'!$B$82:$J$86,0,1))*INDEX('Methodology &amp; Sources'!$B$82:$J$86,0,1+2))),IF($AN44="KS",IF($AU44="Married",SUMPRODUCT(($AZ44&gt;INDEX('Methodology &amp; Sources'!$B$103:$J$109,0,4))*($AZ44-INDEX('Methodology &amp; Sources'!$B$103:$J$109,0,4))*INDEX('Methodology &amp; Sources'!$B$103:$J$109,0,4+2)),SUMPRODUCT(($AZ44&gt;INDEX('Methodology &amp; Sources'!$B$103:$J$109,0,1))*($AZ44-INDEX('Methodology &amp; Sources'!$B$103:$J$109,0,1))*INDEX('Methodology &amp; Sources'!$B$103:$J$109,0,1+2))),IF($AN44="MN",IF($AU44="Married",SUMPRODUCT(($AZ44&gt;INDEX('Methodology &amp; Sources'!$B$114:$J$120,0,7))*($AZ44-INDEX('Methodology &amp; Sources'!$B$114:$J$120,0,7))*INDEX('Methodology &amp; Sources'!$B$114:$J$120,0,7+2)),SUMPRODUCT(($AZ44&gt;INDEX('Methodology &amp; Sources'!$B$114:$J$120,0,4))*($AZ44-INDEX('Methodology &amp; Sources'!$B$114:$J$120,0,4))*INDEX('Methodology &amp; Sources'!$B$114:$J$120,0,4+2))),IF($AN44="NE",MAX(IF($AU44="Married",SUMPRODUCT(($AZ44&gt;INDEX('Methodology &amp; Sources'!$B$144:$J$150,0,7))*($AZ44-INDEX('Methodology &amp; Sources'!$B$144:$J$150,0,7))*INDEX('Methodology &amp; Sources'!$B$144:$J$150,0,7+2)),SUMPRODUCT(($AZ44&gt;INDEX('Methodology &amp; Sources'!$B$144:$J$150,0,4))*($AZ44-INDEX('Methodology &amp; Sources'!$B$144:$J$150,0,4))*INDEX('Methodology &amp; Sources'!$B$144:$J$150,0,4+2))),0.015*$AZ44),IF($AN44="OH",IF($B44&gt;=DATE(2027,8,1),SUMPRODUCT(($AZ44&gt;INDEX('Methodology &amp; Sources'!$B$203:$J$206,0,1))*($AZ44-INDEX('Methodology &amp; Sources'!$B$203:$J$206,0,1))*INDEX('Methodology &amp; Sources'!$B$203:$J$206,0,1+2)),SUMPRODUCT(($AZ44&gt;INDEX('Methodology &amp; Sources'!$B$184:$J$198,0,7))*($AZ44-INDEX('Methodology &amp; Sources'!$B$184:$J$198,0,7))*INDEX('Methodology &amp; Sources'!$B$184:$J$198,0,7+2))),IF($AN44="OK",IF($AU44="Married",SUMPRODUCT(($AZ44&gt;INDEX('Methodology &amp; Sources'!$B$203:$J$206,0,7))*($AZ44-INDEX('Methodology &amp; Sources'!$B$203:$J$206,0,7))*INDEX('Methodology &amp; Sources'!$B$203:$J$206,0,7+2)),SUMPRODUCT(($AZ44&gt;INDEX('Methodology &amp; Sources'!$B$203:$J$206,0,4))*($AZ44-INDEX('Methodology &amp; Sources'!$B$203:$J$206,0,4))*INDEX('Methodology &amp; Sources'!$B$203:$J$206,0,4+2))),IF($AN44="RI",SUMPRODUCT(($AZ44&gt;INDEX('Methodology &amp; Sources'!$B$211:$J$214,0,7))*($AZ44-INDEX('Methodology &amp; Sources'!$B$211:$J$214,0,7))*INDEX('Methodology &amp; Sources'!$B$211:$J$214,0,7+2)),IF($AN44="VT",IF($AU44="Married",SUMPRODUCT(($AZ44&gt;INDEX('Methodology &amp; Sources'!$B$228:$J$232,0,1))*($AZ44-INDEX('Methodology &amp; Sources'!$B$228:$J$232,0,1))*INDEX('Methodology &amp; Sources'!$B$228:$J$232,0,1+2)),SUMPRODUCT(($AZ44&gt;INDEX('Methodology &amp; Sources'!$B$219:$J$223,0,7))*($AZ44-INDEX('Methodology &amp; Sources'!$B$219:$J$223,0,7))*INDEX('Methodology &amp; Sources'!$B$219:$J$223,0,7+2))),IF($AN44="WV",IF($AU44="Married",SUMPRODUCT(($AZ44&gt;INDEX('Methodology &amp; Sources'!$B$237:$J$241,0,7))*($AZ44-INDEX('Methodology &amp; Sources'!$B$237:$J$241,0,7))*INDEX('Methodology &amp; Sources'!$B$237:$J$241,0,7+2)),SUMPRODUCT(($AZ44&gt;INDEX('Methodology &amp; Sources'!$B$228:$J$232,0,7))*($AZ44-INDEX('Methodology &amp; Sources'!$B$228:$J$232,0,7))*INDEX('Methodology &amp; Sources'!$B$228:$J$232,0,7+2))),""))))))))))</f>
      </c>
      <c r="BY44" s="7">
        <f>IF($B44="","",IF($AN44="AR",SUMPRODUCT(($AZ44&gt;INDEX('Methodology &amp; Sources'!$B$82:$J$86,0,7))*($AZ44-INDEX('Methodology &amp; Sources'!$B$82:$J$86,0,7))*INDEX('Methodology &amp; Sources'!$B$82:$J$86,0,7+2)),IF($AN44="DE",SUMPRODUCT(($AZ44&gt;INDEX('Methodology &amp; Sources'!$B$91:$J$98,0,1))*($AZ44-INDEX('Methodology &amp; Sources'!$B$91:$J$98,0,1))*INDEX('Methodology &amp; Sources'!$B$91:$J$98,0,1+2)),IF($AN44="HI",IF($AU44="Married",SUMPRODUCT(($AZ44&gt;INDEX('Methodology &amp; Sources'!$B$91:$J$98,0,7))*($AZ44-INDEX('Methodology &amp; Sources'!$B$91:$J$98,0,7))*INDEX('Methodology &amp; Sources'!$B$91:$J$98,0,7+2)),SUMPRODUCT(($AZ44&gt;INDEX('Methodology &amp; Sources'!$B$91:$J$98,0,4))*($AZ44-INDEX('Methodology &amp; Sources'!$B$91:$J$98,0,4))*INDEX('Methodology &amp; Sources'!$B$91:$J$98,0,4+2))),IF($AN44="SC",SUMPRODUCT(($AZ44&gt;INDEX('Methodology &amp; Sources'!$B$219:$J$223,0,1))*($AZ44-INDEX('Methodology &amp; Sources'!$B$219:$J$223,0,1))*INDEX('Methodology &amp; Sources'!$B$219:$J$223,0,1+2)),IF($AN44="VA",SUMPRODUCT(($AZ44&gt;INDEX('Methodology &amp; Sources'!$B$219:$J$223,0,4))*($AZ44-INDEX('Methodology &amp; Sources'!$B$219:$J$223,0,4))*INDEX('Methodology &amp; Sources'!$B$219:$J$223,0,4+2)),IF($AN44="WI",SUMPRODUCT(($AZ44&gt;INDEX('Methodology &amp; Sources'!$B$228:$J$232,0,4))*($AZ44-INDEX('Methodology &amp; Sources'!$B$228:$J$232,0,4))*INDEX('Methodology &amp; Sources'!$B$228:$J$232,0,4+2)),"")))))))</f>
      </c>
      <c r="BZ44" s="24">
        <f>IF($B44="","",IF($AN44="NJ",IF('Inputs 2'!$C$77="B",SUMPRODUCT(($AZ44&gt;=INDEX('Methodology &amp; Sources'!$B$155:$J$162,0,4))*INDEX('Methodology &amp; Sources'!$B$155:$J$162,0,4+2)),IF('Inputs 2'!$C$77="C",SUMPRODUCT(($AZ44&gt;=INDEX('Methodology &amp; Sources'!$B$155:$J$162,0,7))*INDEX('Methodology &amp; Sources'!$B$155:$J$162,0,7+2)),IF('Inputs 2'!$C$77="D",SUMPRODUCT(($AZ44&gt;=INDEX('Methodology &amp; Sources'!$B$167:$J$179,0,1))*INDEX('Methodology &amp; Sources'!$B$167:$J$179,0,1+2)),IF('Inputs 2'!$C$77="E",SUMPRODUCT(($AZ44&gt;=INDEX('Methodology &amp; Sources'!$B$167:$J$179,0,4))*INDEX('Methodology &amp; Sources'!$B$167:$J$179,0,4+2)),SUMPRODUCT(($AZ44&gt;=INDEX('Methodology &amp; Sources'!$B$155:$J$162,0,1))*INDEX('Methodology &amp; Sources'!$B$155:$J$162,0,1+2)))))),IF($AN44="OR",IF(OR($AU44="Married",AND($AU44="Single",$AS44&gt;=3)),SUMPRODUCT((MAX(0,$AY44-MIN(($P44-'Methodology &amp; Sources'!$C$10*$D44)*'Inputs 2'!$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Sources'!$B$211:$J$214,0,4))*INDEX('Methodology &amp; Sources'!$B$211:$J$214,0,4+2)),SUMPRODUCT((MAX(0,$AY44-MIN(($P44-'Methodology &amp; Sources'!$C$10*$D44)*'Inputs 2'!$C$8,IF(OR($AU44="Married",AND($AU44="Single",$AS44&gt;=3)),IF($AY44&lt;250000,8750,IF($AY44&lt;260000,7000,IF($AY44&lt;270000,5250,IF($AY44&lt;280000,3500,IF($AY44&lt;290000,1750,0))))),IF($AY44&lt;125000,8750,IF($AY44&lt;130000,7000,IF($AY44&lt;135000,5250,IF($AY44&lt;140000,3500,IF($AY44&lt;145000,1750,0)))))))-IF(OR($AU44="Married",AND($AU44="Single",$AS44&gt;=3)),5820,2910))&gt;=INDEX('Methodology &amp; Sources'!$B$211:$J$214,0,1))*INDEX('Methodology &amp; Sources'!$B$211:$J$214,0,1+2)))*IF(($P44-'Methodology &amp; Sources'!$C$10*$D44)*'Inputs 2'!$C$8&gt;=IF(OR($AU44="Married",AND($AU44="Single",$AS44&gt;=3)),IF($AY44&lt;250000,8750,IF($AY44&lt;260000,7000,IF($AY44&lt;270000,5250,IF($AY44&lt;280000,3500,IF($AY44&lt;290000,1750,0))))),IF($AY44&lt;125000,8750,IF($AY44&lt;130000,7000,IF($AY44&lt;135000,5250,IF($AY44&lt;140000,3500,IF($AY44&lt;145000,1750,0)))))),1,1-IF('Inputs 2'!$C$13,SUMPRODUCT(($AH44&gt;=INDEX('Methodology &amp; Sources'!$B$29:$J$36,0,IF('Inputs 2'!$C$12="MFJ",1,IF('Inputs 2'!$C$12="HoH",7,4))))*INDEX('Methodology &amp; Sources'!$B$29:$J$36,0,IF('Inputs 2'!$C$12="MFJ",1,IF('Inputs 2'!$C$12="HoH",7,4))+2)),SUMPRODUCT(($AH44&gt;=INDEX('Methodology &amp; Sources'!$B$19:$J$26,0,IF('Inputs 2'!$C$12="MFJ",1,IF('Inputs 2'!$C$12="HoH",7,4))))*INDEX('Methodology &amp; Sources'!$B$19:$J$26,0,IF('Inputs 2'!$C$12="MFJ",1,IF('Inputs 2'!$C$12="HoH",7,4))+2)))),IF($AN44="MI",IF($AY44&gt;5900*$AS44,0.0425,0),""))))</f>
      </c>
      <c r="CA44" s="24">
        <f>IF($B44="","",IF($AN44="AL",IF(OR($AU44="Married",$AU44="Head of household"),SUMPRODUCT(($AZ44&gt;=INDEX('Methodology &amp; Sources'!$B$82:$J$86,0,4))*INDEX('Methodology &amp; Sources'!$B$82:$J$86,0,4+2)),SUMPRODUCT(($AZ44&gt;=INDEX('Methodology &amp; Sources'!$B$82:$J$86,0,1))*INDEX('Methodology &amp; Sources'!$B$82:$J$86,0,1+2)))*(1-IF('Inputs 2'!$C$13,SUMPRODUCT(($AH44&gt;=INDEX('Methodology &amp; Sources'!$B$29:$J$36,0,IF('Inputs 2'!$C$12="MFJ",1,IF('Inputs 2'!$C$12="HoH",7,4))))*INDEX('Methodology &amp; Sources'!$B$29:$J$36,0,IF('Inputs 2'!$C$12="MFJ",1,IF('Inputs 2'!$C$12="HoH",7,4))+2)),SUMPRODUCT(($AH44&gt;=INDEX('Methodology &amp; Sources'!$B$19:$J$26,0,IF('Inputs 2'!$C$12="MFJ",1,IF('Inputs 2'!$C$12="HoH",7,4))))*INDEX('Methodology &amp; Sources'!$B$19:$J$26,0,IF('Inputs 2'!$C$12="MFJ",1,IF('Inputs 2'!$C$12="HoH",7,4))+2)))),IF($AN44="KS",IF($AU44="Married",SUMPRODUCT(($AZ44&gt;=INDEX('Methodology &amp; Sources'!$B$103:$J$109,0,4))*INDEX('Methodology &amp; Sources'!$B$103:$J$109,0,4+2)),SUMPRODUCT(($AZ44&gt;=INDEX('Methodology &amp; Sources'!$B$103:$J$109,0,1))*INDEX('Methodology &amp; Sources'!$B$103:$J$109,0,1+2))),IF($AN44="MD",IF(OR($AU44="Married",$AU44="Head of household"),SUMPRODUCT(($AZ44&gt;=INDEX('Methodology &amp; Sources'!$B$114:$J$120,0,1))*INDEX('Methodology &amp; Sources'!$B$114:$J$120,0,1+2)),SUMPRODUCT(($AZ44&gt;=INDEX('Methodology &amp; Sources'!$B$103:$J$109,0,7))*INDEX('Methodology &amp; Sources'!$B$103:$J$109,0,7+2)))+'Inputs 2'!$C$74,IF($AN44="MT",IF($AU44="Head of household",SUMPRODUCT(($AZ44&gt;=INDEX('Methodology &amp; Sources'!$B$137:$J$139,0,1))*INDEX('Methodology &amp; Sources'!$B$137:$J$139,0,1+2)),IF($AU44="Married",SUMPRODUCT(($AZ44&gt;=INDEX('Methodology &amp; Sources'!$B$125:$J$132,0,7))*INDEX('Methodology &amp; Sources'!$B$125:$J$132,0,7+2)),SUMPRODUCT(($AZ44&gt;=INDEX('Methodology &amp; Sources'!$B$125:$J$132,0,4))*INDEX('Methodology &amp; Sources'!$B$125:$J$132,0,4+2)))),IF($AN44="ND",IF($AU44="Head of household",SUMPRODUCT(($AZ44&gt;=INDEX('Methodology &amp; Sources'!$B$144:$J$150,0,1))*INDEX('Methodology &amp; Sources'!$B$144:$J$150,0,1+2)),IF($AU44="Married",SUMPRODUCT(($AZ44&gt;=INDEX('Methodology &amp; Sources'!$B$137:$J$139,0,7))*INDEX('Methodology &amp; Sources'!$B$137:$J$139,0,7+2)),SUMPRODUCT(($AZ44&gt;=INDEX('Methodology &amp; Sources'!$B$137:$J$139,0,4))*INDEX('Methodology &amp; Sources'!$B$137:$J$139,0,4+2)))),IF($AN44="NY",IF($AU44="Married",IF($AZ44&gt;=2155350,IF($AZ44&gt;25000000,0.117,IF($AZ44&gt;5000000,0.111,0.1045)),SUMPRODUCT(($AZ44&gt;=INDEX('Methodology &amp; Sources'!$B$184:$J$198,0,1))*INDEX('Methodology &amp; Sources'!$B$184:$J$198,0,1+2))),IF($AZ44&gt;=1077550,IF($AZ44&gt;25000000,0.117,IF($AZ44&gt;5000000,0.111,0.1045)),SUMPRODUCT(($AZ44&gt;=INDEX('Methodology &amp; Sources'!$B$167:$J$179,0,7))*INDEX('Methodology &amp; Sources'!$B$167:$J$179,0,7+2)))),"")))))))</f>
      </c>
      <c r="CB44" s="24">
        <f>IF($B44="","",IF($AN44="CA",SUMPRODUCT(($AJ44&gt;=INDEX('Methodology &amp; Sources'!$B$39:$J$48,0,IF($AU44="Married",4,IF($AU44="Head of household",7,1))))*INDEX('Methodology &amp; Sources'!$B$39:$J$48,0,IF($AU44="Married",4,IF($AU44="Head of household",7,1))+2)),IF($AN44="HI",IF($AU44="Married",SUMPRODUCT(($AZ44&gt;=INDEX('Methodology &amp; Sources'!$B$91:$J$98,0,7))*INDEX('Methodology &amp; Sources'!$B$91:$J$98,0,7+2)),SUMPRODUCT(($AZ44&gt;=INDEX('Methodology &amp; Sources'!$B$91:$J$98,0,4))*INDEX('Methodology &amp; Sources'!$B$91:$J$98,0,4+2))),IF($AN44="MN",IF($AU44="Married",SUMPRODUCT(($AZ44&gt;=INDEX('Methodology &amp; Sources'!$B$114:$J$120,0,7))*INDEX('Methodology &amp; Sources'!$B$114:$J$120,0,7+2)),SUMPRODUCT(($AZ44&gt;=INDEX('Methodology &amp; Sources'!$B$114:$J$120,0,4))*INDEX('Methodology &amp; Sources'!$B$114:$J$120,0,4+2))),IF($AN44="MO",SUMPRODUCT(($AZ44&gt;=INDEX('Methodology &amp; Sources'!$B$125:$J$132,0,1))*INDEX('Methodology &amp; Sources'!$B$125:$J$132,0,1+2)),IF($AN44="NE",MAX(IF($AU44="Married",SUMPRODUCT(($AZ44&gt;=INDEX('Methodology &amp; Sources'!$B$144:$J$150,0,7))*INDEX('Methodology &amp; Sources'!$B$144:$J$150,0,7+2)),SUMPRODUCT(($AZ44&gt;=INDEX('Methodology &amp; Sources'!$B$144:$J$150,0,4))*INDEX('Methodology &amp; Sources'!$B$144:$J$150,0,4+2))),0.015),IF($AN44="OH",IF($B44&gt;=DATE(2027,8,1),SUMPRODUCT(($AZ44&gt;=INDEX('Methodology &amp; Sources'!$B$203:$J$206,0,1))*INDEX('Methodology &amp; Sources'!$B$203:$J$206,0,1+2)),SUMPRODUCT(($AZ44&gt;=INDEX('Methodology &amp; Sources'!$B$184:$J$198,0,7))*INDEX('Methodology &amp; Sources'!$B$184:$J$198,0,7+2))),IF($AN44="OK",IF($AU44="Married",SUMPRODUCT(($AZ44&gt;=INDEX('Methodology &amp; Sources'!$B$203:$J$206,0,7))*INDEX('Methodology &amp; Sources'!$B$203:$J$206,0,7+2)),SUMPRODUCT(($AZ44&gt;=INDEX('Methodology &amp; Sources'!$B$203:$J$206,0,4))*INDEX('Methodology &amp; Sources'!$B$203:$J$206,0,4+2))),IF($AN44="RI",SUMPRODUCT(($AZ44&gt;=INDEX('Methodology &amp; Sources'!$B$211:$J$214,0,7))*INDEX('Methodology &amp; Sources'!$B$211:$J$214,0,7+2)),IF($AN44="SC",SUMPRODUCT(($AZ44&gt;=INDEX('Methodology &amp; Sources'!$B$219:$J$223,0,1))*INDEX('Methodology &amp; Sources'!$B$219:$J$223,0,1+2)),IF($AN44="VT",IF($AU44="Married",SUMPRODUCT(($AZ44&gt;=INDEX('Methodology &amp; Sources'!$B$228:$J$232,0,1))*INDEX('Methodology &amp; Sources'!$B$228:$J$232,0,1+2)),SUMPRODUCT(($AZ44&gt;=INDEX('Methodology &amp; Sources'!$B$219:$J$223,0,7))*INDEX('Methodology &amp; Sources'!$B$219:$J$223,0,7+2))),IF($AN44="WV",IF($AU44="Married",SUMPRODUCT(($AZ44&gt;=INDEX('Methodology &amp; Sources'!$B$237:$J$241,0,7))*INDEX('Methodology &amp; Sources'!$B$237:$J$241,0,7+2)),SUMPRODUCT(($AZ44&gt;=INDEX('Methodology &amp; Sources'!$B$228:$J$232,0,7))*INDEX('Methodology &amp; Sources'!$B$228:$J$232,0,7+2))),IF($AN44="IN",(0.0295+'Inputs 2'!$C$76),"")))))))))))))</f>
      </c>
      <c r="CC44" s="24">
        <f>IF($B44="","",IF($AN44="AR",SUMPRODUCT(($AZ44&gt;=INDEX('Methodology &amp; Sources'!$B$82:$J$86,0,7))*INDEX('Methodology &amp; Sources'!$B$82:$J$86,0,7+2)),IF($AN44="DE",SUMPRODUCT(($AZ44&gt;=INDEX('Methodology &amp; Sources'!$B$91:$J$98,0,1))*INDEX('Methodology &amp; Sources'!$B$91:$J$98,0,1+2)),IF($AN44="VA",SUMPRODUCT(($AZ44&gt;=INDEX('Methodology &amp; Sources'!$B$219:$J$223,0,4))*INDEX('Methodology &amp; Sources'!$B$219:$J$223,0,4+2)),IF($AN44="WI",SUMPRODUCT(($AZ44&gt;=INDEX('Methodology &amp; Sources'!$B$228:$J$232,0,4))*INDEX('Methodology &amp; Sources'!$B$228:$J$232,0,4+2)),IF($AN44="AZ",'Inputs 2'!$C$82,IF($AN44="CO",IF($AY44&gt;IF($AU44="Married",10000,5000),0.044,0),IF($AN44="IA",IF($AY44&gt;IF($AU44="Head of household",19500,IF($AU44="Married",26000,13000)),0.038,0),IF($AN44="ID",IF($AY44&gt;IF($AU44="Married",32000,16094),0.053,0),IF($AN44="IL",IF($AY44&gt;(2925*$AS44+1000*$AT44),0.0495,0),IF($AN44="KY",IF($AI44&gt;3360,0.035,0),IF($AN44="LA",0.0309,IF($AN44="MA",IF(MAX(0,$AY44-MIN(($BD43+$Q44+$R44+$S44),2000)-IF($AS44=0,0,IF($AS44=1,4400,1000*$AS44+3400)))&gt;=1107750,0.09,0.05),IF($AN44="MS",IF($AI44-IF($AU44="Head of household",3400,IF($AU44="Married",4600,2300))-'Inputs 2'!$C$85&gt;10000,0.04,0),IF($AN44="PA",0.0307,"")))))))))))))))</f>
      </c>
      <c r="CD44" s="21">
        <f>IF(YEAR(IF('Inputs 2'!$C$7="Weekly",'Inputs 2'!$C$9+7*(($BE43+1)-1),IF('Inputs 2'!$C$7="Biweekly",'Inputs 2'!$C$9+14*(($BE43+1)-1),IF('Inputs 2'!$C$7="Semimonthly",DATE(YEAR('Inputs 2'!$C$9),MONTH('Inputs 2'!$C$9)+INT((($BE43+1)-1)/2),MIN(DAY('Inputs 2'!$C$9),DAY(EOMONTH(DATE(YEAR('Inputs 2'!$C$9),MONTH('Inputs 2'!$C$9)+INT((($BE43+1)-1)/2),1),0))))+IF(MOD(($BE43+1)-1,2)=1,15,0),EDATE('Inputs 2'!$C$9,($BE43+1)-1)))))&lt;&gt;'Inputs 2'!$C$10,"",IF('Inputs 2'!$C$7="Weekly",'Inputs 2'!$C$9+7*(($BE43+1)-1),IF('Inputs 2'!$C$7="Biweekly",'Inputs 2'!$C$9+14*(($BE43+1)-1),IF('Inputs 2'!$C$7="Semimonthly",DATE(YEAR('Inputs 2'!$C$9),MONTH('Inputs 2'!$C$9)+INT((($BE43+1)-1)/2),MIN(DAY('Inputs 2'!$C$9),DAY(EOMONTH(DATE(YEAR('Inputs 2'!$C$9),MONTH('Inputs 2'!$C$9)+INT((($BE43+1)-1)/2),1),0))))+IF(MOD(($BE43+1)-1,2)=1,15,0),EDATE('Inputs 2'!$C$9,($BE43+1)-1)))))</f>
      </c>
      <c r="CE44" s="21">
        <f>IF(SUMPRODUCT(MIN(IF(('Inputs 2'!$C$58:$C$67&gt;MAX($B$6:$B43))*('Inputs 2'!$C$58:$C$67&gt;=DATE('Inputs 2'!$C$10,1,1))*('Inputs 2'!$C$58:$C$67&lt;=DATE('Inputs 2'!$C$10,12,31)),'Inputs 2'!$C$58:$C$67,999999)))=999999,"",SUMPRODUCT(MIN(IF(('Inputs 2'!$C$58:$C$67&gt;MAX($B$6:$B43))*('Inputs 2'!$C$58:$C$67&gt;=DATE('Inputs 2'!$C$10,1,1))*('Inputs 2'!$C$58:$C$67&lt;=DATE('Inputs 2'!$C$10,12,31)),'Inputs 2'!$C$58:$C$67,999999))))</f>
      </c>
    </row>
    <row r="45">
      <c r="A45" t="n">
        <v>40</v>
      </c>
      <c r="B45" s="21">
        <f>IF(AND($CD45="",$CE45=""),"",IF($CE45="",$CD45,IF($CD45="",$CE45,MIN($CD45,$CE45))))</f>
      </c>
      <c r="C45" s="7">
        <f>IF($B45="","",IF($BF45=0,0,IF('Inputs 2'!$C$4="Annual salary",ROUND($AK45/IF(AND('Inputs 2'!$C$88="Actual paydays",MONTH('Inputs 2'!$C$9)=1),MAX(1,MAX($BE$6:$BE$68)),'Inputs 2'!$C$8),2),$AK45)))</f>
      </c>
      <c r="D45" s="7">
        <f>IF($B45="","",SUMIF('Inputs 2'!$C$58:$C$67,$B45,'Inputs 2'!$D$58:$D$67))</f>
      </c>
      <c r="E45" s="7">
        <f>IF($B45="","",ROUND(MAX(0,MIN(IF($AL45="Percent",$AM45*($C45+$D45),$AM45),MAX(0,'Inputs 2'!$C$34-$AC44))),2))</f>
      </c>
      <c r="F45" s="7">
        <f>IF($B45="","",ROUND(MAX(0,MIN(IF('Inputs 2'!$C$32="Percent",'Inputs 2'!$D$32*($C45+$D45),'Inputs 2'!$D$32),MAX(0,'Inputs 2'!$C$34-$AC44-$E45))),2))</f>
      </c>
      <c r="G45" s="7">
        <f>IF($B45="","",IF($BF45=0,0,ROUND(MAX(0,MIN($BL45,'Inputs 2'!$C$37-'Inputs 2'!$C$54-$BI44)),2)))</f>
      </c>
      <c r="H45" s="7">
        <f>IF($B45="","",IF(OR($BF45=0,$BQ45=1),0,ROUND(MAX(0,MIN(IF($BS45=1,ROUND(MAX(0,MIN($BJ45,'Methodology &amp; Sources'!$C$13)-$BG44)/MAX(1,MAX($BE$6:$BE$68)-($BE44)),2),ROUND(MIN($BJ45,'Methodology &amp; Sources'!$C$13)/'Inputs 2'!$C$8,2)),MIN($BJ45,'Methodology &amp; Sources'!$C$13)-$BG44)),2)))</f>
      </c>
      <c r="I45" s="7">
        <f>IF($B45="","",IF(OR($BF45=0,$BR45=1),0,ROUND(MAX(0,MIN(IF($BT45=1,ROUND(MAX(0,MIN($BK45,IF('Inputs 2'!$C$12="MFJ",'Methodology &amp; Sources'!$C$14,'Methodology &amp; Sources'!$C$15))-$BH44)/MAX(1,MAX($BE$6:$BE$68)-($BE44)),2),ROUND(MIN($BK45,IF('Inputs 2'!$C$12="MFJ",'Methodology &amp; Sources'!$C$14,'Methodology &amp; Sources'!$C$15))/'Inputs 2'!$C$8,2)),MIN($BK45,IF('Inputs 2'!$C$12="MFJ",'Methodology &amp; Sources'!$C$14,'Methodology &amp; Sources'!$C$15))-$BH44)),2)))</f>
      </c>
      <c r="J45" s="7">
        <f>IF($B45="","",IF($BF45=0,0,$BM45))</f>
      </c>
      <c r="K45" s="7">
        <f>IF($B45="","",IF($BF45=0,0,$BN45+$BO45))</f>
      </c>
      <c r="L45" s="7">
        <f>IF($B45="","",IF($BF45=0,0,'Inputs 2'!$D$46))</f>
      </c>
      <c r="M45" s="7">
        <f>IF($B45="","",$C45+$D45+$L45-$E45-$G45-$H45-$I45-$J45-$K45)</f>
      </c>
      <c r="N45" s="7">
        <f>IF($B45="","",$C45+$D45+$L45-$G45-$H45-$I45-$J45-$K45)</f>
      </c>
      <c r="O45" s="7">
        <f>IF($B45="","",$C45+$D45+$L45-$E45-$H45-$I45-$J45-$K45-IF(OR($AN45="CA",$AN45="NJ"),0,$G45))</f>
      </c>
      <c r="P45" s="7">
        <f>IF($B45="","",IF('Inputs 2'!$C$18,0,ROUND(MAX(0,IF('Inputs 2'!$C$13,SUMPRODUCT(($AH45&gt;INDEX('Methodology &amp; Sources'!$B$29:$J$36,0,IF('Inputs 2'!$C$12="MFJ",1,IF('Inputs 2'!$C$12="HoH",7,4))))*($AH45-INDEX('Methodology &amp; Sources'!$B$29:$J$36,0,IF('Inputs 2'!$C$12="MFJ",1,IF('Inputs 2'!$C$12="HoH",7,4))))*INDEX('Methodology &amp; Sources'!$B$29:$J$36,0,IF('Inputs 2'!$C$12="MFJ",1,IF('Inputs 2'!$C$12="HoH",7,4))+2)),SUMPRODUCT(($AH45&gt;INDEX('Methodology &amp; Sources'!$B$19:$J$26,0,IF('Inputs 2'!$C$12="MFJ",1,IF('Inputs 2'!$C$12="HoH",7,4))))*($AH45-INDEX('Methodology &amp; Sources'!$B$19:$J$26,0,IF('Inputs 2'!$C$12="MFJ",1,IF('Inputs 2'!$C$12="HoH",7,4))))*INDEX('Methodology &amp; Sources'!$B$19:$J$26,0,IF('Inputs 2'!$C$12="MFJ",1,IF('Inputs 2'!$C$12="HoH",7,4))+2)))/'Inputs 2'!$C$8-$AO45/'Inputs 2'!$C$8)+$AR45+IF('Inputs 2'!$C$89="Aggregate",MAX(0,IF('Inputs 2'!$C$13,SUMPRODUCT((($AH45+$D45)&gt;INDEX('Methodology &amp; Sources'!$B$29:$J$36,0,IF('Inputs 2'!$C$12="MFJ",1,IF('Inputs 2'!$C$12="HoH",7,4))))*(($AH45+$D45)-INDEX('Methodology &amp; Sources'!$B$29:$J$36,0,IF('Inputs 2'!$C$12="MFJ",1,IF('Inputs 2'!$C$12="HoH",7,4))))*INDEX('Methodology &amp; Sources'!$B$29:$J$36,0,IF('Inputs 2'!$C$12="MFJ",1,IF('Inputs 2'!$C$12="HoH",7,4))+2)),SUMPRODUCT((($AH45+$D45)&gt;INDEX('Methodology &amp; Sources'!$B$19:$J$26,0,IF('Inputs 2'!$C$12="MFJ",1,IF('Inputs 2'!$C$12="HoH",7,4))))*(($AH45+$D45)-INDEX('Methodology &amp; Sources'!$B$19:$J$26,0,IF('Inputs 2'!$C$12="MFJ",1,IF('Inputs 2'!$C$12="HoH",7,4))))*INDEX('Methodology &amp; Sources'!$B$19:$J$26,0,IF('Inputs 2'!$C$12="MFJ",1,IF('Inputs 2'!$C$12="HoH",7,4))+2)))-IF('Inputs 2'!$C$13,SUMPRODUCT(($AH45&gt;INDEX('Methodology &amp; Sources'!$B$29:$J$36,0,IF('Inputs 2'!$C$12="MFJ",1,IF('Inputs 2'!$C$12="HoH",7,4))))*($AH45-INDEX('Methodology &amp; Sources'!$B$29:$J$36,0,IF('Inputs 2'!$C$12="MFJ",1,IF('Inputs 2'!$C$12="HoH",7,4))))*INDEX('Methodology &amp; Sources'!$B$29:$J$36,0,IF('Inputs 2'!$C$12="MFJ",1,IF('Inputs 2'!$C$12="HoH",7,4))+2)),SUMPRODUCT(($AH45&gt;INDEX('Methodology &amp; Sources'!$B$19:$J$26,0,IF('Inputs 2'!$C$12="MFJ",1,IF('Inputs 2'!$C$12="HoH",7,4))))*($AH45-INDEX('Methodology &amp; Sources'!$B$19:$J$26,0,IF('Inputs 2'!$C$12="MFJ",1,IF('Inputs 2'!$C$12="HoH",7,4))))*INDEX('Methodology &amp; Sources'!$B$19:$J$26,0,IF('Inputs 2'!$C$12="MFJ",1,IF('Inputs 2'!$C$12="HoH",7,4))+2)))),'Methodology &amp; Sources'!$C$10*$D45),2)))</f>
      </c>
      <c r="Q45" s="7">
        <f>IF($B45="","",ROUND('Methodology &amp; Sources'!$C$4*MIN($N45,MAX(0,'Methodology &amp; Sources'!$C$3-($AX45+$AB44-$AW45))),2))</f>
      </c>
      <c r="R45" s="7">
        <f>IF($B45="","",ROUND('Methodology &amp; Sources'!$C$5*$N45,2))</f>
      </c>
      <c r="S45" s="7">
        <f>IF($B45="","",ROUND('Methodology &amp; Sources'!$C$6*MAX(0,MIN($N45,$AG44+$N45-'Methodology &amp; Sources'!$C$7)),2))</f>
      </c>
      <c r="T45" s="7">
        <f>IF($B45="","",IF('Inputs 2'!$C$26,0,IF($AN45="CA",ROUND(IF($AI45&lt;=IF(($AS45+$AT45)&gt;=2,VLOOKUP($AN45,StateTables!$A$6:$AB$56,10,FALSE),VLOOKUP($AN45,StateTables!$A$6:$AB$56,9,FALSE)),0,MAX(0,SUMPRODUCT(($AJ45&gt;INDEX('Methodology &amp; Sources'!$B$39:$J$48,0,IF($AU45="Married",4,IF($AU45="Head of household",7,1))))*($AJ45-INDEX('Methodology &amp; Sources'!$B$39:$J$48,0,IF($AU45="Married",4,IF($AU45="Head of household",7,1))))*INDEX('Methodology &amp; Sources'!$B$39:$J$48,0,IF($AU45="Married",4,IF($AU45="Head of household",7,1))+2))-VLOOKUP($AN45,StateTables!$A$6:$AB$56,11,FALSE)*$AS45)/'Inputs 2'!$C$8)+'Inputs 2'!$C$25+VLOOKUP($AN45,StateTables!$A$6:$AB$56,13,FALSE)*$D45,2),IF(VLOOKUP($AN45,StateTables!$A$6:$AB$56,4,FALSE)="None",0,IF(ISNUMBER(SEARCH("MANUAL",VLOOKUP($AN45,StateTables!$A$6:$AB$56,5,FALSE))),'Inputs 2'!$C$28,ROUND(MAX(0,$BA45+$BB45)/'Inputs 2'!$C$8+'Inputs 2'!$C$25+$BC45,2))))))</f>
      </c>
      <c r="U45" s="7">
        <f>IF($B45="","",IF(VLOOKUP($AN45,StateTables!$A$6:$AB$56,24,FALSE)="flatq",IF(OR(MONTH($B45)=1,MONTH($B45)=4,MONTH($B45)=7,MONTH($B45)=10),VLOOKUP($AN45,StateTables!$A$6:$AB$56,25,FALSE),0),IF(VLOOKUP($AN45,StateTables!$A$6:$AB$56,24,FALSE)="dbl",MIN(ROUND(0.005*$N45,2),ROUND(0.6*52/'Inputs 2'!$C$8,2)),IF(OR(VLOOKUP($AN45,StateTables!$A$6:$AB$56,15,FALSE)="",VLOOKUP($AN45,StateTables!$A$6:$AB$56,15,FALSE)=0),0,ROUND(VLOOKUP($AN45,StateTables!$A$6:$AB$56,15,FALSE)*IF(OR(VLOOKUP($AN45,StateTables!$A$6:$AB$56,16,FALSE)="",VLOOKUP($AN45,StateTables!$A$6:$AB$56,16,FALSE)=0),$N45,MIN($N45,MAX(0,VLOOKUP($AN45,StateTables!$A$6:$AB$56,16,FALSE)-($AX45+$AB44-$AW45)))),2))))+IF(VLOOKUP($AN45,StateTables!$A$6:$AB$56,27,FALSE)="flatq",IF(OR(MONTH($B45)=1,MONTH($B45)=4,MONTH($B45)=7,MONTH($B45)=10),VLOOKUP($AN45,StateTables!$A$6:$AB$56,28,FALSE),0),IF(VLOOKUP($AN45,StateTables!$A$6:$AB$56,27,FALSE)="dbl",MIN(ROUND(0.005*$N45,2),ROUND(0.6*52/'Inputs 2'!$C$8,2)),IF(OR(VLOOKUP($AN45,StateTables!$A$6:$AB$56,18,FALSE)="",VLOOKUP($AN45,StateTables!$A$6:$AB$56,18,FALSE)=0),0,ROUND(VLOOKUP($AN45,StateTables!$A$6:$AB$56,18,FALSE)*IF(OR(VLOOKUP($AN45,StateTables!$A$6:$AB$56,19,FALSE)="",VLOOKUP($AN45,StateTables!$A$6:$AB$56,19,FALSE)=0),$N45,MIN($N45,MAX(0,VLOOKUP($AN45,StateTables!$A$6:$AB$56,19,FALSE)-($AX45+$AB44-$AW45)))),2)))))</f>
      </c>
      <c r="V45" s="7">
        <f>IF($B45="","",IF($AN45="NY",IF('Inputs 2'!$C$78,ROUND(SUMPRODUCT((MAX(0,($O45-$D45)*'Inputs 2'!$C$8-(IF($AU45="Married",5500,5000)+1000*$AS45))&gt;INDEX('Methodology &amp; Sources'!$B$184:$J$198,0,4))*(MAX(0,($O45-$D45)*'Inputs 2'!$C$8-(IF($AU45="Married",5500,5000)+1000*$AS45))-INDEX('Methodology &amp; Sources'!$B$184:$J$198,0,4))*INDEX('Methodology &amp; Sources'!$B$184:$J$198,0,4+2))/'Inputs 2'!$C$8+0.0425*$D45,2),0)+IF('Inputs 2'!$C$79="Resident",ROUND(0.1675*$T45,2),IF('Inputs 2'!$C$79="Nonresident",ROUND(0.005*MAX(0,($O45-$D45)-(IF($AU45="Married",7950,7400)+1000*$AS45)/'Inputs 2'!$C$8),2),0)),IF($AN45="PA",IF('Inputs 2'!$C$80="None",'Inputs 2'!$C$27+ROUND('Inputs 2'!$C$81*($C45+$D45),2),ROUND(IF('Inputs 2'!$C$80="Resident",IF($B45&lt;DATE(2027,7,1),0.03735,0.03735),IF($B45&lt;DATE(2027,7,1),0.03425,0.03425))*($C45+$D45),2)),IF($BF45=0,ROUND('Inputs 2'!$C$81*($C45+$D45),2),'Inputs 2'!$C$27+ROUND('Inputs 2'!$C$81*($C45+$D45),2)))))</f>
      </c>
      <c r="W45" s="7">
        <f>IF($B45="","",IF($BF45=0,0,$BP45))</f>
      </c>
      <c r="X45" s="7">
        <f>IF($B45="","",SUM($E45:$K45)+$P45+$Q45+$R45+$S45+$T45+$U45+$V45+$W45)</f>
      </c>
      <c r="Y45" s="22">
        <f>IF($B45="","",$C45+$D45-$X45)</f>
      </c>
      <c r="Z45" s="7">
        <f>IF($B45="","",$Z44+$C45+$D45)</f>
      </c>
      <c r="AA45" s="7">
        <f>IF($B45="","",$AA44+$Y45)</f>
      </c>
      <c r="AB45" s="7">
        <f>IF($B45="","",$AB44+MIN($N45,MAX(0,'Methodology &amp; Sources'!$C$3-($AX45+$AB44-$AW45))))</f>
      </c>
      <c r="AC45" s="7">
        <f>IF($B45="","",$AC44+$E45+$F45)</f>
      </c>
      <c r="AD45" s="3">
        <f>IF($B45="","",IF(AND($AB44&lt;'Methodology &amp; Sources'!$C$3,$AB45&gt;='Methodology &amp; Sources'!$C$3),"★ Social Security maxed on this check — from the next check your net rises by about $"&amp;TEXT(ROUND('Methodology &amp; Sources'!$C$4*$N45,2),"#,##0.00")&amp;". ","")&amp;IF(AND($AC44&lt;'Inputs 2'!$C$34,$AC45&gt;='Inputs 2'!$C$34),"★ 401(k) reaches the $"&amp;TEXT('Inputs 2'!$C$34,"#,##0")&amp;" cap on this check — deferrals stop and net pay rises. ","")&amp;IF(AND($AG44&lt;'Methodology &amp; Sources'!$C$7,$AG45&gt;='Methodology &amp; Sources'!$C$7),"★ Wages pass $200,000 — the 0.9% Additional Medicare Tax starts here. ","")&amp;IF(AND($BJ45&gt;0,$H45&gt;0,$BG44&lt;MIN($BJ45,'Methodology &amp; Sources'!$C$13),$BG44+$H45&gt;=MIN($BJ45,'Methodology &amp; Sources'!$C$13)),"★ Health FSA election is now fully deferred for the year. ",""))</f>
      </c>
      <c r="AE45" s="41" t="n"/>
      <c r="AF45" s="7">
        <f>IF(OR($B45="",$AE45=""),"",$AE45-$Y45)</f>
      </c>
      <c r="AG45" s="7">
        <f>IF($B45="","",$AG44+$N45)</f>
      </c>
      <c r="AH45" s="7">
        <f>IF($B45="","",MAX(0,($M45-$D45)*'Inputs 2'!$C$8+$AP45-$AQ45-IF('Inputs 2'!$C$13,0,IF('Inputs 2'!$C$12="MFJ",'Methodology &amp; Sources'!$C$8,'Methodology &amp; Sources'!$C$9))))</f>
      </c>
      <c r="AI45" s="7">
        <f>IF($B45="","",$O45*'Inputs 2'!$C$8)</f>
      </c>
      <c r="AJ45" s="7">
        <f>IF($B45="","",MAX(0,$AI45-VLOOKUP($AN45,StateTables!$A$6:$AB$56,12,FALSE)*$AT45-IF(($AS45+$AT45)&gt;=2,VLOOKUP($AN45,StateTables!$A$6:$AB$56,8,FALSE),VLOOKUP($AN45,StateTables!$A$6:$AB$56,7,FALSE))))</f>
      </c>
      <c r="AK45" s="7">
        <f>IF($B45="","",IFERROR(LOOKUP(2,1/(('Events 2'!$C$6:$C$17="Salary change")*('Events 2'!$B$6:$B$17&lt;=$B45)*('Events 2'!$B$6:$B$17&lt;&gt;"")),'Events 2'!$D$6:$D$17),IF('Inputs 2'!$C$4="Annual salary",'Inputs 2'!$C$5,'Inputs 2'!$C$6)))</f>
      </c>
      <c r="AL45">
        <f>IF($B45="","",IFERROR(LOOKUP(2,1/(('Events 2'!$C$6:$C$17="401(k) change")*('Events 2'!$B$6:$B$17&lt;=$B45)*('Events 2'!$B$6:$B$17&lt;&gt;"")),'Events 2'!$D$6:$D$17),'Inputs 2'!$C$30))</f>
      </c>
      <c r="AM45" s="7">
        <f>IF($B45="","",IFERROR(LOOKUP(2,1/(('Events 2'!$C$6:$C$17="401(k) change")*('Events 2'!$B$6:$B$17&lt;=$B45)*('Events 2'!$B$6:$B$17&lt;&gt;"")),'Events 2'!$E$6:$E$17),'Inputs 2'!$D$30))</f>
      </c>
      <c r="AN45">
        <f>IF($B45="","",IFERROR(LOOKUP(2,1/(('Events 2'!$C$6:$C$17="State move")*('Events 2'!$B$6:$B$17&lt;=$B45)*('Events 2'!$B$6:$B$17&lt;&gt;"")),'Events 2'!$D$6:$D$17),'Inputs 2'!$C$21))</f>
      </c>
      <c r="AO45" s="7">
        <f>IF($B45="","",IFERROR(LOOKUP(2,1/(('Events 2'!$C$6:$C$17="W-4 change")*('Events 2'!$B$6:$B$17&lt;=$B45)*('Events 2'!$B$6:$B$17&lt;&gt;"")),'Events 2'!$D$6:$D$17),'Inputs 2'!$C$14))</f>
      </c>
      <c r="AP45" s="7">
        <f>IF($B45="","",IFERROR(LOOKUP(2,1/(('Events 2'!$C$6:$C$17="W-4 change")*('Events 2'!$B$6:$B$17&lt;=$B45)*('Events 2'!$B$6:$B$17&lt;&gt;"")),'Events 2'!$E$6:$E$17),'Inputs 2'!$C$15))</f>
      </c>
      <c r="AQ45" s="7">
        <f>IF($B45="","",IFERROR(LOOKUP(2,1/(('Events 2'!$C$6:$C$17="W-4 change")*('Events 2'!$B$6:$B$17&lt;=$B45)*('Events 2'!$B$6:$B$17&lt;&gt;"")),'Events 2'!$F$6:$F$17),'Inputs 2'!$C$16))</f>
      </c>
      <c r="AR45" s="7">
        <f>IF($B45="","",IFERROR(LOOKUP(2,1/(('Events 2'!$C$6:$C$17="W-4 change")*('Events 2'!$B$6:$B$17&lt;=$B45)*('Events 2'!$B$6:$B$17&lt;&gt;"")),'Events 2'!$G$6:$G$17),'Inputs 2'!$C$17))</f>
      </c>
      <c r="AS45" s="6">
        <f>IF($B45="","",IFERROR(LOOKUP(2,1/((('Events 2'!$C$6:$C$17="State move")+('Events 2'!$C$6:$C$17="State cert change"))*('Events 2'!$B$6:$B$17&lt;=$B45)*('Events 2'!$B$6:$B$17&lt;&gt;"")),'Events 2'!$F$6:$F$17),'Inputs 2'!$C$23))</f>
      </c>
      <c r="AT45" s="6">
        <f>IF($B45="","",IFERROR(LOOKUP(2,1/((('Events 2'!$C$6:$C$17="State move")+('Events 2'!$C$6:$C$17="State cert change"))*('Events 2'!$B$6:$B$17&lt;=$B45)*('Events 2'!$B$6:$B$17&lt;&gt;"")),'Events 2'!$G$6:$G$17),'Inputs 2'!$C$24))</f>
      </c>
      <c r="AU45">
        <f>IF($B45="","",IFERROR(LOOKUP(2,1/(('Events 2'!$C$6:$C$17="State move")*('Events 2'!$B$6:$B$17&lt;=$B45)*('Events 2'!$B$6:$B$17&lt;&gt;"")),'Events 2'!$E$6:$E$17),'Inputs 2'!$C$22))</f>
      </c>
      <c r="AV45" s="6">
        <f>IF($B45="","",1+COUNTIFS('Events 2'!$C$6:$C$17,"Employer change",'Events 2'!$B$6:$B$17,"&lt;="&amp;$B45,'Events 2'!$B$6:$B$17,"&lt;&gt;"))</f>
      </c>
      <c r="AW45" s="7">
        <f>IF($B45="","",IF($AV45=1,'Inputs 2'!$C$49,IF(IFERROR(MATCH(IFERROR(LOOKUP(2,1/(('Events 2'!$C$6:$C$17="Employer change")*('Events 2'!$B$6:$B$17&lt;=$B45)*('Events 2'!$B$6:$B$17&lt;&gt;"")),'Events 2'!$B$6:$B$17),""),$B$6:$B$68,1),1)&lt;=1,'Inputs 2'!$C$49,INDEX($AB$6:$AB$68,MATCH(IFERROR(LOOKUP(2,1/(('Events 2'!$C$6:$C$17="Employer change")*('Events 2'!$B$6:$B$17&lt;=$B45)*('Events 2'!$B$6:$B$17&lt;&gt;"")),'Events 2'!$B$6:$B$17),""),$B$6:$B$68,1)-1))))</f>
      </c>
      <c r="AX45" s="7">
        <f>IF($B45="","",IF($AV45=1,'Inputs 2'!$C$49,IFERROR(LOOKUP(2,1/(('Events 2'!$C$6:$C$17="Employer change")*('Events 2'!$B$6:$B$17&lt;=$B45)*('Events 2'!$B$6:$B$17&lt;&gt;"")),'Events 2'!$D$6:$D$17),0)))</f>
      </c>
      <c r="AY45" s="7">
        <f>IF($B45="","",($O45-$D45)*'Inputs 2'!$C$8)</f>
      </c>
      <c r="AZ45" s="7">
        <f>IF($B45="","",IF($AN45="AL",MAX(0,$AY45-IF($AU45="Married",IF($AY45&lt;=25999,8500,MAX(5000,8500-175*CEILING(($AY45-25999)/500,1))),IF($AU45="Head of household",IF($AY45&lt;=25999,5200,MAX(2500,5200-135*CEILING(($AY45-25999)/500,1))),IF($AY45&lt;=25999,3000,MAX(2500,3000-25*CEILING(($AY45-25999)/500,1)))))-($P45-'Methodology &amp; Sources'!$C$10*$D45)*'Inputs 2'!$C$8-IF(OR($AU45="Married",$AU45="Head of household"),3000,1500)-$AT45*IF($AY45&lt;=50000,1000,IF($AY45&lt;=100000,500,300))),IF($AN45="AR",IF(MAX(0,$AY45-2470)&lt;97701,INT(MAX(0,$AY45-2470)/100)*100+50,MAX(0,$AY45-2470)),IF($AN45="DE",MAX(0,$AI45-3250),IF($AN45="HI",MAX(0,$AI45-1144*$AS45-4350),IF($AN45="KS",MAX(0,$AI45-(9160*IF($AU45="Married",2,1)+2320*$AT45+IF($AU45="Head of household",2320,0))),IF($AN45="MD",MAX(0,$AI45-3400-3200*$AS45),IF($AN45="MN",MAX(0,$AY45-5300*$AS45),IF($AN45="MO",MAX(0,$AI45-IF($AU45="Head of household",24150,IF($AU45="Married",IF('Inputs 2'!$C$83,16100,32200),16100))),IF($AN45="MT",$AY45,IF($AN45="ND",($C45+$L45)*'Inputs 2'!$C$8,IF($AN45="NE",MAX(0,$AY45-2440*$AS45),IF($AN45="NJ",MAX(0,$AY45-1000*$AS45),IF($AN45="NY",MAX(0,$AY45-(IF($AU45="Married",7950,7400)+1000*$AS45)),IF($AN45="OH",MAX(0,$AY45-650*$AS45),IF($AN45="OK",MAX(0,$AY45-1000*$AS45),IF($AN45="RI",MAX(0,$AI45-1000*$AS45),IF($AN45="SC",MAX(0,$AI45-5000*$AS45-IF($AS45=0,0,MIN(0.1*$AI45,7500))),IF($AN45="VA",MAX(0,$AI45-IF($AU45="Married",17500,8750)-930*$AS45-800*$AT45),IF($AN45="VT",MAX(0,$AI45-5400*$AS45),IF($AN45="WI",MAX(0,$AI45-MAX(0,IF($AU45="Married",9461-0.2*MAX(0,$AI45-25727),6702-0.12*MAX(0,$AI45-17780)))-400*$AS45),IF($AN45="WV",MAX(0,$AI45-2000*$AS45),$AI45))))))))))))))))))))))</f>
      </c>
      <c r="BA45" s="7">
        <f>IF($B45="","",IF($BW45&lt;&gt;"",$BW45,IF($BX45&lt;&gt;"",$BX45,IF($BY45&lt;&gt;"",$BY45,0))))</f>
      </c>
      <c r="BB45" s="7">
        <f>IF($B45="","",IF($AN45="AR",-29*$AS45,IF($AN45="DE",-110*$AS45,IF($AN45="MD",$AZ45*'Inputs 2'!$C$74,IF($AN45="AZ",'Inputs 2'!$C$82*($M45-$D45)*'Inputs 2'!$C$8,IF($AN45="CO",0.044*MAX(0,$AY45-IF($AU45="Married",10000,5000)),IF($AN45="IA",MAX(0,0.038*MAX(0,$AY45-IF($AU45="Head of household",19500,IF($AU45="Married",26000,13000)))-40*$AS45),IF($AN45="ID",0.053*MAX(0,$AY45-IF($AU45="Married",32000,16094)),IF($AN45="IL",0.0495*MAX(0,$AY45-(2925*$AS45+1000*$AT45)),IF($AN45="IN",(0.0295+'Inputs 2'!$C$76)*MAX(0,$AY45-(1000*$AS45+1500*$AT45+3000*'Inputs 2'!$C$86)),IF($AN45="KY",0.035*MAX(0,$AI45-3360),IF($AN45="LA",IF('Inputs 2'!$C$84="0",0.0309*$AI45,0.0309*MAX(0,$AI45-IF('Inputs 2'!$C$84="2",25750,12875))),IF($AN45="MA",0.05*MIN(MAX(0,$AY45-MIN(($BD44+$Q45+$R45+$S45),2000)-IF($AS45=0,0,IF($AS45=1,4400,1000*$AS45+3400))),1107750)+0.09*MAX(0,MAX(0,$AY45-MIN(($BD44+$Q45+$R45+$S45),2000)-IF($AS45=0,0,IF($AS45=1,4400,1000*$AS45+3400)))-1107750)-IF($AU45="Head of household",120,0)-110*'Inputs 2'!$C$75,IF($AN45="MI",0.0425*MAX(0,$AY45-5900*$AS45),IF($AN45="MS",0.04*MAX(0,$AI45-IF($AU45="Head of household",3400,IF($AU45="Married",4600,2300))-'Inputs 2'!$C$85-10000),IF($AN45="OR",IF(OR($AU45="Married",AND($AU45="Single",$AS45&gt;=3)),SUMPRODUCT((MAX(0,$AY45-MIN(($P45-'Methodology &amp; Sources'!$C$10*$D45)*'Inputs 2'!$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Sources'!$B$211:$J$214,0,4))*(MAX(0,$AY45-MIN(($P45-'Methodology &amp; Sources'!$C$10*$D45)*'Inputs 2'!$C$8,IF(OR($AU45="Married",AND($AU45="Single",$AS45&gt;=3)),IF($AY45&lt;250000,8750,IF($AY45&lt;260000,7000,IF($AY45&lt;270000,5250,IF($AY45&lt;280000,3500,IF($AY45&lt;290000,1750,0))))),IF($AY45&lt;125000,8750,IF($AY45&lt;130000,7000,IF($AY45&lt;135000,5250,IF($AY45&lt;140000,3500,IF($AY45&lt;145000,1750,0)))))))-IF(OR($AU45="Married",AND($AU45="Single",$AS45&gt;=3)),5820,2910))-INDEX('Methodology &amp; Sources'!$B$211:$J$214,0,4))*INDEX('Methodology &amp; Sources'!$B$211:$J$214,0,4+2)),SUMPRODUCT((MAX(0,$AY45-MIN(($P45-'Methodology &amp; Sources'!$C$10*$D45)*'Inputs 2'!$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Sources'!$B$211:$J$214,0,1))*(MAX(0,$AY45-MIN(($P45-'Methodology &amp; Sources'!$C$10*$D45)*'Inputs 2'!$C$8,IF(OR($AU45="Married",AND($AU45="Single",$AS45&gt;=3)),IF($AY45&lt;250000,8750,IF($AY45&lt;260000,7000,IF($AY45&lt;270000,5250,IF($AY45&lt;280000,3500,IF($AY45&lt;290000,1750,0))))),IF($AY45&lt;125000,8750,IF($AY45&lt;130000,7000,IF($AY45&lt;135000,5250,IF($AY45&lt;140000,3500,IF($AY45&lt;145000,1750,0)))))))-IF(OR($AU45="Married",AND($AU45="Single",$AS45&gt;=3)),5820,2910))-INDEX('Methodology &amp; Sources'!$B$211:$J$214,0,1))*INDEX('Methodology &amp; Sources'!$B$211:$J$214,0,1+2)))+263-263*IF(IF($AU45="Married",$AY45&gt;200000,$AY45&gt;100000),0,$AS45),IF($AN45="PA",0.0307*(($O45+$E45+$G45)*'Inputs 2'!$C$8),IF($AN45="NY",IF($AU45="Married",IF($AZ45&gt;=2155350,0,IF($AZ45&gt;=1077550,0.48,IF($AZ45&gt;=373200,1.21,IF($AZ45&gt;=323200,0.21,IF($AZ45&gt;=211550,-0.19,IF($AZ45&gt;=157650,-2.8,IF($AZ45&gt;=107650,-0.8,IF($AZ45&gt;=96800,0.05,IF($AZ45&gt;=80650,-0.1,IF($AZ45&gt;=13900,0.4,IF($AZ45&gt;=11700,-0.3,IF($AZ45&gt;=8500,0.5,0)))))))))))),IF($AZ45&gt;=1077550,0,IF($AZ45&gt;=265400,4.29,IF($AZ45&gt;=215400,2.29,IF($AZ45&gt;=157650,2.29,IF($AZ45&gt;=107650,0.29,IF($AZ45&gt;=96800,0.05,IF($AZ45&gt;=80650,-0.1,IF($AZ45&gt;=13900,0.4,IF($AZ45&gt;=11700,-0.3,IF($AZ45&gt;=8500,0.5,0))))))))))),0))))))))))))))))))</f>
      </c>
      <c r="BC45" s="7">
        <f>IF($B45="","",IF($AN45="AL",0.05*$D45,IF($AN45="AR",0.039*$D45,IF($AN45="ID",0.053*$D45,IF($AN45="IN",(0.0295+'Inputs 2'!$C$76)*$D45,IF($AN45="KS",0.05*$D45,IF($AN45="MA",0.09*MIN($D45,MAX(0,MAX(0,$AY45-MIN(($BD44+$Q45+$R45+$S45),2000)-IF($AS45=0,0,IF($AS45=1,4400,1000*$AS45+3400)))+$D45-1107750))+0.05*($D45-MIN($D45,MAX(0,MAX(0,$AY45-MIN(($BD44+$Q45+$R45+$S45),2000)-IF($AS45=0,0,IF($AS45=1,4400,1000*$AS45+3400)))+$D45-1107750))),IF($AN45="MD",(0.065+'Inputs 2'!$C$74)*$D45,IF($AN45="MI",0.0425*$D45,IF($AN45="MN",0.0625*$D45,IF($AN45="MO",0.047*$D45,IF($AN45="MT",0.05*$D45,IF($AN45="ND",0.015*$D45,IF($AN45="NE",0.035*$D45,IF($AN45="NJ",IF('Inputs 2'!$C$77="B",SUMPRODUCT(($D45*'Inputs 2'!$C$8&gt;INDEX('Methodology &amp; Sources'!$B$155:$J$162,0,4))*($D45*'Inputs 2'!$C$8-INDEX('Methodology &amp; Sources'!$B$155:$J$162,0,4))*INDEX('Methodology &amp; Sources'!$B$155:$J$162,0,4+2)),IF('Inputs 2'!$C$77="C",SUMPRODUCT(($D45*'Inputs 2'!$C$8&gt;INDEX('Methodology &amp; Sources'!$B$155:$J$162,0,7))*($D45*'Inputs 2'!$C$8-INDEX('Methodology &amp; Sources'!$B$155:$J$162,0,7))*INDEX('Methodology &amp; Sources'!$B$155:$J$162,0,7+2)),IF('Inputs 2'!$C$77="D",SUMPRODUCT(($D45*'Inputs 2'!$C$8&gt;INDEX('Methodology &amp; Sources'!$B$167:$J$179,0,1))*($D45*'Inputs 2'!$C$8-INDEX('Methodology &amp; Sources'!$B$167:$J$179,0,1))*INDEX('Methodology &amp; Sources'!$B$167:$J$179,0,1+2)),IF('Inputs 2'!$C$77="E",SUMPRODUCT(($D45*'Inputs 2'!$C$8&gt;INDEX('Methodology &amp; Sources'!$B$167:$J$179,0,4))*($D45*'Inputs 2'!$C$8-INDEX('Methodology &amp; Sources'!$B$167:$J$179,0,4))*INDEX('Methodology &amp; Sources'!$B$167:$J$179,0,4+2)),SUMPRODUCT(($D45*'Inputs 2'!$C$8&gt;INDEX('Methodology &amp; Sources'!$B$155:$J$162,0,1))*($D45*'Inputs 2'!$C$8-INDEX('Methodology &amp; Sources'!$B$155:$J$162,0,1))*INDEX('Methodology &amp; Sources'!$B$155:$J$162,0,1+2))))))/'Inputs 2'!$C$8,IF($AN45="NY",0.117*$D45,IF($AN45="OH",0.0275*$D45,IF($AN45="OK",0.045*$D45,IF($AN45="OR",0.08*$D45,IF($AN45="WI",IF($AY45&lt;12760,0.0354,IF($AY45&lt;25520,0.0465,IF($AY45&lt;280950,0.053,0.0765)))*$D45,0))))))))))))))))))))</f>
      </c>
      <c r="BD45" s="7">
        <f>IF($B45="","",$BD44+$Q45+$R45+$S45)</f>
      </c>
      <c r="BE45" s="6">
        <f>IF($B45="",$BE44,$BE44+$BF45)</f>
      </c>
      <c r="BF45" s="6">
        <f>IF($B45="","",IF(AND(IF(YEAR(IF('Inputs 2'!$C$7="Weekly",'Inputs 2'!$C$9+7*(($BE44+1)-1),IF('Inputs 2'!$C$7="Biweekly",'Inputs 2'!$C$9+14*(($BE44+1)-1),IF('Inputs 2'!$C$7="Semimonthly",DATE(YEAR('Inputs 2'!$C$9),MONTH('Inputs 2'!$C$9)+INT((($BE44+1)-1)/2),MIN(DAY('Inputs 2'!$C$9),DAY(EOMONTH(DATE(YEAR('Inputs 2'!$C$9),MONTH('Inputs 2'!$C$9)+INT((($BE44+1)-1)/2),1),0))))+IF(MOD(($BE44+1)-1,2)=1,15,0),EDATE('Inputs 2'!$C$9,($BE44+1)-1)))))&lt;&gt;'Inputs 2'!$C$10,"",IF('Inputs 2'!$C$7="Weekly",'Inputs 2'!$C$9+7*(($BE44+1)-1),IF('Inputs 2'!$C$7="Biweekly",'Inputs 2'!$C$9+14*(($BE44+1)-1),IF('Inputs 2'!$C$7="Semimonthly",DATE(YEAR('Inputs 2'!$C$9),MONTH('Inputs 2'!$C$9)+INT((($BE44+1)-1)/2),MIN(DAY('Inputs 2'!$C$9),DAY(EOMONTH(DATE(YEAR('Inputs 2'!$C$9),MONTH('Inputs 2'!$C$9)+INT((($BE44+1)-1)/2),1),0))))+IF(MOD(($BE44+1)-1,2)=1,15,0),EDATE('Inputs 2'!$C$9,($BE44+1)-1)))))&lt;&gt;"",$B45=IF(YEAR(IF('Inputs 2'!$C$7="Weekly",'Inputs 2'!$C$9+7*(($BE44+1)-1),IF('Inputs 2'!$C$7="Biweekly",'Inputs 2'!$C$9+14*(($BE44+1)-1),IF('Inputs 2'!$C$7="Semimonthly",DATE(YEAR('Inputs 2'!$C$9),MONTH('Inputs 2'!$C$9)+INT((($BE44+1)-1)/2),MIN(DAY('Inputs 2'!$C$9),DAY(EOMONTH(DATE(YEAR('Inputs 2'!$C$9),MONTH('Inputs 2'!$C$9)+INT((($BE44+1)-1)/2),1),0))))+IF(MOD(($BE44+1)-1,2)=1,15,0),EDATE('Inputs 2'!$C$9,($BE44+1)-1)))))&lt;&gt;'Inputs 2'!$C$10,"",IF('Inputs 2'!$C$7="Weekly",'Inputs 2'!$C$9+7*(($BE44+1)-1),IF('Inputs 2'!$C$7="Biweekly",'Inputs 2'!$C$9+14*(($BE44+1)-1),IF('Inputs 2'!$C$7="Semimonthly",DATE(YEAR('Inputs 2'!$C$9),MONTH('Inputs 2'!$C$9)+INT((($BE44+1)-1)/2),MIN(DAY('Inputs 2'!$C$9),DAY(EOMONTH(DATE(YEAR('Inputs 2'!$C$9),MONTH('Inputs 2'!$C$9)+INT((($BE44+1)-1)/2),1),0))))+IF(MOD(($BE44+1)-1,2)=1,15,0),EDATE('Inputs 2'!$C$9,($BE44+1)-1)))))),1,0))</f>
      </c>
      <c r="BG45" s="7">
        <f>IF($B45="","",$BG44+$H45)</f>
      </c>
      <c r="BH45" s="7">
        <f>IF($B45="","",$BH44+$I45)</f>
      </c>
      <c r="BI45" s="7">
        <f>IF($B45="","",$BI44+$G45)</f>
      </c>
      <c r="BJ45" s="7">
        <f>IF($B45="","",IFERROR(LOOKUP(2,1/(((('Events 2'!$C$6:$C$17="Deduction start"))*('Events 2'!$D$6:$D$17="Health FSA"))*('Events 2'!$B$6:$B$17&lt;=$B45)*('Events 2'!$B$6:$B$17&lt;&gt;"")),'Events 2'!$E$6:$E$17),'Inputs 2'!$D$38))</f>
      </c>
      <c r="BK45" s="7">
        <f>IF($B45="","",IFERROR(LOOKUP(2,1/(((('Events 2'!$C$6:$C$17="Deduction start"))*('Events 2'!$D$6:$D$17="Dependent-care FSA"))*('Events 2'!$B$6:$B$17&lt;=$B45)*('Events 2'!$B$6:$B$17&lt;&gt;"")),'Events 2'!$E$6:$E$17),'Inputs 2'!$D$39))</f>
      </c>
      <c r="BL45" s="7">
        <f>IF($B45="","",IFERROR(LOOKUP(2,1/(((('Events 2'!$C$6:$C$17="Deduction start")+('Events 2'!$C$6:$C$17="Deduction stop"))*('Events 2'!$D$6:$D$17="HSA"))*('Events 2'!$B$6:$B$17&lt;=$B45)*('Events 2'!$B$6:$B$17&lt;&gt;"")),'Events 2'!$I$6:$I$17),'Inputs 2'!$D$35))</f>
      </c>
      <c r="BM45" s="7">
        <f>IF($B45="","",IFERROR(LOOKUP(2,1/(((('Events 2'!$C$6:$C$17="Deduction start")+('Events 2'!$C$6:$C$17="Deduction stop"))*('Events 2'!$D$6:$D$17="Premiums"))*('Events 2'!$B$6:$B$17&lt;=$B45)*('Events 2'!$B$6:$B$17&lt;&gt;"")),'Events 2'!$I$6:$I$17),'Inputs 2'!$D$40+'Inputs 2'!$D$41+'Inputs 2'!$D$42))</f>
      </c>
      <c r="BN45" s="7">
        <f>IF($B45="","",IFERROR(LOOKUP(2,1/(((('Events 2'!$C$6:$C$17="Deduction start")+('Events 2'!$C$6:$C$17="Deduction stop"))*('Events 2'!$D$6:$D$17="Commuter"))*('Events 2'!$B$6:$B$17&lt;=$B45)*('Events 2'!$B$6:$B$17&lt;&gt;"")),'Events 2'!$I$6:$I$17),'Inputs 2'!$D$43))</f>
      </c>
      <c r="BO45" s="7">
        <f>IF($B45="","",IFERROR(LOOKUP(2,1/(((('Events 2'!$C$6:$C$17="Deduction start")+('Events 2'!$C$6:$C$17="Deduction stop"))*('Events 2'!$D$6:$D$17="Other pre-tax"))*('Events 2'!$B$6:$B$17&lt;=$B45)*('Events 2'!$B$6:$B$17&lt;&gt;"")),'Events 2'!$I$6:$I$17),'Inputs 2'!$D$44))</f>
      </c>
      <c r="BP45" s="7">
        <f>IF($B45="","",IFERROR(LOOKUP(2,1/(((('Events 2'!$C$6:$C$17="Deduction start")+('Events 2'!$C$6:$C$17="Deduction stop"))*('Events 2'!$D$6:$D$17="Other post-tax"))*('Events 2'!$B$6:$B$17&lt;=$B45)*('Events 2'!$B$6:$B$17&lt;&gt;"")),'Events 2'!$I$6:$I$17),'Inputs 2'!$D$45))</f>
      </c>
      <c r="BQ45" s="6">
        <f>IF($B45="","",IFERROR(LOOKUP(2,1/(((('Events 2'!$C$6:$C$17="Deduction start")+('Events 2'!$C$6:$C$17="Deduction stop"))*('Events 2'!$D$6:$D$17="Health FSA"))*('Events 2'!$B$6:$B$17&lt;=$B45)*('Events 2'!$B$6:$B$17&lt;&gt;"")),'Events 2'!$J$6:$J$17),0))</f>
      </c>
      <c r="BR45" s="6">
        <f>IF($B45="","",IFERROR(LOOKUP(2,1/(((('Events 2'!$C$6:$C$17="Deduction start")+('Events 2'!$C$6:$C$17="Deduction stop"))*('Events 2'!$D$6:$D$17="Dependent-care FSA"))*('Events 2'!$B$6:$B$17&lt;=$B45)*('Events 2'!$B$6:$B$17&lt;&gt;"")),'Events 2'!$J$6:$J$17),0))</f>
      </c>
      <c r="BS45" s="6">
        <f>IF($B45="","",IF(SUMPRODUCT(('Events 2'!$C$6:$C$17="Deduction start")*('Events 2'!$B$6:$B$17&lt;=$B45)*('Events 2'!$B$6:$B$17&lt;&gt;"")*('Events 2'!$D$6:$D$17="Health FSA"))&gt;0,1,0))</f>
      </c>
      <c r="BT45" s="6">
        <f>IF($B45="","",IF(SUMPRODUCT(('Events 2'!$C$6:$C$17="Deduction start")*('Events 2'!$B$6:$B$17&lt;=$B45)*('Events 2'!$B$6:$B$17&lt;&gt;"")*('Events 2'!$D$6:$D$17="Dependent-care FSA"))&gt;0,1,0))</f>
      </c>
      <c r="BU45" s="24">
        <f>IF($B45="","",IF('Inputs 2'!$C$13,SUMPRODUCT(($AH45&gt;=INDEX('Methodology &amp; Sources'!$B$29:$J$36,0,IF('Inputs 2'!$C$12="MFJ",1,IF('Inputs 2'!$C$12="HoH",7,4))))*INDEX('Methodology &amp; Sources'!$B$29:$J$36,0,IF('Inputs 2'!$C$12="MFJ",1,IF('Inputs 2'!$C$12="HoH",7,4))+2)),SUMPRODUCT(($AH45&gt;=INDEX('Methodology &amp; Sources'!$B$19:$J$26,0,IF('Inputs 2'!$C$12="MFJ",1,IF('Inputs 2'!$C$12="HoH",7,4))))*INDEX('Methodology &amp; Sources'!$B$19:$J$26,0,IF('Inputs 2'!$C$12="MFJ",1,IF('Inputs 2'!$C$12="HoH",7,4))+2))))</f>
      </c>
      <c r="BV45" s="24">
        <f>IF($B45="","",IF($BZ45&lt;&gt;"",$BZ45,IF($CA45&lt;&gt;"",$CA45,IF($CB45&lt;&gt;"",$CB45,IF($CC45&lt;&gt;"",$CC45,0)))))</f>
      </c>
      <c r="BW45" s="7">
        <f>IF($B45="","",IF($AN45="MD",IF(OR($AU45="Married",$AU45="Head of household"),SUMPRODUCT(($AZ45&gt;INDEX('Methodology &amp; Sources'!$B$114:$J$120,0,1))*($AZ45-INDEX('Methodology &amp; Sources'!$B$114:$J$120,0,1))*INDEX('Methodology &amp; Sources'!$B$114:$J$120,0,1+2)),SUMPRODUCT(($AZ45&gt;INDEX('Methodology &amp; Sources'!$B$103:$J$109,0,7))*($AZ45-INDEX('Methodology &amp; Sources'!$B$103:$J$109,0,7))*INDEX('Methodology &amp; Sources'!$B$103:$J$109,0,7+2))),IF($AN45="MO",SUMPRODUCT(($AZ45&gt;INDEX('Methodology &amp; Sources'!$B$125:$J$132,0,1))*($AZ45-INDEX('Methodology &amp; Sources'!$B$125:$J$132,0,1))*INDEX('Methodology &amp; Sources'!$B$125:$J$132,0,1+2)),IF($AN45="MT",IF($AU45="Head of household",SUMPRODUCT(($AZ45&gt;INDEX('Methodology &amp; Sources'!$B$137:$J$139,0,1))*($AZ45-INDEX('Methodology &amp; Sources'!$B$137:$J$139,0,1))*INDEX('Methodology &amp; Sources'!$B$137:$J$139,0,1+2)),IF($AU45="Married",SUMPRODUCT(($AZ45&gt;INDEX('Methodology &amp; Sources'!$B$125:$J$132,0,7))*($AZ45-INDEX('Methodology &amp; Sources'!$B$125:$J$132,0,7))*INDEX('Methodology &amp; Sources'!$B$125:$J$132,0,7+2)),SUMPRODUCT(($AZ45&gt;INDEX('Methodology &amp; Sources'!$B$125:$J$132,0,4))*($AZ45-INDEX('Methodology &amp; Sources'!$B$125:$J$132,0,4))*INDEX('Methodology &amp; Sources'!$B$125:$J$132,0,4+2)))),IF($AN45="ND",IF($AU45="Head of household",SUMPRODUCT(($AZ45&gt;INDEX('Methodology &amp; Sources'!$B$144:$J$150,0,1))*($AZ45-INDEX('Methodology &amp; Sources'!$B$144:$J$150,0,1))*INDEX('Methodology &amp; Sources'!$B$144:$J$150,0,1+2)),IF($AU45="Married",SUMPRODUCT(($AZ45&gt;INDEX('Methodology &amp; Sources'!$B$137:$J$139,0,7))*($AZ45-INDEX('Methodology &amp; Sources'!$B$137:$J$139,0,7))*INDEX('Methodology &amp; Sources'!$B$137:$J$139,0,7+2)),SUMPRODUCT(($AZ45&gt;INDEX('Methodology &amp; Sources'!$B$137:$J$139,0,4))*($AZ45-INDEX('Methodology &amp; Sources'!$B$137:$J$139,0,4))*INDEX('Methodology &amp; Sources'!$B$137:$J$139,0,4+2)))),IF($AN45="NJ",IF('Inputs 2'!$C$77="B",SUMPRODUCT(($AZ45&gt;INDEX('Methodology &amp; Sources'!$B$155:$J$162,0,4))*($AZ45-INDEX('Methodology &amp; Sources'!$B$155:$J$162,0,4))*INDEX('Methodology &amp; Sources'!$B$155:$J$162,0,4+2)),IF('Inputs 2'!$C$77="C",SUMPRODUCT(($AZ45&gt;INDEX('Methodology &amp; Sources'!$B$155:$J$162,0,7))*($AZ45-INDEX('Methodology &amp; Sources'!$B$155:$J$162,0,7))*INDEX('Methodology &amp; Sources'!$B$155:$J$162,0,7+2)),IF('Inputs 2'!$C$77="D",SUMPRODUCT(($AZ45&gt;INDEX('Methodology &amp; Sources'!$B$167:$J$179,0,1))*($AZ45-INDEX('Methodology &amp; Sources'!$B$167:$J$179,0,1))*INDEX('Methodology &amp; Sources'!$B$167:$J$179,0,1+2)),IF('Inputs 2'!$C$77="E",SUMPRODUCT(($AZ45&gt;INDEX('Methodology &amp; Sources'!$B$167:$J$179,0,4))*($AZ45-INDEX('Methodology &amp; Sources'!$B$167:$J$179,0,4))*INDEX('Methodology &amp; Sources'!$B$167:$J$179,0,4+2)),SUMPRODUCT(($AZ45&gt;INDEX('Methodology &amp; Sources'!$B$155:$J$162,0,1))*($AZ45-INDEX('Methodology &amp; Sources'!$B$155:$J$162,0,1))*INDEX('Methodology &amp; Sources'!$B$155:$J$162,0,1+2)))))),IF($AN45="NY",IF($AU45="Married",IF($AZ45&gt;=2155350,$AZ45*IF($AZ45&gt;25000000,0.117,IF($AZ45&gt;5000000,0.111,0.1045)),SUMPRODUCT(($AZ45&gt;INDEX('Methodology &amp; Sources'!$B$184:$J$198,0,1))*($AZ45-INDEX('Methodology &amp; Sources'!$B$184:$J$198,0,1))*INDEX('Methodology &amp; Sources'!$B$184:$J$198,0,1+2))),IF($AZ45&gt;=1077550,$AZ45*IF($AZ45&gt;25000000,0.117,IF($AZ45&gt;5000000,0.111,0.1045)),SUMPRODUCT(($AZ45&gt;INDEX('Methodology &amp; Sources'!$B$167:$J$179,0,7))*($AZ45-INDEX('Methodology &amp; Sources'!$B$167:$J$179,0,7))*INDEX('Methodology &amp; Sources'!$B$167:$J$179,0,7+2)))),"")))))))</f>
      </c>
      <c r="BX45" s="7">
        <f>IF($B45="","",IF($AN45="AL",IF(OR($AU45="Married",$AU45="Head of household"),SUMPRODUCT(($AZ45&gt;INDEX('Methodology &amp; Sources'!$B$82:$J$86,0,4))*($AZ45-INDEX('Methodology &amp; Sources'!$B$82:$J$86,0,4))*INDEX('Methodology &amp; Sources'!$B$82:$J$86,0,4+2)),SUMPRODUCT(($AZ45&gt;INDEX('Methodology &amp; Sources'!$B$82:$J$86,0,1))*($AZ45-INDEX('Methodology &amp; Sources'!$B$82:$J$86,0,1))*INDEX('Methodology &amp; Sources'!$B$82:$J$86,0,1+2))),IF($AN45="KS",IF($AU45="Married",SUMPRODUCT(($AZ45&gt;INDEX('Methodology &amp; Sources'!$B$103:$J$109,0,4))*($AZ45-INDEX('Methodology &amp; Sources'!$B$103:$J$109,0,4))*INDEX('Methodology &amp; Sources'!$B$103:$J$109,0,4+2)),SUMPRODUCT(($AZ45&gt;INDEX('Methodology &amp; Sources'!$B$103:$J$109,0,1))*($AZ45-INDEX('Methodology &amp; Sources'!$B$103:$J$109,0,1))*INDEX('Methodology &amp; Sources'!$B$103:$J$109,0,1+2))),IF($AN45="MN",IF($AU45="Married",SUMPRODUCT(($AZ45&gt;INDEX('Methodology &amp; Sources'!$B$114:$J$120,0,7))*($AZ45-INDEX('Methodology &amp; Sources'!$B$114:$J$120,0,7))*INDEX('Methodology &amp; Sources'!$B$114:$J$120,0,7+2)),SUMPRODUCT(($AZ45&gt;INDEX('Methodology &amp; Sources'!$B$114:$J$120,0,4))*($AZ45-INDEX('Methodology &amp; Sources'!$B$114:$J$120,0,4))*INDEX('Methodology &amp; Sources'!$B$114:$J$120,0,4+2))),IF($AN45="NE",MAX(IF($AU45="Married",SUMPRODUCT(($AZ45&gt;INDEX('Methodology &amp; Sources'!$B$144:$J$150,0,7))*($AZ45-INDEX('Methodology &amp; Sources'!$B$144:$J$150,0,7))*INDEX('Methodology &amp; Sources'!$B$144:$J$150,0,7+2)),SUMPRODUCT(($AZ45&gt;INDEX('Methodology &amp; Sources'!$B$144:$J$150,0,4))*($AZ45-INDEX('Methodology &amp; Sources'!$B$144:$J$150,0,4))*INDEX('Methodology &amp; Sources'!$B$144:$J$150,0,4+2))),0.015*$AZ45),IF($AN45="OH",IF($B45&gt;=DATE(2027,8,1),SUMPRODUCT(($AZ45&gt;INDEX('Methodology &amp; Sources'!$B$203:$J$206,0,1))*($AZ45-INDEX('Methodology &amp; Sources'!$B$203:$J$206,0,1))*INDEX('Methodology &amp; Sources'!$B$203:$J$206,0,1+2)),SUMPRODUCT(($AZ45&gt;INDEX('Methodology &amp; Sources'!$B$184:$J$198,0,7))*($AZ45-INDEX('Methodology &amp; Sources'!$B$184:$J$198,0,7))*INDEX('Methodology &amp; Sources'!$B$184:$J$198,0,7+2))),IF($AN45="OK",IF($AU45="Married",SUMPRODUCT(($AZ45&gt;INDEX('Methodology &amp; Sources'!$B$203:$J$206,0,7))*($AZ45-INDEX('Methodology &amp; Sources'!$B$203:$J$206,0,7))*INDEX('Methodology &amp; Sources'!$B$203:$J$206,0,7+2)),SUMPRODUCT(($AZ45&gt;INDEX('Methodology &amp; Sources'!$B$203:$J$206,0,4))*($AZ45-INDEX('Methodology &amp; Sources'!$B$203:$J$206,0,4))*INDEX('Methodology &amp; Sources'!$B$203:$J$206,0,4+2))),IF($AN45="RI",SUMPRODUCT(($AZ45&gt;INDEX('Methodology &amp; Sources'!$B$211:$J$214,0,7))*($AZ45-INDEX('Methodology &amp; Sources'!$B$211:$J$214,0,7))*INDEX('Methodology &amp; Sources'!$B$211:$J$214,0,7+2)),IF($AN45="VT",IF($AU45="Married",SUMPRODUCT(($AZ45&gt;INDEX('Methodology &amp; Sources'!$B$228:$J$232,0,1))*($AZ45-INDEX('Methodology &amp; Sources'!$B$228:$J$232,0,1))*INDEX('Methodology &amp; Sources'!$B$228:$J$232,0,1+2)),SUMPRODUCT(($AZ45&gt;INDEX('Methodology &amp; Sources'!$B$219:$J$223,0,7))*($AZ45-INDEX('Methodology &amp; Sources'!$B$219:$J$223,0,7))*INDEX('Methodology &amp; Sources'!$B$219:$J$223,0,7+2))),IF($AN45="WV",IF($AU45="Married",SUMPRODUCT(($AZ45&gt;INDEX('Methodology &amp; Sources'!$B$237:$J$241,0,7))*($AZ45-INDEX('Methodology &amp; Sources'!$B$237:$J$241,0,7))*INDEX('Methodology &amp; Sources'!$B$237:$J$241,0,7+2)),SUMPRODUCT(($AZ45&gt;INDEX('Methodology &amp; Sources'!$B$228:$J$232,0,7))*($AZ45-INDEX('Methodology &amp; Sources'!$B$228:$J$232,0,7))*INDEX('Methodology &amp; Sources'!$B$228:$J$232,0,7+2))),""))))))))))</f>
      </c>
      <c r="BY45" s="7">
        <f>IF($B45="","",IF($AN45="AR",SUMPRODUCT(($AZ45&gt;INDEX('Methodology &amp; Sources'!$B$82:$J$86,0,7))*($AZ45-INDEX('Methodology &amp; Sources'!$B$82:$J$86,0,7))*INDEX('Methodology &amp; Sources'!$B$82:$J$86,0,7+2)),IF($AN45="DE",SUMPRODUCT(($AZ45&gt;INDEX('Methodology &amp; Sources'!$B$91:$J$98,0,1))*($AZ45-INDEX('Methodology &amp; Sources'!$B$91:$J$98,0,1))*INDEX('Methodology &amp; Sources'!$B$91:$J$98,0,1+2)),IF($AN45="HI",IF($AU45="Married",SUMPRODUCT(($AZ45&gt;INDEX('Methodology &amp; Sources'!$B$91:$J$98,0,7))*($AZ45-INDEX('Methodology &amp; Sources'!$B$91:$J$98,0,7))*INDEX('Methodology &amp; Sources'!$B$91:$J$98,0,7+2)),SUMPRODUCT(($AZ45&gt;INDEX('Methodology &amp; Sources'!$B$91:$J$98,0,4))*($AZ45-INDEX('Methodology &amp; Sources'!$B$91:$J$98,0,4))*INDEX('Methodology &amp; Sources'!$B$91:$J$98,0,4+2))),IF($AN45="SC",SUMPRODUCT(($AZ45&gt;INDEX('Methodology &amp; Sources'!$B$219:$J$223,0,1))*($AZ45-INDEX('Methodology &amp; Sources'!$B$219:$J$223,0,1))*INDEX('Methodology &amp; Sources'!$B$219:$J$223,0,1+2)),IF($AN45="VA",SUMPRODUCT(($AZ45&gt;INDEX('Methodology &amp; Sources'!$B$219:$J$223,0,4))*($AZ45-INDEX('Methodology &amp; Sources'!$B$219:$J$223,0,4))*INDEX('Methodology &amp; Sources'!$B$219:$J$223,0,4+2)),IF($AN45="WI",SUMPRODUCT(($AZ45&gt;INDEX('Methodology &amp; Sources'!$B$228:$J$232,0,4))*($AZ45-INDEX('Methodology &amp; Sources'!$B$228:$J$232,0,4))*INDEX('Methodology &amp; Sources'!$B$228:$J$232,0,4+2)),"")))))))</f>
      </c>
      <c r="BZ45" s="24">
        <f>IF($B45="","",IF($AN45="NJ",IF('Inputs 2'!$C$77="B",SUMPRODUCT(($AZ45&gt;=INDEX('Methodology &amp; Sources'!$B$155:$J$162,0,4))*INDEX('Methodology &amp; Sources'!$B$155:$J$162,0,4+2)),IF('Inputs 2'!$C$77="C",SUMPRODUCT(($AZ45&gt;=INDEX('Methodology &amp; Sources'!$B$155:$J$162,0,7))*INDEX('Methodology &amp; Sources'!$B$155:$J$162,0,7+2)),IF('Inputs 2'!$C$77="D",SUMPRODUCT(($AZ45&gt;=INDEX('Methodology &amp; Sources'!$B$167:$J$179,0,1))*INDEX('Methodology &amp; Sources'!$B$167:$J$179,0,1+2)),IF('Inputs 2'!$C$77="E",SUMPRODUCT(($AZ45&gt;=INDEX('Methodology &amp; Sources'!$B$167:$J$179,0,4))*INDEX('Methodology &amp; Sources'!$B$167:$J$179,0,4+2)),SUMPRODUCT(($AZ45&gt;=INDEX('Methodology &amp; Sources'!$B$155:$J$162,0,1))*INDEX('Methodology &amp; Sources'!$B$155:$J$162,0,1+2)))))),IF($AN45="OR",IF(OR($AU45="Married",AND($AU45="Single",$AS45&gt;=3)),SUMPRODUCT((MAX(0,$AY45-MIN(($P45-'Methodology &amp; Sources'!$C$10*$D45)*'Inputs 2'!$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Sources'!$B$211:$J$214,0,4))*INDEX('Methodology &amp; Sources'!$B$211:$J$214,0,4+2)),SUMPRODUCT((MAX(0,$AY45-MIN(($P45-'Methodology &amp; Sources'!$C$10*$D45)*'Inputs 2'!$C$8,IF(OR($AU45="Married",AND($AU45="Single",$AS45&gt;=3)),IF($AY45&lt;250000,8750,IF($AY45&lt;260000,7000,IF($AY45&lt;270000,5250,IF($AY45&lt;280000,3500,IF($AY45&lt;290000,1750,0))))),IF($AY45&lt;125000,8750,IF($AY45&lt;130000,7000,IF($AY45&lt;135000,5250,IF($AY45&lt;140000,3500,IF($AY45&lt;145000,1750,0)))))))-IF(OR($AU45="Married",AND($AU45="Single",$AS45&gt;=3)),5820,2910))&gt;=INDEX('Methodology &amp; Sources'!$B$211:$J$214,0,1))*INDEX('Methodology &amp; Sources'!$B$211:$J$214,0,1+2)))*IF(($P45-'Methodology &amp; Sources'!$C$10*$D45)*'Inputs 2'!$C$8&gt;=IF(OR($AU45="Married",AND($AU45="Single",$AS45&gt;=3)),IF($AY45&lt;250000,8750,IF($AY45&lt;260000,7000,IF($AY45&lt;270000,5250,IF($AY45&lt;280000,3500,IF($AY45&lt;290000,1750,0))))),IF($AY45&lt;125000,8750,IF($AY45&lt;130000,7000,IF($AY45&lt;135000,5250,IF($AY45&lt;140000,3500,IF($AY45&lt;145000,1750,0)))))),1,1-IF('Inputs 2'!$C$13,SUMPRODUCT(($AH45&gt;=INDEX('Methodology &amp; Sources'!$B$29:$J$36,0,IF('Inputs 2'!$C$12="MFJ",1,IF('Inputs 2'!$C$12="HoH",7,4))))*INDEX('Methodology &amp; Sources'!$B$29:$J$36,0,IF('Inputs 2'!$C$12="MFJ",1,IF('Inputs 2'!$C$12="HoH",7,4))+2)),SUMPRODUCT(($AH45&gt;=INDEX('Methodology &amp; Sources'!$B$19:$J$26,0,IF('Inputs 2'!$C$12="MFJ",1,IF('Inputs 2'!$C$12="HoH",7,4))))*INDEX('Methodology &amp; Sources'!$B$19:$J$26,0,IF('Inputs 2'!$C$12="MFJ",1,IF('Inputs 2'!$C$12="HoH",7,4))+2)))),IF($AN45="MI",IF($AY45&gt;5900*$AS45,0.0425,0),""))))</f>
      </c>
      <c r="CA45" s="24">
        <f>IF($B45="","",IF($AN45="AL",IF(OR($AU45="Married",$AU45="Head of household"),SUMPRODUCT(($AZ45&gt;=INDEX('Methodology &amp; Sources'!$B$82:$J$86,0,4))*INDEX('Methodology &amp; Sources'!$B$82:$J$86,0,4+2)),SUMPRODUCT(($AZ45&gt;=INDEX('Methodology &amp; Sources'!$B$82:$J$86,0,1))*INDEX('Methodology &amp; Sources'!$B$82:$J$86,0,1+2)))*(1-IF('Inputs 2'!$C$13,SUMPRODUCT(($AH45&gt;=INDEX('Methodology &amp; Sources'!$B$29:$J$36,0,IF('Inputs 2'!$C$12="MFJ",1,IF('Inputs 2'!$C$12="HoH",7,4))))*INDEX('Methodology &amp; Sources'!$B$29:$J$36,0,IF('Inputs 2'!$C$12="MFJ",1,IF('Inputs 2'!$C$12="HoH",7,4))+2)),SUMPRODUCT(($AH45&gt;=INDEX('Methodology &amp; Sources'!$B$19:$J$26,0,IF('Inputs 2'!$C$12="MFJ",1,IF('Inputs 2'!$C$12="HoH",7,4))))*INDEX('Methodology &amp; Sources'!$B$19:$J$26,0,IF('Inputs 2'!$C$12="MFJ",1,IF('Inputs 2'!$C$12="HoH",7,4))+2)))),IF($AN45="KS",IF($AU45="Married",SUMPRODUCT(($AZ45&gt;=INDEX('Methodology &amp; Sources'!$B$103:$J$109,0,4))*INDEX('Methodology &amp; Sources'!$B$103:$J$109,0,4+2)),SUMPRODUCT(($AZ45&gt;=INDEX('Methodology &amp; Sources'!$B$103:$J$109,0,1))*INDEX('Methodology &amp; Sources'!$B$103:$J$109,0,1+2))),IF($AN45="MD",IF(OR($AU45="Married",$AU45="Head of household"),SUMPRODUCT(($AZ45&gt;=INDEX('Methodology &amp; Sources'!$B$114:$J$120,0,1))*INDEX('Methodology &amp; Sources'!$B$114:$J$120,0,1+2)),SUMPRODUCT(($AZ45&gt;=INDEX('Methodology &amp; Sources'!$B$103:$J$109,0,7))*INDEX('Methodology &amp; Sources'!$B$103:$J$109,0,7+2)))+'Inputs 2'!$C$74,IF($AN45="MT",IF($AU45="Head of household",SUMPRODUCT(($AZ45&gt;=INDEX('Methodology &amp; Sources'!$B$137:$J$139,0,1))*INDEX('Methodology &amp; Sources'!$B$137:$J$139,0,1+2)),IF($AU45="Married",SUMPRODUCT(($AZ45&gt;=INDEX('Methodology &amp; Sources'!$B$125:$J$132,0,7))*INDEX('Methodology &amp; Sources'!$B$125:$J$132,0,7+2)),SUMPRODUCT(($AZ45&gt;=INDEX('Methodology &amp; Sources'!$B$125:$J$132,0,4))*INDEX('Methodology &amp; Sources'!$B$125:$J$132,0,4+2)))),IF($AN45="ND",IF($AU45="Head of household",SUMPRODUCT(($AZ45&gt;=INDEX('Methodology &amp; Sources'!$B$144:$J$150,0,1))*INDEX('Methodology &amp; Sources'!$B$144:$J$150,0,1+2)),IF($AU45="Married",SUMPRODUCT(($AZ45&gt;=INDEX('Methodology &amp; Sources'!$B$137:$J$139,0,7))*INDEX('Methodology &amp; Sources'!$B$137:$J$139,0,7+2)),SUMPRODUCT(($AZ45&gt;=INDEX('Methodology &amp; Sources'!$B$137:$J$139,0,4))*INDEX('Methodology &amp; Sources'!$B$137:$J$139,0,4+2)))),IF($AN45="NY",IF($AU45="Married",IF($AZ45&gt;=2155350,IF($AZ45&gt;25000000,0.117,IF($AZ45&gt;5000000,0.111,0.1045)),SUMPRODUCT(($AZ45&gt;=INDEX('Methodology &amp; Sources'!$B$184:$J$198,0,1))*INDEX('Methodology &amp; Sources'!$B$184:$J$198,0,1+2))),IF($AZ45&gt;=1077550,IF($AZ45&gt;25000000,0.117,IF($AZ45&gt;5000000,0.111,0.1045)),SUMPRODUCT(($AZ45&gt;=INDEX('Methodology &amp; Sources'!$B$167:$J$179,0,7))*INDEX('Methodology &amp; Sources'!$B$167:$J$179,0,7+2)))),"")))))))</f>
      </c>
      <c r="CB45" s="24">
        <f>IF($B45="","",IF($AN45="CA",SUMPRODUCT(($AJ45&gt;=INDEX('Methodology &amp; Sources'!$B$39:$J$48,0,IF($AU45="Married",4,IF($AU45="Head of household",7,1))))*INDEX('Methodology &amp; Sources'!$B$39:$J$48,0,IF($AU45="Married",4,IF($AU45="Head of household",7,1))+2)),IF($AN45="HI",IF($AU45="Married",SUMPRODUCT(($AZ45&gt;=INDEX('Methodology &amp; Sources'!$B$91:$J$98,0,7))*INDEX('Methodology &amp; Sources'!$B$91:$J$98,0,7+2)),SUMPRODUCT(($AZ45&gt;=INDEX('Methodology &amp; Sources'!$B$91:$J$98,0,4))*INDEX('Methodology &amp; Sources'!$B$91:$J$98,0,4+2))),IF($AN45="MN",IF($AU45="Married",SUMPRODUCT(($AZ45&gt;=INDEX('Methodology &amp; Sources'!$B$114:$J$120,0,7))*INDEX('Methodology &amp; Sources'!$B$114:$J$120,0,7+2)),SUMPRODUCT(($AZ45&gt;=INDEX('Methodology &amp; Sources'!$B$114:$J$120,0,4))*INDEX('Methodology &amp; Sources'!$B$114:$J$120,0,4+2))),IF($AN45="MO",SUMPRODUCT(($AZ45&gt;=INDEX('Methodology &amp; Sources'!$B$125:$J$132,0,1))*INDEX('Methodology &amp; Sources'!$B$125:$J$132,0,1+2)),IF($AN45="NE",MAX(IF($AU45="Married",SUMPRODUCT(($AZ45&gt;=INDEX('Methodology &amp; Sources'!$B$144:$J$150,0,7))*INDEX('Methodology &amp; Sources'!$B$144:$J$150,0,7+2)),SUMPRODUCT(($AZ45&gt;=INDEX('Methodology &amp; Sources'!$B$144:$J$150,0,4))*INDEX('Methodology &amp; Sources'!$B$144:$J$150,0,4+2))),0.015),IF($AN45="OH",IF($B45&gt;=DATE(2027,8,1),SUMPRODUCT(($AZ45&gt;=INDEX('Methodology &amp; Sources'!$B$203:$J$206,0,1))*INDEX('Methodology &amp; Sources'!$B$203:$J$206,0,1+2)),SUMPRODUCT(($AZ45&gt;=INDEX('Methodology &amp; Sources'!$B$184:$J$198,0,7))*INDEX('Methodology &amp; Sources'!$B$184:$J$198,0,7+2))),IF($AN45="OK",IF($AU45="Married",SUMPRODUCT(($AZ45&gt;=INDEX('Methodology &amp; Sources'!$B$203:$J$206,0,7))*INDEX('Methodology &amp; Sources'!$B$203:$J$206,0,7+2)),SUMPRODUCT(($AZ45&gt;=INDEX('Methodology &amp; Sources'!$B$203:$J$206,0,4))*INDEX('Methodology &amp; Sources'!$B$203:$J$206,0,4+2))),IF($AN45="RI",SUMPRODUCT(($AZ45&gt;=INDEX('Methodology &amp; Sources'!$B$211:$J$214,0,7))*INDEX('Methodology &amp; Sources'!$B$211:$J$214,0,7+2)),IF($AN45="SC",SUMPRODUCT(($AZ45&gt;=INDEX('Methodology &amp; Sources'!$B$219:$J$223,0,1))*INDEX('Methodology &amp; Sources'!$B$219:$J$223,0,1+2)),IF($AN45="VT",IF($AU45="Married",SUMPRODUCT(($AZ45&gt;=INDEX('Methodology &amp; Sources'!$B$228:$J$232,0,1))*INDEX('Methodology &amp; Sources'!$B$228:$J$232,0,1+2)),SUMPRODUCT(($AZ45&gt;=INDEX('Methodology &amp; Sources'!$B$219:$J$223,0,7))*INDEX('Methodology &amp; Sources'!$B$219:$J$223,0,7+2))),IF($AN45="WV",IF($AU45="Married",SUMPRODUCT(($AZ45&gt;=INDEX('Methodology &amp; Sources'!$B$237:$J$241,0,7))*INDEX('Methodology &amp; Sources'!$B$237:$J$241,0,7+2)),SUMPRODUCT(($AZ45&gt;=INDEX('Methodology &amp; Sources'!$B$228:$J$232,0,7))*INDEX('Methodology &amp; Sources'!$B$228:$J$232,0,7+2))),IF($AN45="IN",(0.0295+'Inputs 2'!$C$76),"")))))))))))))</f>
      </c>
      <c r="CC45" s="24">
        <f>IF($B45="","",IF($AN45="AR",SUMPRODUCT(($AZ45&gt;=INDEX('Methodology &amp; Sources'!$B$82:$J$86,0,7))*INDEX('Methodology &amp; Sources'!$B$82:$J$86,0,7+2)),IF($AN45="DE",SUMPRODUCT(($AZ45&gt;=INDEX('Methodology &amp; Sources'!$B$91:$J$98,0,1))*INDEX('Methodology &amp; Sources'!$B$91:$J$98,0,1+2)),IF($AN45="VA",SUMPRODUCT(($AZ45&gt;=INDEX('Methodology &amp; Sources'!$B$219:$J$223,0,4))*INDEX('Methodology &amp; Sources'!$B$219:$J$223,0,4+2)),IF($AN45="WI",SUMPRODUCT(($AZ45&gt;=INDEX('Methodology &amp; Sources'!$B$228:$J$232,0,4))*INDEX('Methodology &amp; Sources'!$B$228:$J$232,0,4+2)),IF($AN45="AZ",'Inputs 2'!$C$82,IF($AN45="CO",IF($AY45&gt;IF($AU45="Married",10000,5000),0.044,0),IF($AN45="IA",IF($AY45&gt;IF($AU45="Head of household",19500,IF($AU45="Married",26000,13000)),0.038,0),IF($AN45="ID",IF($AY45&gt;IF($AU45="Married",32000,16094),0.053,0),IF($AN45="IL",IF($AY45&gt;(2925*$AS45+1000*$AT45),0.0495,0),IF($AN45="KY",IF($AI45&gt;3360,0.035,0),IF($AN45="LA",0.0309,IF($AN45="MA",IF(MAX(0,$AY45-MIN(($BD44+$Q45+$R45+$S45),2000)-IF($AS45=0,0,IF($AS45=1,4400,1000*$AS45+3400)))&gt;=1107750,0.09,0.05),IF($AN45="MS",IF($AI45-IF($AU45="Head of household",3400,IF($AU45="Married",4600,2300))-'Inputs 2'!$C$85&gt;10000,0.04,0),IF($AN45="PA",0.0307,"")))))))))))))))</f>
      </c>
      <c r="CD45" s="21">
        <f>IF(YEAR(IF('Inputs 2'!$C$7="Weekly",'Inputs 2'!$C$9+7*(($BE44+1)-1),IF('Inputs 2'!$C$7="Biweekly",'Inputs 2'!$C$9+14*(($BE44+1)-1),IF('Inputs 2'!$C$7="Semimonthly",DATE(YEAR('Inputs 2'!$C$9),MONTH('Inputs 2'!$C$9)+INT((($BE44+1)-1)/2),MIN(DAY('Inputs 2'!$C$9),DAY(EOMONTH(DATE(YEAR('Inputs 2'!$C$9),MONTH('Inputs 2'!$C$9)+INT((($BE44+1)-1)/2),1),0))))+IF(MOD(($BE44+1)-1,2)=1,15,0),EDATE('Inputs 2'!$C$9,($BE44+1)-1)))))&lt;&gt;'Inputs 2'!$C$10,"",IF('Inputs 2'!$C$7="Weekly",'Inputs 2'!$C$9+7*(($BE44+1)-1),IF('Inputs 2'!$C$7="Biweekly",'Inputs 2'!$C$9+14*(($BE44+1)-1),IF('Inputs 2'!$C$7="Semimonthly",DATE(YEAR('Inputs 2'!$C$9),MONTH('Inputs 2'!$C$9)+INT((($BE44+1)-1)/2),MIN(DAY('Inputs 2'!$C$9),DAY(EOMONTH(DATE(YEAR('Inputs 2'!$C$9),MONTH('Inputs 2'!$C$9)+INT((($BE44+1)-1)/2),1),0))))+IF(MOD(($BE44+1)-1,2)=1,15,0),EDATE('Inputs 2'!$C$9,($BE44+1)-1)))))</f>
      </c>
      <c r="CE45" s="21">
        <f>IF(SUMPRODUCT(MIN(IF(('Inputs 2'!$C$58:$C$67&gt;MAX($B$6:$B44))*('Inputs 2'!$C$58:$C$67&gt;=DATE('Inputs 2'!$C$10,1,1))*('Inputs 2'!$C$58:$C$67&lt;=DATE('Inputs 2'!$C$10,12,31)),'Inputs 2'!$C$58:$C$67,999999)))=999999,"",SUMPRODUCT(MIN(IF(('Inputs 2'!$C$58:$C$67&gt;MAX($B$6:$B44))*('Inputs 2'!$C$58:$C$67&gt;=DATE('Inputs 2'!$C$10,1,1))*('Inputs 2'!$C$58:$C$67&lt;=DATE('Inputs 2'!$C$10,12,31)),'Inputs 2'!$C$58:$C$67,999999))))</f>
      </c>
    </row>
    <row r="46">
      <c r="A46" t="n">
        <v>41</v>
      </c>
      <c r="B46" s="21">
        <f>IF(AND($CD46="",$CE46=""),"",IF($CE46="",$CD46,IF($CD46="",$CE46,MIN($CD46,$CE46))))</f>
      </c>
      <c r="C46" s="7">
        <f>IF($B46="","",IF($BF46=0,0,IF('Inputs 2'!$C$4="Annual salary",ROUND($AK46/IF(AND('Inputs 2'!$C$88="Actual paydays",MONTH('Inputs 2'!$C$9)=1),MAX(1,MAX($BE$6:$BE$68)),'Inputs 2'!$C$8),2),$AK46)))</f>
      </c>
      <c r="D46" s="7">
        <f>IF($B46="","",SUMIF('Inputs 2'!$C$58:$C$67,$B46,'Inputs 2'!$D$58:$D$67))</f>
      </c>
      <c r="E46" s="7">
        <f>IF($B46="","",ROUND(MAX(0,MIN(IF($AL46="Percent",$AM46*($C46+$D46),$AM46),MAX(0,'Inputs 2'!$C$34-$AC45))),2))</f>
      </c>
      <c r="F46" s="7">
        <f>IF($B46="","",ROUND(MAX(0,MIN(IF('Inputs 2'!$C$32="Percent",'Inputs 2'!$D$32*($C46+$D46),'Inputs 2'!$D$32),MAX(0,'Inputs 2'!$C$34-$AC45-$E46))),2))</f>
      </c>
      <c r="G46" s="7">
        <f>IF($B46="","",IF($BF46=0,0,ROUND(MAX(0,MIN($BL46,'Inputs 2'!$C$37-'Inputs 2'!$C$54-$BI45)),2)))</f>
      </c>
      <c r="H46" s="7">
        <f>IF($B46="","",IF(OR($BF46=0,$BQ46=1),0,ROUND(MAX(0,MIN(IF($BS46=1,ROUND(MAX(0,MIN($BJ46,'Methodology &amp; Sources'!$C$13)-$BG45)/MAX(1,MAX($BE$6:$BE$68)-($BE45)),2),ROUND(MIN($BJ46,'Methodology &amp; Sources'!$C$13)/'Inputs 2'!$C$8,2)),MIN($BJ46,'Methodology &amp; Sources'!$C$13)-$BG45)),2)))</f>
      </c>
      <c r="I46" s="7">
        <f>IF($B46="","",IF(OR($BF46=0,$BR46=1),0,ROUND(MAX(0,MIN(IF($BT46=1,ROUND(MAX(0,MIN($BK46,IF('Inputs 2'!$C$12="MFJ",'Methodology &amp; Sources'!$C$14,'Methodology &amp; Sources'!$C$15))-$BH45)/MAX(1,MAX($BE$6:$BE$68)-($BE45)),2),ROUND(MIN($BK46,IF('Inputs 2'!$C$12="MFJ",'Methodology &amp; Sources'!$C$14,'Methodology &amp; Sources'!$C$15))/'Inputs 2'!$C$8,2)),MIN($BK46,IF('Inputs 2'!$C$12="MFJ",'Methodology &amp; Sources'!$C$14,'Methodology &amp; Sources'!$C$15))-$BH45)),2)))</f>
      </c>
      <c r="J46" s="7">
        <f>IF($B46="","",IF($BF46=0,0,$BM46))</f>
      </c>
      <c r="K46" s="7">
        <f>IF($B46="","",IF($BF46=0,0,$BN46+$BO46))</f>
      </c>
      <c r="L46" s="7">
        <f>IF($B46="","",IF($BF46=0,0,'Inputs 2'!$D$46))</f>
      </c>
      <c r="M46" s="7">
        <f>IF($B46="","",$C46+$D46+$L46-$E46-$G46-$H46-$I46-$J46-$K46)</f>
      </c>
      <c r="N46" s="7">
        <f>IF($B46="","",$C46+$D46+$L46-$G46-$H46-$I46-$J46-$K46)</f>
      </c>
      <c r="O46" s="7">
        <f>IF($B46="","",$C46+$D46+$L46-$E46-$H46-$I46-$J46-$K46-IF(OR($AN46="CA",$AN46="NJ"),0,$G46))</f>
      </c>
      <c r="P46" s="7">
        <f>IF($B46="","",IF('Inputs 2'!$C$18,0,ROUND(MAX(0,IF('Inputs 2'!$C$13,SUMPRODUCT(($AH46&gt;INDEX('Methodology &amp; Sources'!$B$29:$J$36,0,IF('Inputs 2'!$C$12="MFJ",1,IF('Inputs 2'!$C$12="HoH",7,4))))*($AH46-INDEX('Methodology &amp; Sources'!$B$29:$J$36,0,IF('Inputs 2'!$C$12="MFJ",1,IF('Inputs 2'!$C$12="HoH",7,4))))*INDEX('Methodology &amp; Sources'!$B$29:$J$36,0,IF('Inputs 2'!$C$12="MFJ",1,IF('Inputs 2'!$C$12="HoH",7,4))+2)),SUMPRODUCT(($AH46&gt;INDEX('Methodology &amp; Sources'!$B$19:$J$26,0,IF('Inputs 2'!$C$12="MFJ",1,IF('Inputs 2'!$C$12="HoH",7,4))))*($AH46-INDEX('Methodology &amp; Sources'!$B$19:$J$26,0,IF('Inputs 2'!$C$12="MFJ",1,IF('Inputs 2'!$C$12="HoH",7,4))))*INDEX('Methodology &amp; Sources'!$B$19:$J$26,0,IF('Inputs 2'!$C$12="MFJ",1,IF('Inputs 2'!$C$12="HoH",7,4))+2)))/'Inputs 2'!$C$8-$AO46/'Inputs 2'!$C$8)+$AR46+IF('Inputs 2'!$C$89="Aggregate",MAX(0,IF('Inputs 2'!$C$13,SUMPRODUCT((($AH46+$D46)&gt;INDEX('Methodology &amp; Sources'!$B$29:$J$36,0,IF('Inputs 2'!$C$12="MFJ",1,IF('Inputs 2'!$C$12="HoH",7,4))))*(($AH46+$D46)-INDEX('Methodology &amp; Sources'!$B$29:$J$36,0,IF('Inputs 2'!$C$12="MFJ",1,IF('Inputs 2'!$C$12="HoH",7,4))))*INDEX('Methodology &amp; Sources'!$B$29:$J$36,0,IF('Inputs 2'!$C$12="MFJ",1,IF('Inputs 2'!$C$12="HoH",7,4))+2)),SUMPRODUCT((($AH46+$D46)&gt;INDEX('Methodology &amp; Sources'!$B$19:$J$26,0,IF('Inputs 2'!$C$12="MFJ",1,IF('Inputs 2'!$C$12="HoH",7,4))))*(($AH46+$D46)-INDEX('Methodology &amp; Sources'!$B$19:$J$26,0,IF('Inputs 2'!$C$12="MFJ",1,IF('Inputs 2'!$C$12="HoH",7,4))))*INDEX('Methodology &amp; Sources'!$B$19:$J$26,0,IF('Inputs 2'!$C$12="MFJ",1,IF('Inputs 2'!$C$12="HoH",7,4))+2)))-IF('Inputs 2'!$C$13,SUMPRODUCT(($AH46&gt;INDEX('Methodology &amp; Sources'!$B$29:$J$36,0,IF('Inputs 2'!$C$12="MFJ",1,IF('Inputs 2'!$C$12="HoH",7,4))))*($AH46-INDEX('Methodology &amp; Sources'!$B$29:$J$36,0,IF('Inputs 2'!$C$12="MFJ",1,IF('Inputs 2'!$C$12="HoH",7,4))))*INDEX('Methodology &amp; Sources'!$B$29:$J$36,0,IF('Inputs 2'!$C$12="MFJ",1,IF('Inputs 2'!$C$12="HoH",7,4))+2)),SUMPRODUCT(($AH46&gt;INDEX('Methodology &amp; Sources'!$B$19:$J$26,0,IF('Inputs 2'!$C$12="MFJ",1,IF('Inputs 2'!$C$12="HoH",7,4))))*($AH46-INDEX('Methodology &amp; Sources'!$B$19:$J$26,0,IF('Inputs 2'!$C$12="MFJ",1,IF('Inputs 2'!$C$12="HoH",7,4))))*INDEX('Methodology &amp; Sources'!$B$19:$J$26,0,IF('Inputs 2'!$C$12="MFJ",1,IF('Inputs 2'!$C$12="HoH",7,4))+2)))),'Methodology &amp; Sources'!$C$10*$D46),2)))</f>
      </c>
      <c r="Q46" s="7">
        <f>IF($B46="","",ROUND('Methodology &amp; Sources'!$C$4*MIN($N46,MAX(0,'Methodology &amp; Sources'!$C$3-($AX46+$AB45-$AW46))),2))</f>
      </c>
      <c r="R46" s="7">
        <f>IF($B46="","",ROUND('Methodology &amp; Sources'!$C$5*$N46,2))</f>
      </c>
      <c r="S46" s="7">
        <f>IF($B46="","",ROUND('Methodology &amp; Sources'!$C$6*MAX(0,MIN($N46,$AG45+$N46-'Methodology &amp; Sources'!$C$7)),2))</f>
      </c>
      <c r="T46" s="7">
        <f>IF($B46="","",IF('Inputs 2'!$C$26,0,IF($AN46="CA",ROUND(IF($AI46&lt;=IF(($AS46+$AT46)&gt;=2,VLOOKUP($AN46,StateTables!$A$6:$AB$56,10,FALSE),VLOOKUP($AN46,StateTables!$A$6:$AB$56,9,FALSE)),0,MAX(0,SUMPRODUCT(($AJ46&gt;INDEX('Methodology &amp; Sources'!$B$39:$J$48,0,IF($AU46="Married",4,IF($AU46="Head of household",7,1))))*($AJ46-INDEX('Methodology &amp; Sources'!$B$39:$J$48,0,IF($AU46="Married",4,IF($AU46="Head of household",7,1))))*INDEX('Methodology &amp; Sources'!$B$39:$J$48,0,IF($AU46="Married",4,IF($AU46="Head of household",7,1))+2))-VLOOKUP($AN46,StateTables!$A$6:$AB$56,11,FALSE)*$AS46)/'Inputs 2'!$C$8)+'Inputs 2'!$C$25+VLOOKUP($AN46,StateTables!$A$6:$AB$56,13,FALSE)*$D46,2),IF(VLOOKUP($AN46,StateTables!$A$6:$AB$56,4,FALSE)="None",0,IF(ISNUMBER(SEARCH("MANUAL",VLOOKUP($AN46,StateTables!$A$6:$AB$56,5,FALSE))),'Inputs 2'!$C$28,ROUND(MAX(0,$BA46+$BB46)/'Inputs 2'!$C$8+'Inputs 2'!$C$25+$BC46,2))))))</f>
      </c>
      <c r="U46" s="7">
        <f>IF($B46="","",IF(VLOOKUP($AN46,StateTables!$A$6:$AB$56,24,FALSE)="flatq",IF(OR(MONTH($B46)=1,MONTH($B46)=4,MONTH($B46)=7,MONTH($B46)=10),VLOOKUP($AN46,StateTables!$A$6:$AB$56,25,FALSE),0),IF(VLOOKUP($AN46,StateTables!$A$6:$AB$56,24,FALSE)="dbl",MIN(ROUND(0.005*$N46,2),ROUND(0.6*52/'Inputs 2'!$C$8,2)),IF(OR(VLOOKUP($AN46,StateTables!$A$6:$AB$56,15,FALSE)="",VLOOKUP($AN46,StateTables!$A$6:$AB$56,15,FALSE)=0),0,ROUND(VLOOKUP($AN46,StateTables!$A$6:$AB$56,15,FALSE)*IF(OR(VLOOKUP($AN46,StateTables!$A$6:$AB$56,16,FALSE)="",VLOOKUP($AN46,StateTables!$A$6:$AB$56,16,FALSE)=0),$N46,MIN($N46,MAX(0,VLOOKUP($AN46,StateTables!$A$6:$AB$56,16,FALSE)-($AX46+$AB45-$AW46)))),2))))+IF(VLOOKUP($AN46,StateTables!$A$6:$AB$56,27,FALSE)="flatq",IF(OR(MONTH($B46)=1,MONTH($B46)=4,MONTH($B46)=7,MONTH($B46)=10),VLOOKUP($AN46,StateTables!$A$6:$AB$56,28,FALSE),0),IF(VLOOKUP($AN46,StateTables!$A$6:$AB$56,27,FALSE)="dbl",MIN(ROUND(0.005*$N46,2),ROUND(0.6*52/'Inputs 2'!$C$8,2)),IF(OR(VLOOKUP($AN46,StateTables!$A$6:$AB$56,18,FALSE)="",VLOOKUP($AN46,StateTables!$A$6:$AB$56,18,FALSE)=0),0,ROUND(VLOOKUP($AN46,StateTables!$A$6:$AB$56,18,FALSE)*IF(OR(VLOOKUP($AN46,StateTables!$A$6:$AB$56,19,FALSE)="",VLOOKUP($AN46,StateTables!$A$6:$AB$56,19,FALSE)=0),$N46,MIN($N46,MAX(0,VLOOKUP($AN46,StateTables!$A$6:$AB$56,19,FALSE)-($AX46+$AB45-$AW46)))),2)))))</f>
      </c>
      <c r="V46" s="7">
        <f>IF($B46="","",IF($AN46="NY",IF('Inputs 2'!$C$78,ROUND(SUMPRODUCT((MAX(0,($O46-$D46)*'Inputs 2'!$C$8-(IF($AU46="Married",5500,5000)+1000*$AS46))&gt;INDEX('Methodology &amp; Sources'!$B$184:$J$198,0,4))*(MAX(0,($O46-$D46)*'Inputs 2'!$C$8-(IF($AU46="Married",5500,5000)+1000*$AS46))-INDEX('Methodology &amp; Sources'!$B$184:$J$198,0,4))*INDEX('Methodology &amp; Sources'!$B$184:$J$198,0,4+2))/'Inputs 2'!$C$8+0.0425*$D46,2),0)+IF('Inputs 2'!$C$79="Resident",ROUND(0.1675*$T46,2),IF('Inputs 2'!$C$79="Nonresident",ROUND(0.005*MAX(0,($O46-$D46)-(IF($AU46="Married",7950,7400)+1000*$AS46)/'Inputs 2'!$C$8),2),0)),IF($AN46="PA",IF('Inputs 2'!$C$80="None",'Inputs 2'!$C$27+ROUND('Inputs 2'!$C$81*($C46+$D46),2),ROUND(IF('Inputs 2'!$C$80="Resident",IF($B46&lt;DATE(2027,7,1),0.03735,0.03735),IF($B46&lt;DATE(2027,7,1),0.03425,0.03425))*($C46+$D46),2)),IF($BF46=0,ROUND('Inputs 2'!$C$81*($C46+$D46),2),'Inputs 2'!$C$27+ROUND('Inputs 2'!$C$81*($C46+$D46),2)))))</f>
      </c>
      <c r="W46" s="7">
        <f>IF($B46="","",IF($BF46=0,0,$BP46))</f>
      </c>
      <c r="X46" s="7">
        <f>IF($B46="","",SUM($E46:$K46)+$P46+$Q46+$R46+$S46+$T46+$U46+$V46+$W46)</f>
      </c>
      <c r="Y46" s="22">
        <f>IF($B46="","",$C46+$D46-$X46)</f>
      </c>
      <c r="Z46" s="7">
        <f>IF($B46="","",$Z45+$C46+$D46)</f>
      </c>
      <c r="AA46" s="7">
        <f>IF($B46="","",$AA45+$Y46)</f>
      </c>
      <c r="AB46" s="7">
        <f>IF($B46="","",$AB45+MIN($N46,MAX(0,'Methodology &amp; Sources'!$C$3-($AX46+$AB45-$AW46))))</f>
      </c>
      <c r="AC46" s="7">
        <f>IF($B46="","",$AC45+$E46+$F46)</f>
      </c>
      <c r="AD46" s="3">
        <f>IF($B46="","",IF(AND($AB45&lt;'Methodology &amp; Sources'!$C$3,$AB46&gt;='Methodology &amp; Sources'!$C$3),"★ Social Security maxed on this check — from the next check your net rises by about $"&amp;TEXT(ROUND('Methodology &amp; Sources'!$C$4*$N46,2),"#,##0.00")&amp;". ","")&amp;IF(AND($AC45&lt;'Inputs 2'!$C$34,$AC46&gt;='Inputs 2'!$C$34),"★ 401(k) reaches the $"&amp;TEXT('Inputs 2'!$C$34,"#,##0")&amp;" cap on this check — deferrals stop and net pay rises. ","")&amp;IF(AND($AG45&lt;'Methodology &amp; Sources'!$C$7,$AG46&gt;='Methodology &amp; Sources'!$C$7),"★ Wages pass $200,000 — the 0.9% Additional Medicare Tax starts here. ","")&amp;IF(AND($BJ46&gt;0,$H46&gt;0,$BG45&lt;MIN($BJ46,'Methodology &amp; Sources'!$C$13),$BG45+$H46&gt;=MIN($BJ46,'Methodology &amp; Sources'!$C$13)),"★ Health FSA election is now fully deferred for the year. ",""))</f>
      </c>
      <c r="AE46" s="41" t="n"/>
      <c r="AF46" s="7">
        <f>IF(OR($B46="",$AE46=""),"",$AE46-$Y46)</f>
      </c>
      <c r="AG46" s="7">
        <f>IF($B46="","",$AG45+$N46)</f>
      </c>
      <c r="AH46" s="7">
        <f>IF($B46="","",MAX(0,($M46-$D46)*'Inputs 2'!$C$8+$AP46-$AQ46-IF('Inputs 2'!$C$13,0,IF('Inputs 2'!$C$12="MFJ",'Methodology &amp; Sources'!$C$8,'Methodology &amp; Sources'!$C$9))))</f>
      </c>
      <c r="AI46" s="7">
        <f>IF($B46="","",$O46*'Inputs 2'!$C$8)</f>
      </c>
      <c r="AJ46" s="7">
        <f>IF($B46="","",MAX(0,$AI46-VLOOKUP($AN46,StateTables!$A$6:$AB$56,12,FALSE)*$AT46-IF(($AS46+$AT46)&gt;=2,VLOOKUP($AN46,StateTables!$A$6:$AB$56,8,FALSE),VLOOKUP($AN46,StateTables!$A$6:$AB$56,7,FALSE))))</f>
      </c>
      <c r="AK46" s="7">
        <f>IF($B46="","",IFERROR(LOOKUP(2,1/(('Events 2'!$C$6:$C$17="Salary change")*('Events 2'!$B$6:$B$17&lt;=$B46)*('Events 2'!$B$6:$B$17&lt;&gt;"")),'Events 2'!$D$6:$D$17),IF('Inputs 2'!$C$4="Annual salary",'Inputs 2'!$C$5,'Inputs 2'!$C$6)))</f>
      </c>
      <c r="AL46">
        <f>IF($B46="","",IFERROR(LOOKUP(2,1/(('Events 2'!$C$6:$C$17="401(k) change")*('Events 2'!$B$6:$B$17&lt;=$B46)*('Events 2'!$B$6:$B$17&lt;&gt;"")),'Events 2'!$D$6:$D$17),'Inputs 2'!$C$30))</f>
      </c>
      <c r="AM46" s="7">
        <f>IF($B46="","",IFERROR(LOOKUP(2,1/(('Events 2'!$C$6:$C$17="401(k) change")*('Events 2'!$B$6:$B$17&lt;=$B46)*('Events 2'!$B$6:$B$17&lt;&gt;"")),'Events 2'!$E$6:$E$17),'Inputs 2'!$D$30))</f>
      </c>
      <c r="AN46">
        <f>IF($B46="","",IFERROR(LOOKUP(2,1/(('Events 2'!$C$6:$C$17="State move")*('Events 2'!$B$6:$B$17&lt;=$B46)*('Events 2'!$B$6:$B$17&lt;&gt;"")),'Events 2'!$D$6:$D$17),'Inputs 2'!$C$21))</f>
      </c>
      <c r="AO46" s="7">
        <f>IF($B46="","",IFERROR(LOOKUP(2,1/(('Events 2'!$C$6:$C$17="W-4 change")*('Events 2'!$B$6:$B$17&lt;=$B46)*('Events 2'!$B$6:$B$17&lt;&gt;"")),'Events 2'!$D$6:$D$17),'Inputs 2'!$C$14))</f>
      </c>
      <c r="AP46" s="7">
        <f>IF($B46="","",IFERROR(LOOKUP(2,1/(('Events 2'!$C$6:$C$17="W-4 change")*('Events 2'!$B$6:$B$17&lt;=$B46)*('Events 2'!$B$6:$B$17&lt;&gt;"")),'Events 2'!$E$6:$E$17),'Inputs 2'!$C$15))</f>
      </c>
      <c r="AQ46" s="7">
        <f>IF($B46="","",IFERROR(LOOKUP(2,1/(('Events 2'!$C$6:$C$17="W-4 change")*('Events 2'!$B$6:$B$17&lt;=$B46)*('Events 2'!$B$6:$B$17&lt;&gt;"")),'Events 2'!$F$6:$F$17),'Inputs 2'!$C$16))</f>
      </c>
      <c r="AR46" s="7">
        <f>IF($B46="","",IFERROR(LOOKUP(2,1/(('Events 2'!$C$6:$C$17="W-4 change")*('Events 2'!$B$6:$B$17&lt;=$B46)*('Events 2'!$B$6:$B$17&lt;&gt;"")),'Events 2'!$G$6:$G$17),'Inputs 2'!$C$17))</f>
      </c>
      <c r="AS46" s="6">
        <f>IF($B46="","",IFERROR(LOOKUP(2,1/((('Events 2'!$C$6:$C$17="State move")+('Events 2'!$C$6:$C$17="State cert change"))*('Events 2'!$B$6:$B$17&lt;=$B46)*('Events 2'!$B$6:$B$17&lt;&gt;"")),'Events 2'!$F$6:$F$17),'Inputs 2'!$C$23))</f>
      </c>
      <c r="AT46" s="6">
        <f>IF($B46="","",IFERROR(LOOKUP(2,1/((('Events 2'!$C$6:$C$17="State move")+('Events 2'!$C$6:$C$17="State cert change"))*('Events 2'!$B$6:$B$17&lt;=$B46)*('Events 2'!$B$6:$B$17&lt;&gt;"")),'Events 2'!$G$6:$G$17),'Inputs 2'!$C$24))</f>
      </c>
      <c r="AU46">
        <f>IF($B46="","",IFERROR(LOOKUP(2,1/(('Events 2'!$C$6:$C$17="State move")*('Events 2'!$B$6:$B$17&lt;=$B46)*('Events 2'!$B$6:$B$17&lt;&gt;"")),'Events 2'!$E$6:$E$17),'Inputs 2'!$C$22))</f>
      </c>
      <c r="AV46" s="6">
        <f>IF($B46="","",1+COUNTIFS('Events 2'!$C$6:$C$17,"Employer change",'Events 2'!$B$6:$B$17,"&lt;="&amp;$B46,'Events 2'!$B$6:$B$17,"&lt;&gt;"))</f>
      </c>
      <c r="AW46" s="7">
        <f>IF($B46="","",IF($AV46=1,'Inputs 2'!$C$49,IF(IFERROR(MATCH(IFERROR(LOOKUP(2,1/(('Events 2'!$C$6:$C$17="Employer change")*('Events 2'!$B$6:$B$17&lt;=$B46)*('Events 2'!$B$6:$B$17&lt;&gt;"")),'Events 2'!$B$6:$B$17),""),$B$6:$B$68,1),1)&lt;=1,'Inputs 2'!$C$49,INDEX($AB$6:$AB$68,MATCH(IFERROR(LOOKUP(2,1/(('Events 2'!$C$6:$C$17="Employer change")*('Events 2'!$B$6:$B$17&lt;=$B46)*('Events 2'!$B$6:$B$17&lt;&gt;"")),'Events 2'!$B$6:$B$17),""),$B$6:$B$68,1)-1))))</f>
      </c>
      <c r="AX46" s="7">
        <f>IF($B46="","",IF($AV46=1,'Inputs 2'!$C$49,IFERROR(LOOKUP(2,1/(('Events 2'!$C$6:$C$17="Employer change")*('Events 2'!$B$6:$B$17&lt;=$B46)*('Events 2'!$B$6:$B$17&lt;&gt;"")),'Events 2'!$D$6:$D$17),0)))</f>
      </c>
      <c r="AY46" s="7">
        <f>IF($B46="","",($O46-$D46)*'Inputs 2'!$C$8)</f>
      </c>
      <c r="AZ46" s="7">
        <f>IF($B46="","",IF($AN46="AL",MAX(0,$AY46-IF($AU46="Married",IF($AY46&lt;=25999,8500,MAX(5000,8500-175*CEILING(($AY46-25999)/500,1))),IF($AU46="Head of household",IF($AY46&lt;=25999,5200,MAX(2500,5200-135*CEILING(($AY46-25999)/500,1))),IF($AY46&lt;=25999,3000,MAX(2500,3000-25*CEILING(($AY46-25999)/500,1)))))-($P46-'Methodology &amp; Sources'!$C$10*$D46)*'Inputs 2'!$C$8-IF(OR($AU46="Married",$AU46="Head of household"),3000,1500)-$AT46*IF($AY46&lt;=50000,1000,IF($AY46&lt;=100000,500,300))),IF($AN46="AR",IF(MAX(0,$AY46-2470)&lt;97701,INT(MAX(0,$AY46-2470)/100)*100+50,MAX(0,$AY46-2470)),IF($AN46="DE",MAX(0,$AI46-3250),IF($AN46="HI",MAX(0,$AI46-1144*$AS46-4350),IF($AN46="KS",MAX(0,$AI46-(9160*IF($AU46="Married",2,1)+2320*$AT46+IF($AU46="Head of household",2320,0))),IF($AN46="MD",MAX(0,$AI46-3400-3200*$AS46),IF($AN46="MN",MAX(0,$AY46-5300*$AS46),IF($AN46="MO",MAX(0,$AI46-IF($AU46="Head of household",24150,IF($AU46="Married",IF('Inputs 2'!$C$83,16100,32200),16100))),IF($AN46="MT",$AY46,IF($AN46="ND",($C46+$L46)*'Inputs 2'!$C$8,IF($AN46="NE",MAX(0,$AY46-2440*$AS46),IF($AN46="NJ",MAX(0,$AY46-1000*$AS46),IF($AN46="NY",MAX(0,$AY46-(IF($AU46="Married",7950,7400)+1000*$AS46)),IF($AN46="OH",MAX(0,$AY46-650*$AS46),IF($AN46="OK",MAX(0,$AY46-1000*$AS46),IF($AN46="RI",MAX(0,$AI46-1000*$AS46),IF($AN46="SC",MAX(0,$AI46-5000*$AS46-IF($AS46=0,0,MIN(0.1*$AI46,7500))),IF($AN46="VA",MAX(0,$AI46-IF($AU46="Married",17500,8750)-930*$AS46-800*$AT46),IF($AN46="VT",MAX(0,$AI46-5400*$AS46),IF($AN46="WI",MAX(0,$AI46-MAX(0,IF($AU46="Married",9461-0.2*MAX(0,$AI46-25727),6702-0.12*MAX(0,$AI46-17780)))-400*$AS46),IF($AN46="WV",MAX(0,$AI46-2000*$AS46),$AI46))))))))))))))))))))))</f>
      </c>
      <c r="BA46" s="7">
        <f>IF($B46="","",IF($BW46&lt;&gt;"",$BW46,IF($BX46&lt;&gt;"",$BX46,IF($BY46&lt;&gt;"",$BY46,0))))</f>
      </c>
      <c r="BB46" s="7">
        <f>IF($B46="","",IF($AN46="AR",-29*$AS46,IF($AN46="DE",-110*$AS46,IF($AN46="MD",$AZ46*'Inputs 2'!$C$74,IF($AN46="AZ",'Inputs 2'!$C$82*($M46-$D46)*'Inputs 2'!$C$8,IF($AN46="CO",0.044*MAX(0,$AY46-IF($AU46="Married",10000,5000)),IF($AN46="IA",MAX(0,0.038*MAX(0,$AY46-IF($AU46="Head of household",19500,IF($AU46="Married",26000,13000)))-40*$AS46),IF($AN46="ID",0.053*MAX(0,$AY46-IF($AU46="Married",32000,16094)),IF($AN46="IL",0.0495*MAX(0,$AY46-(2925*$AS46+1000*$AT46)),IF($AN46="IN",(0.0295+'Inputs 2'!$C$76)*MAX(0,$AY46-(1000*$AS46+1500*$AT46+3000*'Inputs 2'!$C$86)),IF($AN46="KY",0.035*MAX(0,$AI46-3360),IF($AN46="LA",IF('Inputs 2'!$C$84="0",0.0309*$AI46,0.0309*MAX(0,$AI46-IF('Inputs 2'!$C$84="2",25750,12875))),IF($AN46="MA",0.05*MIN(MAX(0,$AY46-MIN(($BD45+$Q46+$R46+$S46),2000)-IF($AS46=0,0,IF($AS46=1,4400,1000*$AS46+3400))),1107750)+0.09*MAX(0,MAX(0,$AY46-MIN(($BD45+$Q46+$R46+$S46),2000)-IF($AS46=0,0,IF($AS46=1,4400,1000*$AS46+3400)))-1107750)-IF($AU46="Head of household",120,0)-110*'Inputs 2'!$C$75,IF($AN46="MI",0.0425*MAX(0,$AY46-5900*$AS46),IF($AN46="MS",0.04*MAX(0,$AI46-IF($AU46="Head of household",3400,IF($AU46="Married",4600,2300))-'Inputs 2'!$C$85-10000),IF($AN46="OR",IF(OR($AU46="Married",AND($AU46="Single",$AS46&gt;=3)),SUMPRODUCT((MAX(0,$AY46-MIN(($P46-'Methodology &amp; Sources'!$C$10*$D46)*'Inputs 2'!$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Sources'!$B$211:$J$214,0,4))*(MAX(0,$AY46-MIN(($P46-'Methodology &amp; Sources'!$C$10*$D46)*'Inputs 2'!$C$8,IF(OR($AU46="Married",AND($AU46="Single",$AS46&gt;=3)),IF($AY46&lt;250000,8750,IF($AY46&lt;260000,7000,IF($AY46&lt;270000,5250,IF($AY46&lt;280000,3500,IF($AY46&lt;290000,1750,0))))),IF($AY46&lt;125000,8750,IF($AY46&lt;130000,7000,IF($AY46&lt;135000,5250,IF($AY46&lt;140000,3500,IF($AY46&lt;145000,1750,0)))))))-IF(OR($AU46="Married",AND($AU46="Single",$AS46&gt;=3)),5820,2910))-INDEX('Methodology &amp; Sources'!$B$211:$J$214,0,4))*INDEX('Methodology &amp; Sources'!$B$211:$J$214,0,4+2)),SUMPRODUCT((MAX(0,$AY46-MIN(($P46-'Methodology &amp; Sources'!$C$10*$D46)*'Inputs 2'!$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Sources'!$B$211:$J$214,0,1))*(MAX(0,$AY46-MIN(($P46-'Methodology &amp; Sources'!$C$10*$D46)*'Inputs 2'!$C$8,IF(OR($AU46="Married",AND($AU46="Single",$AS46&gt;=3)),IF($AY46&lt;250000,8750,IF($AY46&lt;260000,7000,IF($AY46&lt;270000,5250,IF($AY46&lt;280000,3500,IF($AY46&lt;290000,1750,0))))),IF($AY46&lt;125000,8750,IF($AY46&lt;130000,7000,IF($AY46&lt;135000,5250,IF($AY46&lt;140000,3500,IF($AY46&lt;145000,1750,0)))))))-IF(OR($AU46="Married",AND($AU46="Single",$AS46&gt;=3)),5820,2910))-INDEX('Methodology &amp; Sources'!$B$211:$J$214,0,1))*INDEX('Methodology &amp; Sources'!$B$211:$J$214,0,1+2)))+263-263*IF(IF($AU46="Married",$AY46&gt;200000,$AY46&gt;100000),0,$AS46),IF($AN46="PA",0.0307*(($O46+$E46+$G46)*'Inputs 2'!$C$8),IF($AN46="NY",IF($AU46="Married",IF($AZ46&gt;=2155350,0,IF($AZ46&gt;=1077550,0.48,IF($AZ46&gt;=373200,1.21,IF($AZ46&gt;=323200,0.21,IF($AZ46&gt;=211550,-0.19,IF($AZ46&gt;=157650,-2.8,IF($AZ46&gt;=107650,-0.8,IF($AZ46&gt;=96800,0.05,IF($AZ46&gt;=80650,-0.1,IF($AZ46&gt;=13900,0.4,IF($AZ46&gt;=11700,-0.3,IF($AZ46&gt;=8500,0.5,0)))))))))))),IF($AZ46&gt;=1077550,0,IF($AZ46&gt;=265400,4.29,IF($AZ46&gt;=215400,2.29,IF($AZ46&gt;=157650,2.29,IF($AZ46&gt;=107650,0.29,IF($AZ46&gt;=96800,0.05,IF($AZ46&gt;=80650,-0.1,IF($AZ46&gt;=13900,0.4,IF($AZ46&gt;=11700,-0.3,IF($AZ46&gt;=8500,0.5,0))))))))))),0))))))))))))))))))</f>
      </c>
      <c r="BC46" s="7">
        <f>IF($B46="","",IF($AN46="AL",0.05*$D46,IF($AN46="AR",0.039*$D46,IF($AN46="ID",0.053*$D46,IF($AN46="IN",(0.0295+'Inputs 2'!$C$76)*$D46,IF($AN46="KS",0.05*$D46,IF($AN46="MA",0.09*MIN($D46,MAX(0,MAX(0,$AY46-MIN(($BD45+$Q46+$R46+$S46),2000)-IF($AS46=0,0,IF($AS46=1,4400,1000*$AS46+3400)))+$D46-1107750))+0.05*($D46-MIN($D46,MAX(0,MAX(0,$AY46-MIN(($BD45+$Q46+$R46+$S46),2000)-IF($AS46=0,0,IF($AS46=1,4400,1000*$AS46+3400)))+$D46-1107750))),IF($AN46="MD",(0.065+'Inputs 2'!$C$74)*$D46,IF($AN46="MI",0.0425*$D46,IF($AN46="MN",0.0625*$D46,IF($AN46="MO",0.047*$D46,IF($AN46="MT",0.05*$D46,IF($AN46="ND",0.015*$D46,IF($AN46="NE",0.035*$D46,IF($AN46="NJ",IF('Inputs 2'!$C$77="B",SUMPRODUCT(($D46*'Inputs 2'!$C$8&gt;INDEX('Methodology &amp; Sources'!$B$155:$J$162,0,4))*($D46*'Inputs 2'!$C$8-INDEX('Methodology &amp; Sources'!$B$155:$J$162,0,4))*INDEX('Methodology &amp; Sources'!$B$155:$J$162,0,4+2)),IF('Inputs 2'!$C$77="C",SUMPRODUCT(($D46*'Inputs 2'!$C$8&gt;INDEX('Methodology &amp; Sources'!$B$155:$J$162,0,7))*($D46*'Inputs 2'!$C$8-INDEX('Methodology &amp; Sources'!$B$155:$J$162,0,7))*INDEX('Methodology &amp; Sources'!$B$155:$J$162,0,7+2)),IF('Inputs 2'!$C$77="D",SUMPRODUCT(($D46*'Inputs 2'!$C$8&gt;INDEX('Methodology &amp; Sources'!$B$167:$J$179,0,1))*($D46*'Inputs 2'!$C$8-INDEX('Methodology &amp; Sources'!$B$167:$J$179,0,1))*INDEX('Methodology &amp; Sources'!$B$167:$J$179,0,1+2)),IF('Inputs 2'!$C$77="E",SUMPRODUCT(($D46*'Inputs 2'!$C$8&gt;INDEX('Methodology &amp; Sources'!$B$167:$J$179,0,4))*($D46*'Inputs 2'!$C$8-INDEX('Methodology &amp; Sources'!$B$167:$J$179,0,4))*INDEX('Methodology &amp; Sources'!$B$167:$J$179,0,4+2)),SUMPRODUCT(($D46*'Inputs 2'!$C$8&gt;INDEX('Methodology &amp; Sources'!$B$155:$J$162,0,1))*($D46*'Inputs 2'!$C$8-INDEX('Methodology &amp; Sources'!$B$155:$J$162,0,1))*INDEX('Methodology &amp; Sources'!$B$155:$J$162,0,1+2))))))/'Inputs 2'!$C$8,IF($AN46="NY",0.117*$D46,IF($AN46="OH",0.0275*$D46,IF($AN46="OK",0.045*$D46,IF($AN46="OR",0.08*$D46,IF($AN46="WI",IF($AY46&lt;12760,0.0354,IF($AY46&lt;25520,0.0465,IF($AY46&lt;280950,0.053,0.0765)))*$D46,0))))))))))))))))))))</f>
      </c>
      <c r="BD46" s="7">
        <f>IF($B46="","",$BD45+$Q46+$R46+$S46)</f>
      </c>
      <c r="BE46" s="6">
        <f>IF($B46="",$BE45,$BE45+$BF46)</f>
      </c>
      <c r="BF46" s="6">
        <f>IF($B46="","",IF(AND(IF(YEAR(IF('Inputs 2'!$C$7="Weekly",'Inputs 2'!$C$9+7*(($BE45+1)-1),IF('Inputs 2'!$C$7="Biweekly",'Inputs 2'!$C$9+14*(($BE45+1)-1),IF('Inputs 2'!$C$7="Semimonthly",DATE(YEAR('Inputs 2'!$C$9),MONTH('Inputs 2'!$C$9)+INT((($BE45+1)-1)/2),MIN(DAY('Inputs 2'!$C$9),DAY(EOMONTH(DATE(YEAR('Inputs 2'!$C$9),MONTH('Inputs 2'!$C$9)+INT((($BE45+1)-1)/2),1),0))))+IF(MOD(($BE45+1)-1,2)=1,15,0),EDATE('Inputs 2'!$C$9,($BE45+1)-1)))))&lt;&gt;'Inputs 2'!$C$10,"",IF('Inputs 2'!$C$7="Weekly",'Inputs 2'!$C$9+7*(($BE45+1)-1),IF('Inputs 2'!$C$7="Biweekly",'Inputs 2'!$C$9+14*(($BE45+1)-1),IF('Inputs 2'!$C$7="Semimonthly",DATE(YEAR('Inputs 2'!$C$9),MONTH('Inputs 2'!$C$9)+INT((($BE45+1)-1)/2),MIN(DAY('Inputs 2'!$C$9),DAY(EOMONTH(DATE(YEAR('Inputs 2'!$C$9),MONTH('Inputs 2'!$C$9)+INT((($BE45+1)-1)/2),1),0))))+IF(MOD(($BE45+1)-1,2)=1,15,0),EDATE('Inputs 2'!$C$9,($BE45+1)-1)))))&lt;&gt;"",$B46=IF(YEAR(IF('Inputs 2'!$C$7="Weekly",'Inputs 2'!$C$9+7*(($BE45+1)-1),IF('Inputs 2'!$C$7="Biweekly",'Inputs 2'!$C$9+14*(($BE45+1)-1),IF('Inputs 2'!$C$7="Semimonthly",DATE(YEAR('Inputs 2'!$C$9),MONTH('Inputs 2'!$C$9)+INT((($BE45+1)-1)/2),MIN(DAY('Inputs 2'!$C$9),DAY(EOMONTH(DATE(YEAR('Inputs 2'!$C$9),MONTH('Inputs 2'!$C$9)+INT((($BE45+1)-1)/2),1),0))))+IF(MOD(($BE45+1)-1,2)=1,15,0),EDATE('Inputs 2'!$C$9,($BE45+1)-1)))))&lt;&gt;'Inputs 2'!$C$10,"",IF('Inputs 2'!$C$7="Weekly",'Inputs 2'!$C$9+7*(($BE45+1)-1),IF('Inputs 2'!$C$7="Biweekly",'Inputs 2'!$C$9+14*(($BE45+1)-1),IF('Inputs 2'!$C$7="Semimonthly",DATE(YEAR('Inputs 2'!$C$9),MONTH('Inputs 2'!$C$9)+INT((($BE45+1)-1)/2),MIN(DAY('Inputs 2'!$C$9),DAY(EOMONTH(DATE(YEAR('Inputs 2'!$C$9),MONTH('Inputs 2'!$C$9)+INT((($BE45+1)-1)/2),1),0))))+IF(MOD(($BE45+1)-1,2)=1,15,0),EDATE('Inputs 2'!$C$9,($BE45+1)-1)))))),1,0))</f>
      </c>
      <c r="BG46" s="7">
        <f>IF($B46="","",$BG45+$H46)</f>
      </c>
      <c r="BH46" s="7">
        <f>IF($B46="","",$BH45+$I46)</f>
      </c>
      <c r="BI46" s="7">
        <f>IF($B46="","",$BI45+$G46)</f>
      </c>
      <c r="BJ46" s="7">
        <f>IF($B46="","",IFERROR(LOOKUP(2,1/(((('Events 2'!$C$6:$C$17="Deduction start"))*('Events 2'!$D$6:$D$17="Health FSA"))*('Events 2'!$B$6:$B$17&lt;=$B46)*('Events 2'!$B$6:$B$17&lt;&gt;"")),'Events 2'!$E$6:$E$17),'Inputs 2'!$D$38))</f>
      </c>
      <c r="BK46" s="7">
        <f>IF($B46="","",IFERROR(LOOKUP(2,1/(((('Events 2'!$C$6:$C$17="Deduction start"))*('Events 2'!$D$6:$D$17="Dependent-care FSA"))*('Events 2'!$B$6:$B$17&lt;=$B46)*('Events 2'!$B$6:$B$17&lt;&gt;"")),'Events 2'!$E$6:$E$17),'Inputs 2'!$D$39))</f>
      </c>
      <c r="BL46" s="7">
        <f>IF($B46="","",IFERROR(LOOKUP(2,1/(((('Events 2'!$C$6:$C$17="Deduction start")+('Events 2'!$C$6:$C$17="Deduction stop"))*('Events 2'!$D$6:$D$17="HSA"))*('Events 2'!$B$6:$B$17&lt;=$B46)*('Events 2'!$B$6:$B$17&lt;&gt;"")),'Events 2'!$I$6:$I$17),'Inputs 2'!$D$35))</f>
      </c>
      <c r="BM46" s="7">
        <f>IF($B46="","",IFERROR(LOOKUP(2,1/(((('Events 2'!$C$6:$C$17="Deduction start")+('Events 2'!$C$6:$C$17="Deduction stop"))*('Events 2'!$D$6:$D$17="Premiums"))*('Events 2'!$B$6:$B$17&lt;=$B46)*('Events 2'!$B$6:$B$17&lt;&gt;"")),'Events 2'!$I$6:$I$17),'Inputs 2'!$D$40+'Inputs 2'!$D$41+'Inputs 2'!$D$42))</f>
      </c>
      <c r="BN46" s="7">
        <f>IF($B46="","",IFERROR(LOOKUP(2,1/(((('Events 2'!$C$6:$C$17="Deduction start")+('Events 2'!$C$6:$C$17="Deduction stop"))*('Events 2'!$D$6:$D$17="Commuter"))*('Events 2'!$B$6:$B$17&lt;=$B46)*('Events 2'!$B$6:$B$17&lt;&gt;"")),'Events 2'!$I$6:$I$17),'Inputs 2'!$D$43))</f>
      </c>
      <c r="BO46" s="7">
        <f>IF($B46="","",IFERROR(LOOKUP(2,1/(((('Events 2'!$C$6:$C$17="Deduction start")+('Events 2'!$C$6:$C$17="Deduction stop"))*('Events 2'!$D$6:$D$17="Other pre-tax"))*('Events 2'!$B$6:$B$17&lt;=$B46)*('Events 2'!$B$6:$B$17&lt;&gt;"")),'Events 2'!$I$6:$I$17),'Inputs 2'!$D$44))</f>
      </c>
      <c r="BP46" s="7">
        <f>IF($B46="","",IFERROR(LOOKUP(2,1/(((('Events 2'!$C$6:$C$17="Deduction start")+('Events 2'!$C$6:$C$17="Deduction stop"))*('Events 2'!$D$6:$D$17="Other post-tax"))*('Events 2'!$B$6:$B$17&lt;=$B46)*('Events 2'!$B$6:$B$17&lt;&gt;"")),'Events 2'!$I$6:$I$17),'Inputs 2'!$D$45))</f>
      </c>
      <c r="BQ46" s="6">
        <f>IF($B46="","",IFERROR(LOOKUP(2,1/(((('Events 2'!$C$6:$C$17="Deduction start")+('Events 2'!$C$6:$C$17="Deduction stop"))*('Events 2'!$D$6:$D$17="Health FSA"))*('Events 2'!$B$6:$B$17&lt;=$B46)*('Events 2'!$B$6:$B$17&lt;&gt;"")),'Events 2'!$J$6:$J$17),0))</f>
      </c>
      <c r="BR46" s="6">
        <f>IF($B46="","",IFERROR(LOOKUP(2,1/(((('Events 2'!$C$6:$C$17="Deduction start")+('Events 2'!$C$6:$C$17="Deduction stop"))*('Events 2'!$D$6:$D$17="Dependent-care FSA"))*('Events 2'!$B$6:$B$17&lt;=$B46)*('Events 2'!$B$6:$B$17&lt;&gt;"")),'Events 2'!$J$6:$J$17),0))</f>
      </c>
      <c r="BS46" s="6">
        <f>IF($B46="","",IF(SUMPRODUCT(('Events 2'!$C$6:$C$17="Deduction start")*('Events 2'!$B$6:$B$17&lt;=$B46)*('Events 2'!$B$6:$B$17&lt;&gt;"")*('Events 2'!$D$6:$D$17="Health FSA"))&gt;0,1,0))</f>
      </c>
      <c r="BT46" s="6">
        <f>IF($B46="","",IF(SUMPRODUCT(('Events 2'!$C$6:$C$17="Deduction start")*('Events 2'!$B$6:$B$17&lt;=$B46)*('Events 2'!$B$6:$B$17&lt;&gt;"")*('Events 2'!$D$6:$D$17="Dependent-care FSA"))&gt;0,1,0))</f>
      </c>
      <c r="BU46" s="24">
        <f>IF($B46="","",IF('Inputs 2'!$C$13,SUMPRODUCT(($AH46&gt;=INDEX('Methodology &amp; Sources'!$B$29:$J$36,0,IF('Inputs 2'!$C$12="MFJ",1,IF('Inputs 2'!$C$12="HoH",7,4))))*INDEX('Methodology &amp; Sources'!$B$29:$J$36,0,IF('Inputs 2'!$C$12="MFJ",1,IF('Inputs 2'!$C$12="HoH",7,4))+2)),SUMPRODUCT(($AH46&gt;=INDEX('Methodology &amp; Sources'!$B$19:$J$26,0,IF('Inputs 2'!$C$12="MFJ",1,IF('Inputs 2'!$C$12="HoH",7,4))))*INDEX('Methodology &amp; Sources'!$B$19:$J$26,0,IF('Inputs 2'!$C$12="MFJ",1,IF('Inputs 2'!$C$12="HoH",7,4))+2))))</f>
      </c>
      <c r="BV46" s="24">
        <f>IF($B46="","",IF($BZ46&lt;&gt;"",$BZ46,IF($CA46&lt;&gt;"",$CA46,IF($CB46&lt;&gt;"",$CB46,IF($CC46&lt;&gt;"",$CC46,0)))))</f>
      </c>
      <c r="BW46" s="7">
        <f>IF($B46="","",IF($AN46="MD",IF(OR($AU46="Married",$AU46="Head of household"),SUMPRODUCT(($AZ46&gt;INDEX('Methodology &amp; Sources'!$B$114:$J$120,0,1))*($AZ46-INDEX('Methodology &amp; Sources'!$B$114:$J$120,0,1))*INDEX('Methodology &amp; Sources'!$B$114:$J$120,0,1+2)),SUMPRODUCT(($AZ46&gt;INDEX('Methodology &amp; Sources'!$B$103:$J$109,0,7))*($AZ46-INDEX('Methodology &amp; Sources'!$B$103:$J$109,0,7))*INDEX('Methodology &amp; Sources'!$B$103:$J$109,0,7+2))),IF($AN46="MO",SUMPRODUCT(($AZ46&gt;INDEX('Methodology &amp; Sources'!$B$125:$J$132,0,1))*($AZ46-INDEX('Methodology &amp; Sources'!$B$125:$J$132,0,1))*INDEX('Methodology &amp; Sources'!$B$125:$J$132,0,1+2)),IF($AN46="MT",IF($AU46="Head of household",SUMPRODUCT(($AZ46&gt;INDEX('Methodology &amp; Sources'!$B$137:$J$139,0,1))*($AZ46-INDEX('Methodology &amp; Sources'!$B$137:$J$139,0,1))*INDEX('Methodology &amp; Sources'!$B$137:$J$139,0,1+2)),IF($AU46="Married",SUMPRODUCT(($AZ46&gt;INDEX('Methodology &amp; Sources'!$B$125:$J$132,0,7))*($AZ46-INDEX('Methodology &amp; Sources'!$B$125:$J$132,0,7))*INDEX('Methodology &amp; Sources'!$B$125:$J$132,0,7+2)),SUMPRODUCT(($AZ46&gt;INDEX('Methodology &amp; Sources'!$B$125:$J$132,0,4))*($AZ46-INDEX('Methodology &amp; Sources'!$B$125:$J$132,0,4))*INDEX('Methodology &amp; Sources'!$B$125:$J$132,0,4+2)))),IF($AN46="ND",IF($AU46="Head of household",SUMPRODUCT(($AZ46&gt;INDEX('Methodology &amp; Sources'!$B$144:$J$150,0,1))*($AZ46-INDEX('Methodology &amp; Sources'!$B$144:$J$150,0,1))*INDEX('Methodology &amp; Sources'!$B$144:$J$150,0,1+2)),IF($AU46="Married",SUMPRODUCT(($AZ46&gt;INDEX('Methodology &amp; Sources'!$B$137:$J$139,0,7))*($AZ46-INDEX('Methodology &amp; Sources'!$B$137:$J$139,0,7))*INDEX('Methodology &amp; Sources'!$B$137:$J$139,0,7+2)),SUMPRODUCT(($AZ46&gt;INDEX('Methodology &amp; Sources'!$B$137:$J$139,0,4))*($AZ46-INDEX('Methodology &amp; Sources'!$B$137:$J$139,0,4))*INDEX('Methodology &amp; Sources'!$B$137:$J$139,0,4+2)))),IF($AN46="NJ",IF('Inputs 2'!$C$77="B",SUMPRODUCT(($AZ46&gt;INDEX('Methodology &amp; Sources'!$B$155:$J$162,0,4))*($AZ46-INDEX('Methodology &amp; Sources'!$B$155:$J$162,0,4))*INDEX('Methodology &amp; Sources'!$B$155:$J$162,0,4+2)),IF('Inputs 2'!$C$77="C",SUMPRODUCT(($AZ46&gt;INDEX('Methodology &amp; Sources'!$B$155:$J$162,0,7))*($AZ46-INDEX('Methodology &amp; Sources'!$B$155:$J$162,0,7))*INDEX('Methodology &amp; Sources'!$B$155:$J$162,0,7+2)),IF('Inputs 2'!$C$77="D",SUMPRODUCT(($AZ46&gt;INDEX('Methodology &amp; Sources'!$B$167:$J$179,0,1))*($AZ46-INDEX('Methodology &amp; Sources'!$B$167:$J$179,0,1))*INDEX('Methodology &amp; Sources'!$B$167:$J$179,0,1+2)),IF('Inputs 2'!$C$77="E",SUMPRODUCT(($AZ46&gt;INDEX('Methodology &amp; Sources'!$B$167:$J$179,0,4))*($AZ46-INDEX('Methodology &amp; Sources'!$B$167:$J$179,0,4))*INDEX('Methodology &amp; Sources'!$B$167:$J$179,0,4+2)),SUMPRODUCT(($AZ46&gt;INDEX('Methodology &amp; Sources'!$B$155:$J$162,0,1))*($AZ46-INDEX('Methodology &amp; Sources'!$B$155:$J$162,0,1))*INDEX('Methodology &amp; Sources'!$B$155:$J$162,0,1+2)))))),IF($AN46="NY",IF($AU46="Married",IF($AZ46&gt;=2155350,$AZ46*IF($AZ46&gt;25000000,0.117,IF($AZ46&gt;5000000,0.111,0.1045)),SUMPRODUCT(($AZ46&gt;INDEX('Methodology &amp; Sources'!$B$184:$J$198,0,1))*($AZ46-INDEX('Methodology &amp; Sources'!$B$184:$J$198,0,1))*INDEX('Methodology &amp; Sources'!$B$184:$J$198,0,1+2))),IF($AZ46&gt;=1077550,$AZ46*IF($AZ46&gt;25000000,0.117,IF($AZ46&gt;5000000,0.111,0.1045)),SUMPRODUCT(($AZ46&gt;INDEX('Methodology &amp; Sources'!$B$167:$J$179,0,7))*($AZ46-INDEX('Methodology &amp; Sources'!$B$167:$J$179,0,7))*INDEX('Methodology &amp; Sources'!$B$167:$J$179,0,7+2)))),"")))))))</f>
      </c>
      <c r="BX46" s="7">
        <f>IF($B46="","",IF($AN46="AL",IF(OR($AU46="Married",$AU46="Head of household"),SUMPRODUCT(($AZ46&gt;INDEX('Methodology &amp; Sources'!$B$82:$J$86,0,4))*($AZ46-INDEX('Methodology &amp; Sources'!$B$82:$J$86,0,4))*INDEX('Methodology &amp; Sources'!$B$82:$J$86,0,4+2)),SUMPRODUCT(($AZ46&gt;INDEX('Methodology &amp; Sources'!$B$82:$J$86,0,1))*($AZ46-INDEX('Methodology &amp; Sources'!$B$82:$J$86,0,1))*INDEX('Methodology &amp; Sources'!$B$82:$J$86,0,1+2))),IF($AN46="KS",IF($AU46="Married",SUMPRODUCT(($AZ46&gt;INDEX('Methodology &amp; Sources'!$B$103:$J$109,0,4))*($AZ46-INDEX('Methodology &amp; Sources'!$B$103:$J$109,0,4))*INDEX('Methodology &amp; Sources'!$B$103:$J$109,0,4+2)),SUMPRODUCT(($AZ46&gt;INDEX('Methodology &amp; Sources'!$B$103:$J$109,0,1))*($AZ46-INDEX('Methodology &amp; Sources'!$B$103:$J$109,0,1))*INDEX('Methodology &amp; Sources'!$B$103:$J$109,0,1+2))),IF($AN46="MN",IF($AU46="Married",SUMPRODUCT(($AZ46&gt;INDEX('Methodology &amp; Sources'!$B$114:$J$120,0,7))*($AZ46-INDEX('Methodology &amp; Sources'!$B$114:$J$120,0,7))*INDEX('Methodology &amp; Sources'!$B$114:$J$120,0,7+2)),SUMPRODUCT(($AZ46&gt;INDEX('Methodology &amp; Sources'!$B$114:$J$120,0,4))*($AZ46-INDEX('Methodology &amp; Sources'!$B$114:$J$120,0,4))*INDEX('Methodology &amp; Sources'!$B$114:$J$120,0,4+2))),IF($AN46="NE",MAX(IF($AU46="Married",SUMPRODUCT(($AZ46&gt;INDEX('Methodology &amp; Sources'!$B$144:$J$150,0,7))*($AZ46-INDEX('Methodology &amp; Sources'!$B$144:$J$150,0,7))*INDEX('Methodology &amp; Sources'!$B$144:$J$150,0,7+2)),SUMPRODUCT(($AZ46&gt;INDEX('Methodology &amp; Sources'!$B$144:$J$150,0,4))*($AZ46-INDEX('Methodology &amp; Sources'!$B$144:$J$150,0,4))*INDEX('Methodology &amp; Sources'!$B$144:$J$150,0,4+2))),0.015*$AZ46),IF($AN46="OH",IF($B46&gt;=DATE(2027,8,1),SUMPRODUCT(($AZ46&gt;INDEX('Methodology &amp; Sources'!$B$203:$J$206,0,1))*($AZ46-INDEX('Methodology &amp; Sources'!$B$203:$J$206,0,1))*INDEX('Methodology &amp; Sources'!$B$203:$J$206,0,1+2)),SUMPRODUCT(($AZ46&gt;INDEX('Methodology &amp; Sources'!$B$184:$J$198,0,7))*($AZ46-INDEX('Methodology &amp; Sources'!$B$184:$J$198,0,7))*INDEX('Methodology &amp; Sources'!$B$184:$J$198,0,7+2))),IF($AN46="OK",IF($AU46="Married",SUMPRODUCT(($AZ46&gt;INDEX('Methodology &amp; Sources'!$B$203:$J$206,0,7))*($AZ46-INDEX('Methodology &amp; Sources'!$B$203:$J$206,0,7))*INDEX('Methodology &amp; Sources'!$B$203:$J$206,0,7+2)),SUMPRODUCT(($AZ46&gt;INDEX('Methodology &amp; Sources'!$B$203:$J$206,0,4))*($AZ46-INDEX('Methodology &amp; Sources'!$B$203:$J$206,0,4))*INDEX('Methodology &amp; Sources'!$B$203:$J$206,0,4+2))),IF($AN46="RI",SUMPRODUCT(($AZ46&gt;INDEX('Methodology &amp; Sources'!$B$211:$J$214,0,7))*($AZ46-INDEX('Methodology &amp; Sources'!$B$211:$J$214,0,7))*INDEX('Methodology &amp; Sources'!$B$211:$J$214,0,7+2)),IF($AN46="VT",IF($AU46="Married",SUMPRODUCT(($AZ46&gt;INDEX('Methodology &amp; Sources'!$B$228:$J$232,0,1))*($AZ46-INDEX('Methodology &amp; Sources'!$B$228:$J$232,0,1))*INDEX('Methodology &amp; Sources'!$B$228:$J$232,0,1+2)),SUMPRODUCT(($AZ46&gt;INDEX('Methodology &amp; Sources'!$B$219:$J$223,0,7))*($AZ46-INDEX('Methodology &amp; Sources'!$B$219:$J$223,0,7))*INDEX('Methodology &amp; Sources'!$B$219:$J$223,0,7+2))),IF($AN46="WV",IF($AU46="Married",SUMPRODUCT(($AZ46&gt;INDEX('Methodology &amp; Sources'!$B$237:$J$241,0,7))*($AZ46-INDEX('Methodology &amp; Sources'!$B$237:$J$241,0,7))*INDEX('Methodology &amp; Sources'!$B$237:$J$241,0,7+2)),SUMPRODUCT(($AZ46&gt;INDEX('Methodology &amp; Sources'!$B$228:$J$232,0,7))*($AZ46-INDEX('Methodology &amp; Sources'!$B$228:$J$232,0,7))*INDEX('Methodology &amp; Sources'!$B$228:$J$232,0,7+2))),""))))))))))</f>
      </c>
      <c r="BY46" s="7">
        <f>IF($B46="","",IF($AN46="AR",SUMPRODUCT(($AZ46&gt;INDEX('Methodology &amp; Sources'!$B$82:$J$86,0,7))*($AZ46-INDEX('Methodology &amp; Sources'!$B$82:$J$86,0,7))*INDEX('Methodology &amp; Sources'!$B$82:$J$86,0,7+2)),IF($AN46="DE",SUMPRODUCT(($AZ46&gt;INDEX('Methodology &amp; Sources'!$B$91:$J$98,0,1))*($AZ46-INDEX('Methodology &amp; Sources'!$B$91:$J$98,0,1))*INDEX('Methodology &amp; Sources'!$B$91:$J$98,0,1+2)),IF($AN46="HI",IF($AU46="Married",SUMPRODUCT(($AZ46&gt;INDEX('Methodology &amp; Sources'!$B$91:$J$98,0,7))*($AZ46-INDEX('Methodology &amp; Sources'!$B$91:$J$98,0,7))*INDEX('Methodology &amp; Sources'!$B$91:$J$98,0,7+2)),SUMPRODUCT(($AZ46&gt;INDEX('Methodology &amp; Sources'!$B$91:$J$98,0,4))*($AZ46-INDEX('Methodology &amp; Sources'!$B$91:$J$98,0,4))*INDEX('Methodology &amp; Sources'!$B$91:$J$98,0,4+2))),IF($AN46="SC",SUMPRODUCT(($AZ46&gt;INDEX('Methodology &amp; Sources'!$B$219:$J$223,0,1))*($AZ46-INDEX('Methodology &amp; Sources'!$B$219:$J$223,0,1))*INDEX('Methodology &amp; Sources'!$B$219:$J$223,0,1+2)),IF($AN46="VA",SUMPRODUCT(($AZ46&gt;INDEX('Methodology &amp; Sources'!$B$219:$J$223,0,4))*($AZ46-INDEX('Methodology &amp; Sources'!$B$219:$J$223,0,4))*INDEX('Methodology &amp; Sources'!$B$219:$J$223,0,4+2)),IF($AN46="WI",SUMPRODUCT(($AZ46&gt;INDEX('Methodology &amp; Sources'!$B$228:$J$232,0,4))*($AZ46-INDEX('Methodology &amp; Sources'!$B$228:$J$232,0,4))*INDEX('Methodology &amp; Sources'!$B$228:$J$232,0,4+2)),"")))))))</f>
      </c>
      <c r="BZ46" s="24">
        <f>IF($B46="","",IF($AN46="NJ",IF('Inputs 2'!$C$77="B",SUMPRODUCT(($AZ46&gt;=INDEX('Methodology &amp; Sources'!$B$155:$J$162,0,4))*INDEX('Methodology &amp; Sources'!$B$155:$J$162,0,4+2)),IF('Inputs 2'!$C$77="C",SUMPRODUCT(($AZ46&gt;=INDEX('Methodology &amp; Sources'!$B$155:$J$162,0,7))*INDEX('Methodology &amp; Sources'!$B$155:$J$162,0,7+2)),IF('Inputs 2'!$C$77="D",SUMPRODUCT(($AZ46&gt;=INDEX('Methodology &amp; Sources'!$B$167:$J$179,0,1))*INDEX('Methodology &amp; Sources'!$B$167:$J$179,0,1+2)),IF('Inputs 2'!$C$77="E",SUMPRODUCT(($AZ46&gt;=INDEX('Methodology &amp; Sources'!$B$167:$J$179,0,4))*INDEX('Methodology &amp; Sources'!$B$167:$J$179,0,4+2)),SUMPRODUCT(($AZ46&gt;=INDEX('Methodology &amp; Sources'!$B$155:$J$162,0,1))*INDEX('Methodology &amp; Sources'!$B$155:$J$162,0,1+2)))))),IF($AN46="OR",IF(OR($AU46="Married",AND($AU46="Single",$AS46&gt;=3)),SUMPRODUCT((MAX(0,$AY46-MIN(($P46-'Methodology &amp; Sources'!$C$10*$D46)*'Inputs 2'!$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Sources'!$B$211:$J$214,0,4))*INDEX('Methodology &amp; Sources'!$B$211:$J$214,0,4+2)),SUMPRODUCT((MAX(0,$AY46-MIN(($P46-'Methodology &amp; Sources'!$C$10*$D46)*'Inputs 2'!$C$8,IF(OR($AU46="Married",AND($AU46="Single",$AS46&gt;=3)),IF($AY46&lt;250000,8750,IF($AY46&lt;260000,7000,IF($AY46&lt;270000,5250,IF($AY46&lt;280000,3500,IF($AY46&lt;290000,1750,0))))),IF($AY46&lt;125000,8750,IF($AY46&lt;130000,7000,IF($AY46&lt;135000,5250,IF($AY46&lt;140000,3500,IF($AY46&lt;145000,1750,0)))))))-IF(OR($AU46="Married",AND($AU46="Single",$AS46&gt;=3)),5820,2910))&gt;=INDEX('Methodology &amp; Sources'!$B$211:$J$214,0,1))*INDEX('Methodology &amp; Sources'!$B$211:$J$214,0,1+2)))*IF(($P46-'Methodology &amp; Sources'!$C$10*$D46)*'Inputs 2'!$C$8&gt;=IF(OR($AU46="Married",AND($AU46="Single",$AS46&gt;=3)),IF($AY46&lt;250000,8750,IF($AY46&lt;260000,7000,IF($AY46&lt;270000,5250,IF($AY46&lt;280000,3500,IF($AY46&lt;290000,1750,0))))),IF($AY46&lt;125000,8750,IF($AY46&lt;130000,7000,IF($AY46&lt;135000,5250,IF($AY46&lt;140000,3500,IF($AY46&lt;145000,1750,0)))))),1,1-IF('Inputs 2'!$C$13,SUMPRODUCT(($AH46&gt;=INDEX('Methodology &amp; Sources'!$B$29:$J$36,0,IF('Inputs 2'!$C$12="MFJ",1,IF('Inputs 2'!$C$12="HoH",7,4))))*INDEX('Methodology &amp; Sources'!$B$29:$J$36,0,IF('Inputs 2'!$C$12="MFJ",1,IF('Inputs 2'!$C$12="HoH",7,4))+2)),SUMPRODUCT(($AH46&gt;=INDEX('Methodology &amp; Sources'!$B$19:$J$26,0,IF('Inputs 2'!$C$12="MFJ",1,IF('Inputs 2'!$C$12="HoH",7,4))))*INDEX('Methodology &amp; Sources'!$B$19:$J$26,0,IF('Inputs 2'!$C$12="MFJ",1,IF('Inputs 2'!$C$12="HoH",7,4))+2)))),IF($AN46="MI",IF($AY46&gt;5900*$AS46,0.0425,0),""))))</f>
      </c>
      <c r="CA46" s="24">
        <f>IF($B46="","",IF($AN46="AL",IF(OR($AU46="Married",$AU46="Head of household"),SUMPRODUCT(($AZ46&gt;=INDEX('Methodology &amp; Sources'!$B$82:$J$86,0,4))*INDEX('Methodology &amp; Sources'!$B$82:$J$86,0,4+2)),SUMPRODUCT(($AZ46&gt;=INDEX('Methodology &amp; Sources'!$B$82:$J$86,0,1))*INDEX('Methodology &amp; Sources'!$B$82:$J$86,0,1+2)))*(1-IF('Inputs 2'!$C$13,SUMPRODUCT(($AH46&gt;=INDEX('Methodology &amp; Sources'!$B$29:$J$36,0,IF('Inputs 2'!$C$12="MFJ",1,IF('Inputs 2'!$C$12="HoH",7,4))))*INDEX('Methodology &amp; Sources'!$B$29:$J$36,0,IF('Inputs 2'!$C$12="MFJ",1,IF('Inputs 2'!$C$12="HoH",7,4))+2)),SUMPRODUCT(($AH46&gt;=INDEX('Methodology &amp; Sources'!$B$19:$J$26,0,IF('Inputs 2'!$C$12="MFJ",1,IF('Inputs 2'!$C$12="HoH",7,4))))*INDEX('Methodology &amp; Sources'!$B$19:$J$26,0,IF('Inputs 2'!$C$12="MFJ",1,IF('Inputs 2'!$C$12="HoH",7,4))+2)))),IF($AN46="KS",IF($AU46="Married",SUMPRODUCT(($AZ46&gt;=INDEX('Methodology &amp; Sources'!$B$103:$J$109,0,4))*INDEX('Methodology &amp; Sources'!$B$103:$J$109,0,4+2)),SUMPRODUCT(($AZ46&gt;=INDEX('Methodology &amp; Sources'!$B$103:$J$109,0,1))*INDEX('Methodology &amp; Sources'!$B$103:$J$109,0,1+2))),IF($AN46="MD",IF(OR($AU46="Married",$AU46="Head of household"),SUMPRODUCT(($AZ46&gt;=INDEX('Methodology &amp; Sources'!$B$114:$J$120,0,1))*INDEX('Methodology &amp; Sources'!$B$114:$J$120,0,1+2)),SUMPRODUCT(($AZ46&gt;=INDEX('Methodology &amp; Sources'!$B$103:$J$109,0,7))*INDEX('Methodology &amp; Sources'!$B$103:$J$109,0,7+2)))+'Inputs 2'!$C$74,IF($AN46="MT",IF($AU46="Head of household",SUMPRODUCT(($AZ46&gt;=INDEX('Methodology &amp; Sources'!$B$137:$J$139,0,1))*INDEX('Methodology &amp; Sources'!$B$137:$J$139,0,1+2)),IF($AU46="Married",SUMPRODUCT(($AZ46&gt;=INDEX('Methodology &amp; Sources'!$B$125:$J$132,0,7))*INDEX('Methodology &amp; Sources'!$B$125:$J$132,0,7+2)),SUMPRODUCT(($AZ46&gt;=INDEX('Methodology &amp; Sources'!$B$125:$J$132,0,4))*INDEX('Methodology &amp; Sources'!$B$125:$J$132,0,4+2)))),IF($AN46="ND",IF($AU46="Head of household",SUMPRODUCT(($AZ46&gt;=INDEX('Methodology &amp; Sources'!$B$144:$J$150,0,1))*INDEX('Methodology &amp; Sources'!$B$144:$J$150,0,1+2)),IF($AU46="Married",SUMPRODUCT(($AZ46&gt;=INDEX('Methodology &amp; Sources'!$B$137:$J$139,0,7))*INDEX('Methodology &amp; Sources'!$B$137:$J$139,0,7+2)),SUMPRODUCT(($AZ46&gt;=INDEX('Methodology &amp; Sources'!$B$137:$J$139,0,4))*INDEX('Methodology &amp; Sources'!$B$137:$J$139,0,4+2)))),IF($AN46="NY",IF($AU46="Married",IF($AZ46&gt;=2155350,IF($AZ46&gt;25000000,0.117,IF($AZ46&gt;5000000,0.111,0.1045)),SUMPRODUCT(($AZ46&gt;=INDEX('Methodology &amp; Sources'!$B$184:$J$198,0,1))*INDEX('Methodology &amp; Sources'!$B$184:$J$198,0,1+2))),IF($AZ46&gt;=1077550,IF($AZ46&gt;25000000,0.117,IF($AZ46&gt;5000000,0.111,0.1045)),SUMPRODUCT(($AZ46&gt;=INDEX('Methodology &amp; Sources'!$B$167:$J$179,0,7))*INDEX('Methodology &amp; Sources'!$B$167:$J$179,0,7+2)))),"")))))))</f>
      </c>
      <c r="CB46" s="24">
        <f>IF($B46="","",IF($AN46="CA",SUMPRODUCT(($AJ46&gt;=INDEX('Methodology &amp; Sources'!$B$39:$J$48,0,IF($AU46="Married",4,IF($AU46="Head of household",7,1))))*INDEX('Methodology &amp; Sources'!$B$39:$J$48,0,IF($AU46="Married",4,IF($AU46="Head of household",7,1))+2)),IF($AN46="HI",IF($AU46="Married",SUMPRODUCT(($AZ46&gt;=INDEX('Methodology &amp; Sources'!$B$91:$J$98,0,7))*INDEX('Methodology &amp; Sources'!$B$91:$J$98,0,7+2)),SUMPRODUCT(($AZ46&gt;=INDEX('Methodology &amp; Sources'!$B$91:$J$98,0,4))*INDEX('Methodology &amp; Sources'!$B$91:$J$98,0,4+2))),IF($AN46="MN",IF($AU46="Married",SUMPRODUCT(($AZ46&gt;=INDEX('Methodology &amp; Sources'!$B$114:$J$120,0,7))*INDEX('Methodology &amp; Sources'!$B$114:$J$120,0,7+2)),SUMPRODUCT(($AZ46&gt;=INDEX('Methodology &amp; Sources'!$B$114:$J$120,0,4))*INDEX('Methodology &amp; Sources'!$B$114:$J$120,0,4+2))),IF($AN46="MO",SUMPRODUCT(($AZ46&gt;=INDEX('Methodology &amp; Sources'!$B$125:$J$132,0,1))*INDEX('Methodology &amp; Sources'!$B$125:$J$132,0,1+2)),IF($AN46="NE",MAX(IF($AU46="Married",SUMPRODUCT(($AZ46&gt;=INDEX('Methodology &amp; Sources'!$B$144:$J$150,0,7))*INDEX('Methodology &amp; Sources'!$B$144:$J$150,0,7+2)),SUMPRODUCT(($AZ46&gt;=INDEX('Methodology &amp; Sources'!$B$144:$J$150,0,4))*INDEX('Methodology &amp; Sources'!$B$144:$J$150,0,4+2))),0.015),IF($AN46="OH",IF($B46&gt;=DATE(2027,8,1),SUMPRODUCT(($AZ46&gt;=INDEX('Methodology &amp; Sources'!$B$203:$J$206,0,1))*INDEX('Methodology &amp; Sources'!$B$203:$J$206,0,1+2)),SUMPRODUCT(($AZ46&gt;=INDEX('Methodology &amp; Sources'!$B$184:$J$198,0,7))*INDEX('Methodology &amp; Sources'!$B$184:$J$198,0,7+2))),IF($AN46="OK",IF($AU46="Married",SUMPRODUCT(($AZ46&gt;=INDEX('Methodology &amp; Sources'!$B$203:$J$206,0,7))*INDEX('Methodology &amp; Sources'!$B$203:$J$206,0,7+2)),SUMPRODUCT(($AZ46&gt;=INDEX('Methodology &amp; Sources'!$B$203:$J$206,0,4))*INDEX('Methodology &amp; Sources'!$B$203:$J$206,0,4+2))),IF($AN46="RI",SUMPRODUCT(($AZ46&gt;=INDEX('Methodology &amp; Sources'!$B$211:$J$214,0,7))*INDEX('Methodology &amp; Sources'!$B$211:$J$214,0,7+2)),IF($AN46="SC",SUMPRODUCT(($AZ46&gt;=INDEX('Methodology &amp; Sources'!$B$219:$J$223,0,1))*INDEX('Methodology &amp; Sources'!$B$219:$J$223,0,1+2)),IF($AN46="VT",IF($AU46="Married",SUMPRODUCT(($AZ46&gt;=INDEX('Methodology &amp; Sources'!$B$228:$J$232,0,1))*INDEX('Methodology &amp; Sources'!$B$228:$J$232,0,1+2)),SUMPRODUCT(($AZ46&gt;=INDEX('Methodology &amp; Sources'!$B$219:$J$223,0,7))*INDEX('Methodology &amp; Sources'!$B$219:$J$223,0,7+2))),IF($AN46="WV",IF($AU46="Married",SUMPRODUCT(($AZ46&gt;=INDEX('Methodology &amp; Sources'!$B$237:$J$241,0,7))*INDEX('Methodology &amp; Sources'!$B$237:$J$241,0,7+2)),SUMPRODUCT(($AZ46&gt;=INDEX('Methodology &amp; Sources'!$B$228:$J$232,0,7))*INDEX('Methodology &amp; Sources'!$B$228:$J$232,0,7+2))),IF($AN46="IN",(0.0295+'Inputs 2'!$C$76),"")))))))))))))</f>
      </c>
      <c r="CC46" s="24">
        <f>IF($B46="","",IF($AN46="AR",SUMPRODUCT(($AZ46&gt;=INDEX('Methodology &amp; Sources'!$B$82:$J$86,0,7))*INDEX('Methodology &amp; Sources'!$B$82:$J$86,0,7+2)),IF($AN46="DE",SUMPRODUCT(($AZ46&gt;=INDEX('Methodology &amp; Sources'!$B$91:$J$98,0,1))*INDEX('Methodology &amp; Sources'!$B$91:$J$98,0,1+2)),IF($AN46="VA",SUMPRODUCT(($AZ46&gt;=INDEX('Methodology &amp; Sources'!$B$219:$J$223,0,4))*INDEX('Methodology &amp; Sources'!$B$219:$J$223,0,4+2)),IF($AN46="WI",SUMPRODUCT(($AZ46&gt;=INDEX('Methodology &amp; Sources'!$B$228:$J$232,0,4))*INDEX('Methodology &amp; Sources'!$B$228:$J$232,0,4+2)),IF($AN46="AZ",'Inputs 2'!$C$82,IF($AN46="CO",IF($AY46&gt;IF($AU46="Married",10000,5000),0.044,0),IF($AN46="IA",IF($AY46&gt;IF($AU46="Head of household",19500,IF($AU46="Married",26000,13000)),0.038,0),IF($AN46="ID",IF($AY46&gt;IF($AU46="Married",32000,16094),0.053,0),IF($AN46="IL",IF($AY46&gt;(2925*$AS46+1000*$AT46),0.0495,0),IF($AN46="KY",IF($AI46&gt;3360,0.035,0),IF($AN46="LA",0.0309,IF($AN46="MA",IF(MAX(0,$AY46-MIN(($BD45+$Q46+$R46+$S46),2000)-IF($AS46=0,0,IF($AS46=1,4400,1000*$AS46+3400)))&gt;=1107750,0.09,0.05),IF($AN46="MS",IF($AI46-IF($AU46="Head of household",3400,IF($AU46="Married",4600,2300))-'Inputs 2'!$C$85&gt;10000,0.04,0),IF($AN46="PA",0.0307,"")))))))))))))))</f>
      </c>
      <c r="CD46" s="21">
        <f>IF(YEAR(IF('Inputs 2'!$C$7="Weekly",'Inputs 2'!$C$9+7*(($BE45+1)-1),IF('Inputs 2'!$C$7="Biweekly",'Inputs 2'!$C$9+14*(($BE45+1)-1),IF('Inputs 2'!$C$7="Semimonthly",DATE(YEAR('Inputs 2'!$C$9),MONTH('Inputs 2'!$C$9)+INT((($BE45+1)-1)/2),MIN(DAY('Inputs 2'!$C$9),DAY(EOMONTH(DATE(YEAR('Inputs 2'!$C$9),MONTH('Inputs 2'!$C$9)+INT((($BE45+1)-1)/2),1),0))))+IF(MOD(($BE45+1)-1,2)=1,15,0),EDATE('Inputs 2'!$C$9,($BE45+1)-1)))))&lt;&gt;'Inputs 2'!$C$10,"",IF('Inputs 2'!$C$7="Weekly",'Inputs 2'!$C$9+7*(($BE45+1)-1),IF('Inputs 2'!$C$7="Biweekly",'Inputs 2'!$C$9+14*(($BE45+1)-1),IF('Inputs 2'!$C$7="Semimonthly",DATE(YEAR('Inputs 2'!$C$9),MONTH('Inputs 2'!$C$9)+INT((($BE45+1)-1)/2),MIN(DAY('Inputs 2'!$C$9),DAY(EOMONTH(DATE(YEAR('Inputs 2'!$C$9),MONTH('Inputs 2'!$C$9)+INT((($BE45+1)-1)/2),1),0))))+IF(MOD(($BE45+1)-1,2)=1,15,0),EDATE('Inputs 2'!$C$9,($BE45+1)-1)))))</f>
      </c>
      <c r="CE46" s="21">
        <f>IF(SUMPRODUCT(MIN(IF(('Inputs 2'!$C$58:$C$67&gt;MAX($B$6:$B45))*('Inputs 2'!$C$58:$C$67&gt;=DATE('Inputs 2'!$C$10,1,1))*('Inputs 2'!$C$58:$C$67&lt;=DATE('Inputs 2'!$C$10,12,31)),'Inputs 2'!$C$58:$C$67,999999)))=999999,"",SUMPRODUCT(MIN(IF(('Inputs 2'!$C$58:$C$67&gt;MAX($B$6:$B45))*('Inputs 2'!$C$58:$C$67&gt;=DATE('Inputs 2'!$C$10,1,1))*('Inputs 2'!$C$58:$C$67&lt;=DATE('Inputs 2'!$C$10,12,31)),'Inputs 2'!$C$58:$C$67,999999))))</f>
      </c>
    </row>
    <row r="47">
      <c r="A47" t="n">
        <v>42</v>
      </c>
      <c r="B47" s="21">
        <f>IF(AND($CD47="",$CE47=""),"",IF($CE47="",$CD47,IF($CD47="",$CE47,MIN($CD47,$CE47))))</f>
      </c>
      <c r="C47" s="7">
        <f>IF($B47="","",IF($BF47=0,0,IF('Inputs 2'!$C$4="Annual salary",ROUND($AK47/IF(AND('Inputs 2'!$C$88="Actual paydays",MONTH('Inputs 2'!$C$9)=1),MAX(1,MAX($BE$6:$BE$68)),'Inputs 2'!$C$8),2),$AK47)))</f>
      </c>
      <c r="D47" s="7">
        <f>IF($B47="","",SUMIF('Inputs 2'!$C$58:$C$67,$B47,'Inputs 2'!$D$58:$D$67))</f>
      </c>
      <c r="E47" s="7">
        <f>IF($B47="","",ROUND(MAX(0,MIN(IF($AL47="Percent",$AM47*($C47+$D47),$AM47),MAX(0,'Inputs 2'!$C$34-$AC46))),2))</f>
      </c>
      <c r="F47" s="7">
        <f>IF($B47="","",ROUND(MAX(0,MIN(IF('Inputs 2'!$C$32="Percent",'Inputs 2'!$D$32*($C47+$D47),'Inputs 2'!$D$32),MAX(0,'Inputs 2'!$C$34-$AC46-$E47))),2))</f>
      </c>
      <c r="G47" s="7">
        <f>IF($B47="","",IF($BF47=0,0,ROUND(MAX(0,MIN($BL47,'Inputs 2'!$C$37-'Inputs 2'!$C$54-$BI46)),2)))</f>
      </c>
      <c r="H47" s="7">
        <f>IF($B47="","",IF(OR($BF47=0,$BQ47=1),0,ROUND(MAX(0,MIN(IF($BS47=1,ROUND(MAX(0,MIN($BJ47,'Methodology &amp; Sources'!$C$13)-$BG46)/MAX(1,MAX($BE$6:$BE$68)-($BE46)),2),ROUND(MIN($BJ47,'Methodology &amp; Sources'!$C$13)/'Inputs 2'!$C$8,2)),MIN($BJ47,'Methodology &amp; Sources'!$C$13)-$BG46)),2)))</f>
      </c>
      <c r="I47" s="7">
        <f>IF($B47="","",IF(OR($BF47=0,$BR47=1),0,ROUND(MAX(0,MIN(IF($BT47=1,ROUND(MAX(0,MIN($BK47,IF('Inputs 2'!$C$12="MFJ",'Methodology &amp; Sources'!$C$14,'Methodology &amp; Sources'!$C$15))-$BH46)/MAX(1,MAX($BE$6:$BE$68)-($BE46)),2),ROUND(MIN($BK47,IF('Inputs 2'!$C$12="MFJ",'Methodology &amp; Sources'!$C$14,'Methodology &amp; Sources'!$C$15))/'Inputs 2'!$C$8,2)),MIN($BK47,IF('Inputs 2'!$C$12="MFJ",'Methodology &amp; Sources'!$C$14,'Methodology &amp; Sources'!$C$15))-$BH46)),2)))</f>
      </c>
      <c r="J47" s="7">
        <f>IF($B47="","",IF($BF47=0,0,$BM47))</f>
      </c>
      <c r="K47" s="7">
        <f>IF($B47="","",IF($BF47=0,0,$BN47+$BO47))</f>
      </c>
      <c r="L47" s="7">
        <f>IF($B47="","",IF($BF47=0,0,'Inputs 2'!$D$46))</f>
      </c>
      <c r="M47" s="7">
        <f>IF($B47="","",$C47+$D47+$L47-$E47-$G47-$H47-$I47-$J47-$K47)</f>
      </c>
      <c r="N47" s="7">
        <f>IF($B47="","",$C47+$D47+$L47-$G47-$H47-$I47-$J47-$K47)</f>
      </c>
      <c r="O47" s="7">
        <f>IF($B47="","",$C47+$D47+$L47-$E47-$H47-$I47-$J47-$K47-IF(OR($AN47="CA",$AN47="NJ"),0,$G47))</f>
      </c>
      <c r="P47" s="7">
        <f>IF($B47="","",IF('Inputs 2'!$C$18,0,ROUND(MAX(0,IF('Inputs 2'!$C$13,SUMPRODUCT(($AH47&gt;INDEX('Methodology &amp; Sources'!$B$29:$J$36,0,IF('Inputs 2'!$C$12="MFJ",1,IF('Inputs 2'!$C$12="HoH",7,4))))*($AH47-INDEX('Methodology &amp; Sources'!$B$29:$J$36,0,IF('Inputs 2'!$C$12="MFJ",1,IF('Inputs 2'!$C$12="HoH",7,4))))*INDEX('Methodology &amp; Sources'!$B$29:$J$36,0,IF('Inputs 2'!$C$12="MFJ",1,IF('Inputs 2'!$C$12="HoH",7,4))+2)),SUMPRODUCT(($AH47&gt;INDEX('Methodology &amp; Sources'!$B$19:$J$26,0,IF('Inputs 2'!$C$12="MFJ",1,IF('Inputs 2'!$C$12="HoH",7,4))))*($AH47-INDEX('Methodology &amp; Sources'!$B$19:$J$26,0,IF('Inputs 2'!$C$12="MFJ",1,IF('Inputs 2'!$C$12="HoH",7,4))))*INDEX('Methodology &amp; Sources'!$B$19:$J$26,0,IF('Inputs 2'!$C$12="MFJ",1,IF('Inputs 2'!$C$12="HoH",7,4))+2)))/'Inputs 2'!$C$8-$AO47/'Inputs 2'!$C$8)+$AR47+IF('Inputs 2'!$C$89="Aggregate",MAX(0,IF('Inputs 2'!$C$13,SUMPRODUCT((($AH47+$D47)&gt;INDEX('Methodology &amp; Sources'!$B$29:$J$36,0,IF('Inputs 2'!$C$12="MFJ",1,IF('Inputs 2'!$C$12="HoH",7,4))))*(($AH47+$D47)-INDEX('Methodology &amp; Sources'!$B$29:$J$36,0,IF('Inputs 2'!$C$12="MFJ",1,IF('Inputs 2'!$C$12="HoH",7,4))))*INDEX('Methodology &amp; Sources'!$B$29:$J$36,0,IF('Inputs 2'!$C$12="MFJ",1,IF('Inputs 2'!$C$12="HoH",7,4))+2)),SUMPRODUCT((($AH47+$D47)&gt;INDEX('Methodology &amp; Sources'!$B$19:$J$26,0,IF('Inputs 2'!$C$12="MFJ",1,IF('Inputs 2'!$C$12="HoH",7,4))))*(($AH47+$D47)-INDEX('Methodology &amp; Sources'!$B$19:$J$26,0,IF('Inputs 2'!$C$12="MFJ",1,IF('Inputs 2'!$C$12="HoH",7,4))))*INDEX('Methodology &amp; Sources'!$B$19:$J$26,0,IF('Inputs 2'!$C$12="MFJ",1,IF('Inputs 2'!$C$12="HoH",7,4))+2)))-IF('Inputs 2'!$C$13,SUMPRODUCT(($AH47&gt;INDEX('Methodology &amp; Sources'!$B$29:$J$36,0,IF('Inputs 2'!$C$12="MFJ",1,IF('Inputs 2'!$C$12="HoH",7,4))))*($AH47-INDEX('Methodology &amp; Sources'!$B$29:$J$36,0,IF('Inputs 2'!$C$12="MFJ",1,IF('Inputs 2'!$C$12="HoH",7,4))))*INDEX('Methodology &amp; Sources'!$B$29:$J$36,0,IF('Inputs 2'!$C$12="MFJ",1,IF('Inputs 2'!$C$12="HoH",7,4))+2)),SUMPRODUCT(($AH47&gt;INDEX('Methodology &amp; Sources'!$B$19:$J$26,0,IF('Inputs 2'!$C$12="MFJ",1,IF('Inputs 2'!$C$12="HoH",7,4))))*($AH47-INDEX('Methodology &amp; Sources'!$B$19:$J$26,0,IF('Inputs 2'!$C$12="MFJ",1,IF('Inputs 2'!$C$12="HoH",7,4))))*INDEX('Methodology &amp; Sources'!$B$19:$J$26,0,IF('Inputs 2'!$C$12="MFJ",1,IF('Inputs 2'!$C$12="HoH",7,4))+2)))),'Methodology &amp; Sources'!$C$10*$D47),2)))</f>
      </c>
      <c r="Q47" s="7">
        <f>IF($B47="","",ROUND('Methodology &amp; Sources'!$C$4*MIN($N47,MAX(0,'Methodology &amp; Sources'!$C$3-($AX47+$AB46-$AW47))),2))</f>
      </c>
      <c r="R47" s="7">
        <f>IF($B47="","",ROUND('Methodology &amp; Sources'!$C$5*$N47,2))</f>
      </c>
      <c r="S47" s="7">
        <f>IF($B47="","",ROUND('Methodology &amp; Sources'!$C$6*MAX(0,MIN($N47,$AG46+$N47-'Methodology &amp; Sources'!$C$7)),2))</f>
      </c>
      <c r="T47" s="7">
        <f>IF($B47="","",IF('Inputs 2'!$C$26,0,IF($AN47="CA",ROUND(IF($AI47&lt;=IF(($AS47+$AT47)&gt;=2,VLOOKUP($AN47,StateTables!$A$6:$AB$56,10,FALSE),VLOOKUP($AN47,StateTables!$A$6:$AB$56,9,FALSE)),0,MAX(0,SUMPRODUCT(($AJ47&gt;INDEX('Methodology &amp; Sources'!$B$39:$J$48,0,IF($AU47="Married",4,IF($AU47="Head of household",7,1))))*($AJ47-INDEX('Methodology &amp; Sources'!$B$39:$J$48,0,IF($AU47="Married",4,IF($AU47="Head of household",7,1))))*INDEX('Methodology &amp; Sources'!$B$39:$J$48,0,IF($AU47="Married",4,IF($AU47="Head of household",7,1))+2))-VLOOKUP($AN47,StateTables!$A$6:$AB$56,11,FALSE)*$AS47)/'Inputs 2'!$C$8)+'Inputs 2'!$C$25+VLOOKUP($AN47,StateTables!$A$6:$AB$56,13,FALSE)*$D47,2),IF(VLOOKUP($AN47,StateTables!$A$6:$AB$56,4,FALSE)="None",0,IF(ISNUMBER(SEARCH("MANUAL",VLOOKUP($AN47,StateTables!$A$6:$AB$56,5,FALSE))),'Inputs 2'!$C$28,ROUND(MAX(0,$BA47+$BB47)/'Inputs 2'!$C$8+'Inputs 2'!$C$25+$BC47,2))))))</f>
      </c>
      <c r="U47" s="7">
        <f>IF($B47="","",IF(VLOOKUP($AN47,StateTables!$A$6:$AB$56,24,FALSE)="flatq",IF(OR(MONTH($B47)=1,MONTH($B47)=4,MONTH($B47)=7,MONTH($B47)=10),VLOOKUP($AN47,StateTables!$A$6:$AB$56,25,FALSE),0),IF(VLOOKUP($AN47,StateTables!$A$6:$AB$56,24,FALSE)="dbl",MIN(ROUND(0.005*$N47,2),ROUND(0.6*52/'Inputs 2'!$C$8,2)),IF(OR(VLOOKUP($AN47,StateTables!$A$6:$AB$56,15,FALSE)="",VLOOKUP($AN47,StateTables!$A$6:$AB$56,15,FALSE)=0),0,ROUND(VLOOKUP($AN47,StateTables!$A$6:$AB$56,15,FALSE)*IF(OR(VLOOKUP($AN47,StateTables!$A$6:$AB$56,16,FALSE)="",VLOOKUP($AN47,StateTables!$A$6:$AB$56,16,FALSE)=0),$N47,MIN($N47,MAX(0,VLOOKUP($AN47,StateTables!$A$6:$AB$56,16,FALSE)-($AX47+$AB46-$AW47)))),2))))+IF(VLOOKUP($AN47,StateTables!$A$6:$AB$56,27,FALSE)="flatq",IF(OR(MONTH($B47)=1,MONTH($B47)=4,MONTH($B47)=7,MONTH($B47)=10),VLOOKUP($AN47,StateTables!$A$6:$AB$56,28,FALSE),0),IF(VLOOKUP($AN47,StateTables!$A$6:$AB$56,27,FALSE)="dbl",MIN(ROUND(0.005*$N47,2),ROUND(0.6*52/'Inputs 2'!$C$8,2)),IF(OR(VLOOKUP($AN47,StateTables!$A$6:$AB$56,18,FALSE)="",VLOOKUP($AN47,StateTables!$A$6:$AB$56,18,FALSE)=0),0,ROUND(VLOOKUP($AN47,StateTables!$A$6:$AB$56,18,FALSE)*IF(OR(VLOOKUP($AN47,StateTables!$A$6:$AB$56,19,FALSE)="",VLOOKUP($AN47,StateTables!$A$6:$AB$56,19,FALSE)=0),$N47,MIN($N47,MAX(0,VLOOKUP($AN47,StateTables!$A$6:$AB$56,19,FALSE)-($AX47+$AB46-$AW47)))),2)))))</f>
      </c>
      <c r="V47" s="7">
        <f>IF($B47="","",IF($AN47="NY",IF('Inputs 2'!$C$78,ROUND(SUMPRODUCT((MAX(0,($O47-$D47)*'Inputs 2'!$C$8-(IF($AU47="Married",5500,5000)+1000*$AS47))&gt;INDEX('Methodology &amp; Sources'!$B$184:$J$198,0,4))*(MAX(0,($O47-$D47)*'Inputs 2'!$C$8-(IF($AU47="Married",5500,5000)+1000*$AS47))-INDEX('Methodology &amp; Sources'!$B$184:$J$198,0,4))*INDEX('Methodology &amp; Sources'!$B$184:$J$198,0,4+2))/'Inputs 2'!$C$8+0.0425*$D47,2),0)+IF('Inputs 2'!$C$79="Resident",ROUND(0.1675*$T47,2),IF('Inputs 2'!$C$79="Nonresident",ROUND(0.005*MAX(0,($O47-$D47)-(IF($AU47="Married",7950,7400)+1000*$AS47)/'Inputs 2'!$C$8),2),0)),IF($AN47="PA",IF('Inputs 2'!$C$80="None",'Inputs 2'!$C$27+ROUND('Inputs 2'!$C$81*($C47+$D47),2),ROUND(IF('Inputs 2'!$C$80="Resident",IF($B47&lt;DATE(2027,7,1),0.03735,0.03735),IF($B47&lt;DATE(2027,7,1),0.03425,0.03425))*($C47+$D47),2)),IF($BF47=0,ROUND('Inputs 2'!$C$81*($C47+$D47),2),'Inputs 2'!$C$27+ROUND('Inputs 2'!$C$81*($C47+$D47),2)))))</f>
      </c>
      <c r="W47" s="7">
        <f>IF($B47="","",IF($BF47=0,0,$BP47))</f>
      </c>
      <c r="X47" s="7">
        <f>IF($B47="","",SUM($E47:$K47)+$P47+$Q47+$R47+$S47+$T47+$U47+$V47+$W47)</f>
      </c>
      <c r="Y47" s="22">
        <f>IF($B47="","",$C47+$D47-$X47)</f>
      </c>
      <c r="Z47" s="7">
        <f>IF($B47="","",$Z46+$C47+$D47)</f>
      </c>
      <c r="AA47" s="7">
        <f>IF($B47="","",$AA46+$Y47)</f>
      </c>
      <c r="AB47" s="7">
        <f>IF($B47="","",$AB46+MIN($N47,MAX(0,'Methodology &amp; Sources'!$C$3-($AX47+$AB46-$AW47))))</f>
      </c>
      <c r="AC47" s="7">
        <f>IF($B47="","",$AC46+$E47+$F47)</f>
      </c>
      <c r="AD47" s="3">
        <f>IF($B47="","",IF(AND($AB46&lt;'Methodology &amp; Sources'!$C$3,$AB47&gt;='Methodology &amp; Sources'!$C$3),"★ Social Security maxed on this check — from the next check your net rises by about $"&amp;TEXT(ROUND('Methodology &amp; Sources'!$C$4*$N47,2),"#,##0.00")&amp;". ","")&amp;IF(AND($AC46&lt;'Inputs 2'!$C$34,$AC47&gt;='Inputs 2'!$C$34),"★ 401(k) reaches the $"&amp;TEXT('Inputs 2'!$C$34,"#,##0")&amp;" cap on this check — deferrals stop and net pay rises. ","")&amp;IF(AND($AG46&lt;'Methodology &amp; Sources'!$C$7,$AG47&gt;='Methodology &amp; Sources'!$C$7),"★ Wages pass $200,000 — the 0.9% Additional Medicare Tax starts here. ","")&amp;IF(AND($BJ47&gt;0,$H47&gt;0,$BG46&lt;MIN($BJ47,'Methodology &amp; Sources'!$C$13),$BG46+$H47&gt;=MIN($BJ47,'Methodology &amp; Sources'!$C$13)),"★ Health FSA election is now fully deferred for the year. ",""))</f>
      </c>
      <c r="AE47" s="41" t="n"/>
      <c r="AF47" s="7">
        <f>IF(OR($B47="",$AE47=""),"",$AE47-$Y47)</f>
      </c>
      <c r="AG47" s="7">
        <f>IF($B47="","",$AG46+$N47)</f>
      </c>
      <c r="AH47" s="7">
        <f>IF($B47="","",MAX(0,($M47-$D47)*'Inputs 2'!$C$8+$AP47-$AQ47-IF('Inputs 2'!$C$13,0,IF('Inputs 2'!$C$12="MFJ",'Methodology &amp; Sources'!$C$8,'Methodology &amp; Sources'!$C$9))))</f>
      </c>
      <c r="AI47" s="7">
        <f>IF($B47="","",$O47*'Inputs 2'!$C$8)</f>
      </c>
      <c r="AJ47" s="7">
        <f>IF($B47="","",MAX(0,$AI47-VLOOKUP($AN47,StateTables!$A$6:$AB$56,12,FALSE)*$AT47-IF(($AS47+$AT47)&gt;=2,VLOOKUP($AN47,StateTables!$A$6:$AB$56,8,FALSE),VLOOKUP($AN47,StateTables!$A$6:$AB$56,7,FALSE))))</f>
      </c>
      <c r="AK47" s="7">
        <f>IF($B47="","",IFERROR(LOOKUP(2,1/(('Events 2'!$C$6:$C$17="Salary change")*('Events 2'!$B$6:$B$17&lt;=$B47)*('Events 2'!$B$6:$B$17&lt;&gt;"")),'Events 2'!$D$6:$D$17),IF('Inputs 2'!$C$4="Annual salary",'Inputs 2'!$C$5,'Inputs 2'!$C$6)))</f>
      </c>
      <c r="AL47">
        <f>IF($B47="","",IFERROR(LOOKUP(2,1/(('Events 2'!$C$6:$C$17="401(k) change")*('Events 2'!$B$6:$B$17&lt;=$B47)*('Events 2'!$B$6:$B$17&lt;&gt;"")),'Events 2'!$D$6:$D$17),'Inputs 2'!$C$30))</f>
      </c>
      <c r="AM47" s="7">
        <f>IF($B47="","",IFERROR(LOOKUP(2,1/(('Events 2'!$C$6:$C$17="401(k) change")*('Events 2'!$B$6:$B$17&lt;=$B47)*('Events 2'!$B$6:$B$17&lt;&gt;"")),'Events 2'!$E$6:$E$17),'Inputs 2'!$D$30))</f>
      </c>
      <c r="AN47">
        <f>IF($B47="","",IFERROR(LOOKUP(2,1/(('Events 2'!$C$6:$C$17="State move")*('Events 2'!$B$6:$B$17&lt;=$B47)*('Events 2'!$B$6:$B$17&lt;&gt;"")),'Events 2'!$D$6:$D$17),'Inputs 2'!$C$21))</f>
      </c>
      <c r="AO47" s="7">
        <f>IF($B47="","",IFERROR(LOOKUP(2,1/(('Events 2'!$C$6:$C$17="W-4 change")*('Events 2'!$B$6:$B$17&lt;=$B47)*('Events 2'!$B$6:$B$17&lt;&gt;"")),'Events 2'!$D$6:$D$17),'Inputs 2'!$C$14))</f>
      </c>
      <c r="AP47" s="7">
        <f>IF($B47="","",IFERROR(LOOKUP(2,1/(('Events 2'!$C$6:$C$17="W-4 change")*('Events 2'!$B$6:$B$17&lt;=$B47)*('Events 2'!$B$6:$B$17&lt;&gt;"")),'Events 2'!$E$6:$E$17),'Inputs 2'!$C$15))</f>
      </c>
      <c r="AQ47" s="7">
        <f>IF($B47="","",IFERROR(LOOKUP(2,1/(('Events 2'!$C$6:$C$17="W-4 change")*('Events 2'!$B$6:$B$17&lt;=$B47)*('Events 2'!$B$6:$B$17&lt;&gt;"")),'Events 2'!$F$6:$F$17),'Inputs 2'!$C$16))</f>
      </c>
      <c r="AR47" s="7">
        <f>IF($B47="","",IFERROR(LOOKUP(2,1/(('Events 2'!$C$6:$C$17="W-4 change")*('Events 2'!$B$6:$B$17&lt;=$B47)*('Events 2'!$B$6:$B$17&lt;&gt;"")),'Events 2'!$G$6:$G$17),'Inputs 2'!$C$17))</f>
      </c>
      <c r="AS47" s="6">
        <f>IF($B47="","",IFERROR(LOOKUP(2,1/((('Events 2'!$C$6:$C$17="State move")+('Events 2'!$C$6:$C$17="State cert change"))*('Events 2'!$B$6:$B$17&lt;=$B47)*('Events 2'!$B$6:$B$17&lt;&gt;"")),'Events 2'!$F$6:$F$17),'Inputs 2'!$C$23))</f>
      </c>
      <c r="AT47" s="6">
        <f>IF($B47="","",IFERROR(LOOKUP(2,1/((('Events 2'!$C$6:$C$17="State move")+('Events 2'!$C$6:$C$17="State cert change"))*('Events 2'!$B$6:$B$17&lt;=$B47)*('Events 2'!$B$6:$B$17&lt;&gt;"")),'Events 2'!$G$6:$G$17),'Inputs 2'!$C$24))</f>
      </c>
      <c r="AU47">
        <f>IF($B47="","",IFERROR(LOOKUP(2,1/(('Events 2'!$C$6:$C$17="State move")*('Events 2'!$B$6:$B$17&lt;=$B47)*('Events 2'!$B$6:$B$17&lt;&gt;"")),'Events 2'!$E$6:$E$17),'Inputs 2'!$C$22))</f>
      </c>
      <c r="AV47" s="6">
        <f>IF($B47="","",1+COUNTIFS('Events 2'!$C$6:$C$17,"Employer change",'Events 2'!$B$6:$B$17,"&lt;="&amp;$B47,'Events 2'!$B$6:$B$17,"&lt;&gt;"))</f>
      </c>
      <c r="AW47" s="7">
        <f>IF($B47="","",IF($AV47=1,'Inputs 2'!$C$49,IF(IFERROR(MATCH(IFERROR(LOOKUP(2,1/(('Events 2'!$C$6:$C$17="Employer change")*('Events 2'!$B$6:$B$17&lt;=$B47)*('Events 2'!$B$6:$B$17&lt;&gt;"")),'Events 2'!$B$6:$B$17),""),$B$6:$B$68,1),1)&lt;=1,'Inputs 2'!$C$49,INDEX($AB$6:$AB$68,MATCH(IFERROR(LOOKUP(2,1/(('Events 2'!$C$6:$C$17="Employer change")*('Events 2'!$B$6:$B$17&lt;=$B47)*('Events 2'!$B$6:$B$17&lt;&gt;"")),'Events 2'!$B$6:$B$17),""),$B$6:$B$68,1)-1))))</f>
      </c>
      <c r="AX47" s="7">
        <f>IF($B47="","",IF($AV47=1,'Inputs 2'!$C$49,IFERROR(LOOKUP(2,1/(('Events 2'!$C$6:$C$17="Employer change")*('Events 2'!$B$6:$B$17&lt;=$B47)*('Events 2'!$B$6:$B$17&lt;&gt;"")),'Events 2'!$D$6:$D$17),0)))</f>
      </c>
      <c r="AY47" s="7">
        <f>IF($B47="","",($O47-$D47)*'Inputs 2'!$C$8)</f>
      </c>
      <c r="AZ47" s="7">
        <f>IF($B47="","",IF($AN47="AL",MAX(0,$AY47-IF($AU47="Married",IF($AY47&lt;=25999,8500,MAX(5000,8500-175*CEILING(($AY47-25999)/500,1))),IF($AU47="Head of household",IF($AY47&lt;=25999,5200,MAX(2500,5200-135*CEILING(($AY47-25999)/500,1))),IF($AY47&lt;=25999,3000,MAX(2500,3000-25*CEILING(($AY47-25999)/500,1)))))-($P47-'Methodology &amp; Sources'!$C$10*$D47)*'Inputs 2'!$C$8-IF(OR($AU47="Married",$AU47="Head of household"),3000,1500)-$AT47*IF($AY47&lt;=50000,1000,IF($AY47&lt;=100000,500,300))),IF($AN47="AR",IF(MAX(0,$AY47-2470)&lt;97701,INT(MAX(0,$AY47-2470)/100)*100+50,MAX(0,$AY47-2470)),IF($AN47="DE",MAX(0,$AI47-3250),IF($AN47="HI",MAX(0,$AI47-1144*$AS47-4350),IF($AN47="KS",MAX(0,$AI47-(9160*IF($AU47="Married",2,1)+2320*$AT47+IF($AU47="Head of household",2320,0))),IF($AN47="MD",MAX(0,$AI47-3400-3200*$AS47),IF($AN47="MN",MAX(0,$AY47-5300*$AS47),IF($AN47="MO",MAX(0,$AI47-IF($AU47="Head of household",24150,IF($AU47="Married",IF('Inputs 2'!$C$83,16100,32200),16100))),IF($AN47="MT",$AY47,IF($AN47="ND",($C47+$L47)*'Inputs 2'!$C$8,IF($AN47="NE",MAX(0,$AY47-2440*$AS47),IF($AN47="NJ",MAX(0,$AY47-1000*$AS47),IF($AN47="NY",MAX(0,$AY47-(IF($AU47="Married",7950,7400)+1000*$AS47)),IF($AN47="OH",MAX(0,$AY47-650*$AS47),IF($AN47="OK",MAX(0,$AY47-1000*$AS47),IF($AN47="RI",MAX(0,$AI47-1000*$AS47),IF($AN47="SC",MAX(0,$AI47-5000*$AS47-IF($AS47=0,0,MIN(0.1*$AI47,7500))),IF($AN47="VA",MAX(0,$AI47-IF($AU47="Married",17500,8750)-930*$AS47-800*$AT47),IF($AN47="VT",MAX(0,$AI47-5400*$AS47),IF($AN47="WI",MAX(0,$AI47-MAX(0,IF($AU47="Married",9461-0.2*MAX(0,$AI47-25727),6702-0.12*MAX(0,$AI47-17780)))-400*$AS47),IF($AN47="WV",MAX(0,$AI47-2000*$AS47),$AI47))))))))))))))))))))))</f>
      </c>
      <c r="BA47" s="7">
        <f>IF($B47="","",IF($BW47&lt;&gt;"",$BW47,IF($BX47&lt;&gt;"",$BX47,IF($BY47&lt;&gt;"",$BY47,0))))</f>
      </c>
      <c r="BB47" s="7">
        <f>IF($B47="","",IF($AN47="AR",-29*$AS47,IF($AN47="DE",-110*$AS47,IF($AN47="MD",$AZ47*'Inputs 2'!$C$74,IF($AN47="AZ",'Inputs 2'!$C$82*($M47-$D47)*'Inputs 2'!$C$8,IF($AN47="CO",0.044*MAX(0,$AY47-IF($AU47="Married",10000,5000)),IF($AN47="IA",MAX(0,0.038*MAX(0,$AY47-IF($AU47="Head of household",19500,IF($AU47="Married",26000,13000)))-40*$AS47),IF($AN47="ID",0.053*MAX(0,$AY47-IF($AU47="Married",32000,16094)),IF($AN47="IL",0.0495*MAX(0,$AY47-(2925*$AS47+1000*$AT47)),IF($AN47="IN",(0.0295+'Inputs 2'!$C$76)*MAX(0,$AY47-(1000*$AS47+1500*$AT47+3000*'Inputs 2'!$C$86)),IF($AN47="KY",0.035*MAX(0,$AI47-3360),IF($AN47="LA",IF('Inputs 2'!$C$84="0",0.0309*$AI47,0.0309*MAX(0,$AI47-IF('Inputs 2'!$C$84="2",25750,12875))),IF($AN47="MA",0.05*MIN(MAX(0,$AY47-MIN(($BD46+$Q47+$R47+$S47),2000)-IF($AS47=0,0,IF($AS47=1,4400,1000*$AS47+3400))),1107750)+0.09*MAX(0,MAX(0,$AY47-MIN(($BD46+$Q47+$R47+$S47),2000)-IF($AS47=0,0,IF($AS47=1,4400,1000*$AS47+3400)))-1107750)-IF($AU47="Head of household",120,0)-110*'Inputs 2'!$C$75,IF($AN47="MI",0.0425*MAX(0,$AY47-5900*$AS47),IF($AN47="MS",0.04*MAX(0,$AI47-IF($AU47="Head of household",3400,IF($AU47="Married",4600,2300))-'Inputs 2'!$C$85-10000),IF($AN47="OR",IF(OR($AU47="Married",AND($AU47="Single",$AS47&gt;=3)),SUMPRODUCT((MAX(0,$AY47-MIN(($P47-'Methodology &amp; Sources'!$C$10*$D47)*'Inputs 2'!$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Sources'!$B$211:$J$214,0,4))*(MAX(0,$AY47-MIN(($P47-'Methodology &amp; Sources'!$C$10*$D47)*'Inputs 2'!$C$8,IF(OR($AU47="Married",AND($AU47="Single",$AS47&gt;=3)),IF($AY47&lt;250000,8750,IF($AY47&lt;260000,7000,IF($AY47&lt;270000,5250,IF($AY47&lt;280000,3500,IF($AY47&lt;290000,1750,0))))),IF($AY47&lt;125000,8750,IF($AY47&lt;130000,7000,IF($AY47&lt;135000,5250,IF($AY47&lt;140000,3500,IF($AY47&lt;145000,1750,0)))))))-IF(OR($AU47="Married",AND($AU47="Single",$AS47&gt;=3)),5820,2910))-INDEX('Methodology &amp; Sources'!$B$211:$J$214,0,4))*INDEX('Methodology &amp; Sources'!$B$211:$J$214,0,4+2)),SUMPRODUCT((MAX(0,$AY47-MIN(($P47-'Methodology &amp; Sources'!$C$10*$D47)*'Inputs 2'!$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Sources'!$B$211:$J$214,0,1))*(MAX(0,$AY47-MIN(($P47-'Methodology &amp; Sources'!$C$10*$D47)*'Inputs 2'!$C$8,IF(OR($AU47="Married",AND($AU47="Single",$AS47&gt;=3)),IF($AY47&lt;250000,8750,IF($AY47&lt;260000,7000,IF($AY47&lt;270000,5250,IF($AY47&lt;280000,3500,IF($AY47&lt;290000,1750,0))))),IF($AY47&lt;125000,8750,IF($AY47&lt;130000,7000,IF($AY47&lt;135000,5250,IF($AY47&lt;140000,3500,IF($AY47&lt;145000,1750,0)))))))-IF(OR($AU47="Married",AND($AU47="Single",$AS47&gt;=3)),5820,2910))-INDEX('Methodology &amp; Sources'!$B$211:$J$214,0,1))*INDEX('Methodology &amp; Sources'!$B$211:$J$214,0,1+2)))+263-263*IF(IF($AU47="Married",$AY47&gt;200000,$AY47&gt;100000),0,$AS47),IF($AN47="PA",0.0307*(($O47+$E47+$G47)*'Inputs 2'!$C$8),IF($AN47="NY",IF($AU47="Married",IF($AZ47&gt;=2155350,0,IF($AZ47&gt;=1077550,0.48,IF($AZ47&gt;=373200,1.21,IF($AZ47&gt;=323200,0.21,IF($AZ47&gt;=211550,-0.19,IF($AZ47&gt;=157650,-2.8,IF($AZ47&gt;=107650,-0.8,IF($AZ47&gt;=96800,0.05,IF($AZ47&gt;=80650,-0.1,IF($AZ47&gt;=13900,0.4,IF($AZ47&gt;=11700,-0.3,IF($AZ47&gt;=8500,0.5,0)))))))))))),IF($AZ47&gt;=1077550,0,IF($AZ47&gt;=265400,4.29,IF($AZ47&gt;=215400,2.29,IF($AZ47&gt;=157650,2.29,IF($AZ47&gt;=107650,0.29,IF($AZ47&gt;=96800,0.05,IF($AZ47&gt;=80650,-0.1,IF($AZ47&gt;=13900,0.4,IF($AZ47&gt;=11700,-0.3,IF($AZ47&gt;=8500,0.5,0))))))))))),0))))))))))))))))))</f>
      </c>
      <c r="BC47" s="7">
        <f>IF($B47="","",IF($AN47="AL",0.05*$D47,IF($AN47="AR",0.039*$D47,IF($AN47="ID",0.053*$D47,IF($AN47="IN",(0.0295+'Inputs 2'!$C$76)*$D47,IF($AN47="KS",0.05*$D47,IF($AN47="MA",0.09*MIN($D47,MAX(0,MAX(0,$AY47-MIN(($BD46+$Q47+$R47+$S47),2000)-IF($AS47=0,0,IF($AS47=1,4400,1000*$AS47+3400)))+$D47-1107750))+0.05*($D47-MIN($D47,MAX(0,MAX(0,$AY47-MIN(($BD46+$Q47+$R47+$S47),2000)-IF($AS47=0,0,IF($AS47=1,4400,1000*$AS47+3400)))+$D47-1107750))),IF($AN47="MD",(0.065+'Inputs 2'!$C$74)*$D47,IF($AN47="MI",0.0425*$D47,IF($AN47="MN",0.0625*$D47,IF($AN47="MO",0.047*$D47,IF($AN47="MT",0.05*$D47,IF($AN47="ND",0.015*$D47,IF($AN47="NE",0.035*$D47,IF($AN47="NJ",IF('Inputs 2'!$C$77="B",SUMPRODUCT(($D47*'Inputs 2'!$C$8&gt;INDEX('Methodology &amp; Sources'!$B$155:$J$162,0,4))*($D47*'Inputs 2'!$C$8-INDEX('Methodology &amp; Sources'!$B$155:$J$162,0,4))*INDEX('Methodology &amp; Sources'!$B$155:$J$162,0,4+2)),IF('Inputs 2'!$C$77="C",SUMPRODUCT(($D47*'Inputs 2'!$C$8&gt;INDEX('Methodology &amp; Sources'!$B$155:$J$162,0,7))*($D47*'Inputs 2'!$C$8-INDEX('Methodology &amp; Sources'!$B$155:$J$162,0,7))*INDEX('Methodology &amp; Sources'!$B$155:$J$162,0,7+2)),IF('Inputs 2'!$C$77="D",SUMPRODUCT(($D47*'Inputs 2'!$C$8&gt;INDEX('Methodology &amp; Sources'!$B$167:$J$179,0,1))*($D47*'Inputs 2'!$C$8-INDEX('Methodology &amp; Sources'!$B$167:$J$179,0,1))*INDEX('Methodology &amp; Sources'!$B$167:$J$179,0,1+2)),IF('Inputs 2'!$C$77="E",SUMPRODUCT(($D47*'Inputs 2'!$C$8&gt;INDEX('Methodology &amp; Sources'!$B$167:$J$179,0,4))*($D47*'Inputs 2'!$C$8-INDEX('Methodology &amp; Sources'!$B$167:$J$179,0,4))*INDEX('Methodology &amp; Sources'!$B$167:$J$179,0,4+2)),SUMPRODUCT(($D47*'Inputs 2'!$C$8&gt;INDEX('Methodology &amp; Sources'!$B$155:$J$162,0,1))*($D47*'Inputs 2'!$C$8-INDEX('Methodology &amp; Sources'!$B$155:$J$162,0,1))*INDEX('Methodology &amp; Sources'!$B$155:$J$162,0,1+2))))))/'Inputs 2'!$C$8,IF($AN47="NY",0.117*$D47,IF($AN47="OH",0.0275*$D47,IF($AN47="OK",0.045*$D47,IF($AN47="OR",0.08*$D47,IF($AN47="WI",IF($AY47&lt;12760,0.0354,IF($AY47&lt;25520,0.0465,IF($AY47&lt;280950,0.053,0.0765)))*$D47,0))))))))))))))))))))</f>
      </c>
      <c r="BD47" s="7">
        <f>IF($B47="","",$BD46+$Q47+$R47+$S47)</f>
      </c>
      <c r="BE47" s="6">
        <f>IF($B47="",$BE46,$BE46+$BF47)</f>
      </c>
      <c r="BF47" s="6">
        <f>IF($B47="","",IF(AND(IF(YEAR(IF('Inputs 2'!$C$7="Weekly",'Inputs 2'!$C$9+7*(($BE46+1)-1),IF('Inputs 2'!$C$7="Biweekly",'Inputs 2'!$C$9+14*(($BE46+1)-1),IF('Inputs 2'!$C$7="Semimonthly",DATE(YEAR('Inputs 2'!$C$9),MONTH('Inputs 2'!$C$9)+INT((($BE46+1)-1)/2),MIN(DAY('Inputs 2'!$C$9),DAY(EOMONTH(DATE(YEAR('Inputs 2'!$C$9),MONTH('Inputs 2'!$C$9)+INT((($BE46+1)-1)/2),1),0))))+IF(MOD(($BE46+1)-1,2)=1,15,0),EDATE('Inputs 2'!$C$9,($BE46+1)-1)))))&lt;&gt;'Inputs 2'!$C$10,"",IF('Inputs 2'!$C$7="Weekly",'Inputs 2'!$C$9+7*(($BE46+1)-1),IF('Inputs 2'!$C$7="Biweekly",'Inputs 2'!$C$9+14*(($BE46+1)-1),IF('Inputs 2'!$C$7="Semimonthly",DATE(YEAR('Inputs 2'!$C$9),MONTH('Inputs 2'!$C$9)+INT((($BE46+1)-1)/2),MIN(DAY('Inputs 2'!$C$9),DAY(EOMONTH(DATE(YEAR('Inputs 2'!$C$9),MONTH('Inputs 2'!$C$9)+INT((($BE46+1)-1)/2),1),0))))+IF(MOD(($BE46+1)-1,2)=1,15,0),EDATE('Inputs 2'!$C$9,($BE46+1)-1)))))&lt;&gt;"",$B47=IF(YEAR(IF('Inputs 2'!$C$7="Weekly",'Inputs 2'!$C$9+7*(($BE46+1)-1),IF('Inputs 2'!$C$7="Biweekly",'Inputs 2'!$C$9+14*(($BE46+1)-1),IF('Inputs 2'!$C$7="Semimonthly",DATE(YEAR('Inputs 2'!$C$9),MONTH('Inputs 2'!$C$9)+INT((($BE46+1)-1)/2),MIN(DAY('Inputs 2'!$C$9),DAY(EOMONTH(DATE(YEAR('Inputs 2'!$C$9),MONTH('Inputs 2'!$C$9)+INT((($BE46+1)-1)/2),1),0))))+IF(MOD(($BE46+1)-1,2)=1,15,0),EDATE('Inputs 2'!$C$9,($BE46+1)-1)))))&lt;&gt;'Inputs 2'!$C$10,"",IF('Inputs 2'!$C$7="Weekly",'Inputs 2'!$C$9+7*(($BE46+1)-1),IF('Inputs 2'!$C$7="Biweekly",'Inputs 2'!$C$9+14*(($BE46+1)-1),IF('Inputs 2'!$C$7="Semimonthly",DATE(YEAR('Inputs 2'!$C$9),MONTH('Inputs 2'!$C$9)+INT((($BE46+1)-1)/2),MIN(DAY('Inputs 2'!$C$9),DAY(EOMONTH(DATE(YEAR('Inputs 2'!$C$9),MONTH('Inputs 2'!$C$9)+INT((($BE46+1)-1)/2),1),0))))+IF(MOD(($BE46+1)-1,2)=1,15,0),EDATE('Inputs 2'!$C$9,($BE46+1)-1)))))),1,0))</f>
      </c>
      <c r="BG47" s="7">
        <f>IF($B47="","",$BG46+$H47)</f>
      </c>
      <c r="BH47" s="7">
        <f>IF($B47="","",$BH46+$I47)</f>
      </c>
      <c r="BI47" s="7">
        <f>IF($B47="","",$BI46+$G47)</f>
      </c>
      <c r="BJ47" s="7">
        <f>IF($B47="","",IFERROR(LOOKUP(2,1/(((('Events 2'!$C$6:$C$17="Deduction start"))*('Events 2'!$D$6:$D$17="Health FSA"))*('Events 2'!$B$6:$B$17&lt;=$B47)*('Events 2'!$B$6:$B$17&lt;&gt;"")),'Events 2'!$E$6:$E$17),'Inputs 2'!$D$38))</f>
      </c>
      <c r="BK47" s="7">
        <f>IF($B47="","",IFERROR(LOOKUP(2,1/(((('Events 2'!$C$6:$C$17="Deduction start"))*('Events 2'!$D$6:$D$17="Dependent-care FSA"))*('Events 2'!$B$6:$B$17&lt;=$B47)*('Events 2'!$B$6:$B$17&lt;&gt;"")),'Events 2'!$E$6:$E$17),'Inputs 2'!$D$39))</f>
      </c>
      <c r="BL47" s="7">
        <f>IF($B47="","",IFERROR(LOOKUP(2,1/(((('Events 2'!$C$6:$C$17="Deduction start")+('Events 2'!$C$6:$C$17="Deduction stop"))*('Events 2'!$D$6:$D$17="HSA"))*('Events 2'!$B$6:$B$17&lt;=$B47)*('Events 2'!$B$6:$B$17&lt;&gt;"")),'Events 2'!$I$6:$I$17),'Inputs 2'!$D$35))</f>
      </c>
      <c r="BM47" s="7">
        <f>IF($B47="","",IFERROR(LOOKUP(2,1/(((('Events 2'!$C$6:$C$17="Deduction start")+('Events 2'!$C$6:$C$17="Deduction stop"))*('Events 2'!$D$6:$D$17="Premiums"))*('Events 2'!$B$6:$B$17&lt;=$B47)*('Events 2'!$B$6:$B$17&lt;&gt;"")),'Events 2'!$I$6:$I$17),'Inputs 2'!$D$40+'Inputs 2'!$D$41+'Inputs 2'!$D$42))</f>
      </c>
      <c r="BN47" s="7">
        <f>IF($B47="","",IFERROR(LOOKUP(2,1/(((('Events 2'!$C$6:$C$17="Deduction start")+('Events 2'!$C$6:$C$17="Deduction stop"))*('Events 2'!$D$6:$D$17="Commuter"))*('Events 2'!$B$6:$B$17&lt;=$B47)*('Events 2'!$B$6:$B$17&lt;&gt;"")),'Events 2'!$I$6:$I$17),'Inputs 2'!$D$43))</f>
      </c>
      <c r="BO47" s="7">
        <f>IF($B47="","",IFERROR(LOOKUP(2,1/(((('Events 2'!$C$6:$C$17="Deduction start")+('Events 2'!$C$6:$C$17="Deduction stop"))*('Events 2'!$D$6:$D$17="Other pre-tax"))*('Events 2'!$B$6:$B$17&lt;=$B47)*('Events 2'!$B$6:$B$17&lt;&gt;"")),'Events 2'!$I$6:$I$17),'Inputs 2'!$D$44))</f>
      </c>
      <c r="BP47" s="7">
        <f>IF($B47="","",IFERROR(LOOKUP(2,1/(((('Events 2'!$C$6:$C$17="Deduction start")+('Events 2'!$C$6:$C$17="Deduction stop"))*('Events 2'!$D$6:$D$17="Other post-tax"))*('Events 2'!$B$6:$B$17&lt;=$B47)*('Events 2'!$B$6:$B$17&lt;&gt;"")),'Events 2'!$I$6:$I$17),'Inputs 2'!$D$45))</f>
      </c>
      <c r="BQ47" s="6">
        <f>IF($B47="","",IFERROR(LOOKUP(2,1/(((('Events 2'!$C$6:$C$17="Deduction start")+('Events 2'!$C$6:$C$17="Deduction stop"))*('Events 2'!$D$6:$D$17="Health FSA"))*('Events 2'!$B$6:$B$17&lt;=$B47)*('Events 2'!$B$6:$B$17&lt;&gt;"")),'Events 2'!$J$6:$J$17),0))</f>
      </c>
      <c r="BR47" s="6">
        <f>IF($B47="","",IFERROR(LOOKUP(2,1/(((('Events 2'!$C$6:$C$17="Deduction start")+('Events 2'!$C$6:$C$17="Deduction stop"))*('Events 2'!$D$6:$D$17="Dependent-care FSA"))*('Events 2'!$B$6:$B$17&lt;=$B47)*('Events 2'!$B$6:$B$17&lt;&gt;"")),'Events 2'!$J$6:$J$17),0))</f>
      </c>
      <c r="BS47" s="6">
        <f>IF($B47="","",IF(SUMPRODUCT(('Events 2'!$C$6:$C$17="Deduction start")*('Events 2'!$B$6:$B$17&lt;=$B47)*('Events 2'!$B$6:$B$17&lt;&gt;"")*('Events 2'!$D$6:$D$17="Health FSA"))&gt;0,1,0))</f>
      </c>
      <c r="BT47" s="6">
        <f>IF($B47="","",IF(SUMPRODUCT(('Events 2'!$C$6:$C$17="Deduction start")*('Events 2'!$B$6:$B$17&lt;=$B47)*('Events 2'!$B$6:$B$17&lt;&gt;"")*('Events 2'!$D$6:$D$17="Dependent-care FSA"))&gt;0,1,0))</f>
      </c>
      <c r="BU47" s="24">
        <f>IF($B47="","",IF('Inputs 2'!$C$13,SUMPRODUCT(($AH47&gt;=INDEX('Methodology &amp; Sources'!$B$29:$J$36,0,IF('Inputs 2'!$C$12="MFJ",1,IF('Inputs 2'!$C$12="HoH",7,4))))*INDEX('Methodology &amp; Sources'!$B$29:$J$36,0,IF('Inputs 2'!$C$12="MFJ",1,IF('Inputs 2'!$C$12="HoH",7,4))+2)),SUMPRODUCT(($AH47&gt;=INDEX('Methodology &amp; Sources'!$B$19:$J$26,0,IF('Inputs 2'!$C$12="MFJ",1,IF('Inputs 2'!$C$12="HoH",7,4))))*INDEX('Methodology &amp; Sources'!$B$19:$J$26,0,IF('Inputs 2'!$C$12="MFJ",1,IF('Inputs 2'!$C$12="HoH",7,4))+2))))</f>
      </c>
      <c r="BV47" s="24">
        <f>IF($B47="","",IF($BZ47&lt;&gt;"",$BZ47,IF($CA47&lt;&gt;"",$CA47,IF($CB47&lt;&gt;"",$CB47,IF($CC47&lt;&gt;"",$CC47,0)))))</f>
      </c>
      <c r="BW47" s="7">
        <f>IF($B47="","",IF($AN47="MD",IF(OR($AU47="Married",$AU47="Head of household"),SUMPRODUCT(($AZ47&gt;INDEX('Methodology &amp; Sources'!$B$114:$J$120,0,1))*($AZ47-INDEX('Methodology &amp; Sources'!$B$114:$J$120,0,1))*INDEX('Methodology &amp; Sources'!$B$114:$J$120,0,1+2)),SUMPRODUCT(($AZ47&gt;INDEX('Methodology &amp; Sources'!$B$103:$J$109,0,7))*($AZ47-INDEX('Methodology &amp; Sources'!$B$103:$J$109,0,7))*INDEX('Methodology &amp; Sources'!$B$103:$J$109,0,7+2))),IF($AN47="MO",SUMPRODUCT(($AZ47&gt;INDEX('Methodology &amp; Sources'!$B$125:$J$132,0,1))*($AZ47-INDEX('Methodology &amp; Sources'!$B$125:$J$132,0,1))*INDEX('Methodology &amp; Sources'!$B$125:$J$132,0,1+2)),IF($AN47="MT",IF($AU47="Head of household",SUMPRODUCT(($AZ47&gt;INDEX('Methodology &amp; Sources'!$B$137:$J$139,0,1))*($AZ47-INDEX('Methodology &amp; Sources'!$B$137:$J$139,0,1))*INDEX('Methodology &amp; Sources'!$B$137:$J$139,0,1+2)),IF($AU47="Married",SUMPRODUCT(($AZ47&gt;INDEX('Methodology &amp; Sources'!$B$125:$J$132,0,7))*($AZ47-INDEX('Methodology &amp; Sources'!$B$125:$J$132,0,7))*INDEX('Methodology &amp; Sources'!$B$125:$J$132,0,7+2)),SUMPRODUCT(($AZ47&gt;INDEX('Methodology &amp; Sources'!$B$125:$J$132,0,4))*($AZ47-INDEX('Methodology &amp; Sources'!$B$125:$J$132,0,4))*INDEX('Methodology &amp; Sources'!$B$125:$J$132,0,4+2)))),IF($AN47="ND",IF($AU47="Head of household",SUMPRODUCT(($AZ47&gt;INDEX('Methodology &amp; Sources'!$B$144:$J$150,0,1))*($AZ47-INDEX('Methodology &amp; Sources'!$B$144:$J$150,0,1))*INDEX('Methodology &amp; Sources'!$B$144:$J$150,0,1+2)),IF($AU47="Married",SUMPRODUCT(($AZ47&gt;INDEX('Methodology &amp; Sources'!$B$137:$J$139,0,7))*($AZ47-INDEX('Methodology &amp; Sources'!$B$137:$J$139,0,7))*INDEX('Methodology &amp; Sources'!$B$137:$J$139,0,7+2)),SUMPRODUCT(($AZ47&gt;INDEX('Methodology &amp; Sources'!$B$137:$J$139,0,4))*($AZ47-INDEX('Methodology &amp; Sources'!$B$137:$J$139,0,4))*INDEX('Methodology &amp; Sources'!$B$137:$J$139,0,4+2)))),IF($AN47="NJ",IF('Inputs 2'!$C$77="B",SUMPRODUCT(($AZ47&gt;INDEX('Methodology &amp; Sources'!$B$155:$J$162,0,4))*($AZ47-INDEX('Methodology &amp; Sources'!$B$155:$J$162,0,4))*INDEX('Methodology &amp; Sources'!$B$155:$J$162,0,4+2)),IF('Inputs 2'!$C$77="C",SUMPRODUCT(($AZ47&gt;INDEX('Methodology &amp; Sources'!$B$155:$J$162,0,7))*($AZ47-INDEX('Methodology &amp; Sources'!$B$155:$J$162,0,7))*INDEX('Methodology &amp; Sources'!$B$155:$J$162,0,7+2)),IF('Inputs 2'!$C$77="D",SUMPRODUCT(($AZ47&gt;INDEX('Methodology &amp; Sources'!$B$167:$J$179,0,1))*($AZ47-INDEX('Methodology &amp; Sources'!$B$167:$J$179,0,1))*INDEX('Methodology &amp; Sources'!$B$167:$J$179,0,1+2)),IF('Inputs 2'!$C$77="E",SUMPRODUCT(($AZ47&gt;INDEX('Methodology &amp; Sources'!$B$167:$J$179,0,4))*($AZ47-INDEX('Methodology &amp; Sources'!$B$167:$J$179,0,4))*INDEX('Methodology &amp; Sources'!$B$167:$J$179,0,4+2)),SUMPRODUCT(($AZ47&gt;INDEX('Methodology &amp; Sources'!$B$155:$J$162,0,1))*($AZ47-INDEX('Methodology &amp; Sources'!$B$155:$J$162,0,1))*INDEX('Methodology &amp; Sources'!$B$155:$J$162,0,1+2)))))),IF($AN47="NY",IF($AU47="Married",IF($AZ47&gt;=2155350,$AZ47*IF($AZ47&gt;25000000,0.117,IF($AZ47&gt;5000000,0.111,0.1045)),SUMPRODUCT(($AZ47&gt;INDEX('Methodology &amp; Sources'!$B$184:$J$198,0,1))*($AZ47-INDEX('Methodology &amp; Sources'!$B$184:$J$198,0,1))*INDEX('Methodology &amp; Sources'!$B$184:$J$198,0,1+2))),IF($AZ47&gt;=1077550,$AZ47*IF($AZ47&gt;25000000,0.117,IF($AZ47&gt;5000000,0.111,0.1045)),SUMPRODUCT(($AZ47&gt;INDEX('Methodology &amp; Sources'!$B$167:$J$179,0,7))*($AZ47-INDEX('Methodology &amp; Sources'!$B$167:$J$179,0,7))*INDEX('Methodology &amp; Sources'!$B$167:$J$179,0,7+2)))),"")))))))</f>
      </c>
      <c r="BX47" s="7">
        <f>IF($B47="","",IF($AN47="AL",IF(OR($AU47="Married",$AU47="Head of household"),SUMPRODUCT(($AZ47&gt;INDEX('Methodology &amp; Sources'!$B$82:$J$86,0,4))*($AZ47-INDEX('Methodology &amp; Sources'!$B$82:$J$86,0,4))*INDEX('Methodology &amp; Sources'!$B$82:$J$86,0,4+2)),SUMPRODUCT(($AZ47&gt;INDEX('Methodology &amp; Sources'!$B$82:$J$86,0,1))*($AZ47-INDEX('Methodology &amp; Sources'!$B$82:$J$86,0,1))*INDEX('Methodology &amp; Sources'!$B$82:$J$86,0,1+2))),IF($AN47="KS",IF($AU47="Married",SUMPRODUCT(($AZ47&gt;INDEX('Methodology &amp; Sources'!$B$103:$J$109,0,4))*($AZ47-INDEX('Methodology &amp; Sources'!$B$103:$J$109,0,4))*INDEX('Methodology &amp; Sources'!$B$103:$J$109,0,4+2)),SUMPRODUCT(($AZ47&gt;INDEX('Methodology &amp; Sources'!$B$103:$J$109,0,1))*($AZ47-INDEX('Methodology &amp; Sources'!$B$103:$J$109,0,1))*INDEX('Methodology &amp; Sources'!$B$103:$J$109,0,1+2))),IF($AN47="MN",IF($AU47="Married",SUMPRODUCT(($AZ47&gt;INDEX('Methodology &amp; Sources'!$B$114:$J$120,0,7))*($AZ47-INDEX('Methodology &amp; Sources'!$B$114:$J$120,0,7))*INDEX('Methodology &amp; Sources'!$B$114:$J$120,0,7+2)),SUMPRODUCT(($AZ47&gt;INDEX('Methodology &amp; Sources'!$B$114:$J$120,0,4))*($AZ47-INDEX('Methodology &amp; Sources'!$B$114:$J$120,0,4))*INDEX('Methodology &amp; Sources'!$B$114:$J$120,0,4+2))),IF($AN47="NE",MAX(IF($AU47="Married",SUMPRODUCT(($AZ47&gt;INDEX('Methodology &amp; Sources'!$B$144:$J$150,0,7))*($AZ47-INDEX('Methodology &amp; Sources'!$B$144:$J$150,0,7))*INDEX('Methodology &amp; Sources'!$B$144:$J$150,0,7+2)),SUMPRODUCT(($AZ47&gt;INDEX('Methodology &amp; Sources'!$B$144:$J$150,0,4))*($AZ47-INDEX('Methodology &amp; Sources'!$B$144:$J$150,0,4))*INDEX('Methodology &amp; Sources'!$B$144:$J$150,0,4+2))),0.015*$AZ47),IF($AN47="OH",IF($B47&gt;=DATE(2027,8,1),SUMPRODUCT(($AZ47&gt;INDEX('Methodology &amp; Sources'!$B$203:$J$206,0,1))*($AZ47-INDEX('Methodology &amp; Sources'!$B$203:$J$206,0,1))*INDEX('Methodology &amp; Sources'!$B$203:$J$206,0,1+2)),SUMPRODUCT(($AZ47&gt;INDEX('Methodology &amp; Sources'!$B$184:$J$198,0,7))*($AZ47-INDEX('Methodology &amp; Sources'!$B$184:$J$198,0,7))*INDEX('Methodology &amp; Sources'!$B$184:$J$198,0,7+2))),IF($AN47="OK",IF($AU47="Married",SUMPRODUCT(($AZ47&gt;INDEX('Methodology &amp; Sources'!$B$203:$J$206,0,7))*($AZ47-INDEX('Methodology &amp; Sources'!$B$203:$J$206,0,7))*INDEX('Methodology &amp; Sources'!$B$203:$J$206,0,7+2)),SUMPRODUCT(($AZ47&gt;INDEX('Methodology &amp; Sources'!$B$203:$J$206,0,4))*($AZ47-INDEX('Methodology &amp; Sources'!$B$203:$J$206,0,4))*INDEX('Methodology &amp; Sources'!$B$203:$J$206,0,4+2))),IF($AN47="RI",SUMPRODUCT(($AZ47&gt;INDEX('Methodology &amp; Sources'!$B$211:$J$214,0,7))*($AZ47-INDEX('Methodology &amp; Sources'!$B$211:$J$214,0,7))*INDEX('Methodology &amp; Sources'!$B$211:$J$214,0,7+2)),IF($AN47="VT",IF($AU47="Married",SUMPRODUCT(($AZ47&gt;INDEX('Methodology &amp; Sources'!$B$228:$J$232,0,1))*($AZ47-INDEX('Methodology &amp; Sources'!$B$228:$J$232,0,1))*INDEX('Methodology &amp; Sources'!$B$228:$J$232,0,1+2)),SUMPRODUCT(($AZ47&gt;INDEX('Methodology &amp; Sources'!$B$219:$J$223,0,7))*($AZ47-INDEX('Methodology &amp; Sources'!$B$219:$J$223,0,7))*INDEX('Methodology &amp; Sources'!$B$219:$J$223,0,7+2))),IF($AN47="WV",IF($AU47="Married",SUMPRODUCT(($AZ47&gt;INDEX('Methodology &amp; Sources'!$B$237:$J$241,0,7))*($AZ47-INDEX('Methodology &amp; Sources'!$B$237:$J$241,0,7))*INDEX('Methodology &amp; Sources'!$B$237:$J$241,0,7+2)),SUMPRODUCT(($AZ47&gt;INDEX('Methodology &amp; Sources'!$B$228:$J$232,0,7))*($AZ47-INDEX('Methodology &amp; Sources'!$B$228:$J$232,0,7))*INDEX('Methodology &amp; Sources'!$B$228:$J$232,0,7+2))),""))))))))))</f>
      </c>
      <c r="BY47" s="7">
        <f>IF($B47="","",IF($AN47="AR",SUMPRODUCT(($AZ47&gt;INDEX('Methodology &amp; Sources'!$B$82:$J$86,0,7))*($AZ47-INDEX('Methodology &amp; Sources'!$B$82:$J$86,0,7))*INDEX('Methodology &amp; Sources'!$B$82:$J$86,0,7+2)),IF($AN47="DE",SUMPRODUCT(($AZ47&gt;INDEX('Methodology &amp; Sources'!$B$91:$J$98,0,1))*($AZ47-INDEX('Methodology &amp; Sources'!$B$91:$J$98,0,1))*INDEX('Methodology &amp; Sources'!$B$91:$J$98,0,1+2)),IF($AN47="HI",IF($AU47="Married",SUMPRODUCT(($AZ47&gt;INDEX('Methodology &amp; Sources'!$B$91:$J$98,0,7))*($AZ47-INDEX('Methodology &amp; Sources'!$B$91:$J$98,0,7))*INDEX('Methodology &amp; Sources'!$B$91:$J$98,0,7+2)),SUMPRODUCT(($AZ47&gt;INDEX('Methodology &amp; Sources'!$B$91:$J$98,0,4))*($AZ47-INDEX('Methodology &amp; Sources'!$B$91:$J$98,0,4))*INDEX('Methodology &amp; Sources'!$B$91:$J$98,0,4+2))),IF($AN47="SC",SUMPRODUCT(($AZ47&gt;INDEX('Methodology &amp; Sources'!$B$219:$J$223,0,1))*($AZ47-INDEX('Methodology &amp; Sources'!$B$219:$J$223,0,1))*INDEX('Methodology &amp; Sources'!$B$219:$J$223,0,1+2)),IF($AN47="VA",SUMPRODUCT(($AZ47&gt;INDEX('Methodology &amp; Sources'!$B$219:$J$223,0,4))*($AZ47-INDEX('Methodology &amp; Sources'!$B$219:$J$223,0,4))*INDEX('Methodology &amp; Sources'!$B$219:$J$223,0,4+2)),IF($AN47="WI",SUMPRODUCT(($AZ47&gt;INDEX('Methodology &amp; Sources'!$B$228:$J$232,0,4))*($AZ47-INDEX('Methodology &amp; Sources'!$B$228:$J$232,0,4))*INDEX('Methodology &amp; Sources'!$B$228:$J$232,0,4+2)),"")))))))</f>
      </c>
      <c r="BZ47" s="24">
        <f>IF($B47="","",IF($AN47="NJ",IF('Inputs 2'!$C$77="B",SUMPRODUCT(($AZ47&gt;=INDEX('Methodology &amp; Sources'!$B$155:$J$162,0,4))*INDEX('Methodology &amp; Sources'!$B$155:$J$162,0,4+2)),IF('Inputs 2'!$C$77="C",SUMPRODUCT(($AZ47&gt;=INDEX('Methodology &amp; Sources'!$B$155:$J$162,0,7))*INDEX('Methodology &amp; Sources'!$B$155:$J$162,0,7+2)),IF('Inputs 2'!$C$77="D",SUMPRODUCT(($AZ47&gt;=INDEX('Methodology &amp; Sources'!$B$167:$J$179,0,1))*INDEX('Methodology &amp; Sources'!$B$167:$J$179,0,1+2)),IF('Inputs 2'!$C$77="E",SUMPRODUCT(($AZ47&gt;=INDEX('Methodology &amp; Sources'!$B$167:$J$179,0,4))*INDEX('Methodology &amp; Sources'!$B$167:$J$179,0,4+2)),SUMPRODUCT(($AZ47&gt;=INDEX('Methodology &amp; Sources'!$B$155:$J$162,0,1))*INDEX('Methodology &amp; Sources'!$B$155:$J$162,0,1+2)))))),IF($AN47="OR",IF(OR($AU47="Married",AND($AU47="Single",$AS47&gt;=3)),SUMPRODUCT((MAX(0,$AY47-MIN(($P47-'Methodology &amp; Sources'!$C$10*$D47)*'Inputs 2'!$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Sources'!$B$211:$J$214,0,4))*INDEX('Methodology &amp; Sources'!$B$211:$J$214,0,4+2)),SUMPRODUCT((MAX(0,$AY47-MIN(($P47-'Methodology &amp; Sources'!$C$10*$D47)*'Inputs 2'!$C$8,IF(OR($AU47="Married",AND($AU47="Single",$AS47&gt;=3)),IF($AY47&lt;250000,8750,IF($AY47&lt;260000,7000,IF($AY47&lt;270000,5250,IF($AY47&lt;280000,3500,IF($AY47&lt;290000,1750,0))))),IF($AY47&lt;125000,8750,IF($AY47&lt;130000,7000,IF($AY47&lt;135000,5250,IF($AY47&lt;140000,3500,IF($AY47&lt;145000,1750,0)))))))-IF(OR($AU47="Married",AND($AU47="Single",$AS47&gt;=3)),5820,2910))&gt;=INDEX('Methodology &amp; Sources'!$B$211:$J$214,0,1))*INDEX('Methodology &amp; Sources'!$B$211:$J$214,0,1+2)))*IF(($P47-'Methodology &amp; Sources'!$C$10*$D47)*'Inputs 2'!$C$8&gt;=IF(OR($AU47="Married",AND($AU47="Single",$AS47&gt;=3)),IF($AY47&lt;250000,8750,IF($AY47&lt;260000,7000,IF($AY47&lt;270000,5250,IF($AY47&lt;280000,3500,IF($AY47&lt;290000,1750,0))))),IF($AY47&lt;125000,8750,IF($AY47&lt;130000,7000,IF($AY47&lt;135000,5250,IF($AY47&lt;140000,3500,IF($AY47&lt;145000,1750,0)))))),1,1-IF('Inputs 2'!$C$13,SUMPRODUCT(($AH47&gt;=INDEX('Methodology &amp; Sources'!$B$29:$J$36,0,IF('Inputs 2'!$C$12="MFJ",1,IF('Inputs 2'!$C$12="HoH",7,4))))*INDEX('Methodology &amp; Sources'!$B$29:$J$36,0,IF('Inputs 2'!$C$12="MFJ",1,IF('Inputs 2'!$C$12="HoH",7,4))+2)),SUMPRODUCT(($AH47&gt;=INDEX('Methodology &amp; Sources'!$B$19:$J$26,0,IF('Inputs 2'!$C$12="MFJ",1,IF('Inputs 2'!$C$12="HoH",7,4))))*INDEX('Methodology &amp; Sources'!$B$19:$J$26,0,IF('Inputs 2'!$C$12="MFJ",1,IF('Inputs 2'!$C$12="HoH",7,4))+2)))),IF($AN47="MI",IF($AY47&gt;5900*$AS47,0.0425,0),""))))</f>
      </c>
      <c r="CA47" s="24">
        <f>IF($B47="","",IF($AN47="AL",IF(OR($AU47="Married",$AU47="Head of household"),SUMPRODUCT(($AZ47&gt;=INDEX('Methodology &amp; Sources'!$B$82:$J$86,0,4))*INDEX('Methodology &amp; Sources'!$B$82:$J$86,0,4+2)),SUMPRODUCT(($AZ47&gt;=INDEX('Methodology &amp; Sources'!$B$82:$J$86,0,1))*INDEX('Methodology &amp; Sources'!$B$82:$J$86,0,1+2)))*(1-IF('Inputs 2'!$C$13,SUMPRODUCT(($AH47&gt;=INDEX('Methodology &amp; Sources'!$B$29:$J$36,0,IF('Inputs 2'!$C$12="MFJ",1,IF('Inputs 2'!$C$12="HoH",7,4))))*INDEX('Methodology &amp; Sources'!$B$29:$J$36,0,IF('Inputs 2'!$C$12="MFJ",1,IF('Inputs 2'!$C$12="HoH",7,4))+2)),SUMPRODUCT(($AH47&gt;=INDEX('Methodology &amp; Sources'!$B$19:$J$26,0,IF('Inputs 2'!$C$12="MFJ",1,IF('Inputs 2'!$C$12="HoH",7,4))))*INDEX('Methodology &amp; Sources'!$B$19:$J$26,0,IF('Inputs 2'!$C$12="MFJ",1,IF('Inputs 2'!$C$12="HoH",7,4))+2)))),IF($AN47="KS",IF($AU47="Married",SUMPRODUCT(($AZ47&gt;=INDEX('Methodology &amp; Sources'!$B$103:$J$109,0,4))*INDEX('Methodology &amp; Sources'!$B$103:$J$109,0,4+2)),SUMPRODUCT(($AZ47&gt;=INDEX('Methodology &amp; Sources'!$B$103:$J$109,0,1))*INDEX('Methodology &amp; Sources'!$B$103:$J$109,0,1+2))),IF($AN47="MD",IF(OR($AU47="Married",$AU47="Head of household"),SUMPRODUCT(($AZ47&gt;=INDEX('Methodology &amp; Sources'!$B$114:$J$120,0,1))*INDEX('Methodology &amp; Sources'!$B$114:$J$120,0,1+2)),SUMPRODUCT(($AZ47&gt;=INDEX('Methodology &amp; Sources'!$B$103:$J$109,0,7))*INDEX('Methodology &amp; Sources'!$B$103:$J$109,0,7+2)))+'Inputs 2'!$C$74,IF($AN47="MT",IF($AU47="Head of household",SUMPRODUCT(($AZ47&gt;=INDEX('Methodology &amp; Sources'!$B$137:$J$139,0,1))*INDEX('Methodology &amp; Sources'!$B$137:$J$139,0,1+2)),IF($AU47="Married",SUMPRODUCT(($AZ47&gt;=INDEX('Methodology &amp; Sources'!$B$125:$J$132,0,7))*INDEX('Methodology &amp; Sources'!$B$125:$J$132,0,7+2)),SUMPRODUCT(($AZ47&gt;=INDEX('Methodology &amp; Sources'!$B$125:$J$132,0,4))*INDEX('Methodology &amp; Sources'!$B$125:$J$132,0,4+2)))),IF($AN47="ND",IF($AU47="Head of household",SUMPRODUCT(($AZ47&gt;=INDEX('Methodology &amp; Sources'!$B$144:$J$150,0,1))*INDEX('Methodology &amp; Sources'!$B$144:$J$150,0,1+2)),IF($AU47="Married",SUMPRODUCT(($AZ47&gt;=INDEX('Methodology &amp; Sources'!$B$137:$J$139,0,7))*INDEX('Methodology &amp; Sources'!$B$137:$J$139,0,7+2)),SUMPRODUCT(($AZ47&gt;=INDEX('Methodology &amp; Sources'!$B$137:$J$139,0,4))*INDEX('Methodology &amp; Sources'!$B$137:$J$139,0,4+2)))),IF($AN47="NY",IF($AU47="Married",IF($AZ47&gt;=2155350,IF($AZ47&gt;25000000,0.117,IF($AZ47&gt;5000000,0.111,0.1045)),SUMPRODUCT(($AZ47&gt;=INDEX('Methodology &amp; Sources'!$B$184:$J$198,0,1))*INDEX('Methodology &amp; Sources'!$B$184:$J$198,0,1+2))),IF($AZ47&gt;=1077550,IF($AZ47&gt;25000000,0.117,IF($AZ47&gt;5000000,0.111,0.1045)),SUMPRODUCT(($AZ47&gt;=INDEX('Methodology &amp; Sources'!$B$167:$J$179,0,7))*INDEX('Methodology &amp; Sources'!$B$167:$J$179,0,7+2)))),"")))))))</f>
      </c>
      <c r="CB47" s="24">
        <f>IF($B47="","",IF($AN47="CA",SUMPRODUCT(($AJ47&gt;=INDEX('Methodology &amp; Sources'!$B$39:$J$48,0,IF($AU47="Married",4,IF($AU47="Head of household",7,1))))*INDEX('Methodology &amp; Sources'!$B$39:$J$48,0,IF($AU47="Married",4,IF($AU47="Head of household",7,1))+2)),IF($AN47="HI",IF($AU47="Married",SUMPRODUCT(($AZ47&gt;=INDEX('Methodology &amp; Sources'!$B$91:$J$98,0,7))*INDEX('Methodology &amp; Sources'!$B$91:$J$98,0,7+2)),SUMPRODUCT(($AZ47&gt;=INDEX('Methodology &amp; Sources'!$B$91:$J$98,0,4))*INDEX('Methodology &amp; Sources'!$B$91:$J$98,0,4+2))),IF($AN47="MN",IF($AU47="Married",SUMPRODUCT(($AZ47&gt;=INDEX('Methodology &amp; Sources'!$B$114:$J$120,0,7))*INDEX('Methodology &amp; Sources'!$B$114:$J$120,0,7+2)),SUMPRODUCT(($AZ47&gt;=INDEX('Methodology &amp; Sources'!$B$114:$J$120,0,4))*INDEX('Methodology &amp; Sources'!$B$114:$J$120,0,4+2))),IF($AN47="MO",SUMPRODUCT(($AZ47&gt;=INDEX('Methodology &amp; Sources'!$B$125:$J$132,0,1))*INDEX('Methodology &amp; Sources'!$B$125:$J$132,0,1+2)),IF($AN47="NE",MAX(IF($AU47="Married",SUMPRODUCT(($AZ47&gt;=INDEX('Methodology &amp; Sources'!$B$144:$J$150,0,7))*INDEX('Methodology &amp; Sources'!$B$144:$J$150,0,7+2)),SUMPRODUCT(($AZ47&gt;=INDEX('Methodology &amp; Sources'!$B$144:$J$150,0,4))*INDEX('Methodology &amp; Sources'!$B$144:$J$150,0,4+2))),0.015),IF($AN47="OH",IF($B47&gt;=DATE(2027,8,1),SUMPRODUCT(($AZ47&gt;=INDEX('Methodology &amp; Sources'!$B$203:$J$206,0,1))*INDEX('Methodology &amp; Sources'!$B$203:$J$206,0,1+2)),SUMPRODUCT(($AZ47&gt;=INDEX('Methodology &amp; Sources'!$B$184:$J$198,0,7))*INDEX('Methodology &amp; Sources'!$B$184:$J$198,0,7+2))),IF($AN47="OK",IF($AU47="Married",SUMPRODUCT(($AZ47&gt;=INDEX('Methodology &amp; Sources'!$B$203:$J$206,0,7))*INDEX('Methodology &amp; Sources'!$B$203:$J$206,0,7+2)),SUMPRODUCT(($AZ47&gt;=INDEX('Methodology &amp; Sources'!$B$203:$J$206,0,4))*INDEX('Methodology &amp; Sources'!$B$203:$J$206,0,4+2))),IF($AN47="RI",SUMPRODUCT(($AZ47&gt;=INDEX('Methodology &amp; Sources'!$B$211:$J$214,0,7))*INDEX('Methodology &amp; Sources'!$B$211:$J$214,0,7+2)),IF($AN47="SC",SUMPRODUCT(($AZ47&gt;=INDEX('Methodology &amp; Sources'!$B$219:$J$223,0,1))*INDEX('Methodology &amp; Sources'!$B$219:$J$223,0,1+2)),IF($AN47="VT",IF($AU47="Married",SUMPRODUCT(($AZ47&gt;=INDEX('Methodology &amp; Sources'!$B$228:$J$232,0,1))*INDEX('Methodology &amp; Sources'!$B$228:$J$232,0,1+2)),SUMPRODUCT(($AZ47&gt;=INDEX('Methodology &amp; Sources'!$B$219:$J$223,0,7))*INDEX('Methodology &amp; Sources'!$B$219:$J$223,0,7+2))),IF($AN47="WV",IF($AU47="Married",SUMPRODUCT(($AZ47&gt;=INDEX('Methodology &amp; Sources'!$B$237:$J$241,0,7))*INDEX('Methodology &amp; Sources'!$B$237:$J$241,0,7+2)),SUMPRODUCT(($AZ47&gt;=INDEX('Methodology &amp; Sources'!$B$228:$J$232,0,7))*INDEX('Methodology &amp; Sources'!$B$228:$J$232,0,7+2))),IF($AN47="IN",(0.0295+'Inputs 2'!$C$76),"")))))))))))))</f>
      </c>
      <c r="CC47" s="24">
        <f>IF($B47="","",IF($AN47="AR",SUMPRODUCT(($AZ47&gt;=INDEX('Methodology &amp; Sources'!$B$82:$J$86,0,7))*INDEX('Methodology &amp; Sources'!$B$82:$J$86,0,7+2)),IF($AN47="DE",SUMPRODUCT(($AZ47&gt;=INDEX('Methodology &amp; Sources'!$B$91:$J$98,0,1))*INDEX('Methodology &amp; Sources'!$B$91:$J$98,0,1+2)),IF($AN47="VA",SUMPRODUCT(($AZ47&gt;=INDEX('Methodology &amp; Sources'!$B$219:$J$223,0,4))*INDEX('Methodology &amp; Sources'!$B$219:$J$223,0,4+2)),IF($AN47="WI",SUMPRODUCT(($AZ47&gt;=INDEX('Methodology &amp; Sources'!$B$228:$J$232,0,4))*INDEX('Methodology &amp; Sources'!$B$228:$J$232,0,4+2)),IF($AN47="AZ",'Inputs 2'!$C$82,IF($AN47="CO",IF($AY47&gt;IF($AU47="Married",10000,5000),0.044,0),IF($AN47="IA",IF($AY47&gt;IF($AU47="Head of household",19500,IF($AU47="Married",26000,13000)),0.038,0),IF($AN47="ID",IF($AY47&gt;IF($AU47="Married",32000,16094),0.053,0),IF($AN47="IL",IF($AY47&gt;(2925*$AS47+1000*$AT47),0.0495,0),IF($AN47="KY",IF($AI47&gt;3360,0.035,0),IF($AN47="LA",0.0309,IF($AN47="MA",IF(MAX(0,$AY47-MIN(($BD46+$Q47+$R47+$S47),2000)-IF($AS47=0,0,IF($AS47=1,4400,1000*$AS47+3400)))&gt;=1107750,0.09,0.05),IF($AN47="MS",IF($AI47-IF($AU47="Head of household",3400,IF($AU47="Married",4600,2300))-'Inputs 2'!$C$85&gt;10000,0.04,0),IF($AN47="PA",0.0307,"")))))))))))))))</f>
      </c>
      <c r="CD47" s="21">
        <f>IF(YEAR(IF('Inputs 2'!$C$7="Weekly",'Inputs 2'!$C$9+7*(($BE46+1)-1),IF('Inputs 2'!$C$7="Biweekly",'Inputs 2'!$C$9+14*(($BE46+1)-1),IF('Inputs 2'!$C$7="Semimonthly",DATE(YEAR('Inputs 2'!$C$9),MONTH('Inputs 2'!$C$9)+INT((($BE46+1)-1)/2),MIN(DAY('Inputs 2'!$C$9),DAY(EOMONTH(DATE(YEAR('Inputs 2'!$C$9),MONTH('Inputs 2'!$C$9)+INT((($BE46+1)-1)/2),1),0))))+IF(MOD(($BE46+1)-1,2)=1,15,0),EDATE('Inputs 2'!$C$9,($BE46+1)-1)))))&lt;&gt;'Inputs 2'!$C$10,"",IF('Inputs 2'!$C$7="Weekly",'Inputs 2'!$C$9+7*(($BE46+1)-1),IF('Inputs 2'!$C$7="Biweekly",'Inputs 2'!$C$9+14*(($BE46+1)-1),IF('Inputs 2'!$C$7="Semimonthly",DATE(YEAR('Inputs 2'!$C$9),MONTH('Inputs 2'!$C$9)+INT((($BE46+1)-1)/2),MIN(DAY('Inputs 2'!$C$9),DAY(EOMONTH(DATE(YEAR('Inputs 2'!$C$9),MONTH('Inputs 2'!$C$9)+INT((($BE46+1)-1)/2),1),0))))+IF(MOD(($BE46+1)-1,2)=1,15,0),EDATE('Inputs 2'!$C$9,($BE46+1)-1)))))</f>
      </c>
      <c r="CE47" s="21">
        <f>IF(SUMPRODUCT(MIN(IF(('Inputs 2'!$C$58:$C$67&gt;MAX($B$6:$B46))*('Inputs 2'!$C$58:$C$67&gt;=DATE('Inputs 2'!$C$10,1,1))*('Inputs 2'!$C$58:$C$67&lt;=DATE('Inputs 2'!$C$10,12,31)),'Inputs 2'!$C$58:$C$67,999999)))=999999,"",SUMPRODUCT(MIN(IF(('Inputs 2'!$C$58:$C$67&gt;MAX($B$6:$B46))*('Inputs 2'!$C$58:$C$67&gt;=DATE('Inputs 2'!$C$10,1,1))*('Inputs 2'!$C$58:$C$67&lt;=DATE('Inputs 2'!$C$10,12,31)),'Inputs 2'!$C$58:$C$67,999999))))</f>
      </c>
    </row>
    <row r="48">
      <c r="A48" t="n">
        <v>43</v>
      </c>
      <c r="B48" s="21">
        <f>IF(AND($CD48="",$CE48=""),"",IF($CE48="",$CD48,IF($CD48="",$CE48,MIN($CD48,$CE48))))</f>
      </c>
      <c r="C48" s="7">
        <f>IF($B48="","",IF($BF48=0,0,IF('Inputs 2'!$C$4="Annual salary",ROUND($AK48/IF(AND('Inputs 2'!$C$88="Actual paydays",MONTH('Inputs 2'!$C$9)=1),MAX(1,MAX($BE$6:$BE$68)),'Inputs 2'!$C$8),2),$AK48)))</f>
      </c>
      <c r="D48" s="7">
        <f>IF($B48="","",SUMIF('Inputs 2'!$C$58:$C$67,$B48,'Inputs 2'!$D$58:$D$67))</f>
      </c>
      <c r="E48" s="7">
        <f>IF($B48="","",ROUND(MAX(0,MIN(IF($AL48="Percent",$AM48*($C48+$D48),$AM48),MAX(0,'Inputs 2'!$C$34-$AC47))),2))</f>
      </c>
      <c r="F48" s="7">
        <f>IF($B48="","",ROUND(MAX(0,MIN(IF('Inputs 2'!$C$32="Percent",'Inputs 2'!$D$32*($C48+$D48),'Inputs 2'!$D$32),MAX(0,'Inputs 2'!$C$34-$AC47-$E48))),2))</f>
      </c>
      <c r="G48" s="7">
        <f>IF($B48="","",IF($BF48=0,0,ROUND(MAX(0,MIN($BL48,'Inputs 2'!$C$37-'Inputs 2'!$C$54-$BI47)),2)))</f>
      </c>
      <c r="H48" s="7">
        <f>IF($B48="","",IF(OR($BF48=0,$BQ48=1),0,ROUND(MAX(0,MIN(IF($BS48=1,ROUND(MAX(0,MIN($BJ48,'Methodology &amp; Sources'!$C$13)-$BG47)/MAX(1,MAX($BE$6:$BE$68)-($BE47)),2),ROUND(MIN($BJ48,'Methodology &amp; Sources'!$C$13)/'Inputs 2'!$C$8,2)),MIN($BJ48,'Methodology &amp; Sources'!$C$13)-$BG47)),2)))</f>
      </c>
      <c r="I48" s="7">
        <f>IF($B48="","",IF(OR($BF48=0,$BR48=1),0,ROUND(MAX(0,MIN(IF($BT48=1,ROUND(MAX(0,MIN($BK48,IF('Inputs 2'!$C$12="MFJ",'Methodology &amp; Sources'!$C$14,'Methodology &amp; Sources'!$C$15))-$BH47)/MAX(1,MAX($BE$6:$BE$68)-($BE47)),2),ROUND(MIN($BK48,IF('Inputs 2'!$C$12="MFJ",'Methodology &amp; Sources'!$C$14,'Methodology &amp; Sources'!$C$15))/'Inputs 2'!$C$8,2)),MIN($BK48,IF('Inputs 2'!$C$12="MFJ",'Methodology &amp; Sources'!$C$14,'Methodology &amp; Sources'!$C$15))-$BH47)),2)))</f>
      </c>
      <c r="J48" s="7">
        <f>IF($B48="","",IF($BF48=0,0,$BM48))</f>
      </c>
      <c r="K48" s="7">
        <f>IF($B48="","",IF($BF48=0,0,$BN48+$BO48))</f>
      </c>
      <c r="L48" s="7">
        <f>IF($B48="","",IF($BF48=0,0,'Inputs 2'!$D$46))</f>
      </c>
      <c r="M48" s="7">
        <f>IF($B48="","",$C48+$D48+$L48-$E48-$G48-$H48-$I48-$J48-$K48)</f>
      </c>
      <c r="N48" s="7">
        <f>IF($B48="","",$C48+$D48+$L48-$G48-$H48-$I48-$J48-$K48)</f>
      </c>
      <c r="O48" s="7">
        <f>IF($B48="","",$C48+$D48+$L48-$E48-$H48-$I48-$J48-$K48-IF(OR($AN48="CA",$AN48="NJ"),0,$G48))</f>
      </c>
      <c r="P48" s="7">
        <f>IF($B48="","",IF('Inputs 2'!$C$18,0,ROUND(MAX(0,IF('Inputs 2'!$C$13,SUMPRODUCT(($AH48&gt;INDEX('Methodology &amp; Sources'!$B$29:$J$36,0,IF('Inputs 2'!$C$12="MFJ",1,IF('Inputs 2'!$C$12="HoH",7,4))))*($AH48-INDEX('Methodology &amp; Sources'!$B$29:$J$36,0,IF('Inputs 2'!$C$12="MFJ",1,IF('Inputs 2'!$C$12="HoH",7,4))))*INDEX('Methodology &amp; Sources'!$B$29:$J$36,0,IF('Inputs 2'!$C$12="MFJ",1,IF('Inputs 2'!$C$12="HoH",7,4))+2)),SUMPRODUCT(($AH48&gt;INDEX('Methodology &amp; Sources'!$B$19:$J$26,0,IF('Inputs 2'!$C$12="MFJ",1,IF('Inputs 2'!$C$12="HoH",7,4))))*($AH48-INDEX('Methodology &amp; Sources'!$B$19:$J$26,0,IF('Inputs 2'!$C$12="MFJ",1,IF('Inputs 2'!$C$12="HoH",7,4))))*INDEX('Methodology &amp; Sources'!$B$19:$J$26,0,IF('Inputs 2'!$C$12="MFJ",1,IF('Inputs 2'!$C$12="HoH",7,4))+2)))/'Inputs 2'!$C$8-$AO48/'Inputs 2'!$C$8)+$AR48+IF('Inputs 2'!$C$89="Aggregate",MAX(0,IF('Inputs 2'!$C$13,SUMPRODUCT((($AH48+$D48)&gt;INDEX('Methodology &amp; Sources'!$B$29:$J$36,0,IF('Inputs 2'!$C$12="MFJ",1,IF('Inputs 2'!$C$12="HoH",7,4))))*(($AH48+$D48)-INDEX('Methodology &amp; Sources'!$B$29:$J$36,0,IF('Inputs 2'!$C$12="MFJ",1,IF('Inputs 2'!$C$12="HoH",7,4))))*INDEX('Methodology &amp; Sources'!$B$29:$J$36,0,IF('Inputs 2'!$C$12="MFJ",1,IF('Inputs 2'!$C$12="HoH",7,4))+2)),SUMPRODUCT((($AH48+$D48)&gt;INDEX('Methodology &amp; Sources'!$B$19:$J$26,0,IF('Inputs 2'!$C$12="MFJ",1,IF('Inputs 2'!$C$12="HoH",7,4))))*(($AH48+$D48)-INDEX('Methodology &amp; Sources'!$B$19:$J$26,0,IF('Inputs 2'!$C$12="MFJ",1,IF('Inputs 2'!$C$12="HoH",7,4))))*INDEX('Methodology &amp; Sources'!$B$19:$J$26,0,IF('Inputs 2'!$C$12="MFJ",1,IF('Inputs 2'!$C$12="HoH",7,4))+2)))-IF('Inputs 2'!$C$13,SUMPRODUCT(($AH48&gt;INDEX('Methodology &amp; Sources'!$B$29:$J$36,0,IF('Inputs 2'!$C$12="MFJ",1,IF('Inputs 2'!$C$12="HoH",7,4))))*($AH48-INDEX('Methodology &amp; Sources'!$B$29:$J$36,0,IF('Inputs 2'!$C$12="MFJ",1,IF('Inputs 2'!$C$12="HoH",7,4))))*INDEX('Methodology &amp; Sources'!$B$29:$J$36,0,IF('Inputs 2'!$C$12="MFJ",1,IF('Inputs 2'!$C$12="HoH",7,4))+2)),SUMPRODUCT(($AH48&gt;INDEX('Methodology &amp; Sources'!$B$19:$J$26,0,IF('Inputs 2'!$C$12="MFJ",1,IF('Inputs 2'!$C$12="HoH",7,4))))*($AH48-INDEX('Methodology &amp; Sources'!$B$19:$J$26,0,IF('Inputs 2'!$C$12="MFJ",1,IF('Inputs 2'!$C$12="HoH",7,4))))*INDEX('Methodology &amp; Sources'!$B$19:$J$26,0,IF('Inputs 2'!$C$12="MFJ",1,IF('Inputs 2'!$C$12="HoH",7,4))+2)))),'Methodology &amp; Sources'!$C$10*$D48),2)))</f>
      </c>
      <c r="Q48" s="7">
        <f>IF($B48="","",ROUND('Methodology &amp; Sources'!$C$4*MIN($N48,MAX(0,'Methodology &amp; Sources'!$C$3-($AX48+$AB47-$AW48))),2))</f>
      </c>
      <c r="R48" s="7">
        <f>IF($B48="","",ROUND('Methodology &amp; Sources'!$C$5*$N48,2))</f>
      </c>
      <c r="S48" s="7">
        <f>IF($B48="","",ROUND('Methodology &amp; Sources'!$C$6*MAX(0,MIN($N48,$AG47+$N48-'Methodology &amp; Sources'!$C$7)),2))</f>
      </c>
      <c r="T48" s="7">
        <f>IF($B48="","",IF('Inputs 2'!$C$26,0,IF($AN48="CA",ROUND(IF($AI48&lt;=IF(($AS48+$AT48)&gt;=2,VLOOKUP($AN48,StateTables!$A$6:$AB$56,10,FALSE),VLOOKUP($AN48,StateTables!$A$6:$AB$56,9,FALSE)),0,MAX(0,SUMPRODUCT(($AJ48&gt;INDEX('Methodology &amp; Sources'!$B$39:$J$48,0,IF($AU48="Married",4,IF($AU48="Head of household",7,1))))*($AJ48-INDEX('Methodology &amp; Sources'!$B$39:$J$48,0,IF($AU48="Married",4,IF($AU48="Head of household",7,1))))*INDEX('Methodology &amp; Sources'!$B$39:$J$48,0,IF($AU48="Married",4,IF($AU48="Head of household",7,1))+2))-VLOOKUP($AN48,StateTables!$A$6:$AB$56,11,FALSE)*$AS48)/'Inputs 2'!$C$8)+'Inputs 2'!$C$25+VLOOKUP($AN48,StateTables!$A$6:$AB$56,13,FALSE)*$D48,2),IF(VLOOKUP($AN48,StateTables!$A$6:$AB$56,4,FALSE)="None",0,IF(ISNUMBER(SEARCH("MANUAL",VLOOKUP($AN48,StateTables!$A$6:$AB$56,5,FALSE))),'Inputs 2'!$C$28,ROUND(MAX(0,$BA48+$BB48)/'Inputs 2'!$C$8+'Inputs 2'!$C$25+$BC48,2))))))</f>
      </c>
      <c r="U48" s="7">
        <f>IF($B48="","",IF(VLOOKUP($AN48,StateTables!$A$6:$AB$56,24,FALSE)="flatq",IF(OR(MONTH($B48)=1,MONTH($B48)=4,MONTH($B48)=7,MONTH($B48)=10),VLOOKUP($AN48,StateTables!$A$6:$AB$56,25,FALSE),0),IF(VLOOKUP($AN48,StateTables!$A$6:$AB$56,24,FALSE)="dbl",MIN(ROUND(0.005*$N48,2),ROUND(0.6*52/'Inputs 2'!$C$8,2)),IF(OR(VLOOKUP($AN48,StateTables!$A$6:$AB$56,15,FALSE)="",VLOOKUP($AN48,StateTables!$A$6:$AB$56,15,FALSE)=0),0,ROUND(VLOOKUP($AN48,StateTables!$A$6:$AB$56,15,FALSE)*IF(OR(VLOOKUP($AN48,StateTables!$A$6:$AB$56,16,FALSE)="",VLOOKUP($AN48,StateTables!$A$6:$AB$56,16,FALSE)=0),$N48,MIN($N48,MAX(0,VLOOKUP($AN48,StateTables!$A$6:$AB$56,16,FALSE)-($AX48+$AB47-$AW48)))),2))))+IF(VLOOKUP($AN48,StateTables!$A$6:$AB$56,27,FALSE)="flatq",IF(OR(MONTH($B48)=1,MONTH($B48)=4,MONTH($B48)=7,MONTH($B48)=10),VLOOKUP($AN48,StateTables!$A$6:$AB$56,28,FALSE),0),IF(VLOOKUP($AN48,StateTables!$A$6:$AB$56,27,FALSE)="dbl",MIN(ROUND(0.005*$N48,2),ROUND(0.6*52/'Inputs 2'!$C$8,2)),IF(OR(VLOOKUP($AN48,StateTables!$A$6:$AB$56,18,FALSE)="",VLOOKUP($AN48,StateTables!$A$6:$AB$56,18,FALSE)=0),0,ROUND(VLOOKUP($AN48,StateTables!$A$6:$AB$56,18,FALSE)*IF(OR(VLOOKUP($AN48,StateTables!$A$6:$AB$56,19,FALSE)="",VLOOKUP($AN48,StateTables!$A$6:$AB$56,19,FALSE)=0),$N48,MIN($N48,MAX(0,VLOOKUP($AN48,StateTables!$A$6:$AB$56,19,FALSE)-($AX48+$AB47-$AW48)))),2)))))</f>
      </c>
      <c r="V48" s="7">
        <f>IF($B48="","",IF($AN48="NY",IF('Inputs 2'!$C$78,ROUND(SUMPRODUCT((MAX(0,($O48-$D48)*'Inputs 2'!$C$8-(IF($AU48="Married",5500,5000)+1000*$AS48))&gt;INDEX('Methodology &amp; Sources'!$B$184:$J$198,0,4))*(MAX(0,($O48-$D48)*'Inputs 2'!$C$8-(IF($AU48="Married",5500,5000)+1000*$AS48))-INDEX('Methodology &amp; Sources'!$B$184:$J$198,0,4))*INDEX('Methodology &amp; Sources'!$B$184:$J$198,0,4+2))/'Inputs 2'!$C$8+0.0425*$D48,2),0)+IF('Inputs 2'!$C$79="Resident",ROUND(0.1675*$T48,2),IF('Inputs 2'!$C$79="Nonresident",ROUND(0.005*MAX(0,($O48-$D48)-(IF($AU48="Married",7950,7400)+1000*$AS48)/'Inputs 2'!$C$8),2),0)),IF($AN48="PA",IF('Inputs 2'!$C$80="None",'Inputs 2'!$C$27+ROUND('Inputs 2'!$C$81*($C48+$D48),2),ROUND(IF('Inputs 2'!$C$80="Resident",IF($B48&lt;DATE(2027,7,1),0.03735,0.03735),IF($B48&lt;DATE(2027,7,1),0.03425,0.03425))*($C48+$D48),2)),IF($BF48=0,ROUND('Inputs 2'!$C$81*($C48+$D48),2),'Inputs 2'!$C$27+ROUND('Inputs 2'!$C$81*($C48+$D48),2)))))</f>
      </c>
      <c r="W48" s="7">
        <f>IF($B48="","",IF($BF48=0,0,$BP48))</f>
      </c>
      <c r="X48" s="7">
        <f>IF($B48="","",SUM($E48:$K48)+$P48+$Q48+$R48+$S48+$T48+$U48+$V48+$W48)</f>
      </c>
      <c r="Y48" s="22">
        <f>IF($B48="","",$C48+$D48-$X48)</f>
      </c>
      <c r="Z48" s="7">
        <f>IF($B48="","",$Z47+$C48+$D48)</f>
      </c>
      <c r="AA48" s="7">
        <f>IF($B48="","",$AA47+$Y48)</f>
      </c>
      <c r="AB48" s="7">
        <f>IF($B48="","",$AB47+MIN($N48,MAX(0,'Methodology &amp; Sources'!$C$3-($AX48+$AB47-$AW48))))</f>
      </c>
      <c r="AC48" s="7">
        <f>IF($B48="","",$AC47+$E48+$F48)</f>
      </c>
      <c r="AD48" s="3">
        <f>IF($B48="","",IF(AND($AB47&lt;'Methodology &amp; Sources'!$C$3,$AB48&gt;='Methodology &amp; Sources'!$C$3),"★ Social Security maxed on this check — from the next check your net rises by about $"&amp;TEXT(ROUND('Methodology &amp; Sources'!$C$4*$N48,2),"#,##0.00")&amp;". ","")&amp;IF(AND($AC47&lt;'Inputs 2'!$C$34,$AC48&gt;='Inputs 2'!$C$34),"★ 401(k) reaches the $"&amp;TEXT('Inputs 2'!$C$34,"#,##0")&amp;" cap on this check — deferrals stop and net pay rises. ","")&amp;IF(AND($AG47&lt;'Methodology &amp; Sources'!$C$7,$AG48&gt;='Methodology &amp; Sources'!$C$7),"★ Wages pass $200,000 — the 0.9% Additional Medicare Tax starts here. ","")&amp;IF(AND($BJ48&gt;0,$H48&gt;0,$BG47&lt;MIN($BJ48,'Methodology &amp; Sources'!$C$13),$BG47+$H48&gt;=MIN($BJ48,'Methodology &amp; Sources'!$C$13)),"★ Health FSA election is now fully deferred for the year. ",""))</f>
      </c>
      <c r="AE48" s="41" t="n"/>
      <c r="AF48" s="7">
        <f>IF(OR($B48="",$AE48=""),"",$AE48-$Y48)</f>
      </c>
      <c r="AG48" s="7">
        <f>IF($B48="","",$AG47+$N48)</f>
      </c>
      <c r="AH48" s="7">
        <f>IF($B48="","",MAX(0,($M48-$D48)*'Inputs 2'!$C$8+$AP48-$AQ48-IF('Inputs 2'!$C$13,0,IF('Inputs 2'!$C$12="MFJ",'Methodology &amp; Sources'!$C$8,'Methodology &amp; Sources'!$C$9))))</f>
      </c>
      <c r="AI48" s="7">
        <f>IF($B48="","",$O48*'Inputs 2'!$C$8)</f>
      </c>
      <c r="AJ48" s="7">
        <f>IF($B48="","",MAX(0,$AI48-VLOOKUP($AN48,StateTables!$A$6:$AB$56,12,FALSE)*$AT48-IF(($AS48+$AT48)&gt;=2,VLOOKUP($AN48,StateTables!$A$6:$AB$56,8,FALSE),VLOOKUP($AN48,StateTables!$A$6:$AB$56,7,FALSE))))</f>
      </c>
      <c r="AK48" s="7">
        <f>IF($B48="","",IFERROR(LOOKUP(2,1/(('Events 2'!$C$6:$C$17="Salary change")*('Events 2'!$B$6:$B$17&lt;=$B48)*('Events 2'!$B$6:$B$17&lt;&gt;"")),'Events 2'!$D$6:$D$17),IF('Inputs 2'!$C$4="Annual salary",'Inputs 2'!$C$5,'Inputs 2'!$C$6)))</f>
      </c>
      <c r="AL48">
        <f>IF($B48="","",IFERROR(LOOKUP(2,1/(('Events 2'!$C$6:$C$17="401(k) change")*('Events 2'!$B$6:$B$17&lt;=$B48)*('Events 2'!$B$6:$B$17&lt;&gt;"")),'Events 2'!$D$6:$D$17),'Inputs 2'!$C$30))</f>
      </c>
      <c r="AM48" s="7">
        <f>IF($B48="","",IFERROR(LOOKUP(2,1/(('Events 2'!$C$6:$C$17="401(k) change")*('Events 2'!$B$6:$B$17&lt;=$B48)*('Events 2'!$B$6:$B$17&lt;&gt;"")),'Events 2'!$E$6:$E$17),'Inputs 2'!$D$30))</f>
      </c>
      <c r="AN48">
        <f>IF($B48="","",IFERROR(LOOKUP(2,1/(('Events 2'!$C$6:$C$17="State move")*('Events 2'!$B$6:$B$17&lt;=$B48)*('Events 2'!$B$6:$B$17&lt;&gt;"")),'Events 2'!$D$6:$D$17),'Inputs 2'!$C$21))</f>
      </c>
      <c r="AO48" s="7">
        <f>IF($B48="","",IFERROR(LOOKUP(2,1/(('Events 2'!$C$6:$C$17="W-4 change")*('Events 2'!$B$6:$B$17&lt;=$B48)*('Events 2'!$B$6:$B$17&lt;&gt;"")),'Events 2'!$D$6:$D$17),'Inputs 2'!$C$14))</f>
      </c>
      <c r="AP48" s="7">
        <f>IF($B48="","",IFERROR(LOOKUP(2,1/(('Events 2'!$C$6:$C$17="W-4 change")*('Events 2'!$B$6:$B$17&lt;=$B48)*('Events 2'!$B$6:$B$17&lt;&gt;"")),'Events 2'!$E$6:$E$17),'Inputs 2'!$C$15))</f>
      </c>
      <c r="AQ48" s="7">
        <f>IF($B48="","",IFERROR(LOOKUP(2,1/(('Events 2'!$C$6:$C$17="W-4 change")*('Events 2'!$B$6:$B$17&lt;=$B48)*('Events 2'!$B$6:$B$17&lt;&gt;"")),'Events 2'!$F$6:$F$17),'Inputs 2'!$C$16))</f>
      </c>
      <c r="AR48" s="7">
        <f>IF($B48="","",IFERROR(LOOKUP(2,1/(('Events 2'!$C$6:$C$17="W-4 change")*('Events 2'!$B$6:$B$17&lt;=$B48)*('Events 2'!$B$6:$B$17&lt;&gt;"")),'Events 2'!$G$6:$G$17),'Inputs 2'!$C$17))</f>
      </c>
      <c r="AS48" s="6">
        <f>IF($B48="","",IFERROR(LOOKUP(2,1/((('Events 2'!$C$6:$C$17="State move")+('Events 2'!$C$6:$C$17="State cert change"))*('Events 2'!$B$6:$B$17&lt;=$B48)*('Events 2'!$B$6:$B$17&lt;&gt;"")),'Events 2'!$F$6:$F$17),'Inputs 2'!$C$23))</f>
      </c>
      <c r="AT48" s="6">
        <f>IF($B48="","",IFERROR(LOOKUP(2,1/((('Events 2'!$C$6:$C$17="State move")+('Events 2'!$C$6:$C$17="State cert change"))*('Events 2'!$B$6:$B$17&lt;=$B48)*('Events 2'!$B$6:$B$17&lt;&gt;"")),'Events 2'!$G$6:$G$17),'Inputs 2'!$C$24))</f>
      </c>
      <c r="AU48">
        <f>IF($B48="","",IFERROR(LOOKUP(2,1/(('Events 2'!$C$6:$C$17="State move")*('Events 2'!$B$6:$B$17&lt;=$B48)*('Events 2'!$B$6:$B$17&lt;&gt;"")),'Events 2'!$E$6:$E$17),'Inputs 2'!$C$22))</f>
      </c>
      <c r="AV48" s="6">
        <f>IF($B48="","",1+COUNTIFS('Events 2'!$C$6:$C$17,"Employer change",'Events 2'!$B$6:$B$17,"&lt;="&amp;$B48,'Events 2'!$B$6:$B$17,"&lt;&gt;"))</f>
      </c>
      <c r="AW48" s="7">
        <f>IF($B48="","",IF($AV48=1,'Inputs 2'!$C$49,IF(IFERROR(MATCH(IFERROR(LOOKUP(2,1/(('Events 2'!$C$6:$C$17="Employer change")*('Events 2'!$B$6:$B$17&lt;=$B48)*('Events 2'!$B$6:$B$17&lt;&gt;"")),'Events 2'!$B$6:$B$17),""),$B$6:$B$68,1),1)&lt;=1,'Inputs 2'!$C$49,INDEX($AB$6:$AB$68,MATCH(IFERROR(LOOKUP(2,1/(('Events 2'!$C$6:$C$17="Employer change")*('Events 2'!$B$6:$B$17&lt;=$B48)*('Events 2'!$B$6:$B$17&lt;&gt;"")),'Events 2'!$B$6:$B$17),""),$B$6:$B$68,1)-1))))</f>
      </c>
      <c r="AX48" s="7">
        <f>IF($B48="","",IF($AV48=1,'Inputs 2'!$C$49,IFERROR(LOOKUP(2,1/(('Events 2'!$C$6:$C$17="Employer change")*('Events 2'!$B$6:$B$17&lt;=$B48)*('Events 2'!$B$6:$B$17&lt;&gt;"")),'Events 2'!$D$6:$D$17),0)))</f>
      </c>
      <c r="AY48" s="7">
        <f>IF($B48="","",($O48-$D48)*'Inputs 2'!$C$8)</f>
      </c>
      <c r="AZ48" s="7">
        <f>IF($B48="","",IF($AN48="AL",MAX(0,$AY48-IF($AU48="Married",IF($AY48&lt;=25999,8500,MAX(5000,8500-175*CEILING(($AY48-25999)/500,1))),IF($AU48="Head of household",IF($AY48&lt;=25999,5200,MAX(2500,5200-135*CEILING(($AY48-25999)/500,1))),IF($AY48&lt;=25999,3000,MAX(2500,3000-25*CEILING(($AY48-25999)/500,1)))))-($P48-'Methodology &amp; Sources'!$C$10*$D48)*'Inputs 2'!$C$8-IF(OR($AU48="Married",$AU48="Head of household"),3000,1500)-$AT48*IF($AY48&lt;=50000,1000,IF($AY48&lt;=100000,500,300))),IF($AN48="AR",IF(MAX(0,$AY48-2470)&lt;97701,INT(MAX(0,$AY48-2470)/100)*100+50,MAX(0,$AY48-2470)),IF($AN48="DE",MAX(0,$AI48-3250),IF($AN48="HI",MAX(0,$AI48-1144*$AS48-4350),IF($AN48="KS",MAX(0,$AI48-(9160*IF($AU48="Married",2,1)+2320*$AT48+IF($AU48="Head of household",2320,0))),IF($AN48="MD",MAX(0,$AI48-3400-3200*$AS48),IF($AN48="MN",MAX(0,$AY48-5300*$AS48),IF($AN48="MO",MAX(0,$AI48-IF($AU48="Head of household",24150,IF($AU48="Married",IF('Inputs 2'!$C$83,16100,32200),16100))),IF($AN48="MT",$AY48,IF($AN48="ND",($C48+$L48)*'Inputs 2'!$C$8,IF($AN48="NE",MAX(0,$AY48-2440*$AS48),IF($AN48="NJ",MAX(0,$AY48-1000*$AS48),IF($AN48="NY",MAX(0,$AY48-(IF($AU48="Married",7950,7400)+1000*$AS48)),IF($AN48="OH",MAX(0,$AY48-650*$AS48),IF($AN48="OK",MAX(0,$AY48-1000*$AS48),IF($AN48="RI",MAX(0,$AI48-1000*$AS48),IF($AN48="SC",MAX(0,$AI48-5000*$AS48-IF($AS48=0,0,MIN(0.1*$AI48,7500))),IF($AN48="VA",MAX(0,$AI48-IF($AU48="Married",17500,8750)-930*$AS48-800*$AT48),IF($AN48="VT",MAX(0,$AI48-5400*$AS48),IF($AN48="WI",MAX(0,$AI48-MAX(0,IF($AU48="Married",9461-0.2*MAX(0,$AI48-25727),6702-0.12*MAX(0,$AI48-17780)))-400*$AS48),IF($AN48="WV",MAX(0,$AI48-2000*$AS48),$AI48))))))))))))))))))))))</f>
      </c>
      <c r="BA48" s="7">
        <f>IF($B48="","",IF($BW48&lt;&gt;"",$BW48,IF($BX48&lt;&gt;"",$BX48,IF($BY48&lt;&gt;"",$BY48,0))))</f>
      </c>
      <c r="BB48" s="7">
        <f>IF($B48="","",IF($AN48="AR",-29*$AS48,IF($AN48="DE",-110*$AS48,IF($AN48="MD",$AZ48*'Inputs 2'!$C$74,IF($AN48="AZ",'Inputs 2'!$C$82*($M48-$D48)*'Inputs 2'!$C$8,IF($AN48="CO",0.044*MAX(0,$AY48-IF($AU48="Married",10000,5000)),IF($AN48="IA",MAX(0,0.038*MAX(0,$AY48-IF($AU48="Head of household",19500,IF($AU48="Married",26000,13000)))-40*$AS48),IF($AN48="ID",0.053*MAX(0,$AY48-IF($AU48="Married",32000,16094)),IF($AN48="IL",0.0495*MAX(0,$AY48-(2925*$AS48+1000*$AT48)),IF($AN48="IN",(0.0295+'Inputs 2'!$C$76)*MAX(0,$AY48-(1000*$AS48+1500*$AT48+3000*'Inputs 2'!$C$86)),IF($AN48="KY",0.035*MAX(0,$AI48-3360),IF($AN48="LA",IF('Inputs 2'!$C$84="0",0.0309*$AI48,0.0309*MAX(0,$AI48-IF('Inputs 2'!$C$84="2",25750,12875))),IF($AN48="MA",0.05*MIN(MAX(0,$AY48-MIN(($BD47+$Q48+$R48+$S48),2000)-IF($AS48=0,0,IF($AS48=1,4400,1000*$AS48+3400))),1107750)+0.09*MAX(0,MAX(0,$AY48-MIN(($BD47+$Q48+$R48+$S48),2000)-IF($AS48=0,0,IF($AS48=1,4400,1000*$AS48+3400)))-1107750)-IF($AU48="Head of household",120,0)-110*'Inputs 2'!$C$75,IF($AN48="MI",0.0425*MAX(0,$AY48-5900*$AS48),IF($AN48="MS",0.04*MAX(0,$AI48-IF($AU48="Head of household",3400,IF($AU48="Married",4600,2300))-'Inputs 2'!$C$85-10000),IF($AN48="OR",IF(OR($AU48="Married",AND($AU48="Single",$AS48&gt;=3)),SUMPRODUCT((MAX(0,$AY48-MIN(($P48-'Methodology &amp; Sources'!$C$10*$D48)*'Inputs 2'!$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Sources'!$B$211:$J$214,0,4))*(MAX(0,$AY48-MIN(($P48-'Methodology &amp; Sources'!$C$10*$D48)*'Inputs 2'!$C$8,IF(OR($AU48="Married",AND($AU48="Single",$AS48&gt;=3)),IF($AY48&lt;250000,8750,IF($AY48&lt;260000,7000,IF($AY48&lt;270000,5250,IF($AY48&lt;280000,3500,IF($AY48&lt;290000,1750,0))))),IF($AY48&lt;125000,8750,IF($AY48&lt;130000,7000,IF($AY48&lt;135000,5250,IF($AY48&lt;140000,3500,IF($AY48&lt;145000,1750,0)))))))-IF(OR($AU48="Married",AND($AU48="Single",$AS48&gt;=3)),5820,2910))-INDEX('Methodology &amp; Sources'!$B$211:$J$214,0,4))*INDEX('Methodology &amp; Sources'!$B$211:$J$214,0,4+2)),SUMPRODUCT((MAX(0,$AY48-MIN(($P48-'Methodology &amp; Sources'!$C$10*$D48)*'Inputs 2'!$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Sources'!$B$211:$J$214,0,1))*(MAX(0,$AY48-MIN(($P48-'Methodology &amp; Sources'!$C$10*$D48)*'Inputs 2'!$C$8,IF(OR($AU48="Married",AND($AU48="Single",$AS48&gt;=3)),IF($AY48&lt;250000,8750,IF($AY48&lt;260000,7000,IF($AY48&lt;270000,5250,IF($AY48&lt;280000,3500,IF($AY48&lt;290000,1750,0))))),IF($AY48&lt;125000,8750,IF($AY48&lt;130000,7000,IF($AY48&lt;135000,5250,IF($AY48&lt;140000,3500,IF($AY48&lt;145000,1750,0)))))))-IF(OR($AU48="Married",AND($AU48="Single",$AS48&gt;=3)),5820,2910))-INDEX('Methodology &amp; Sources'!$B$211:$J$214,0,1))*INDEX('Methodology &amp; Sources'!$B$211:$J$214,0,1+2)))+263-263*IF(IF($AU48="Married",$AY48&gt;200000,$AY48&gt;100000),0,$AS48),IF($AN48="PA",0.0307*(($O48+$E48+$G48)*'Inputs 2'!$C$8),IF($AN48="NY",IF($AU48="Married",IF($AZ48&gt;=2155350,0,IF($AZ48&gt;=1077550,0.48,IF($AZ48&gt;=373200,1.21,IF($AZ48&gt;=323200,0.21,IF($AZ48&gt;=211550,-0.19,IF($AZ48&gt;=157650,-2.8,IF($AZ48&gt;=107650,-0.8,IF($AZ48&gt;=96800,0.05,IF($AZ48&gt;=80650,-0.1,IF($AZ48&gt;=13900,0.4,IF($AZ48&gt;=11700,-0.3,IF($AZ48&gt;=8500,0.5,0)))))))))))),IF($AZ48&gt;=1077550,0,IF($AZ48&gt;=265400,4.29,IF($AZ48&gt;=215400,2.29,IF($AZ48&gt;=157650,2.29,IF($AZ48&gt;=107650,0.29,IF($AZ48&gt;=96800,0.05,IF($AZ48&gt;=80650,-0.1,IF($AZ48&gt;=13900,0.4,IF($AZ48&gt;=11700,-0.3,IF($AZ48&gt;=8500,0.5,0))))))))))),0))))))))))))))))))</f>
      </c>
      <c r="BC48" s="7">
        <f>IF($B48="","",IF($AN48="AL",0.05*$D48,IF($AN48="AR",0.039*$D48,IF($AN48="ID",0.053*$D48,IF($AN48="IN",(0.0295+'Inputs 2'!$C$76)*$D48,IF($AN48="KS",0.05*$D48,IF($AN48="MA",0.09*MIN($D48,MAX(0,MAX(0,$AY48-MIN(($BD47+$Q48+$R48+$S48),2000)-IF($AS48=0,0,IF($AS48=1,4400,1000*$AS48+3400)))+$D48-1107750))+0.05*($D48-MIN($D48,MAX(0,MAX(0,$AY48-MIN(($BD47+$Q48+$R48+$S48),2000)-IF($AS48=0,0,IF($AS48=1,4400,1000*$AS48+3400)))+$D48-1107750))),IF($AN48="MD",(0.065+'Inputs 2'!$C$74)*$D48,IF($AN48="MI",0.0425*$D48,IF($AN48="MN",0.0625*$D48,IF($AN48="MO",0.047*$D48,IF($AN48="MT",0.05*$D48,IF($AN48="ND",0.015*$D48,IF($AN48="NE",0.035*$D48,IF($AN48="NJ",IF('Inputs 2'!$C$77="B",SUMPRODUCT(($D48*'Inputs 2'!$C$8&gt;INDEX('Methodology &amp; Sources'!$B$155:$J$162,0,4))*($D48*'Inputs 2'!$C$8-INDEX('Methodology &amp; Sources'!$B$155:$J$162,0,4))*INDEX('Methodology &amp; Sources'!$B$155:$J$162,0,4+2)),IF('Inputs 2'!$C$77="C",SUMPRODUCT(($D48*'Inputs 2'!$C$8&gt;INDEX('Methodology &amp; Sources'!$B$155:$J$162,0,7))*($D48*'Inputs 2'!$C$8-INDEX('Methodology &amp; Sources'!$B$155:$J$162,0,7))*INDEX('Methodology &amp; Sources'!$B$155:$J$162,0,7+2)),IF('Inputs 2'!$C$77="D",SUMPRODUCT(($D48*'Inputs 2'!$C$8&gt;INDEX('Methodology &amp; Sources'!$B$167:$J$179,0,1))*($D48*'Inputs 2'!$C$8-INDEX('Methodology &amp; Sources'!$B$167:$J$179,0,1))*INDEX('Methodology &amp; Sources'!$B$167:$J$179,0,1+2)),IF('Inputs 2'!$C$77="E",SUMPRODUCT(($D48*'Inputs 2'!$C$8&gt;INDEX('Methodology &amp; Sources'!$B$167:$J$179,0,4))*($D48*'Inputs 2'!$C$8-INDEX('Methodology &amp; Sources'!$B$167:$J$179,0,4))*INDEX('Methodology &amp; Sources'!$B$167:$J$179,0,4+2)),SUMPRODUCT(($D48*'Inputs 2'!$C$8&gt;INDEX('Methodology &amp; Sources'!$B$155:$J$162,0,1))*($D48*'Inputs 2'!$C$8-INDEX('Methodology &amp; Sources'!$B$155:$J$162,0,1))*INDEX('Methodology &amp; Sources'!$B$155:$J$162,0,1+2))))))/'Inputs 2'!$C$8,IF($AN48="NY",0.117*$D48,IF($AN48="OH",0.0275*$D48,IF($AN48="OK",0.045*$D48,IF($AN48="OR",0.08*$D48,IF($AN48="WI",IF($AY48&lt;12760,0.0354,IF($AY48&lt;25520,0.0465,IF($AY48&lt;280950,0.053,0.0765)))*$D48,0))))))))))))))))))))</f>
      </c>
      <c r="BD48" s="7">
        <f>IF($B48="","",$BD47+$Q48+$R48+$S48)</f>
      </c>
      <c r="BE48" s="6">
        <f>IF($B48="",$BE47,$BE47+$BF48)</f>
      </c>
      <c r="BF48" s="6">
        <f>IF($B48="","",IF(AND(IF(YEAR(IF('Inputs 2'!$C$7="Weekly",'Inputs 2'!$C$9+7*(($BE47+1)-1),IF('Inputs 2'!$C$7="Biweekly",'Inputs 2'!$C$9+14*(($BE47+1)-1),IF('Inputs 2'!$C$7="Semimonthly",DATE(YEAR('Inputs 2'!$C$9),MONTH('Inputs 2'!$C$9)+INT((($BE47+1)-1)/2),MIN(DAY('Inputs 2'!$C$9),DAY(EOMONTH(DATE(YEAR('Inputs 2'!$C$9),MONTH('Inputs 2'!$C$9)+INT((($BE47+1)-1)/2),1),0))))+IF(MOD(($BE47+1)-1,2)=1,15,0),EDATE('Inputs 2'!$C$9,($BE47+1)-1)))))&lt;&gt;'Inputs 2'!$C$10,"",IF('Inputs 2'!$C$7="Weekly",'Inputs 2'!$C$9+7*(($BE47+1)-1),IF('Inputs 2'!$C$7="Biweekly",'Inputs 2'!$C$9+14*(($BE47+1)-1),IF('Inputs 2'!$C$7="Semimonthly",DATE(YEAR('Inputs 2'!$C$9),MONTH('Inputs 2'!$C$9)+INT((($BE47+1)-1)/2),MIN(DAY('Inputs 2'!$C$9),DAY(EOMONTH(DATE(YEAR('Inputs 2'!$C$9),MONTH('Inputs 2'!$C$9)+INT((($BE47+1)-1)/2),1),0))))+IF(MOD(($BE47+1)-1,2)=1,15,0),EDATE('Inputs 2'!$C$9,($BE47+1)-1)))))&lt;&gt;"",$B48=IF(YEAR(IF('Inputs 2'!$C$7="Weekly",'Inputs 2'!$C$9+7*(($BE47+1)-1),IF('Inputs 2'!$C$7="Biweekly",'Inputs 2'!$C$9+14*(($BE47+1)-1),IF('Inputs 2'!$C$7="Semimonthly",DATE(YEAR('Inputs 2'!$C$9),MONTH('Inputs 2'!$C$9)+INT((($BE47+1)-1)/2),MIN(DAY('Inputs 2'!$C$9),DAY(EOMONTH(DATE(YEAR('Inputs 2'!$C$9),MONTH('Inputs 2'!$C$9)+INT((($BE47+1)-1)/2),1),0))))+IF(MOD(($BE47+1)-1,2)=1,15,0),EDATE('Inputs 2'!$C$9,($BE47+1)-1)))))&lt;&gt;'Inputs 2'!$C$10,"",IF('Inputs 2'!$C$7="Weekly",'Inputs 2'!$C$9+7*(($BE47+1)-1),IF('Inputs 2'!$C$7="Biweekly",'Inputs 2'!$C$9+14*(($BE47+1)-1),IF('Inputs 2'!$C$7="Semimonthly",DATE(YEAR('Inputs 2'!$C$9),MONTH('Inputs 2'!$C$9)+INT((($BE47+1)-1)/2),MIN(DAY('Inputs 2'!$C$9),DAY(EOMONTH(DATE(YEAR('Inputs 2'!$C$9),MONTH('Inputs 2'!$C$9)+INT((($BE47+1)-1)/2),1),0))))+IF(MOD(($BE47+1)-1,2)=1,15,0),EDATE('Inputs 2'!$C$9,($BE47+1)-1)))))),1,0))</f>
      </c>
      <c r="BG48" s="7">
        <f>IF($B48="","",$BG47+$H48)</f>
      </c>
      <c r="BH48" s="7">
        <f>IF($B48="","",$BH47+$I48)</f>
      </c>
      <c r="BI48" s="7">
        <f>IF($B48="","",$BI47+$G48)</f>
      </c>
      <c r="BJ48" s="7">
        <f>IF($B48="","",IFERROR(LOOKUP(2,1/(((('Events 2'!$C$6:$C$17="Deduction start"))*('Events 2'!$D$6:$D$17="Health FSA"))*('Events 2'!$B$6:$B$17&lt;=$B48)*('Events 2'!$B$6:$B$17&lt;&gt;"")),'Events 2'!$E$6:$E$17),'Inputs 2'!$D$38))</f>
      </c>
      <c r="BK48" s="7">
        <f>IF($B48="","",IFERROR(LOOKUP(2,1/(((('Events 2'!$C$6:$C$17="Deduction start"))*('Events 2'!$D$6:$D$17="Dependent-care FSA"))*('Events 2'!$B$6:$B$17&lt;=$B48)*('Events 2'!$B$6:$B$17&lt;&gt;"")),'Events 2'!$E$6:$E$17),'Inputs 2'!$D$39))</f>
      </c>
      <c r="BL48" s="7">
        <f>IF($B48="","",IFERROR(LOOKUP(2,1/(((('Events 2'!$C$6:$C$17="Deduction start")+('Events 2'!$C$6:$C$17="Deduction stop"))*('Events 2'!$D$6:$D$17="HSA"))*('Events 2'!$B$6:$B$17&lt;=$B48)*('Events 2'!$B$6:$B$17&lt;&gt;"")),'Events 2'!$I$6:$I$17),'Inputs 2'!$D$35))</f>
      </c>
      <c r="BM48" s="7">
        <f>IF($B48="","",IFERROR(LOOKUP(2,1/(((('Events 2'!$C$6:$C$17="Deduction start")+('Events 2'!$C$6:$C$17="Deduction stop"))*('Events 2'!$D$6:$D$17="Premiums"))*('Events 2'!$B$6:$B$17&lt;=$B48)*('Events 2'!$B$6:$B$17&lt;&gt;"")),'Events 2'!$I$6:$I$17),'Inputs 2'!$D$40+'Inputs 2'!$D$41+'Inputs 2'!$D$42))</f>
      </c>
      <c r="BN48" s="7">
        <f>IF($B48="","",IFERROR(LOOKUP(2,1/(((('Events 2'!$C$6:$C$17="Deduction start")+('Events 2'!$C$6:$C$17="Deduction stop"))*('Events 2'!$D$6:$D$17="Commuter"))*('Events 2'!$B$6:$B$17&lt;=$B48)*('Events 2'!$B$6:$B$17&lt;&gt;"")),'Events 2'!$I$6:$I$17),'Inputs 2'!$D$43))</f>
      </c>
      <c r="BO48" s="7">
        <f>IF($B48="","",IFERROR(LOOKUP(2,1/(((('Events 2'!$C$6:$C$17="Deduction start")+('Events 2'!$C$6:$C$17="Deduction stop"))*('Events 2'!$D$6:$D$17="Other pre-tax"))*('Events 2'!$B$6:$B$17&lt;=$B48)*('Events 2'!$B$6:$B$17&lt;&gt;"")),'Events 2'!$I$6:$I$17),'Inputs 2'!$D$44))</f>
      </c>
      <c r="BP48" s="7">
        <f>IF($B48="","",IFERROR(LOOKUP(2,1/(((('Events 2'!$C$6:$C$17="Deduction start")+('Events 2'!$C$6:$C$17="Deduction stop"))*('Events 2'!$D$6:$D$17="Other post-tax"))*('Events 2'!$B$6:$B$17&lt;=$B48)*('Events 2'!$B$6:$B$17&lt;&gt;"")),'Events 2'!$I$6:$I$17),'Inputs 2'!$D$45))</f>
      </c>
      <c r="BQ48" s="6">
        <f>IF($B48="","",IFERROR(LOOKUP(2,1/(((('Events 2'!$C$6:$C$17="Deduction start")+('Events 2'!$C$6:$C$17="Deduction stop"))*('Events 2'!$D$6:$D$17="Health FSA"))*('Events 2'!$B$6:$B$17&lt;=$B48)*('Events 2'!$B$6:$B$17&lt;&gt;"")),'Events 2'!$J$6:$J$17),0))</f>
      </c>
      <c r="BR48" s="6">
        <f>IF($B48="","",IFERROR(LOOKUP(2,1/(((('Events 2'!$C$6:$C$17="Deduction start")+('Events 2'!$C$6:$C$17="Deduction stop"))*('Events 2'!$D$6:$D$17="Dependent-care FSA"))*('Events 2'!$B$6:$B$17&lt;=$B48)*('Events 2'!$B$6:$B$17&lt;&gt;"")),'Events 2'!$J$6:$J$17),0))</f>
      </c>
      <c r="BS48" s="6">
        <f>IF($B48="","",IF(SUMPRODUCT(('Events 2'!$C$6:$C$17="Deduction start")*('Events 2'!$B$6:$B$17&lt;=$B48)*('Events 2'!$B$6:$B$17&lt;&gt;"")*('Events 2'!$D$6:$D$17="Health FSA"))&gt;0,1,0))</f>
      </c>
      <c r="BT48" s="6">
        <f>IF($B48="","",IF(SUMPRODUCT(('Events 2'!$C$6:$C$17="Deduction start")*('Events 2'!$B$6:$B$17&lt;=$B48)*('Events 2'!$B$6:$B$17&lt;&gt;"")*('Events 2'!$D$6:$D$17="Dependent-care FSA"))&gt;0,1,0))</f>
      </c>
      <c r="BU48" s="24">
        <f>IF($B48="","",IF('Inputs 2'!$C$13,SUMPRODUCT(($AH48&gt;=INDEX('Methodology &amp; Sources'!$B$29:$J$36,0,IF('Inputs 2'!$C$12="MFJ",1,IF('Inputs 2'!$C$12="HoH",7,4))))*INDEX('Methodology &amp; Sources'!$B$29:$J$36,0,IF('Inputs 2'!$C$12="MFJ",1,IF('Inputs 2'!$C$12="HoH",7,4))+2)),SUMPRODUCT(($AH48&gt;=INDEX('Methodology &amp; Sources'!$B$19:$J$26,0,IF('Inputs 2'!$C$12="MFJ",1,IF('Inputs 2'!$C$12="HoH",7,4))))*INDEX('Methodology &amp; Sources'!$B$19:$J$26,0,IF('Inputs 2'!$C$12="MFJ",1,IF('Inputs 2'!$C$12="HoH",7,4))+2))))</f>
      </c>
      <c r="BV48" s="24">
        <f>IF($B48="","",IF($BZ48&lt;&gt;"",$BZ48,IF($CA48&lt;&gt;"",$CA48,IF($CB48&lt;&gt;"",$CB48,IF($CC48&lt;&gt;"",$CC48,0)))))</f>
      </c>
      <c r="BW48" s="7">
        <f>IF($B48="","",IF($AN48="MD",IF(OR($AU48="Married",$AU48="Head of household"),SUMPRODUCT(($AZ48&gt;INDEX('Methodology &amp; Sources'!$B$114:$J$120,0,1))*($AZ48-INDEX('Methodology &amp; Sources'!$B$114:$J$120,0,1))*INDEX('Methodology &amp; Sources'!$B$114:$J$120,0,1+2)),SUMPRODUCT(($AZ48&gt;INDEX('Methodology &amp; Sources'!$B$103:$J$109,0,7))*($AZ48-INDEX('Methodology &amp; Sources'!$B$103:$J$109,0,7))*INDEX('Methodology &amp; Sources'!$B$103:$J$109,0,7+2))),IF($AN48="MO",SUMPRODUCT(($AZ48&gt;INDEX('Methodology &amp; Sources'!$B$125:$J$132,0,1))*($AZ48-INDEX('Methodology &amp; Sources'!$B$125:$J$132,0,1))*INDEX('Methodology &amp; Sources'!$B$125:$J$132,0,1+2)),IF($AN48="MT",IF($AU48="Head of household",SUMPRODUCT(($AZ48&gt;INDEX('Methodology &amp; Sources'!$B$137:$J$139,0,1))*($AZ48-INDEX('Methodology &amp; Sources'!$B$137:$J$139,0,1))*INDEX('Methodology &amp; Sources'!$B$137:$J$139,0,1+2)),IF($AU48="Married",SUMPRODUCT(($AZ48&gt;INDEX('Methodology &amp; Sources'!$B$125:$J$132,0,7))*($AZ48-INDEX('Methodology &amp; Sources'!$B$125:$J$132,0,7))*INDEX('Methodology &amp; Sources'!$B$125:$J$132,0,7+2)),SUMPRODUCT(($AZ48&gt;INDEX('Methodology &amp; Sources'!$B$125:$J$132,0,4))*($AZ48-INDEX('Methodology &amp; Sources'!$B$125:$J$132,0,4))*INDEX('Methodology &amp; Sources'!$B$125:$J$132,0,4+2)))),IF($AN48="ND",IF($AU48="Head of household",SUMPRODUCT(($AZ48&gt;INDEX('Methodology &amp; Sources'!$B$144:$J$150,0,1))*($AZ48-INDEX('Methodology &amp; Sources'!$B$144:$J$150,0,1))*INDEX('Methodology &amp; Sources'!$B$144:$J$150,0,1+2)),IF($AU48="Married",SUMPRODUCT(($AZ48&gt;INDEX('Methodology &amp; Sources'!$B$137:$J$139,0,7))*($AZ48-INDEX('Methodology &amp; Sources'!$B$137:$J$139,0,7))*INDEX('Methodology &amp; Sources'!$B$137:$J$139,0,7+2)),SUMPRODUCT(($AZ48&gt;INDEX('Methodology &amp; Sources'!$B$137:$J$139,0,4))*($AZ48-INDEX('Methodology &amp; Sources'!$B$137:$J$139,0,4))*INDEX('Methodology &amp; Sources'!$B$137:$J$139,0,4+2)))),IF($AN48="NJ",IF('Inputs 2'!$C$77="B",SUMPRODUCT(($AZ48&gt;INDEX('Methodology &amp; Sources'!$B$155:$J$162,0,4))*($AZ48-INDEX('Methodology &amp; Sources'!$B$155:$J$162,0,4))*INDEX('Methodology &amp; Sources'!$B$155:$J$162,0,4+2)),IF('Inputs 2'!$C$77="C",SUMPRODUCT(($AZ48&gt;INDEX('Methodology &amp; Sources'!$B$155:$J$162,0,7))*($AZ48-INDEX('Methodology &amp; Sources'!$B$155:$J$162,0,7))*INDEX('Methodology &amp; Sources'!$B$155:$J$162,0,7+2)),IF('Inputs 2'!$C$77="D",SUMPRODUCT(($AZ48&gt;INDEX('Methodology &amp; Sources'!$B$167:$J$179,0,1))*($AZ48-INDEX('Methodology &amp; Sources'!$B$167:$J$179,0,1))*INDEX('Methodology &amp; Sources'!$B$167:$J$179,0,1+2)),IF('Inputs 2'!$C$77="E",SUMPRODUCT(($AZ48&gt;INDEX('Methodology &amp; Sources'!$B$167:$J$179,0,4))*($AZ48-INDEX('Methodology &amp; Sources'!$B$167:$J$179,0,4))*INDEX('Methodology &amp; Sources'!$B$167:$J$179,0,4+2)),SUMPRODUCT(($AZ48&gt;INDEX('Methodology &amp; Sources'!$B$155:$J$162,0,1))*($AZ48-INDEX('Methodology &amp; Sources'!$B$155:$J$162,0,1))*INDEX('Methodology &amp; Sources'!$B$155:$J$162,0,1+2)))))),IF($AN48="NY",IF($AU48="Married",IF($AZ48&gt;=2155350,$AZ48*IF($AZ48&gt;25000000,0.117,IF($AZ48&gt;5000000,0.111,0.1045)),SUMPRODUCT(($AZ48&gt;INDEX('Methodology &amp; Sources'!$B$184:$J$198,0,1))*($AZ48-INDEX('Methodology &amp; Sources'!$B$184:$J$198,0,1))*INDEX('Methodology &amp; Sources'!$B$184:$J$198,0,1+2))),IF($AZ48&gt;=1077550,$AZ48*IF($AZ48&gt;25000000,0.117,IF($AZ48&gt;5000000,0.111,0.1045)),SUMPRODUCT(($AZ48&gt;INDEX('Methodology &amp; Sources'!$B$167:$J$179,0,7))*($AZ48-INDEX('Methodology &amp; Sources'!$B$167:$J$179,0,7))*INDEX('Methodology &amp; Sources'!$B$167:$J$179,0,7+2)))),"")))))))</f>
      </c>
      <c r="BX48" s="7">
        <f>IF($B48="","",IF($AN48="AL",IF(OR($AU48="Married",$AU48="Head of household"),SUMPRODUCT(($AZ48&gt;INDEX('Methodology &amp; Sources'!$B$82:$J$86,0,4))*($AZ48-INDEX('Methodology &amp; Sources'!$B$82:$J$86,0,4))*INDEX('Methodology &amp; Sources'!$B$82:$J$86,0,4+2)),SUMPRODUCT(($AZ48&gt;INDEX('Methodology &amp; Sources'!$B$82:$J$86,0,1))*($AZ48-INDEX('Methodology &amp; Sources'!$B$82:$J$86,0,1))*INDEX('Methodology &amp; Sources'!$B$82:$J$86,0,1+2))),IF($AN48="KS",IF($AU48="Married",SUMPRODUCT(($AZ48&gt;INDEX('Methodology &amp; Sources'!$B$103:$J$109,0,4))*($AZ48-INDEX('Methodology &amp; Sources'!$B$103:$J$109,0,4))*INDEX('Methodology &amp; Sources'!$B$103:$J$109,0,4+2)),SUMPRODUCT(($AZ48&gt;INDEX('Methodology &amp; Sources'!$B$103:$J$109,0,1))*($AZ48-INDEX('Methodology &amp; Sources'!$B$103:$J$109,0,1))*INDEX('Methodology &amp; Sources'!$B$103:$J$109,0,1+2))),IF($AN48="MN",IF($AU48="Married",SUMPRODUCT(($AZ48&gt;INDEX('Methodology &amp; Sources'!$B$114:$J$120,0,7))*($AZ48-INDEX('Methodology &amp; Sources'!$B$114:$J$120,0,7))*INDEX('Methodology &amp; Sources'!$B$114:$J$120,0,7+2)),SUMPRODUCT(($AZ48&gt;INDEX('Methodology &amp; Sources'!$B$114:$J$120,0,4))*($AZ48-INDEX('Methodology &amp; Sources'!$B$114:$J$120,0,4))*INDEX('Methodology &amp; Sources'!$B$114:$J$120,0,4+2))),IF($AN48="NE",MAX(IF($AU48="Married",SUMPRODUCT(($AZ48&gt;INDEX('Methodology &amp; Sources'!$B$144:$J$150,0,7))*($AZ48-INDEX('Methodology &amp; Sources'!$B$144:$J$150,0,7))*INDEX('Methodology &amp; Sources'!$B$144:$J$150,0,7+2)),SUMPRODUCT(($AZ48&gt;INDEX('Methodology &amp; Sources'!$B$144:$J$150,0,4))*($AZ48-INDEX('Methodology &amp; Sources'!$B$144:$J$150,0,4))*INDEX('Methodology &amp; Sources'!$B$144:$J$150,0,4+2))),0.015*$AZ48),IF($AN48="OH",IF($B48&gt;=DATE(2027,8,1),SUMPRODUCT(($AZ48&gt;INDEX('Methodology &amp; Sources'!$B$203:$J$206,0,1))*($AZ48-INDEX('Methodology &amp; Sources'!$B$203:$J$206,0,1))*INDEX('Methodology &amp; Sources'!$B$203:$J$206,0,1+2)),SUMPRODUCT(($AZ48&gt;INDEX('Methodology &amp; Sources'!$B$184:$J$198,0,7))*($AZ48-INDEX('Methodology &amp; Sources'!$B$184:$J$198,0,7))*INDEX('Methodology &amp; Sources'!$B$184:$J$198,0,7+2))),IF($AN48="OK",IF($AU48="Married",SUMPRODUCT(($AZ48&gt;INDEX('Methodology &amp; Sources'!$B$203:$J$206,0,7))*($AZ48-INDEX('Methodology &amp; Sources'!$B$203:$J$206,0,7))*INDEX('Methodology &amp; Sources'!$B$203:$J$206,0,7+2)),SUMPRODUCT(($AZ48&gt;INDEX('Methodology &amp; Sources'!$B$203:$J$206,0,4))*($AZ48-INDEX('Methodology &amp; Sources'!$B$203:$J$206,0,4))*INDEX('Methodology &amp; Sources'!$B$203:$J$206,0,4+2))),IF($AN48="RI",SUMPRODUCT(($AZ48&gt;INDEX('Methodology &amp; Sources'!$B$211:$J$214,0,7))*($AZ48-INDEX('Methodology &amp; Sources'!$B$211:$J$214,0,7))*INDEX('Methodology &amp; Sources'!$B$211:$J$214,0,7+2)),IF($AN48="VT",IF($AU48="Married",SUMPRODUCT(($AZ48&gt;INDEX('Methodology &amp; Sources'!$B$228:$J$232,0,1))*($AZ48-INDEX('Methodology &amp; Sources'!$B$228:$J$232,0,1))*INDEX('Methodology &amp; Sources'!$B$228:$J$232,0,1+2)),SUMPRODUCT(($AZ48&gt;INDEX('Methodology &amp; Sources'!$B$219:$J$223,0,7))*($AZ48-INDEX('Methodology &amp; Sources'!$B$219:$J$223,0,7))*INDEX('Methodology &amp; Sources'!$B$219:$J$223,0,7+2))),IF($AN48="WV",IF($AU48="Married",SUMPRODUCT(($AZ48&gt;INDEX('Methodology &amp; Sources'!$B$237:$J$241,0,7))*($AZ48-INDEX('Methodology &amp; Sources'!$B$237:$J$241,0,7))*INDEX('Methodology &amp; Sources'!$B$237:$J$241,0,7+2)),SUMPRODUCT(($AZ48&gt;INDEX('Methodology &amp; Sources'!$B$228:$J$232,0,7))*($AZ48-INDEX('Methodology &amp; Sources'!$B$228:$J$232,0,7))*INDEX('Methodology &amp; Sources'!$B$228:$J$232,0,7+2))),""))))))))))</f>
      </c>
      <c r="BY48" s="7">
        <f>IF($B48="","",IF($AN48="AR",SUMPRODUCT(($AZ48&gt;INDEX('Methodology &amp; Sources'!$B$82:$J$86,0,7))*($AZ48-INDEX('Methodology &amp; Sources'!$B$82:$J$86,0,7))*INDEX('Methodology &amp; Sources'!$B$82:$J$86,0,7+2)),IF($AN48="DE",SUMPRODUCT(($AZ48&gt;INDEX('Methodology &amp; Sources'!$B$91:$J$98,0,1))*($AZ48-INDEX('Methodology &amp; Sources'!$B$91:$J$98,0,1))*INDEX('Methodology &amp; Sources'!$B$91:$J$98,0,1+2)),IF($AN48="HI",IF($AU48="Married",SUMPRODUCT(($AZ48&gt;INDEX('Methodology &amp; Sources'!$B$91:$J$98,0,7))*($AZ48-INDEX('Methodology &amp; Sources'!$B$91:$J$98,0,7))*INDEX('Methodology &amp; Sources'!$B$91:$J$98,0,7+2)),SUMPRODUCT(($AZ48&gt;INDEX('Methodology &amp; Sources'!$B$91:$J$98,0,4))*($AZ48-INDEX('Methodology &amp; Sources'!$B$91:$J$98,0,4))*INDEX('Methodology &amp; Sources'!$B$91:$J$98,0,4+2))),IF($AN48="SC",SUMPRODUCT(($AZ48&gt;INDEX('Methodology &amp; Sources'!$B$219:$J$223,0,1))*($AZ48-INDEX('Methodology &amp; Sources'!$B$219:$J$223,0,1))*INDEX('Methodology &amp; Sources'!$B$219:$J$223,0,1+2)),IF($AN48="VA",SUMPRODUCT(($AZ48&gt;INDEX('Methodology &amp; Sources'!$B$219:$J$223,0,4))*($AZ48-INDEX('Methodology &amp; Sources'!$B$219:$J$223,0,4))*INDEX('Methodology &amp; Sources'!$B$219:$J$223,0,4+2)),IF($AN48="WI",SUMPRODUCT(($AZ48&gt;INDEX('Methodology &amp; Sources'!$B$228:$J$232,0,4))*($AZ48-INDEX('Methodology &amp; Sources'!$B$228:$J$232,0,4))*INDEX('Methodology &amp; Sources'!$B$228:$J$232,0,4+2)),"")))))))</f>
      </c>
      <c r="BZ48" s="24">
        <f>IF($B48="","",IF($AN48="NJ",IF('Inputs 2'!$C$77="B",SUMPRODUCT(($AZ48&gt;=INDEX('Methodology &amp; Sources'!$B$155:$J$162,0,4))*INDEX('Methodology &amp; Sources'!$B$155:$J$162,0,4+2)),IF('Inputs 2'!$C$77="C",SUMPRODUCT(($AZ48&gt;=INDEX('Methodology &amp; Sources'!$B$155:$J$162,0,7))*INDEX('Methodology &amp; Sources'!$B$155:$J$162,0,7+2)),IF('Inputs 2'!$C$77="D",SUMPRODUCT(($AZ48&gt;=INDEX('Methodology &amp; Sources'!$B$167:$J$179,0,1))*INDEX('Methodology &amp; Sources'!$B$167:$J$179,0,1+2)),IF('Inputs 2'!$C$77="E",SUMPRODUCT(($AZ48&gt;=INDEX('Methodology &amp; Sources'!$B$167:$J$179,0,4))*INDEX('Methodology &amp; Sources'!$B$167:$J$179,0,4+2)),SUMPRODUCT(($AZ48&gt;=INDEX('Methodology &amp; Sources'!$B$155:$J$162,0,1))*INDEX('Methodology &amp; Sources'!$B$155:$J$162,0,1+2)))))),IF($AN48="OR",IF(OR($AU48="Married",AND($AU48="Single",$AS48&gt;=3)),SUMPRODUCT((MAX(0,$AY48-MIN(($P48-'Methodology &amp; Sources'!$C$10*$D48)*'Inputs 2'!$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Sources'!$B$211:$J$214,0,4))*INDEX('Methodology &amp; Sources'!$B$211:$J$214,0,4+2)),SUMPRODUCT((MAX(0,$AY48-MIN(($P48-'Methodology &amp; Sources'!$C$10*$D48)*'Inputs 2'!$C$8,IF(OR($AU48="Married",AND($AU48="Single",$AS48&gt;=3)),IF($AY48&lt;250000,8750,IF($AY48&lt;260000,7000,IF($AY48&lt;270000,5250,IF($AY48&lt;280000,3500,IF($AY48&lt;290000,1750,0))))),IF($AY48&lt;125000,8750,IF($AY48&lt;130000,7000,IF($AY48&lt;135000,5250,IF($AY48&lt;140000,3500,IF($AY48&lt;145000,1750,0)))))))-IF(OR($AU48="Married",AND($AU48="Single",$AS48&gt;=3)),5820,2910))&gt;=INDEX('Methodology &amp; Sources'!$B$211:$J$214,0,1))*INDEX('Methodology &amp; Sources'!$B$211:$J$214,0,1+2)))*IF(($P48-'Methodology &amp; Sources'!$C$10*$D48)*'Inputs 2'!$C$8&gt;=IF(OR($AU48="Married",AND($AU48="Single",$AS48&gt;=3)),IF($AY48&lt;250000,8750,IF($AY48&lt;260000,7000,IF($AY48&lt;270000,5250,IF($AY48&lt;280000,3500,IF($AY48&lt;290000,1750,0))))),IF($AY48&lt;125000,8750,IF($AY48&lt;130000,7000,IF($AY48&lt;135000,5250,IF($AY48&lt;140000,3500,IF($AY48&lt;145000,1750,0)))))),1,1-IF('Inputs 2'!$C$13,SUMPRODUCT(($AH48&gt;=INDEX('Methodology &amp; Sources'!$B$29:$J$36,0,IF('Inputs 2'!$C$12="MFJ",1,IF('Inputs 2'!$C$12="HoH",7,4))))*INDEX('Methodology &amp; Sources'!$B$29:$J$36,0,IF('Inputs 2'!$C$12="MFJ",1,IF('Inputs 2'!$C$12="HoH",7,4))+2)),SUMPRODUCT(($AH48&gt;=INDEX('Methodology &amp; Sources'!$B$19:$J$26,0,IF('Inputs 2'!$C$12="MFJ",1,IF('Inputs 2'!$C$12="HoH",7,4))))*INDEX('Methodology &amp; Sources'!$B$19:$J$26,0,IF('Inputs 2'!$C$12="MFJ",1,IF('Inputs 2'!$C$12="HoH",7,4))+2)))),IF($AN48="MI",IF($AY48&gt;5900*$AS48,0.0425,0),""))))</f>
      </c>
      <c r="CA48" s="24">
        <f>IF($B48="","",IF($AN48="AL",IF(OR($AU48="Married",$AU48="Head of household"),SUMPRODUCT(($AZ48&gt;=INDEX('Methodology &amp; Sources'!$B$82:$J$86,0,4))*INDEX('Methodology &amp; Sources'!$B$82:$J$86,0,4+2)),SUMPRODUCT(($AZ48&gt;=INDEX('Methodology &amp; Sources'!$B$82:$J$86,0,1))*INDEX('Methodology &amp; Sources'!$B$82:$J$86,0,1+2)))*(1-IF('Inputs 2'!$C$13,SUMPRODUCT(($AH48&gt;=INDEX('Methodology &amp; Sources'!$B$29:$J$36,0,IF('Inputs 2'!$C$12="MFJ",1,IF('Inputs 2'!$C$12="HoH",7,4))))*INDEX('Methodology &amp; Sources'!$B$29:$J$36,0,IF('Inputs 2'!$C$12="MFJ",1,IF('Inputs 2'!$C$12="HoH",7,4))+2)),SUMPRODUCT(($AH48&gt;=INDEX('Methodology &amp; Sources'!$B$19:$J$26,0,IF('Inputs 2'!$C$12="MFJ",1,IF('Inputs 2'!$C$12="HoH",7,4))))*INDEX('Methodology &amp; Sources'!$B$19:$J$26,0,IF('Inputs 2'!$C$12="MFJ",1,IF('Inputs 2'!$C$12="HoH",7,4))+2)))),IF($AN48="KS",IF($AU48="Married",SUMPRODUCT(($AZ48&gt;=INDEX('Methodology &amp; Sources'!$B$103:$J$109,0,4))*INDEX('Methodology &amp; Sources'!$B$103:$J$109,0,4+2)),SUMPRODUCT(($AZ48&gt;=INDEX('Methodology &amp; Sources'!$B$103:$J$109,0,1))*INDEX('Methodology &amp; Sources'!$B$103:$J$109,0,1+2))),IF($AN48="MD",IF(OR($AU48="Married",$AU48="Head of household"),SUMPRODUCT(($AZ48&gt;=INDEX('Methodology &amp; Sources'!$B$114:$J$120,0,1))*INDEX('Methodology &amp; Sources'!$B$114:$J$120,0,1+2)),SUMPRODUCT(($AZ48&gt;=INDEX('Methodology &amp; Sources'!$B$103:$J$109,0,7))*INDEX('Methodology &amp; Sources'!$B$103:$J$109,0,7+2)))+'Inputs 2'!$C$74,IF($AN48="MT",IF($AU48="Head of household",SUMPRODUCT(($AZ48&gt;=INDEX('Methodology &amp; Sources'!$B$137:$J$139,0,1))*INDEX('Methodology &amp; Sources'!$B$137:$J$139,0,1+2)),IF($AU48="Married",SUMPRODUCT(($AZ48&gt;=INDEX('Methodology &amp; Sources'!$B$125:$J$132,0,7))*INDEX('Methodology &amp; Sources'!$B$125:$J$132,0,7+2)),SUMPRODUCT(($AZ48&gt;=INDEX('Methodology &amp; Sources'!$B$125:$J$132,0,4))*INDEX('Methodology &amp; Sources'!$B$125:$J$132,0,4+2)))),IF($AN48="ND",IF($AU48="Head of household",SUMPRODUCT(($AZ48&gt;=INDEX('Methodology &amp; Sources'!$B$144:$J$150,0,1))*INDEX('Methodology &amp; Sources'!$B$144:$J$150,0,1+2)),IF($AU48="Married",SUMPRODUCT(($AZ48&gt;=INDEX('Methodology &amp; Sources'!$B$137:$J$139,0,7))*INDEX('Methodology &amp; Sources'!$B$137:$J$139,0,7+2)),SUMPRODUCT(($AZ48&gt;=INDEX('Methodology &amp; Sources'!$B$137:$J$139,0,4))*INDEX('Methodology &amp; Sources'!$B$137:$J$139,0,4+2)))),IF($AN48="NY",IF($AU48="Married",IF($AZ48&gt;=2155350,IF($AZ48&gt;25000000,0.117,IF($AZ48&gt;5000000,0.111,0.1045)),SUMPRODUCT(($AZ48&gt;=INDEX('Methodology &amp; Sources'!$B$184:$J$198,0,1))*INDEX('Methodology &amp; Sources'!$B$184:$J$198,0,1+2))),IF($AZ48&gt;=1077550,IF($AZ48&gt;25000000,0.117,IF($AZ48&gt;5000000,0.111,0.1045)),SUMPRODUCT(($AZ48&gt;=INDEX('Methodology &amp; Sources'!$B$167:$J$179,0,7))*INDEX('Methodology &amp; Sources'!$B$167:$J$179,0,7+2)))),"")))))))</f>
      </c>
      <c r="CB48" s="24">
        <f>IF($B48="","",IF($AN48="CA",SUMPRODUCT(($AJ48&gt;=INDEX('Methodology &amp; Sources'!$B$39:$J$48,0,IF($AU48="Married",4,IF($AU48="Head of household",7,1))))*INDEX('Methodology &amp; Sources'!$B$39:$J$48,0,IF($AU48="Married",4,IF($AU48="Head of household",7,1))+2)),IF($AN48="HI",IF($AU48="Married",SUMPRODUCT(($AZ48&gt;=INDEX('Methodology &amp; Sources'!$B$91:$J$98,0,7))*INDEX('Methodology &amp; Sources'!$B$91:$J$98,0,7+2)),SUMPRODUCT(($AZ48&gt;=INDEX('Methodology &amp; Sources'!$B$91:$J$98,0,4))*INDEX('Methodology &amp; Sources'!$B$91:$J$98,0,4+2))),IF($AN48="MN",IF($AU48="Married",SUMPRODUCT(($AZ48&gt;=INDEX('Methodology &amp; Sources'!$B$114:$J$120,0,7))*INDEX('Methodology &amp; Sources'!$B$114:$J$120,0,7+2)),SUMPRODUCT(($AZ48&gt;=INDEX('Methodology &amp; Sources'!$B$114:$J$120,0,4))*INDEX('Methodology &amp; Sources'!$B$114:$J$120,0,4+2))),IF($AN48="MO",SUMPRODUCT(($AZ48&gt;=INDEX('Methodology &amp; Sources'!$B$125:$J$132,0,1))*INDEX('Methodology &amp; Sources'!$B$125:$J$132,0,1+2)),IF($AN48="NE",MAX(IF($AU48="Married",SUMPRODUCT(($AZ48&gt;=INDEX('Methodology &amp; Sources'!$B$144:$J$150,0,7))*INDEX('Methodology &amp; Sources'!$B$144:$J$150,0,7+2)),SUMPRODUCT(($AZ48&gt;=INDEX('Methodology &amp; Sources'!$B$144:$J$150,0,4))*INDEX('Methodology &amp; Sources'!$B$144:$J$150,0,4+2))),0.015),IF($AN48="OH",IF($B48&gt;=DATE(2027,8,1),SUMPRODUCT(($AZ48&gt;=INDEX('Methodology &amp; Sources'!$B$203:$J$206,0,1))*INDEX('Methodology &amp; Sources'!$B$203:$J$206,0,1+2)),SUMPRODUCT(($AZ48&gt;=INDEX('Methodology &amp; Sources'!$B$184:$J$198,0,7))*INDEX('Methodology &amp; Sources'!$B$184:$J$198,0,7+2))),IF($AN48="OK",IF($AU48="Married",SUMPRODUCT(($AZ48&gt;=INDEX('Methodology &amp; Sources'!$B$203:$J$206,0,7))*INDEX('Methodology &amp; Sources'!$B$203:$J$206,0,7+2)),SUMPRODUCT(($AZ48&gt;=INDEX('Methodology &amp; Sources'!$B$203:$J$206,0,4))*INDEX('Methodology &amp; Sources'!$B$203:$J$206,0,4+2))),IF($AN48="RI",SUMPRODUCT(($AZ48&gt;=INDEX('Methodology &amp; Sources'!$B$211:$J$214,0,7))*INDEX('Methodology &amp; Sources'!$B$211:$J$214,0,7+2)),IF($AN48="SC",SUMPRODUCT(($AZ48&gt;=INDEX('Methodology &amp; Sources'!$B$219:$J$223,0,1))*INDEX('Methodology &amp; Sources'!$B$219:$J$223,0,1+2)),IF($AN48="VT",IF($AU48="Married",SUMPRODUCT(($AZ48&gt;=INDEX('Methodology &amp; Sources'!$B$228:$J$232,0,1))*INDEX('Methodology &amp; Sources'!$B$228:$J$232,0,1+2)),SUMPRODUCT(($AZ48&gt;=INDEX('Methodology &amp; Sources'!$B$219:$J$223,0,7))*INDEX('Methodology &amp; Sources'!$B$219:$J$223,0,7+2))),IF($AN48="WV",IF($AU48="Married",SUMPRODUCT(($AZ48&gt;=INDEX('Methodology &amp; Sources'!$B$237:$J$241,0,7))*INDEX('Methodology &amp; Sources'!$B$237:$J$241,0,7+2)),SUMPRODUCT(($AZ48&gt;=INDEX('Methodology &amp; Sources'!$B$228:$J$232,0,7))*INDEX('Methodology &amp; Sources'!$B$228:$J$232,0,7+2))),IF($AN48="IN",(0.0295+'Inputs 2'!$C$76),"")))))))))))))</f>
      </c>
      <c r="CC48" s="24">
        <f>IF($B48="","",IF($AN48="AR",SUMPRODUCT(($AZ48&gt;=INDEX('Methodology &amp; Sources'!$B$82:$J$86,0,7))*INDEX('Methodology &amp; Sources'!$B$82:$J$86,0,7+2)),IF($AN48="DE",SUMPRODUCT(($AZ48&gt;=INDEX('Methodology &amp; Sources'!$B$91:$J$98,0,1))*INDEX('Methodology &amp; Sources'!$B$91:$J$98,0,1+2)),IF($AN48="VA",SUMPRODUCT(($AZ48&gt;=INDEX('Methodology &amp; Sources'!$B$219:$J$223,0,4))*INDEX('Methodology &amp; Sources'!$B$219:$J$223,0,4+2)),IF($AN48="WI",SUMPRODUCT(($AZ48&gt;=INDEX('Methodology &amp; Sources'!$B$228:$J$232,0,4))*INDEX('Methodology &amp; Sources'!$B$228:$J$232,0,4+2)),IF($AN48="AZ",'Inputs 2'!$C$82,IF($AN48="CO",IF($AY48&gt;IF($AU48="Married",10000,5000),0.044,0),IF($AN48="IA",IF($AY48&gt;IF($AU48="Head of household",19500,IF($AU48="Married",26000,13000)),0.038,0),IF($AN48="ID",IF($AY48&gt;IF($AU48="Married",32000,16094),0.053,0),IF($AN48="IL",IF($AY48&gt;(2925*$AS48+1000*$AT48),0.0495,0),IF($AN48="KY",IF($AI48&gt;3360,0.035,0),IF($AN48="LA",0.0309,IF($AN48="MA",IF(MAX(0,$AY48-MIN(($BD47+$Q48+$R48+$S48),2000)-IF($AS48=0,0,IF($AS48=1,4400,1000*$AS48+3400)))&gt;=1107750,0.09,0.05),IF($AN48="MS",IF($AI48-IF($AU48="Head of household",3400,IF($AU48="Married",4600,2300))-'Inputs 2'!$C$85&gt;10000,0.04,0),IF($AN48="PA",0.0307,"")))))))))))))))</f>
      </c>
      <c r="CD48" s="21">
        <f>IF(YEAR(IF('Inputs 2'!$C$7="Weekly",'Inputs 2'!$C$9+7*(($BE47+1)-1),IF('Inputs 2'!$C$7="Biweekly",'Inputs 2'!$C$9+14*(($BE47+1)-1),IF('Inputs 2'!$C$7="Semimonthly",DATE(YEAR('Inputs 2'!$C$9),MONTH('Inputs 2'!$C$9)+INT((($BE47+1)-1)/2),MIN(DAY('Inputs 2'!$C$9),DAY(EOMONTH(DATE(YEAR('Inputs 2'!$C$9),MONTH('Inputs 2'!$C$9)+INT((($BE47+1)-1)/2),1),0))))+IF(MOD(($BE47+1)-1,2)=1,15,0),EDATE('Inputs 2'!$C$9,($BE47+1)-1)))))&lt;&gt;'Inputs 2'!$C$10,"",IF('Inputs 2'!$C$7="Weekly",'Inputs 2'!$C$9+7*(($BE47+1)-1),IF('Inputs 2'!$C$7="Biweekly",'Inputs 2'!$C$9+14*(($BE47+1)-1),IF('Inputs 2'!$C$7="Semimonthly",DATE(YEAR('Inputs 2'!$C$9),MONTH('Inputs 2'!$C$9)+INT((($BE47+1)-1)/2),MIN(DAY('Inputs 2'!$C$9),DAY(EOMONTH(DATE(YEAR('Inputs 2'!$C$9),MONTH('Inputs 2'!$C$9)+INT((($BE47+1)-1)/2),1),0))))+IF(MOD(($BE47+1)-1,2)=1,15,0),EDATE('Inputs 2'!$C$9,($BE47+1)-1)))))</f>
      </c>
      <c r="CE48" s="21">
        <f>IF(SUMPRODUCT(MIN(IF(('Inputs 2'!$C$58:$C$67&gt;MAX($B$6:$B47))*('Inputs 2'!$C$58:$C$67&gt;=DATE('Inputs 2'!$C$10,1,1))*('Inputs 2'!$C$58:$C$67&lt;=DATE('Inputs 2'!$C$10,12,31)),'Inputs 2'!$C$58:$C$67,999999)))=999999,"",SUMPRODUCT(MIN(IF(('Inputs 2'!$C$58:$C$67&gt;MAX($B$6:$B47))*('Inputs 2'!$C$58:$C$67&gt;=DATE('Inputs 2'!$C$10,1,1))*('Inputs 2'!$C$58:$C$67&lt;=DATE('Inputs 2'!$C$10,12,31)),'Inputs 2'!$C$58:$C$67,999999))))</f>
      </c>
    </row>
    <row r="49">
      <c r="A49" t="n">
        <v>44</v>
      </c>
      <c r="B49" s="21">
        <f>IF(AND($CD49="",$CE49=""),"",IF($CE49="",$CD49,IF($CD49="",$CE49,MIN($CD49,$CE49))))</f>
      </c>
      <c r="C49" s="7">
        <f>IF($B49="","",IF($BF49=0,0,IF('Inputs 2'!$C$4="Annual salary",ROUND($AK49/IF(AND('Inputs 2'!$C$88="Actual paydays",MONTH('Inputs 2'!$C$9)=1),MAX(1,MAX($BE$6:$BE$68)),'Inputs 2'!$C$8),2),$AK49)))</f>
      </c>
      <c r="D49" s="7">
        <f>IF($B49="","",SUMIF('Inputs 2'!$C$58:$C$67,$B49,'Inputs 2'!$D$58:$D$67))</f>
      </c>
      <c r="E49" s="7">
        <f>IF($B49="","",ROUND(MAX(0,MIN(IF($AL49="Percent",$AM49*($C49+$D49),$AM49),MAX(0,'Inputs 2'!$C$34-$AC48))),2))</f>
      </c>
      <c r="F49" s="7">
        <f>IF($B49="","",ROUND(MAX(0,MIN(IF('Inputs 2'!$C$32="Percent",'Inputs 2'!$D$32*($C49+$D49),'Inputs 2'!$D$32),MAX(0,'Inputs 2'!$C$34-$AC48-$E49))),2))</f>
      </c>
      <c r="G49" s="7">
        <f>IF($B49="","",IF($BF49=0,0,ROUND(MAX(0,MIN($BL49,'Inputs 2'!$C$37-'Inputs 2'!$C$54-$BI48)),2)))</f>
      </c>
      <c r="H49" s="7">
        <f>IF($B49="","",IF(OR($BF49=0,$BQ49=1),0,ROUND(MAX(0,MIN(IF($BS49=1,ROUND(MAX(0,MIN($BJ49,'Methodology &amp; Sources'!$C$13)-$BG48)/MAX(1,MAX($BE$6:$BE$68)-($BE48)),2),ROUND(MIN($BJ49,'Methodology &amp; Sources'!$C$13)/'Inputs 2'!$C$8,2)),MIN($BJ49,'Methodology &amp; Sources'!$C$13)-$BG48)),2)))</f>
      </c>
      <c r="I49" s="7">
        <f>IF($B49="","",IF(OR($BF49=0,$BR49=1),0,ROUND(MAX(0,MIN(IF($BT49=1,ROUND(MAX(0,MIN($BK49,IF('Inputs 2'!$C$12="MFJ",'Methodology &amp; Sources'!$C$14,'Methodology &amp; Sources'!$C$15))-$BH48)/MAX(1,MAX($BE$6:$BE$68)-($BE48)),2),ROUND(MIN($BK49,IF('Inputs 2'!$C$12="MFJ",'Methodology &amp; Sources'!$C$14,'Methodology &amp; Sources'!$C$15))/'Inputs 2'!$C$8,2)),MIN($BK49,IF('Inputs 2'!$C$12="MFJ",'Methodology &amp; Sources'!$C$14,'Methodology &amp; Sources'!$C$15))-$BH48)),2)))</f>
      </c>
      <c r="J49" s="7">
        <f>IF($B49="","",IF($BF49=0,0,$BM49))</f>
      </c>
      <c r="K49" s="7">
        <f>IF($B49="","",IF($BF49=0,0,$BN49+$BO49))</f>
      </c>
      <c r="L49" s="7">
        <f>IF($B49="","",IF($BF49=0,0,'Inputs 2'!$D$46))</f>
      </c>
      <c r="M49" s="7">
        <f>IF($B49="","",$C49+$D49+$L49-$E49-$G49-$H49-$I49-$J49-$K49)</f>
      </c>
      <c r="N49" s="7">
        <f>IF($B49="","",$C49+$D49+$L49-$G49-$H49-$I49-$J49-$K49)</f>
      </c>
      <c r="O49" s="7">
        <f>IF($B49="","",$C49+$D49+$L49-$E49-$H49-$I49-$J49-$K49-IF(OR($AN49="CA",$AN49="NJ"),0,$G49))</f>
      </c>
      <c r="P49" s="7">
        <f>IF($B49="","",IF('Inputs 2'!$C$18,0,ROUND(MAX(0,IF('Inputs 2'!$C$13,SUMPRODUCT(($AH49&gt;INDEX('Methodology &amp; Sources'!$B$29:$J$36,0,IF('Inputs 2'!$C$12="MFJ",1,IF('Inputs 2'!$C$12="HoH",7,4))))*($AH49-INDEX('Methodology &amp; Sources'!$B$29:$J$36,0,IF('Inputs 2'!$C$12="MFJ",1,IF('Inputs 2'!$C$12="HoH",7,4))))*INDEX('Methodology &amp; Sources'!$B$29:$J$36,0,IF('Inputs 2'!$C$12="MFJ",1,IF('Inputs 2'!$C$12="HoH",7,4))+2)),SUMPRODUCT(($AH49&gt;INDEX('Methodology &amp; Sources'!$B$19:$J$26,0,IF('Inputs 2'!$C$12="MFJ",1,IF('Inputs 2'!$C$12="HoH",7,4))))*($AH49-INDEX('Methodology &amp; Sources'!$B$19:$J$26,0,IF('Inputs 2'!$C$12="MFJ",1,IF('Inputs 2'!$C$12="HoH",7,4))))*INDEX('Methodology &amp; Sources'!$B$19:$J$26,0,IF('Inputs 2'!$C$12="MFJ",1,IF('Inputs 2'!$C$12="HoH",7,4))+2)))/'Inputs 2'!$C$8-$AO49/'Inputs 2'!$C$8)+$AR49+IF('Inputs 2'!$C$89="Aggregate",MAX(0,IF('Inputs 2'!$C$13,SUMPRODUCT((($AH49+$D49)&gt;INDEX('Methodology &amp; Sources'!$B$29:$J$36,0,IF('Inputs 2'!$C$12="MFJ",1,IF('Inputs 2'!$C$12="HoH",7,4))))*(($AH49+$D49)-INDEX('Methodology &amp; Sources'!$B$29:$J$36,0,IF('Inputs 2'!$C$12="MFJ",1,IF('Inputs 2'!$C$12="HoH",7,4))))*INDEX('Methodology &amp; Sources'!$B$29:$J$36,0,IF('Inputs 2'!$C$12="MFJ",1,IF('Inputs 2'!$C$12="HoH",7,4))+2)),SUMPRODUCT((($AH49+$D49)&gt;INDEX('Methodology &amp; Sources'!$B$19:$J$26,0,IF('Inputs 2'!$C$12="MFJ",1,IF('Inputs 2'!$C$12="HoH",7,4))))*(($AH49+$D49)-INDEX('Methodology &amp; Sources'!$B$19:$J$26,0,IF('Inputs 2'!$C$12="MFJ",1,IF('Inputs 2'!$C$12="HoH",7,4))))*INDEX('Methodology &amp; Sources'!$B$19:$J$26,0,IF('Inputs 2'!$C$12="MFJ",1,IF('Inputs 2'!$C$12="HoH",7,4))+2)))-IF('Inputs 2'!$C$13,SUMPRODUCT(($AH49&gt;INDEX('Methodology &amp; Sources'!$B$29:$J$36,0,IF('Inputs 2'!$C$12="MFJ",1,IF('Inputs 2'!$C$12="HoH",7,4))))*($AH49-INDEX('Methodology &amp; Sources'!$B$29:$J$36,0,IF('Inputs 2'!$C$12="MFJ",1,IF('Inputs 2'!$C$12="HoH",7,4))))*INDEX('Methodology &amp; Sources'!$B$29:$J$36,0,IF('Inputs 2'!$C$12="MFJ",1,IF('Inputs 2'!$C$12="HoH",7,4))+2)),SUMPRODUCT(($AH49&gt;INDEX('Methodology &amp; Sources'!$B$19:$J$26,0,IF('Inputs 2'!$C$12="MFJ",1,IF('Inputs 2'!$C$12="HoH",7,4))))*($AH49-INDEX('Methodology &amp; Sources'!$B$19:$J$26,0,IF('Inputs 2'!$C$12="MFJ",1,IF('Inputs 2'!$C$12="HoH",7,4))))*INDEX('Methodology &amp; Sources'!$B$19:$J$26,0,IF('Inputs 2'!$C$12="MFJ",1,IF('Inputs 2'!$C$12="HoH",7,4))+2)))),'Methodology &amp; Sources'!$C$10*$D49),2)))</f>
      </c>
      <c r="Q49" s="7">
        <f>IF($B49="","",ROUND('Methodology &amp; Sources'!$C$4*MIN($N49,MAX(0,'Methodology &amp; Sources'!$C$3-($AX49+$AB48-$AW49))),2))</f>
      </c>
      <c r="R49" s="7">
        <f>IF($B49="","",ROUND('Methodology &amp; Sources'!$C$5*$N49,2))</f>
      </c>
      <c r="S49" s="7">
        <f>IF($B49="","",ROUND('Methodology &amp; Sources'!$C$6*MAX(0,MIN($N49,$AG48+$N49-'Methodology &amp; Sources'!$C$7)),2))</f>
      </c>
      <c r="T49" s="7">
        <f>IF($B49="","",IF('Inputs 2'!$C$26,0,IF($AN49="CA",ROUND(IF($AI49&lt;=IF(($AS49+$AT49)&gt;=2,VLOOKUP($AN49,StateTables!$A$6:$AB$56,10,FALSE),VLOOKUP($AN49,StateTables!$A$6:$AB$56,9,FALSE)),0,MAX(0,SUMPRODUCT(($AJ49&gt;INDEX('Methodology &amp; Sources'!$B$39:$J$48,0,IF($AU49="Married",4,IF($AU49="Head of household",7,1))))*($AJ49-INDEX('Methodology &amp; Sources'!$B$39:$J$48,0,IF($AU49="Married",4,IF($AU49="Head of household",7,1))))*INDEX('Methodology &amp; Sources'!$B$39:$J$48,0,IF($AU49="Married",4,IF($AU49="Head of household",7,1))+2))-VLOOKUP($AN49,StateTables!$A$6:$AB$56,11,FALSE)*$AS49)/'Inputs 2'!$C$8)+'Inputs 2'!$C$25+VLOOKUP($AN49,StateTables!$A$6:$AB$56,13,FALSE)*$D49,2),IF(VLOOKUP($AN49,StateTables!$A$6:$AB$56,4,FALSE)="None",0,IF(ISNUMBER(SEARCH("MANUAL",VLOOKUP($AN49,StateTables!$A$6:$AB$56,5,FALSE))),'Inputs 2'!$C$28,ROUND(MAX(0,$BA49+$BB49)/'Inputs 2'!$C$8+'Inputs 2'!$C$25+$BC49,2))))))</f>
      </c>
      <c r="U49" s="7">
        <f>IF($B49="","",IF(VLOOKUP($AN49,StateTables!$A$6:$AB$56,24,FALSE)="flatq",IF(OR(MONTH($B49)=1,MONTH($B49)=4,MONTH($B49)=7,MONTH($B49)=10),VLOOKUP($AN49,StateTables!$A$6:$AB$56,25,FALSE),0),IF(VLOOKUP($AN49,StateTables!$A$6:$AB$56,24,FALSE)="dbl",MIN(ROUND(0.005*$N49,2),ROUND(0.6*52/'Inputs 2'!$C$8,2)),IF(OR(VLOOKUP($AN49,StateTables!$A$6:$AB$56,15,FALSE)="",VLOOKUP($AN49,StateTables!$A$6:$AB$56,15,FALSE)=0),0,ROUND(VLOOKUP($AN49,StateTables!$A$6:$AB$56,15,FALSE)*IF(OR(VLOOKUP($AN49,StateTables!$A$6:$AB$56,16,FALSE)="",VLOOKUP($AN49,StateTables!$A$6:$AB$56,16,FALSE)=0),$N49,MIN($N49,MAX(0,VLOOKUP($AN49,StateTables!$A$6:$AB$56,16,FALSE)-($AX49+$AB48-$AW49)))),2))))+IF(VLOOKUP($AN49,StateTables!$A$6:$AB$56,27,FALSE)="flatq",IF(OR(MONTH($B49)=1,MONTH($B49)=4,MONTH($B49)=7,MONTH($B49)=10),VLOOKUP($AN49,StateTables!$A$6:$AB$56,28,FALSE),0),IF(VLOOKUP($AN49,StateTables!$A$6:$AB$56,27,FALSE)="dbl",MIN(ROUND(0.005*$N49,2),ROUND(0.6*52/'Inputs 2'!$C$8,2)),IF(OR(VLOOKUP($AN49,StateTables!$A$6:$AB$56,18,FALSE)="",VLOOKUP($AN49,StateTables!$A$6:$AB$56,18,FALSE)=0),0,ROUND(VLOOKUP($AN49,StateTables!$A$6:$AB$56,18,FALSE)*IF(OR(VLOOKUP($AN49,StateTables!$A$6:$AB$56,19,FALSE)="",VLOOKUP($AN49,StateTables!$A$6:$AB$56,19,FALSE)=0),$N49,MIN($N49,MAX(0,VLOOKUP($AN49,StateTables!$A$6:$AB$56,19,FALSE)-($AX49+$AB48-$AW49)))),2)))))</f>
      </c>
      <c r="V49" s="7">
        <f>IF($B49="","",IF($AN49="NY",IF('Inputs 2'!$C$78,ROUND(SUMPRODUCT((MAX(0,($O49-$D49)*'Inputs 2'!$C$8-(IF($AU49="Married",5500,5000)+1000*$AS49))&gt;INDEX('Methodology &amp; Sources'!$B$184:$J$198,0,4))*(MAX(0,($O49-$D49)*'Inputs 2'!$C$8-(IF($AU49="Married",5500,5000)+1000*$AS49))-INDEX('Methodology &amp; Sources'!$B$184:$J$198,0,4))*INDEX('Methodology &amp; Sources'!$B$184:$J$198,0,4+2))/'Inputs 2'!$C$8+0.0425*$D49,2),0)+IF('Inputs 2'!$C$79="Resident",ROUND(0.1675*$T49,2),IF('Inputs 2'!$C$79="Nonresident",ROUND(0.005*MAX(0,($O49-$D49)-(IF($AU49="Married",7950,7400)+1000*$AS49)/'Inputs 2'!$C$8),2),0)),IF($AN49="PA",IF('Inputs 2'!$C$80="None",'Inputs 2'!$C$27+ROUND('Inputs 2'!$C$81*($C49+$D49),2),ROUND(IF('Inputs 2'!$C$80="Resident",IF($B49&lt;DATE(2027,7,1),0.03735,0.03735),IF($B49&lt;DATE(2027,7,1),0.03425,0.03425))*($C49+$D49),2)),IF($BF49=0,ROUND('Inputs 2'!$C$81*($C49+$D49),2),'Inputs 2'!$C$27+ROUND('Inputs 2'!$C$81*($C49+$D49),2)))))</f>
      </c>
      <c r="W49" s="7">
        <f>IF($B49="","",IF($BF49=0,0,$BP49))</f>
      </c>
      <c r="X49" s="7">
        <f>IF($B49="","",SUM($E49:$K49)+$P49+$Q49+$R49+$S49+$T49+$U49+$V49+$W49)</f>
      </c>
      <c r="Y49" s="22">
        <f>IF($B49="","",$C49+$D49-$X49)</f>
      </c>
      <c r="Z49" s="7">
        <f>IF($B49="","",$Z48+$C49+$D49)</f>
      </c>
      <c r="AA49" s="7">
        <f>IF($B49="","",$AA48+$Y49)</f>
      </c>
      <c r="AB49" s="7">
        <f>IF($B49="","",$AB48+MIN($N49,MAX(0,'Methodology &amp; Sources'!$C$3-($AX49+$AB48-$AW49))))</f>
      </c>
      <c r="AC49" s="7">
        <f>IF($B49="","",$AC48+$E49+$F49)</f>
      </c>
      <c r="AD49" s="3">
        <f>IF($B49="","",IF(AND($AB48&lt;'Methodology &amp; Sources'!$C$3,$AB49&gt;='Methodology &amp; Sources'!$C$3),"★ Social Security maxed on this check — from the next check your net rises by about $"&amp;TEXT(ROUND('Methodology &amp; Sources'!$C$4*$N49,2),"#,##0.00")&amp;". ","")&amp;IF(AND($AC48&lt;'Inputs 2'!$C$34,$AC49&gt;='Inputs 2'!$C$34),"★ 401(k) reaches the $"&amp;TEXT('Inputs 2'!$C$34,"#,##0")&amp;" cap on this check — deferrals stop and net pay rises. ","")&amp;IF(AND($AG48&lt;'Methodology &amp; Sources'!$C$7,$AG49&gt;='Methodology &amp; Sources'!$C$7),"★ Wages pass $200,000 — the 0.9% Additional Medicare Tax starts here. ","")&amp;IF(AND($BJ49&gt;0,$H49&gt;0,$BG48&lt;MIN($BJ49,'Methodology &amp; Sources'!$C$13),$BG48+$H49&gt;=MIN($BJ49,'Methodology &amp; Sources'!$C$13)),"★ Health FSA election is now fully deferred for the year. ",""))</f>
      </c>
      <c r="AE49" s="41" t="n"/>
      <c r="AF49" s="7">
        <f>IF(OR($B49="",$AE49=""),"",$AE49-$Y49)</f>
      </c>
      <c r="AG49" s="7">
        <f>IF($B49="","",$AG48+$N49)</f>
      </c>
      <c r="AH49" s="7">
        <f>IF($B49="","",MAX(0,($M49-$D49)*'Inputs 2'!$C$8+$AP49-$AQ49-IF('Inputs 2'!$C$13,0,IF('Inputs 2'!$C$12="MFJ",'Methodology &amp; Sources'!$C$8,'Methodology &amp; Sources'!$C$9))))</f>
      </c>
      <c r="AI49" s="7">
        <f>IF($B49="","",$O49*'Inputs 2'!$C$8)</f>
      </c>
      <c r="AJ49" s="7">
        <f>IF($B49="","",MAX(0,$AI49-VLOOKUP($AN49,StateTables!$A$6:$AB$56,12,FALSE)*$AT49-IF(($AS49+$AT49)&gt;=2,VLOOKUP($AN49,StateTables!$A$6:$AB$56,8,FALSE),VLOOKUP($AN49,StateTables!$A$6:$AB$56,7,FALSE))))</f>
      </c>
      <c r="AK49" s="7">
        <f>IF($B49="","",IFERROR(LOOKUP(2,1/(('Events 2'!$C$6:$C$17="Salary change")*('Events 2'!$B$6:$B$17&lt;=$B49)*('Events 2'!$B$6:$B$17&lt;&gt;"")),'Events 2'!$D$6:$D$17),IF('Inputs 2'!$C$4="Annual salary",'Inputs 2'!$C$5,'Inputs 2'!$C$6)))</f>
      </c>
      <c r="AL49">
        <f>IF($B49="","",IFERROR(LOOKUP(2,1/(('Events 2'!$C$6:$C$17="401(k) change")*('Events 2'!$B$6:$B$17&lt;=$B49)*('Events 2'!$B$6:$B$17&lt;&gt;"")),'Events 2'!$D$6:$D$17),'Inputs 2'!$C$30))</f>
      </c>
      <c r="AM49" s="7">
        <f>IF($B49="","",IFERROR(LOOKUP(2,1/(('Events 2'!$C$6:$C$17="401(k) change")*('Events 2'!$B$6:$B$17&lt;=$B49)*('Events 2'!$B$6:$B$17&lt;&gt;"")),'Events 2'!$E$6:$E$17),'Inputs 2'!$D$30))</f>
      </c>
      <c r="AN49">
        <f>IF($B49="","",IFERROR(LOOKUP(2,1/(('Events 2'!$C$6:$C$17="State move")*('Events 2'!$B$6:$B$17&lt;=$B49)*('Events 2'!$B$6:$B$17&lt;&gt;"")),'Events 2'!$D$6:$D$17),'Inputs 2'!$C$21))</f>
      </c>
      <c r="AO49" s="7">
        <f>IF($B49="","",IFERROR(LOOKUP(2,1/(('Events 2'!$C$6:$C$17="W-4 change")*('Events 2'!$B$6:$B$17&lt;=$B49)*('Events 2'!$B$6:$B$17&lt;&gt;"")),'Events 2'!$D$6:$D$17),'Inputs 2'!$C$14))</f>
      </c>
      <c r="AP49" s="7">
        <f>IF($B49="","",IFERROR(LOOKUP(2,1/(('Events 2'!$C$6:$C$17="W-4 change")*('Events 2'!$B$6:$B$17&lt;=$B49)*('Events 2'!$B$6:$B$17&lt;&gt;"")),'Events 2'!$E$6:$E$17),'Inputs 2'!$C$15))</f>
      </c>
      <c r="AQ49" s="7">
        <f>IF($B49="","",IFERROR(LOOKUP(2,1/(('Events 2'!$C$6:$C$17="W-4 change")*('Events 2'!$B$6:$B$17&lt;=$B49)*('Events 2'!$B$6:$B$17&lt;&gt;"")),'Events 2'!$F$6:$F$17),'Inputs 2'!$C$16))</f>
      </c>
      <c r="AR49" s="7">
        <f>IF($B49="","",IFERROR(LOOKUP(2,1/(('Events 2'!$C$6:$C$17="W-4 change")*('Events 2'!$B$6:$B$17&lt;=$B49)*('Events 2'!$B$6:$B$17&lt;&gt;"")),'Events 2'!$G$6:$G$17),'Inputs 2'!$C$17))</f>
      </c>
      <c r="AS49" s="6">
        <f>IF($B49="","",IFERROR(LOOKUP(2,1/((('Events 2'!$C$6:$C$17="State move")+('Events 2'!$C$6:$C$17="State cert change"))*('Events 2'!$B$6:$B$17&lt;=$B49)*('Events 2'!$B$6:$B$17&lt;&gt;"")),'Events 2'!$F$6:$F$17),'Inputs 2'!$C$23))</f>
      </c>
      <c r="AT49" s="6">
        <f>IF($B49="","",IFERROR(LOOKUP(2,1/((('Events 2'!$C$6:$C$17="State move")+('Events 2'!$C$6:$C$17="State cert change"))*('Events 2'!$B$6:$B$17&lt;=$B49)*('Events 2'!$B$6:$B$17&lt;&gt;"")),'Events 2'!$G$6:$G$17),'Inputs 2'!$C$24))</f>
      </c>
      <c r="AU49">
        <f>IF($B49="","",IFERROR(LOOKUP(2,1/(('Events 2'!$C$6:$C$17="State move")*('Events 2'!$B$6:$B$17&lt;=$B49)*('Events 2'!$B$6:$B$17&lt;&gt;"")),'Events 2'!$E$6:$E$17),'Inputs 2'!$C$22))</f>
      </c>
      <c r="AV49" s="6">
        <f>IF($B49="","",1+COUNTIFS('Events 2'!$C$6:$C$17,"Employer change",'Events 2'!$B$6:$B$17,"&lt;="&amp;$B49,'Events 2'!$B$6:$B$17,"&lt;&gt;"))</f>
      </c>
      <c r="AW49" s="7">
        <f>IF($B49="","",IF($AV49=1,'Inputs 2'!$C$49,IF(IFERROR(MATCH(IFERROR(LOOKUP(2,1/(('Events 2'!$C$6:$C$17="Employer change")*('Events 2'!$B$6:$B$17&lt;=$B49)*('Events 2'!$B$6:$B$17&lt;&gt;"")),'Events 2'!$B$6:$B$17),""),$B$6:$B$68,1),1)&lt;=1,'Inputs 2'!$C$49,INDEX($AB$6:$AB$68,MATCH(IFERROR(LOOKUP(2,1/(('Events 2'!$C$6:$C$17="Employer change")*('Events 2'!$B$6:$B$17&lt;=$B49)*('Events 2'!$B$6:$B$17&lt;&gt;"")),'Events 2'!$B$6:$B$17),""),$B$6:$B$68,1)-1))))</f>
      </c>
      <c r="AX49" s="7">
        <f>IF($B49="","",IF($AV49=1,'Inputs 2'!$C$49,IFERROR(LOOKUP(2,1/(('Events 2'!$C$6:$C$17="Employer change")*('Events 2'!$B$6:$B$17&lt;=$B49)*('Events 2'!$B$6:$B$17&lt;&gt;"")),'Events 2'!$D$6:$D$17),0)))</f>
      </c>
      <c r="AY49" s="7">
        <f>IF($B49="","",($O49-$D49)*'Inputs 2'!$C$8)</f>
      </c>
      <c r="AZ49" s="7">
        <f>IF($B49="","",IF($AN49="AL",MAX(0,$AY49-IF($AU49="Married",IF($AY49&lt;=25999,8500,MAX(5000,8500-175*CEILING(($AY49-25999)/500,1))),IF($AU49="Head of household",IF($AY49&lt;=25999,5200,MAX(2500,5200-135*CEILING(($AY49-25999)/500,1))),IF($AY49&lt;=25999,3000,MAX(2500,3000-25*CEILING(($AY49-25999)/500,1)))))-($P49-'Methodology &amp; Sources'!$C$10*$D49)*'Inputs 2'!$C$8-IF(OR($AU49="Married",$AU49="Head of household"),3000,1500)-$AT49*IF($AY49&lt;=50000,1000,IF($AY49&lt;=100000,500,300))),IF($AN49="AR",IF(MAX(0,$AY49-2470)&lt;97701,INT(MAX(0,$AY49-2470)/100)*100+50,MAX(0,$AY49-2470)),IF($AN49="DE",MAX(0,$AI49-3250),IF($AN49="HI",MAX(0,$AI49-1144*$AS49-4350),IF($AN49="KS",MAX(0,$AI49-(9160*IF($AU49="Married",2,1)+2320*$AT49+IF($AU49="Head of household",2320,0))),IF($AN49="MD",MAX(0,$AI49-3400-3200*$AS49),IF($AN49="MN",MAX(0,$AY49-5300*$AS49),IF($AN49="MO",MAX(0,$AI49-IF($AU49="Head of household",24150,IF($AU49="Married",IF('Inputs 2'!$C$83,16100,32200),16100))),IF($AN49="MT",$AY49,IF($AN49="ND",($C49+$L49)*'Inputs 2'!$C$8,IF($AN49="NE",MAX(0,$AY49-2440*$AS49),IF($AN49="NJ",MAX(0,$AY49-1000*$AS49),IF($AN49="NY",MAX(0,$AY49-(IF($AU49="Married",7950,7400)+1000*$AS49)),IF($AN49="OH",MAX(0,$AY49-650*$AS49),IF($AN49="OK",MAX(0,$AY49-1000*$AS49),IF($AN49="RI",MAX(0,$AI49-1000*$AS49),IF($AN49="SC",MAX(0,$AI49-5000*$AS49-IF($AS49=0,0,MIN(0.1*$AI49,7500))),IF($AN49="VA",MAX(0,$AI49-IF($AU49="Married",17500,8750)-930*$AS49-800*$AT49),IF($AN49="VT",MAX(0,$AI49-5400*$AS49),IF($AN49="WI",MAX(0,$AI49-MAX(0,IF($AU49="Married",9461-0.2*MAX(0,$AI49-25727),6702-0.12*MAX(0,$AI49-17780)))-400*$AS49),IF($AN49="WV",MAX(0,$AI49-2000*$AS49),$AI49))))))))))))))))))))))</f>
      </c>
      <c r="BA49" s="7">
        <f>IF($B49="","",IF($BW49&lt;&gt;"",$BW49,IF($BX49&lt;&gt;"",$BX49,IF($BY49&lt;&gt;"",$BY49,0))))</f>
      </c>
      <c r="BB49" s="7">
        <f>IF($B49="","",IF($AN49="AR",-29*$AS49,IF($AN49="DE",-110*$AS49,IF($AN49="MD",$AZ49*'Inputs 2'!$C$74,IF($AN49="AZ",'Inputs 2'!$C$82*($M49-$D49)*'Inputs 2'!$C$8,IF($AN49="CO",0.044*MAX(0,$AY49-IF($AU49="Married",10000,5000)),IF($AN49="IA",MAX(0,0.038*MAX(0,$AY49-IF($AU49="Head of household",19500,IF($AU49="Married",26000,13000)))-40*$AS49),IF($AN49="ID",0.053*MAX(0,$AY49-IF($AU49="Married",32000,16094)),IF($AN49="IL",0.0495*MAX(0,$AY49-(2925*$AS49+1000*$AT49)),IF($AN49="IN",(0.0295+'Inputs 2'!$C$76)*MAX(0,$AY49-(1000*$AS49+1500*$AT49+3000*'Inputs 2'!$C$86)),IF($AN49="KY",0.035*MAX(0,$AI49-3360),IF($AN49="LA",IF('Inputs 2'!$C$84="0",0.0309*$AI49,0.0309*MAX(0,$AI49-IF('Inputs 2'!$C$84="2",25750,12875))),IF($AN49="MA",0.05*MIN(MAX(0,$AY49-MIN(($BD48+$Q49+$R49+$S49),2000)-IF($AS49=0,0,IF($AS49=1,4400,1000*$AS49+3400))),1107750)+0.09*MAX(0,MAX(0,$AY49-MIN(($BD48+$Q49+$R49+$S49),2000)-IF($AS49=0,0,IF($AS49=1,4400,1000*$AS49+3400)))-1107750)-IF($AU49="Head of household",120,0)-110*'Inputs 2'!$C$75,IF($AN49="MI",0.0425*MAX(0,$AY49-5900*$AS49),IF($AN49="MS",0.04*MAX(0,$AI49-IF($AU49="Head of household",3400,IF($AU49="Married",4600,2300))-'Inputs 2'!$C$85-10000),IF($AN49="OR",IF(OR($AU49="Married",AND($AU49="Single",$AS49&gt;=3)),SUMPRODUCT((MAX(0,$AY49-MIN(($P49-'Methodology &amp; Sources'!$C$10*$D49)*'Inputs 2'!$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Sources'!$B$211:$J$214,0,4))*(MAX(0,$AY49-MIN(($P49-'Methodology &amp; Sources'!$C$10*$D49)*'Inputs 2'!$C$8,IF(OR($AU49="Married",AND($AU49="Single",$AS49&gt;=3)),IF($AY49&lt;250000,8750,IF($AY49&lt;260000,7000,IF($AY49&lt;270000,5250,IF($AY49&lt;280000,3500,IF($AY49&lt;290000,1750,0))))),IF($AY49&lt;125000,8750,IF($AY49&lt;130000,7000,IF($AY49&lt;135000,5250,IF($AY49&lt;140000,3500,IF($AY49&lt;145000,1750,0)))))))-IF(OR($AU49="Married",AND($AU49="Single",$AS49&gt;=3)),5820,2910))-INDEX('Methodology &amp; Sources'!$B$211:$J$214,0,4))*INDEX('Methodology &amp; Sources'!$B$211:$J$214,0,4+2)),SUMPRODUCT((MAX(0,$AY49-MIN(($P49-'Methodology &amp; Sources'!$C$10*$D49)*'Inputs 2'!$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Sources'!$B$211:$J$214,0,1))*(MAX(0,$AY49-MIN(($P49-'Methodology &amp; Sources'!$C$10*$D49)*'Inputs 2'!$C$8,IF(OR($AU49="Married",AND($AU49="Single",$AS49&gt;=3)),IF($AY49&lt;250000,8750,IF($AY49&lt;260000,7000,IF($AY49&lt;270000,5250,IF($AY49&lt;280000,3500,IF($AY49&lt;290000,1750,0))))),IF($AY49&lt;125000,8750,IF($AY49&lt;130000,7000,IF($AY49&lt;135000,5250,IF($AY49&lt;140000,3500,IF($AY49&lt;145000,1750,0)))))))-IF(OR($AU49="Married",AND($AU49="Single",$AS49&gt;=3)),5820,2910))-INDEX('Methodology &amp; Sources'!$B$211:$J$214,0,1))*INDEX('Methodology &amp; Sources'!$B$211:$J$214,0,1+2)))+263-263*IF(IF($AU49="Married",$AY49&gt;200000,$AY49&gt;100000),0,$AS49),IF($AN49="PA",0.0307*(($O49+$E49+$G49)*'Inputs 2'!$C$8),IF($AN49="NY",IF($AU49="Married",IF($AZ49&gt;=2155350,0,IF($AZ49&gt;=1077550,0.48,IF($AZ49&gt;=373200,1.21,IF($AZ49&gt;=323200,0.21,IF($AZ49&gt;=211550,-0.19,IF($AZ49&gt;=157650,-2.8,IF($AZ49&gt;=107650,-0.8,IF($AZ49&gt;=96800,0.05,IF($AZ49&gt;=80650,-0.1,IF($AZ49&gt;=13900,0.4,IF($AZ49&gt;=11700,-0.3,IF($AZ49&gt;=8500,0.5,0)))))))))))),IF($AZ49&gt;=1077550,0,IF($AZ49&gt;=265400,4.29,IF($AZ49&gt;=215400,2.29,IF($AZ49&gt;=157650,2.29,IF($AZ49&gt;=107650,0.29,IF($AZ49&gt;=96800,0.05,IF($AZ49&gt;=80650,-0.1,IF($AZ49&gt;=13900,0.4,IF($AZ49&gt;=11700,-0.3,IF($AZ49&gt;=8500,0.5,0))))))))))),0))))))))))))))))))</f>
      </c>
      <c r="BC49" s="7">
        <f>IF($B49="","",IF($AN49="AL",0.05*$D49,IF($AN49="AR",0.039*$D49,IF($AN49="ID",0.053*$D49,IF($AN49="IN",(0.0295+'Inputs 2'!$C$76)*$D49,IF($AN49="KS",0.05*$D49,IF($AN49="MA",0.09*MIN($D49,MAX(0,MAX(0,$AY49-MIN(($BD48+$Q49+$R49+$S49),2000)-IF($AS49=0,0,IF($AS49=1,4400,1000*$AS49+3400)))+$D49-1107750))+0.05*($D49-MIN($D49,MAX(0,MAX(0,$AY49-MIN(($BD48+$Q49+$R49+$S49),2000)-IF($AS49=0,0,IF($AS49=1,4400,1000*$AS49+3400)))+$D49-1107750))),IF($AN49="MD",(0.065+'Inputs 2'!$C$74)*$D49,IF($AN49="MI",0.0425*$D49,IF($AN49="MN",0.0625*$D49,IF($AN49="MO",0.047*$D49,IF($AN49="MT",0.05*$D49,IF($AN49="ND",0.015*$D49,IF($AN49="NE",0.035*$D49,IF($AN49="NJ",IF('Inputs 2'!$C$77="B",SUMPRODUCT(($D49*'Inputs 2'!$C$8&gt;INDEX('Methodology &amp; Sources'!$B$155:$J$162,0,4))*($D49*'Inputs 2'!$C$8-INDEX('Methodology &amp; Sources'!$B$155:$J$162,0,4))*INDEX('Methodology &amp; Sources'!$B$155:$J$162,0,4+2)),IF('Inputs 2'!$C$77="C",SUMPRODUCT(($D49*'Inputs 2'!$C$8&gt;INDEX('Methodology &amp; Sources'!$B$155:$J$162,0,7))*($D49*'Inputs 2'!$C$8-INDEX('Methodology &amp; Sources'!$B$155:$J$162,0,7))*INDEX('Methodology &amp; Sources'!$B$155:$J$162,0,7+2)),IF('Inputs 2'!$C$77="D",SUMPRODUCT(($D49*'Inputs 2'!$C$8&gt;INDEX('Methodology &amp; Sources'!$B$167:$J$179,0,1))*($D49*'Inputs 2'!$C$8-INDEX('Methodology &amp; Sources'!$B$167:$J$179,0,1))*INDEX('Methodology &amp; Sources'!$B$167:$J$179,0,1+2)),IF('Inputs 2'!$C$77="E",SUMPRODUCT(($D49*'Inputs 2'!$C$8&gt;INDEX('Methodology &amp; Sources'!$B$167:$J$179,0,4))*($D49*'Inputs 2'!$C$8-INDEX('Methodology &amp; Sources'!$B$167:$J$179,0,4))*INDEX('Methodology &amp; Sources'!$B$167:$J$179,0,4+2)),SUMPRODUCT(($D49*'Inputs 2'!$C$8&gt;INDEX('Methodology &amp; Sources'!$B$155:$J$162,0,1))*($D49*'Inputs 2'!$C$8-INDEX('Methodology &amp; Sources'!$B$155:$J$162,0,1))*INDEX('Methodology &amp; Sources'!$B$155:$J$162,0,1+2))))))/'Inputs 2'!$C$8,IF($AN49="NY",0.117*$D49,IF($AN49="OH",0.0275*$D49,IF($AN49="OK",0.045*$D49,IF($AN49="OR",0.08*$D49,IF($AN49="WI",IF($AY49&lt;12760,0.0354,IF($AY49&lt;25520,0.0465,IF($AY49&lt;280950,0.053,0.0765)))*$D49,0))))))))))))))))))))</f>
      </c>
      <c r="BD49" s="7">
        <f>IF($B49="","",$BD48+$Q49+$R49+$S49)</f>
      </c>
      <c r="BE49" s="6">
        <f>IF($B49="",$BE48,$BE48+$BF49)</f>
      </c>
      <c r="BF49" s="6">
        <f>IF($B49="","",IF(AND(IF(YEAR(IF('Inputs 2'!$C$7="Weekly",'Inputs 2'!$C$9+7*(($BE48+1)-1),IF('Inputs 2'!$C$7="Biweekly",'Inputs 2'!$C$9+14*(($BE48+1)-1),IF('Inputs 2'!$C$7="Semimonthly",DATE(YEAR('Inputs 2'!$C$9),MONTH('Inputs 2'!$C$9)+INT((($BE48+1)-1)/2),MIN(DAY('Inputs 2'!$C$9),DAY(EOMONTH(DATE(YEAR('Inputs 2'!$C$9),MONTH('Inputs 2'!$C$9)+INT((($BE48+1)-1)/2),1),0))))+IF(MOD(($BE48+1)-1,2)=1,15,0),EDATE('Inputs 2'!$C$9,($BE48+1)-1)))))&lt;&gt;'Inputs 2'!$C$10,"",IF('Inputs 2'!$C$7="Weekly",'Inputs 2'!$C$9+7*(($BE48+1)-1),IF('Inputs 2'!$C$7="Biweekly",'Inputs 2'!$C$9+14*(($BE48+1)-1),IF('Inputs 2'!$C$7="Semimonthly",DATE(YEAR('Inputs 2'!$C$9),MONTH('Inputs 2'!$C$9)+INT((($BE48+1)-1)/2),MIN(DAY('Inputs 2'!$C$9),DAY(EOMONTH(DATE(YEAR('Inputs 2'!$C$9),MONTH('Inputs 2'!$C$9)+INT((($BE48+1)-1)/2),1),0))))+IF(MOD(($BE48+1)-1,2)=1,15,0),EDATE('Inputs 2'!$C$9,($BE48+1)-1)))))&lt;&gt;"",$B49=IF(YEAR(IF('Inputs 2'!$C$7="Weekly",'Inputs 2'!$C$9+7*(($BE48+1)-1),IF('Inputs 2'!$C$7="Biweekly",'Inputs 2'!$C$9+14*(($BE48+1)-1),IF('Inputs 2'!$C$7="Semimonthly",DATE(YEAR('Inputs 2'!$C$9),MONTH('Inputs 2'!$C$9)+INT((($BE48+1)-1)/2),MIN(DAY('Inputs 2'!$C$9),DAY(EOMONTH(DATE(YEAR('Inputs 2'!$C$9),MONTH('Inputs 2'!$C$9)+INT((($BE48+1)-1)/2),1),0))))+IF(MOD(($BE48+1)-1,2)=1,15,0),EDATE('Inputs 2'!$C$9,($BE48+1)-1)))))&lt;&gt;'Inputs 2'!$C$10,"",IF('Inputs 2'!$C$7="Weekly",'Inputs 2'!$C$9+7*(($BE48+1)-1),IF('Inputs 2'!$C$7="Biweekly",'Inputs 2'!$C$9+14*(($BE48+1)-1),IF('Inputs 2'!$C$7="Semimonthly",DATE(YEAR('Inputs 2'!$C$9),MONTH('Inputs 2'!$C$9)+INT((($BE48+1)-1)/2),MIN(DAY('Inputs 2'!$C$9),DAY(EOMONTH(DATE(YEAR('Inputs 2'!$C$9),MONTH('Inputs 2'!$C$9)+INT((($BE48+1)-1)/2),1),0))))+IF(MOD(($BE48+1)-1,2)=1,15,0),EDATE('Inputs 2'!$C$9,($BE48+1)-1)))))),1,0))</f>
      </c>
      <c r="BG49" s="7">
        <f>IF($B49="","",$BG48+$H49)</f>
      </c>
      <c r="BH49" s="7">
        <f>IF($B49="","",$BH48+$I49)</f>
      </c>
      <c r="BI49" s="7">
        <f>IF($B49="","",$BI48+$G49)</f>
      </c>
      <c r="BJ49" s="7">
        <f>IF($B49="","",IFERROR(LOOKUP(2,1/(((('Events 2'!$C$6:$C$17="Deduction start"))*('Events 2'!$D$6:$D$17="Health FSA"))*('Events 2'!$B$6:$B$17&lt;=$B49)*('Events 2'!$B$6:$B$17&lt;&gt;"")),'Events 2'!$E$6:$E$17),'Inputs 2'!$D$38))</f>
      </c>
      <c r="BK49" s="7">
        <f>IF($B49="","",IFERROR(LOOKUP(2,1/(((('Events 2'!$C$6:$C$17="Deduction start"))*('Events 2'!$D$6:$D$17="Dependent-care FSA"))*('Events 2'!$B$6:$B$17&lt;=$B49)*('Events 2'!$B$6:$B$17&lt;&gt;"")),'Events 2'!$E$6:$E$17),'Inputs 2'!$D$39))</f>
      </c>
      <c r="BL49" s="7">
        <f>IF($B49="","",IFERROR(LOOKUP(2,1/(((('Events 2'!$C$6:$C$17="Deduction start")+('Events 2'!$C$6:$C$17="Deduction stop"))*('Events 2'!$D$6:$D$17="HSA"))*('Events 2'!$B$6:$B$17&lt;=$B49)*('Events 2'!$B$6:$B$17&lt;&gt;"")),'Events 2'!$I$6:$I$17),'Inputs 2'!$D$35))</f>
      </c>
      <c r="BM49" s="7">
        <f>IF($B49="","",IFERROR(LOOKUP(2,1/(((('Events 2'!$C$6:$C$17="Deduction start")+('Events 2'!$C$6:$C$17="Deduction stop"))*('Events 2'!$D$6:$D$17="Premiums"))*('Events 2'!$B$6:$B$17&lt;=$B49)*('Events 2'!$B$6:$B$17&lt;&gt;"")),'Events 2'!$I$6:$I$17),'Inputs 2'!$D$40+'Inputs 2'!$D$41+'Inputs 2'!$D$42))</f>
      </c>
      <c r="BN49" s="7">
        <f>IF($B49="","",IFERROR(LOOKUP(2,1/(((('Events 2'!$C$6:$C$17="Deduction start")+('Events 2'!$C$6:$C$17="Deduction stop"))*('Events 2'!$D$6:$D$17="Commuter"))*('Events 2'!$B$6:$B$17&lt;=$B49)*('Events 2'!$B$6:$B$17&lt;&gt;"")),'Events 2'!$I$6:$I$17),'Inputs 2'!$D$43))</f>
      </c>
      <c r="BO49" s="7">
        <f>IF($B49="","",IFERROR(LOOKUP(2,1/(((('Events 2'!$C$6:$C$17="Deduction start")+('Events 2'!$C$6:$C$17="Deduction stop"))*('Events 2'!$D$6:$D$17="Other pre-tax"))*('Events 2'!$B$6:$B$17&lt;=$B49)*('Events 2'!$B$6:$B$17&lt;&gt;"")),'Events 2'!$I$6:$I$17),'Inputs 2'!$D$44))</f>
      </c>
      <c r="BP49" s="7">
        <f>IF($B49="","",IFERROR(LOOKUP(2,1/(((('Events 2'!$C$6:$C$17="Deduction start")+('Events 2'!$C$6:$C$17="Deduction stop"))*('Events 2'!$D$6:$D$17="Other post-tax"))*('Events 2'!$B$6:$B$17&lt;=$B49)*('Events 2'!$B$6:$B$17&lt;&gt;"")),'Events 2'!$I$6:$I$17),'Inputs 2'!$D$45))</f>
      </c>
      <c r="BQ49" s="6">
        <f>IF($B49="","",IFERROR(LOOKUP(2,1/(((('Events 2'!$C$6:$C$17="Deduction start")+('Events 2'!$C$6:$C$17="Deduction stop"))*('Events 2'!$D$6:$D$17="Health FSA"))*('Events 2'!$B$6:$B$17&lt;=$B49)*('Events 2'!$B$6:$B$17&lt;&gt;"")),'Events 2'!$J$6:$J$17),0))</f>
      </c>
      <c r="BR49" s="6">
        <f>IF($B49="","",IFERROR(LOOKUP(2,1/(((('Events 2'!$C$6:$C$17="Deduction start")+('Events 2'!$C$6:$C$17="Deduction stop"))*('Events 2'!$D$6:$D$17="Dependent-care FSA"))*('Events 2'!$B$6:$B$17&lt;=$B49)*('Events 2'!$B$6:$B$17&lt;&gt;"")),'Events 2'!$J$6:$J$17),0))</f>
      </c>
      <c r="BS49" s="6">
        <f>IF($B49="","",IF(SUMPRODUCT(('Events 2'!$C$6:$C$17="Deduction start")*('Events 2'!$B$6:$B$17&lt;=$B49)*('Events 2'!$B$6:$B$17&lt;&gt;"")*('Events 2'!$D$6:$D$17="Health FSA"))&gt;0,1,0))</f>
      </c>
      <c r="BT49" s="6">
        <f>IF($B49="","",IF(SUMPRODUCT(('Events 2'!$C$6:$C$17="Deduction start")*('Events 2'!$B$6:$B$17&lt;=$B49)*('Events 2'!$B$6:$B$17&lt;&gt;"")*('Events 2'!$D$6:$D$17="Dependent-care FSA"))&gt;0,1,0))</f>
      </c>
      <c r="BU49" s="24">
        <f>IF($B49="","",IF('Inputs 2'!$C$13,SUMPRODUCT(($AH49&gt;=INDEX('Methodology &amp; Sources'!$B$29:$J$36,0,IF('Inputs 2'!$C$12="MFJ",1,IF('Inputs 2'!$C$12="HoH",7,4))))*INDEX('Methodology &amp; Sources'!$B$29:$J$36,0,IF('Inputs 2'!$C$12="MFJ",1,IF('Inputs 2'!$C$12="HoH",7,4))+2)),SUMPRODUCT(($AH49&gt;=INDEX('Methodology &amp; Sources'!$B$19:$J$26,0,IF('Inputs 2'!$C$12="MFJ",1,IF('Inputs 2'!$C$12="HoH",7,4))))*INDEX('Methodology &amp; Sources'!$B$19:$J$26,0,IF('Inputs 2'!$C$12="MFJ",1,IF('Inputs 2'!$C$12="HoH",7,4))+2))))</f>
      </c>
      <c r="BV49" s="24">
        <f>IF($B49="","",IF($BZ49&lt;&gt;"",$BZ49,IF($CA49&lt;&gt;"",$CA49,IF($CB49&lt;&gt;"",$CB49,IF($CC49&lt;&gt;"",$CC49,0)))))</f>
      </c>
      <c r="BW49" s="7">
        <f>IF($B49="","",IF($AN49="MD",IF(OR($AU49="Married",$AU49="Head of household"),SUMPRODUCT(($AZ49&gt;INDEX('Methodology &amp; Sources'!$B$114:$J$120,0,1))*($AZ49-INDEX('Methodology &amp; Sources'!$B$114:$J$120,0,1))*INDEX('Methodology &amp; Sources'!$B$114:$J$120,0,1+2)),SUMPRODUCT(($AZ49&gt;INDEX('Methodology &amp; Sources'!$B$103:$J$109,0,7))*($AZ49-INDEX('Methodology &amp; Sources'!$B$103:$J$109,0,7))*INDEX('Methodology &amp; Sources'!$B$103:$J$109,0,7+2))),IF($AN49="MO",SUMPRODUCT(($AZ49&gt;INDEX('Methodology &amp; Sources'!$B$125:$J$132,0,1))*($AZ49-INDEX('Methodology &amp; Sources'!$B$125:$J$132,0,1))*INDEX('Methodology &amp; Sources'!$B$125:$J$132,0,1+2)),IF($AN49="MT",IF($AU49="Head of household",SUMPRODUCT(($AZ49&gt;INDEX('Methodology &amp; Sources'!$B$137:$J$139,0,1))*($AZ49-INDEX('Methodology &amp; Sources'!$B$137:$J$139,0,1))*INDEX('Methodology &amp; Sources'!$B$137:$J$139,0,1+2)),IF($AU49="Married",SUMPRODUCT(($AZ49&gt;INDEX('Methodology &amp; Sources'!$B$125:$J$132,0,7))*($AZ49-INDEX('Methodology &amp; Sources'!$B$125:$J$132,0,7))*INDEX('Methodology &amp; Sources'!$B$125:$J$132,0,7+2)),SUMPRODUCT(($AZ49&gt;INDEX('Methodology &amp; Sources'!$B$125:$J$132,0,4))*($AZ49-INDEX('Methodology &amp; Sources'!$B$125:$J$132,0,4))*INDEX('Methodology &amp; Sources'!$B$125:$J$132,0,4+2)))),IF($AN49="ND",IF($AU49="Head of household",SUMPRODUCT(($AZ49&gt;INDEX('Methodology &amp; Sources'!$B$144:$J$150,0,1))*($AZ49-INDEX('Methodology &amp; Sources'!$B$144:$J$150,0,1))*INDEX('Methodology &amp; Sources'!$B$144:$J$150,0,1+2)),IF($AU49="Married",SUMPRODUCT(($AZ49&gt;INDEX('Methodology &amp; Sources'!$B$137:$J$139,0,7))*($AZ49-INDEX('Methodology &amp; Sources'!$B$137:$J$139,0,7))*INDEX('Methodology &amp; Sources'!$B$137:$J$139,0,7+2)),SUMPRODUCT(($AZ49&gt;INDEX('Methodology &amp; Sources'!$B$137:$J$139,0,4))*($AZ49-INDEX('Methodology &amp; Sources'!$B$137:$J$139,0,4))*INDEX('Methodology &amp; Sources'!$B$137:$J$139,0,4+2)))),IF($AN49="NJ",IF('Inputs 2'!$C$77="B",SUMPRODUCT(($AZ49&gt;INDEX('Methodology &amp; Sources'!$B$155:$J$162,0,4))*($AZ49-INDEX('Methodology &amp; Sources'!$B$155:$J$162,0,4))*INDEX('Methodology &amp; Sources'!$B$155:$J$162,0,4+2)),IF('Inputs 2'!$C$77="C",SUMPRODUCT(($AZ49&gt;INDEX('Methodology &amp; Sources'!$B$155:$J$162,0,7))*($AZ49-INDEX('Methodology &amp; Sources'!$B$155:$J$162,0,7))*INDEX('Methodology &amp; Sources'!$B$155:$J$162,0,7+2)),IF('Inputs 2'!$C$77="D",SUMPRODUCT(($AZ49&gt;INDEX('Methodology &amp; Sources'!$B$167:$J$179,0,1))*($AZ49-INDEX('Methodology &amp; Sources'!$B$167:$J$179,0,1))*INDEX('Methodology &amp; Sources'!$B$167:$J$179,0,1+2)),IF('Inputs 2'!$C$77="E",SUMPRODUCT(($AZ49&gt;INDEX('Methodology &amp; Sources'!$B$167:$J$179,0,4))*($AZ49-INDEX('Methodology &amp; Sources'!$B$167:$J$179,0,4))*INDEX('Methodology &amp; Sources'!$B$167:$J$179,0,4+2)),SUMPRODUCT(($AZ49&gt;INDEX('Methodology &amp; Sources'!$B$155:$J$162,0,1))*($AZ49-INDEX('Methodology &amp; Sources'!$B$155:$J$162,0,1))*INDEX('Methodology &amp; Sources'!$B$155:$J$162,0,1+2)))))),IF($AN49="NY",IF($AU49="Married",IF($AZ49&gt;=2155350,$AZ49*IF($AZ49&gt;25000000,0.117,IF($AZ49&gt;5000000,0.111,0.1045)),SUMPRODUCT(($AZ49&gt;INDEX('Methodology &amp; Sources'!$B$184:$J$198,0,1))*($AZ49-INDEX('Methodology &amp; Sources'!$B$184:$J$198,0,1))*INDEX('Methodology &amp; Sources'!$B$184:$J$198,0,1+2))),IF($AZ49&gt;=1077550,$AZ49*IF($AZ49&gt;25000000,0.117,IF($AZ49&gt;5000000,0.111,0.1045)),SUMPRODUCT(($AZ49&gt;INDEX('Methodology &amp; Sources'!$B$167:$J$179,0,7))*($AZ49-INDEX('Methodology &amp; Sources'!$B$167:$J$179,0,7))*INDEX('Methodology &amp; Sources'!$B$167:$J$179,0,7+2)))),"")))))))</f>
      </c>
      <c r="BX49" s="7">
        <f>IF($B49="","",IF($AN49="AL",IF(OR($AU49="Married",$AU49="Head of household"),SUMPRODUCT(($AZ49&gt;INDEX('Methodology &amp; Sources'!$B$82:$J$86,0,4))*($AZ49-INDEX('Methodology &amp; Sources'!$B$82:$J$86,0,4))*INDEX('Methodology &amp; Sources'!$B$82:$J$86,0,4+2)),SUMPRODUCT(($AZ49&gt;INDEX('Methodology &amp; Sources'!$B$82:$J$86,0,1))*($AZ49-INDEX('Methodology &amp; Sources'!$B$82:$J$86,0,1))*INDEX('Methodology &amp; Sources'!$B$82:$J$86,0,1+2))),IF($AN49="KS",IF($AU49="Married",SUMPRODUCT(($AZ49&gt;INDEX('Methodology &amp; Sources'!$B$103:$J$109,0,4))*($AZ49-INDEX('Methodology &amp; Sources'!$B$103:$J$109,0,4))*INDEX('Methodology &amp; Sources'!$B$103:$J$109,0,4+2)),SUMPRODUCT(($AZ49&gt;INDEX('Methodology &amp; Sources'!$B$103:$J$109,0,1))*($AZ49-INDEX('Methodology &amp; Sources'!$B$103:$J$109,0,1))*INDEX('Methodology &amp; Sources'!$B$103:$J$109,0,1+2))),IF($AN49="MN",IF($AU49="Married",SUMPRODUCT(($AZ49&gt;INDEX('Methodology &amp; Sources'!$B$114:$J$120,0,7))*($AZ49-INDEX('Methodology &amp; Sources'!$B$114:$J$120,0,7))*INDEX('Methodology &amp; Sources'!$B$114:$J$120,0,7+2)),SUMPRODUCT(($AZ49&gt;INDEX('Methodology &amp; Sources'!$B$114:$J$120,0,4))*($AZ49-INDEX('Methodology &amp; Sources'!$B$114:$J$120,0,4))*INDEX('Methodology &amp; Sources'!$B$114:$J$120,0,4+2))),IF($AN49="NE",MAX(IF($AU49="Married",SUMPRODUCT(($AZ49&gt;INDEX('Methodology &amp; Sources'!$B$144:$J$150,0,7))*($AZ49-INDEX('Methodology &amp; Sources'!$B$144:$J$150,0,7))*INDEX('Methodology &amp; Sources'!$B$144:$J$150,0,7+2)),SUMPRODUCT(($AZ49&gt;INDEX('Methodology &amp; Sources'!$B$144:$J$150,0,4))*($AZ49-INDEX('Methodology &amp; Sources'!$B$144:$J$150,0,4))*INDEX('Methodology &amp; Sources'!$B$144:$J$150,0,4+2))),0.015*$AZ49),IF($AN49="OH",IF($B49&gt;=DATE(2027,8,1),SUMPRODUCT(($AZ49&gt;INDEX('Methodology &amp; Sources'!$B$203:$J$206,0,1))*($AZ49-INDEX('Methodology &amp; Sources'!$B$203:$J$206,0,1))*INDEX('Methodology &amp; Sources'!$B$203:$J$206,0,1+2)),SUMPRODUCT(($AZ49&gt;INDEX('Methodology &amp; Sources'!$B$184:$J$198,0,7))*($AZ49-INDEX('Methodology &amp; Sources'!$B$184:$J$198,0,7))*INDEX('Methodology &amp; Sources'!$B$184:$J$198,0,7+2))),IF($AN49="OK",IF($AU49="Married",SUMPRODUCT(($AZ49&gt;INDEX('Methodology &amp; Sources'!$B$203:$J$206,0,7))*($AZ49-INDEX('Methodology &amp; Sources'!$B$203:$J$206,0,7))*INDEX('Methodology &amp; Sources'!$B$203:$J$206,0,7+2)),SUMPRODUCT(($AZ49&gt;INDEX('Methodology &amp; Sources'!$B$203:$J$206,0,4))*($AZ49-INDEX('Methodology &amp; Sources'!$B$203:$J$206,0,4))*INDEX('Methodology &amp; Sources'!$B$203:$J$206,0,4+2))),IF($AN49="RI",SUMPRODUCT(($AZ49&gt;INDEX('Methodology &amp; Sources'!$B$211:$J$214,0,7))*($AZ49-INDEX('Methodology &amp; Sources'!$B$211:$J$214,0,7))*INDEX('Methodology &amp; Sources'!$B$211:$J$214,0,7+2)),IF($AN49="VT",IF($AU49="Married",SUMPRODUCT(($AZ49&gt;INDEX('Methodology &amp; Sources'!$B$228:$J$232,0,1))*($AZ49-INDEX('Methodology &amp; Sources'!$B$228:$J$232,0,1))*INDEX('Methodology &amp; Sources'!$B$228:$J$232,0,1+2)),SUMPRODUCT(($AZ49&gt;INDEX('Methodology &amp; Sources'!$B$219:$J$223,0,7))*($AZ49-INDEX('Methodology &amp; Sources'!$B$219:$J$223,0,7))*INDEX('Methodology &amp; Sources'!$B$219:$J$223,0,7+2))),IF($AN49="WV",IF($AU49="Married",SUMPRODUCT(($AZ49&gt;INDEX('Methodology &amp; Sources'!$B$237:$J$241,0,7))*($AZ49-INDEX('Methodology &amp; Sources'!$B$237:$J$241,0,7))*INDEX('Methodology &amp; Sources'!$B$237:$J$241,0,7+2)),SUMPRODUCT(($AZ49&gt;INDEX('Methodology &amp; Sources'!$B$228:$J$232,0,7))*($AZ49-INDEX('Methodology &amp; Sources'!$B$228:$J$232,0,7))*INDEX('Methodology &amp; Sources'!$B$228:$J$232,0,7+2))),""))))))))))</f>
      </c>
      <c r="BY49" s="7">
        <f>IF($B49="","",IF($AN49="AR",SUMPRODUCT(($AZ49&gt;INDEX('Methodology &amp; Sources'!$B$82:$J$86,0,7))*($AZ49-INDEX('Methodology &amp; Sources'!$B$82:$J$86,0,7))*INDEX('Methodology &amp; Sources'!$B$82:$J$86,0,7+2)),IF($AN49="DE",SUMPRODUCT(($AZ49&gt;INDEX('Methodology &amp; Sources'!$B$91:$J$98,0,1))*($AZ49-INDEX('Methodology &amp; Sources'!$B$91:$J$98,0,1))*INDEX('Methodology &amp; Sources'!$B$91:$J$98,0,1+2)),IF($AN49="HI",IF($AU49="Married",SUMPRODUCT(($AZ49&gt;INDEX('Methodology &amp; Sources'!$B$91:$J$98,0,7))*($AZ49-INDEX('Methodology &amp; Sources'!$B$91:$J$98,0,7))*INDEX('Methodology &amp; Sources'!$B$91:$J$98,0,7+2)),SUMPRODUCT(($AZ49&gt;INDEX('Methodology &amp; Sources'!$B$91:$J$98,0,4))*($AZ49-INDEX('Methodology &amp; Sources'!$B$91:$J$98,0,4))*INDEX('Methodology &amp; Sources'!$B$91:$J$98,0,4+2))),IF($AN49="SC",SUMPRODUCT(($AZ49&gt;INDEX('Methodology &amp; Sources'!$B$219:$J$223,0,1))*($AZ49-INDEX('Methodology &amp; Sources'!$B$219:$J$223,0,1))*INDEX('Methodology &amp; Sources'!$B$219:$J$223,0,1+2)),IF($AN49="VA",SUMPRODUCT(($AZ49&gt;INDEX('Methodology &amp; Sources'!$B$219:$J$223,0,4))*($AZ49-INDEX('Methodology &amp; Sources'!$B$219:$J$223,0,4))*INDEX('Methodology &amp; Sources'!$B$219:$J$223,0,4+2)),IF($AN49="WI",SUMPRODUCT(($AZ49&gt;INDEX('Methodology &amp; Sources'!$B$228:$J$232,0,4))*($AZ49-INDEX('Methodology &amp; Sources'!$B$228:$J$232,0,4))*INDEX('Methodology &amp; Sources'!$B$228:$J$232,0,4+2)),"")))))))</f>
      </c>
      <c r="BZ49" s="24">
        <f>IF($B49="","",IF($AN49="NJ",IF('Inputs 2'!$C$77="B",SUMPRODUCT(($AZ49&gt;=INDEX('Methodology &amp; Sources'!$B$155:$J$162,0,4))*INDEX('Methodology &amp; Sources'!$B$155:$J$162,0,4+2)),IF('Inputs 2'!$C$77="C",SUMPRODUCT(($AZ49&gt;=INDEX('Methodology &amp; Sources'!$B$155:$J$162,0,7))*INDEX('Methodology &amp; Sources'!$B$155:$J$162,0,7+2)),IF('Inputs 2'!$C$77="D",SUMPRODUCT(($AZ49&gt;=INDEX('Methodology &amp; Sources'!$B$167:$J$179,0,1))*INDEX('Methodology &amp; Sources'!$B$167:$J$179,0,1+2)),IF('Inputs 2'!$C$77="E",SUMPRODUCT(($AZ49&gt;=INDEX('Methodology &amp; Sources'!$B$167:$J$179,0,4))*INDEX('Methodology &amp; Sources'!$B$167:$J$179,0,4+2)),SUMPRODUCT(($AZ49&gt;=INDEX('Methodology &amp; Sources'!$B$155:$J$162,0,1))*INDEX('Methodology &amp; Sources'!$B$155:$J$162,0,1+2)))))),IF($AN49="OR",IF(OR($AU49="Married",AND($AU49="Single",$AS49&gt;=3)),SUMPRODUCT((MAX(0,$AY49-MIN(($P49-'Methodology &amp; Sources'!$C$10*$D49)*'Inputs 2'!$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Sources'!$B$211:$J$214,0,4))*INDEX('Methodology &amp; Sources'!$B$211:$J$214,0,4+2)),SUMPRODUCT((MAX(0,$AY49-MIN(($P49-'Methodology &amp; Sources'!$C$10*$D49)*'Inputs 2'!$C$8,IF(OR($AU49="Married",AND($AU49="Single",$AS49&gt;=3)),IF($AY49&lt;250000,8750,IF($AY49&lt;260000,7000,IF($AY49&lt;270000,5250,IF($AY49&lt;280000,3500,IF($AY49&lt;290000,1750,0))))),IF($AY49&lt;125000,8750,IF($AY49&lt;130000,7000,IF($AY49&lt;135000,5250,IF($AY49&lt;140000,3500,IF($AY49&lt;145000,1750,0)))))))-IF(OR($AU49="Married",AND($AU49="Single",$AS49&gt;=3)),5820,2910))&gt;=INDEX('Methodology &amp; Sources'!$B$211:$J$214,0,1))*INDEX('Methodology &amp; Sources'!$B$211:$J$214,0,1+2)))*IF(($P49-'Methodology &amp; Sources'!$C$10*$D49)*'Inputs 2'!$C$8&gt;=IF(OR($AU49="Married",AND($AU49="Single",$AS49&gt;=3)),IF($AY49&lt;250000,8750,IF($AY49&lt;260000,7000,IF($AY49&lt;270000,5250,IF($AY49&lt;280000,3500,IF($AY49&lt;290000,1750,0))))),IF($AY49&lt;125000,8750,IF($AY49&lt;130000,7000,IF($AY49&lt;135000,5250,IF($AY49&lt;140000,3500,IF($AY49&lt;145000,1750,0)))))),1,1-IF('Inputs 2'!$C$13,SUMPRODUCT(($AH49&gt;=INDEX('Methodology &amp; Sources'!$B$29:$J$36,0,IF('Inputs 2'!$C$12="MFJ",1,IF('Inputs 2'!$C$12="HoH",7,4))))*INDEX('Methodology &amp; Sources'!$B$29:$J$36,0,IF('Inputs 2'!$C$12="MFJ",1,IF('Inputs 2'!$C$12="HoH",7,4))+2)),SUMPRODUCT(($AH49&gt;=INDEX('Methodology &amp; Sources'!$B$19:$J$26,0,IF('Inputs 2'!$C$12="MFJ",1,IF('Inputs 2'!$C$12="HoH",7,4))))*INDEX('Methodology &amp; Sources'!$B$19:$J$26,0,IF('Inputs 2'!$C$12="MFJ",1,IF('Inputs 2'!$C$12="HoH",7,4))+2)))),IF($AN49="MI",IF($AY49&gt;5900*$AS49,0.0425,0),""))))</f>
      </c>
      <c r="CA49" s="24">
        <f>IF($B49="","",IF($AN49="AL",IF(OR($AU49="Married",$AU49="Head of household"),SUMPRODUCT(($AZ49&gt;=INDEX('Methodology &amp; Sources'!$B$82:$J$86,0,4))*INDEX('Methodology &amp; Sources'!$B$82:$J$86,0,4+2)),SUMPRODUCT(($AZ49&gt;=INDEX('Methodology &amp; Sources'!$B$82:$J$86,0,1))*INDEX('Methodology &amp; Sources'!$B$82:$J$86,0,1+2)))*(1-IF('Inputs 2'!$C$13,SUMPRODUCT(($AH49&gt;=INDEX('Methodology &amp; Sources'!$B$29:$J$36,0,IF('Inputs 2'!$C$12="MFJ",1,IF('Inputs 2'!$C$12="HoH",7,4))))*INDEX('Methodology &amp; Sources'!$B$29:$J$36,0,IF('Inputs 2'!$C$12="MFJ",1,IF('Inputs 2'!$C$12="HoH",7,4))+2)),SUMPRODUCT(($AH49&gt;=INDEX('Methodology &amp; Sources'!$B$19:$J$26,0,IF('Inputs 2'!$C$12="MFJ",1,IF('Inputs 2'!$C$12="HoH",7,4))))*INDEX('Methodology &amp; Sources'!$B$19:$J$26,0,IF('Inputs 2'!$C$12="MFJ",1,IF('Inputs 2'!$C$12="HoH",7,4))+2)))),IF($AN49="KS",IF($AU49="Married",SUMPRODUCT(($AZ49&gt;=INDEX('Methodology &amp; Sources'!$B$103:$J$109,0,4))*INDEX('Methodology &amp; Sources'!$B$103:$J$109,0,4+2)),SUMPRODUCT(($AZ49&gt;=INDEX('Methodology &amp; Sources'!$B$103:$J$109,0,1))*INDEX('Methodology &amp; Sources'!$B$103:$J$109,0,1+2))),IF($AN49="MD",IF(OR($AU49="Married",$AU49="Head of household"),SUMPRODUCT(($AZ49&gt;=INDEX('Methodology &amp; Sources'!$B$114:$J$120,0,1))*INDEX('Methodology &amp; Sources'!$B$114:$J$120,0,1+2)),SUMPRODUCT(($AZ49&gt;=INDEX('Methodology &amp; Sources'!$B$103:$J$109,0,7))*INDEX('Methodology &amp; Sources'!$B$103:$J$109,0,7+2)))+'Inputs 2'!$C$74,IF($AN49="MT",IF($AU49="Head of household",SUMPRODUCT(($AZ49&gt;=INDEX('Methodology &amp; Sources'!$B$137:$J$139,0,1))*INDEX('Methodology &amp; Sources'!$B$137:$J$139,0,1+2)),IF($AU49="Married",SUMPRODUCT(($AZ49&gt;=INDEX('Methodology &amp; Sources'!$B$125:$J$132,0,7))*INDEX('Methodology &amp; Sources'!$B$125:$J$132,0,7+2)),SUMPRODUCT(($AZ49&gt;=INDEX('Methodology &amp; Sources'!$B$125:$J$132,0,4))*INDEX('Methodology &amp; Sources'!$B$125:$J$132,0,4+2)))),IF($AN49="ND",IF($AU49="Head of household",SUMPRODUCT(($AZ49&gt;=INDEX('Methodology &amp; Sources'!$B$144:$J$150,0,1))*INDEX('Methodology &amp; Sources'!$B$144:$J$150,0,1+2)),IF($AU49="Married",SUMPRODUCT(($AZ49&gt;=INDEX('Methodology &amp; Sources'!$B$137:$J$139,0,7))*INDEX('Methodology &amp; Sources'!$B$137:$J$139,0,7+2)),SUMPRODUCT(($AZ49&gt;=INDEX('Methodology &amp; Sources'!$B$137:$J$139,0,4))*INDEX('Methodology &amp; Sources'!$B$137:$J$139,0,4+2)))),IF($AN49="NY",IF($AU49="Married",IF($AZ49&gt;=2155350,IF($AZ49&gt;25000000,0.117,IF($AZ49&gt;5000000,0.111,0.1045)),SUMPRODUCT(($AZ49&gt;=INDEX('Methodology &amp; Sources'!$B$184:$J$198,0,1))*INDEX('Methodology &amp; Sources'!$B$184:$J$198,0,1+2))),IF($AZ49&gt;=1077550,IF($AZ49&gt;25000000,0.117,IF($AZ49&gt;5000000,0.111,0.1045)),SUMPRODUCT(($AZ49&gt;=INDEX('Methodology &amp; Sources'!$B$167:$J$179,0,7))*INDEX('Methodology &amp; Sources'!$B$167:$J$179,0,7+2)))),"")))))))</f>
      </c>
      <c r="CB49" s="24">
        <f>IF($B49="","",IF($AN49="CA",SUMPRODUCT(($AJ49&gt;=INDEX('Methodology &amp; Sources'!$B$39:$J$48,0,IF($AU49="Married",4,IF($AU49="Head of household",7,1))))*INDEX('Methodology &amp; Sources'!$B$39:$J$48,0,IF($AU49="Married",4,IF($AU49="Head of household",7,1))+2)),IF($AN49="HI",IF($AU49="Married",SUMPRODUCT(($AZ49&gt;=INDEX('Methodology &amp; Sources'!$B$91:$J$98,0,7))*INDEX('Methodology &amp; Sources'!$B$91:$J$98,0,7+2)),SUMPRODUCT(($AZ49&gt;=INDEX('Methodology &amp; Sources'!$B$91:$J$98,0,4))*INDEX('Methodology &amp; Sources'!$B$91:$J$98,0,4+2))),IF($AN49="MN",IF($AU49="Married",SUMPRODUCT(($AZ49&gt;=INDEX('Methodology &amp; Sources'!$B$114:$J$120,0,7))*INDEX('Methodology &amp; Sources'!$B$114:$J$120,0,7+2)),SUMPRODUCT(($AZ49&gt;=INDEX('Methodology &amp; Sources'!$B$114:$J$120,0,4))*INDEX('Methodology &amp; Sources'!$B$114:$J$120,0,4+2))),IF($AN49="MO",SUMPRODUCT(($AZ49&gt;=INDEX('Methodology &amp; Sources'!$B$125:$J$132,0,1))*INDEX('Methodology &amp; Sources'!$B$125:$J$132,0,1+2)),IF($AN49="NE",MAX(IF($AU49="Married",SUMPRODUCT(($AZ49&gt;=INDEX('Methodology &amp; Sources'!$B$144:$J$150,0,7))*INDEX('Methodology &amp; Sources'!$B$144:$J$150,0,7+2)),SUMPRODUCT(($AZ49&gt;=INDEX('Methodology &amp; Sources'!$B$144:$J$150,0,4))*INDEX('Methodology &amp; Sources'!$B$144:$J$150,0,4+2))),0.015),IF($AN49="OH",IF($B49&gt;=DATE(2027,8,1),SUMPRODUCT(($AZ49&gt;=INDEX('Methodology &amp; Sources'!$B$203:$J$206,0,1))*INDEX('Methodology &amp; Sources'!$B$203:$J$206,0,1+2)),SUMPRODUCT(($AZ49&gt;=INDEX('Methodology &amp; Sources'!$B$184:$J$198,0,7))*INDEX('Methodology &amp; Sources'!$B$184:$J$198,0,7+2))),IF($AN49="OK",IF($AU49="Married",SUMPRODUCT(($AZ49&gt;=INDEX('Methodology &amp; Sources'!$B$203:$J$206,0,7))*INDEX('Methodology &amp; Sources'!$B$203:$J$206,0,7+2)),SUMPRODUCT(($AZ49&gt;=INDEX('Methodology &amp; Sources'!$B$203:$J$206,0,4))*INDEX('Methodology &amp; Sources'!$B$203:$J$206,0,4+2))),IF($AN49="RI",SUMPRODUCT(($AZ49&gt;=INDEX('Methodology &amp; Sources'!$B$211:$J$214,0,7))*INDEX('Methodology &amp; Sources'!$B$211:$J$214,0,7+2)),IF($AN49="SC",SUMPRODUCT(($AZ49&gt;=INDEX('Methodology &amp; Sources'!$B$219:$J$223,0,1))*INDEX('Methodology &amp; Sources'!$B$219:$J$223,0,1+2)),IF($AN49="VT",IF($AU49="Married",SUMPRODUCT(($AZ49&gt;=INDEX('Methodology &amp; Sources'!$B$228:$J$232,0,1))*INDEX('Methodology &amp; Sources'!$B$228:$J$232,0,1+2)),SUMPRODUCT(($AZ49&gt;=INDEX('Methodology &amp; Sources'!$B$219:$J$223,0,7))*INDEX('Methodology &amp; Sources'!$B$219:$J$223,0,7+2))),IF($AN49="WV",IF($AU49="Married",SUMPRODUCT(($AZ49&gt;=INDEX('Methodology &amp; Sources'!$B$237:$J$241,0,7))*INDEX('Methodology &amp; Sources'!$B$237:$J$241,0,7+2)),SUMPRODUCT(($AZ49&gt;=INDEX('Methodology &amp; Sources'!$B$228:$J$232,0,7))*INDEX('Methodology &amp; Sources'!$B$228:$J$232,0,7+2))),IF($AN49="IN",(0.0295+'Inputs 2'!$C$76),"")))))))))))))</f>
      </c>
      <c r="CC49" s="24">
        <f>IF($B49="","",IF($AN49="AR",SUMPRODUCT(($AZ49&gt;=INDEX('Methodology &amp; Sources'!$B$82:$J$86,0,7))*INDEX('Methodology &amp; Sources'!$B$82:$J$86,0,7+2)),IF($AN49="DE",SUMPRODUCT(($AZ49&gt;=INDEX('Methodology &amp; Sources'!$B$91:$J$98,0,1))*INDEX('Methodology &amp; Sources'!$B$91:$J$98,0,1+2)),IF($AN49="VA",SUMPRODUCT(($AZ49&gt;=INDEX('Methodology &amp; Sources'!$B$219:$J$223,0,4))*INDEX('Methodology &amp; Sources'!$B$219:$J$223,0,4+2)),IF($AN49="WI",SUMPRODUCT(($AZ49&gt;=INDEX('Methodology &amp; Sources'!$B$228:$J$232,0,4))*INDEX('Methodology &amp; Sources'!$B$228:$J$232,0,4+2)),IF($AN49="AZ",'Inputs 2'!$C$82,IF($AN49="CO",IF($AY49&gt;IF($AU49="Married",10000,5000),0.044,0),IF($AN49="IA",IF($AY49&gt;IF($AU49="Head of household",19500,IF($AU49="Married",26000,13000)),0.038,0),IF($AN49="ID",IF($AY49&gt;IF($AU49="Married",32000,16094),0.053,0),IF($AN49="IL",IF($AY49&gt;(2925*$AS49+1000*$AT49),0.0495,0),IF($AN49="KY",IF($AI49&gt;3360,0.035,0),IF($AN49="LA",0.0309,IF($AN49="MA",IF(MAX(0,$AY49-MIN(($BD48+$Q49+$R49+$S49),2000)-IF($AS49=0,0,IF($AS49=1,4400,1000*$AS49+3400)))&gt;=1107750,0.09,0.05),IF($AN49="MS",IF($AI49-IF($AU49="Head of household",3400,IF($AU49="Married",4600,2300))-'Inputs 2'!$C$85&gt;10000,0.04,0),IF($AN49="PA",0.0307,"")))))))))))))))</f>
      </c>
      <c r="CD49" s="21">
        <f>IF(YEAR(IF('Inputs 2'!$C$7="Weekly",'Inputs 2'!$C$9+7*(($BE48+1)-1),IF('Inputs 2'!$C$7="Biweekly",'Inputs 2'!$C$9+14*(($BE48+1)-1),IF('Inputs 2'!$C$7="Semimonthly",DATE(YEAR('Inputs 2'!$C$9),MONTH('Inputs 2'!$C$9)+INT((($BE48+1)-1)/2),MIN(DAY('Inputs 2'!$C$9),DAY(EOMONTH(DATE(YEAR('Inputs 2'!$C$9),MONTH('Inputs 2'!$C$9)+INT((($BE48+1)-1)/2),1),0))))+IF(MOD(($BE48+1)-1,2)=1,15,0),EDATE('Inputs 2'!$C$9,($BE48+1)-1)))))&lt;&gt;'Inputs 2'!$C$10,"",IF('Inputs 2'!$C$7="Weekly",'Inputs 2'!$C$9+7*(($BE48+1)-1),IF('Inputs 2'!$C$7="Biweekly",'Inputs 2'!$C$9+14*(($BE48+1)-1),IF('Inputs 2'!$C$7="Semimonthly",DATE(YEAR('Inputs 2'!$C$9),MONTH('Inputs 2'!$C$9)+INT((($BE48+1)-1)/2),MIN(DAY('Inputs 2'!$C$9),DAY(EOMONTH(DATE(YEAR('Inputs 2'!$C$9),MONTH('Inputs 2'!$C$9)+INT((($BE48+1)-1)/2),1),0))))+IF(MOD(($BE48+1)-1,2)=1,15,0),EDATE('Inputs 2'!$C$9,($BE48+1)-1)))))</f>
      </c>
      <c r="CE49" s="21">
        <f>IF(SUMPRODUCT(MIN(IF(('Inputs 2'!$C$58:$C$67&gt;MAX($B$6:$B48))*('Inputs 2'!$C$58:$C$67&gt;=DATE('Inputs 2'!$C$10,1,1))*('Inputs 2'!$C$58:$C$67&lt;=DATE('Inputs 2'!$C$10,12,31)),'Inputs 2'!$C$58:$C$67,999999)))=999999,"",SUMPRODUCT(MIN(IF(('Inputs 2'!$C$58:$C$67&gt;MAX($B$6:$B48))*('Inputs 2'!$C$58:$C$67&gt;=DATE('Inputs 2'!$C$10,1,1))*('Inputs 2'!$C$58:$C$67&lt;=DATE('Inputs 2'!$C$10,12,31)),'Inputs 2'!$C$58:$C$67,999999))))</f>
      </c>
    </row>
    <row r="50">
      <c r="A50" t="n">
        <v>45</v>
      </c>
      <c r="B50" s="21">
        <f>IF(AND($CD50="",$CE50=""),"",IF($CE50="",$CD50,IF($CD50="",$CE50,MIN($CD50,$CE50))))</f>
      </c>
      <c r="C50" s="7">
        <f>IF($B50="","",IF($BF50=0,0,IF('Inputs 2'!$C$4="Annual salary",ROUND($AK50/IF(AND('Inputs 2'!$C$88="Actual paydays",MONTH('Inputs 2'!$C$9)=1),MAX(1,MAX($BE$6:$BE$68)),'Inputs 2'!$C$8),2),$AK50)))</f>
      </c>
      <c r="D50" s="7">
        <f>IF($B50="","",SUMIF('Inputs 2'!$C$58:$C$67,$B50,'Inputs 2'!$D$58:$D$67))</f>
      </c>
      <c r="E50" s="7">
        <f>IF($B50="","",ROUND(MAX(0,MIN(IF($AL50="Percent",$AM50*($C50+$D50),$AM50),MAX(0,'Inputs 2'!$C$34-$AC49))),2))</f>
      </c>
      <c r="F50" s="7">
        <f>IF($B50="","",ROUND(MAX(0,MIN(IF('Inputs 2'!$C$32="Percent",'Inputs 2'!$D$32*($C50+$D50),'Inputs 2'!$D$32),MAX(0,'Inputs 2'!$C$34-$AC49-$E50))),2))</f>
      </c>
      <c r="G50" s="7">
        <f>IF($B50="","",IF($BF50=0,0,ROUND(MAX(0,MIN($BL50,'Inputs 2'!$C$37-'Inputs 2'!$C$54-$BI49)),2)))</f>
      </c>
      <c r="H50" s="7">
        <f>IF($B50="","",IF(OR($BF50=0,$BQ50=1),0,ROUND(MAX(0,MIN(IF($BS50=1,ROUND(MAX(0,MIN($BJ50,'Methodology &amp; Sources'!$C$13)-$BG49)/MAX(1,MAX($BE$6:$BE$68)-($BE49)),2),ROUND(MIN($BJ50,'Methodology &amp; Sources'!$C$13)/'Inputs 2'!$C$8,2)),MIN($BJ50,'Methodology &amp; Sources'!$C$13)-$BG49)),2)))</f>
      </c>
      <c r="I50" s="7">
        <f>IF($B50="","",IF(OR($BF50=0,$BR50=1),0,ROUND(MAX(0,MIN(IF($BT50=1,ROUND(MAX(0,MIN($BK50,IF('Inputs 2'!$C$12="MFJ",'Methodology &amp; Sources'!$C$14,'Methodology &amp; Sources'!$C$15))-$BH49)/MAX(1,MAX($BE$6:$BE$68)-($BE49)),2),ROUND(MIN($BK50,IF('Inputs 2'!$C$12="MFJ",'Methodology &amp; Sources'!$C$14,'Methodology &amp; Sources'!$C$15))/'Inputs 2'!$C$8,2)),MIN($BK50,IF('Inputs 2'!$C$12="MFJ",'Methodology &amp; Sources'!$C$14,'Methodology &amp; Sources'!$C$15))-$BH49)),2)))</f>
      </c>
      <c r="J50" s="7">
        <f>IF($B50="","",IF($BF50=0,0,$BM50))</f>
      </c>
      <c r="K50" s="7">
        <f>IF($B50="","",IF($BF50=0,0,$BN50+$BO50))</f>
      </c>
      <c r="L50" s="7">
        <f>IF($B50="","",IF($BF50=0,0,'Inputs 2'!$D$46))</f>
      </c>
      <c r="M50" s="7">
        <f>IF($B50="","",$C50+$D50+$L50-$E50-$G50-$H50-$I50-$J50-$K50)</f>
      </c>
      <c r="N50" s="7">
        <f>IF($B50="","",$C50+$D50+$L50-$G50-$H50-$I50-$J50-$K50)</f>
      </c>
      <c r="O50" s="7">
        <f>IF($B50="","",$C50+$D50+$L50-$E50-$H50-$I50-$J50-$K50-IF(OR($AN50="CA",$AN50="NJ"),0,$G50))</f>
      </c>
      <c r="P50" s="7">
        <f>IF($B50="","",IF('Inputs 2'!$C$18,0,ROUND(MAX(0,IF('Inputs 2'!$C$13,SUMPRODUCT(($AH50&gt;INDEX('Methodology &amp; Sources'!$B$29:$J$36,0,IF('Inputs 2'!$C$12="MFJ",1,IF('Inputs 2'!$C$12="HoH",7,4))))*($AH50-INDEX('Methodology &amp; Sources'!$B$29:$J$36,0,IF('Inputs 2'!$C$12="MFJ",1,IF('Inputs 2'!$C$12="HoH",7,4))))*INDEX('Methodology &amp; Sources'!$B$29:$J$36,0,IF('Inputs 2'!$C$12="MFJ",1,IF('Inputs 2'!$C$12="HoH",7,4))+2)),SUMPRODUCT(($AH50&gt;INDEX('Methodology &amp; Sources'!$B$19:$J$26,0,IF('Inputs 2'!$C$12="MFJ",1,IF('Inputs 2'!$C$12="HoH",7,4))))*($AH50-INDEX('Methodology &amp; Sources'!$B$19:$J$26,0,IF('Inputs 2'!$C$12="MFJ",1,IF('Inputs 2'!$C$12="HoH",7,4))))*INDEX('Methodology &amp; Sources'!$B$19:$J$26,0,IF('Inputs 2'!$C$12="MFJ",1,IF('Inputs 2'!$C$12="HoH",7,4))+2)))/'Inputs 2'!$C$8-$AO50/'Inputs 2'!$C$8)+$AR50+IF('Inputs 2'!$C$89="Aggregate",MAX(0,IF('Inputs 2'!$C$13,SUMPRODUCT((($AH50+$D50)&gt;INDEX('Methodology &amp; Sources'!$B$29:$J$36,0,IF('Inputs 2'!$C$12="MFJ",1,IF('Inputs 2'!$C$12="HoH",7,4))))*(($AH50+$D50)-INDEX('Methodology &amp; Sources'!$B$29:$J$36,0,IF('Inputs 2'!$C$12="MFJ",1,IF('Inputs 2'!$C$12="HoH",7,4))))*INDEX('Methodology &amp; Sources'!$B$29:$J$36,0,IF('Inputs 2'!$C$12="MFJ",1,IF('Inputs 2'!$C$12="HoH",7,4))+2)),SUMPRODUCT((($AH50+$D50)&gt;INDEX('Methodology &amp; Sources'!$B$19:$J$26,0,IF('Inputs 2'!$C$12="MFJ",1,IF('Inputs 2'!$C$12="HoH",7,4))))*(($AH50+$D50)-INDEX('Methodology &amp; Sources'!$B$19:$J$26,0,IF('Inputs 2'!$C$12="MFJ",1,IF('Inputs 2'!$C$12="HoH",7,4))))*INDEX('Methodology &amp; Sources'!$B$19:$J$26,0,IF('Inputs 2'!$C$12="MFJ",1,IF('Inputs 2'!$C$12="HoH",7,4))+2)))-IF('Inputs 2'!$C$13,SUMPRODUCT(($AH50&gt;INDEX('Methodology &amp; Sources'!$B$29:$J$36,0,IF('Inputs 2'!$C$12="MFJ",1,IF('Inputs 2'!$C$12="HoH",7,4))))*($AH50-INDEX('Methodology &amp; Sources'!$B$29:$J$36,0,IF('Inputs 2'!$C$12="MFJ",1,IF('Inputs 2'!$C$12="HoH",7,4))))*INDEX('Methodology &amp; Sources'!$B$29:$J$36,0,IF('Inputs 2'!$C$12="MFJ",1,IF('Inputs 2'!$C$12="HoH",7,4))+2)),SUMPRODUCT(($AH50&gt;INDEX('Methodology &amp; Sources'!$B$19:$J$26,0,IF('Inputs 2'!$C$12="MFJ",1,IF('Inputs 2'!$C$12="HoH",7,4))))*($AH50-INDEX('Methodology &amp; Sources'!$B$19:$J$26,0,IF('Inputs 2'!$C$12="MFJ",1,IF('Inputs 2'!$C$12="HoH",7,4))))*INDEX('Methodology &amp; Sources'!$B$19:$J$26,0,IF('Inputs 2'!$C$12="MFJ",1,IF('Inputs 2'!$C$12="HoH",7,4))+2)))),'Methodology &amp; Sources'!$C$10*$D50),2)))</f>
      </c>
      <c r="Q50" s="7">
        <f>IF($B50="","",ROUND('Methodology &amp; Sources'!$C$4*MIN($N50,MAX(0,'Methodology &amp; Sources'!$C$3-($AX50+$AB49-$AW50))),2))</f>
      </c>
      <c r="R50" s="7">
        <f>IF($B50="","",ROUND('Methodology &amp; Sources'!$C$5*$N50,2))</f>
      </c>
      <c r="S50" s="7">
        <f>IF($B50="","",ROUND('Methodology &amp; Sources'!$C$6*MAX(0,MIN($N50,$AG49+$N50-'Methodology &amp; Sources'!$C$7)),2))</f>
      </c>
      <c r="T50" s="7">
        <f>IF($B50="","",IF('Inputs 2'!$C$26,0,IF($AN50="CA",ROUND(IF($AI50&lt;=IF(($AS50+$AT50)&gt;=2,VLOOKUP($AN50,StateTables!$A$6:$AB$56,10,FALSE),VLOOKUP($AN50,StateTables!$A$6:$AB$56,9,FALSE)),0,MAX(0,SUMPRODUCT(($AJ50&gt;INDEX('Methodology &amp; Sources'!$B$39:$J$48,0,IF($AU50="Married",4,IF($AU50="Head of household",7,1))))*($AJ50-INDEX('Methodology &amp; Sources'!$B$39:$J$48,0,IF($AU50="Married",4,IF($AU50="Head of household",7,1))))*INDEX('Methodology &amp; Sources'!$B$39:$J$48,0,IF($AU50="Married",4,IF($AU50="Head of household",7,1))+2))-VLOOKUP($AN50,StateTables!$A$6:$AB$56,11,FALSE)*$AS50)/'Inputs 2'!$C$8)+'Inputs 2'!$C$25+VLOOKUP($AN50,StateTables!$A$6:$AB$56,13,FALSE)*$D50,2),IF(VLOOKUP($AN50,StateTables!$A$6:$AB$56,4,FALSE)="None",0,IF(ISNUMBER(SEARCH("MANUAL",VLOOKUP($AN50,StateTables!$A$6:$AB$56,5,FALSE))),'Inputs 2'!$C$28,ROUND(MAX(0,$BA50+$BB50)/'Inputs 2'!$C$8+'Inputs 2'!$C$25+$BC50,2))))))</f>
      </c>
      <c r="U50" s="7">
        <f>IF($B50="","",IF(VLOOKUP($AN50,StateTables!$A$6:$AB$56,24,FALSE)="flatq",IF(OR(MONTH($B50)=1,MONTH($B50)=4,MONTH($B50)=7,MONTH($B50)=10),VLOOKUP($AN50,StateTables!$A$6:$AB$56,25,FALSE),0),IF(VLOOKUP($AN50,StateTables!$A$6:$AB$56,24,FALSE)="dbl",MIN(ROUND(0.005*$N50,2),ROUND(0.6*52/'Inputs 2'!$C$8,2)),IF(OR(VLOOKUP($AN50,StateTables!$A$6:$AB$56,15,FALSE)="",VLOOKUP($AN50,StateTables!$A$6:$AB$56,15,FALSE)=0),0,ROUND(VLOOKUP($AN50,StateTables!$A$6:$AB$56,15,FALSE)*IF(OR(VLOOKUP($AN50,StateTables!$A$6:$AB$56,16,FALSE)="",VLOOKUP($AN50,StateTables!$A$6:$AB$56,16,FALSE)=0),$N50,MIN($N50,MAX(0,VLOOKUP($AN50,StateTables!$A$6:$AB$56,16,FALSE)-($AX50+$AB49-$AW50)))),2))))+IF(VLOOKUP($AN50,StateTables!$A$6:$AB$56,27,FALSE)="flatq",IF(OR(MONTH($B50)=1,MONTH($B50)=4,MONTH($B50)=7,MONTH($B50)=10),VLOOKUP($AN50,StateTables!$A$6:$AB$56,28,FALSE),0),IF(VLOOKUP($AN50,StateTables!$A$6:$AB$56,27,FALSE)="dbl",MIN(ROUND(0.005*$N50,2),ROUND(0.6*52/'Inputs 2'!$C$8,2)),IF(OR(VLOOKUP($AN50,StateTables!$A$6:$AB$56,18,FALSE)="",VLOOKUP($AN50,StateTables!$A$6:$AB$56,18,FALSE)=0),0,ROUND(VLOOKUP($AN50,StateTables!$A$6:$AB$56,18,FALSE)*IF(OR(VLOOKUP($AN50,StateTables!$A$6:$AB$56,19,FALSE)="",VLOOKUP($AN50,StateTables!$A$6:$AB$56,19,FALSE)=0),$N50,MIN($N50,MAX(0,VLOOKUP($AN50,StateTables!$A$6:$AB$56,19,FALSE)-($AX50+$AB49-$AW50)))),2)))))</f>
      </c>
      <c r="V50" s="7">
        <f>IF($B50="","",IF($AN50="NY",IF('Inputs 2'!$C$78,ROUND(SUMPRODUCT((MAX(0,($O50-$D50)*'Inputs 2'!$C$8-(IF($AU50="Married",5500,5000)+1000*$AS50))&gt;INDEX('Methodology &amp; Sources'!$B$184:$J$198,0,4))*(MAX(0,($O50-$D50)*'Inputs 2'!$C$8-(IF($AU50="Married",5500,5000)+1000*$AS50))-INDEX('Methodology &amp; Sources'!$B$184:$J$198,0,4))*INDEX('Methodology &amp; Sources'!$B$184:$J$198,0,4+2))/'Inputs 2'!$C$8+0.0425*$D50,2),0)+IF('Inputs 2'!$C$79="Resident",ROUND(0.1675*$T50,2),IF('Inputs 2'!$C$79="Nonresident",ROUND(0.005*MAX(0,($O50-$D50)-(IF($AU50="Married",7950,7400)+1000*$AS50)/'Inputs 2'!$C$8),2),0)),IF($AN50="PA",IF('Inputs 2'!$C$80="None",'Inputs 2'!$C$27+ROUND('Inputs 2'!$C$81*($C50+$D50),2),ROUND(IF('Inputs 2'!$C$80="Resident",IF($B50&lt;DATE(2027,7,1),0.03735,0.03735),IF($B50&lt;DATE(2027,7,1),0.03425,0.03425))*($C50+$D50),2)),IF($BF50=0,ROUND('Inputs 2'!$C$81*($C50+$D50),2),'Inputs 2'!$C$27+ROUND('Inputs 2'!$C$81*($C50+$D50),2)))))</f>
      </c>
      <c r="W50" s="7">
        <f>IF($B50="","",IF($BF50=0,0,$BP50))</f>
      </c>
      <c r="X50" s="7">
        <f>IF($B50="","",SUM($E50:$K50)+$P50+$Q50+$R50+$S50+$T50+$U50+$V50+$W50)</f>
      </c>
      <c r="Y50" s="22">
        <f>IF($B50="","",$C50+$D50-$X50)</f>
      </c>
      <c r="Z50" s="7">
        <f>IF($B50="","",$Z49+$C50+$D50)</f>
      </c>
      <c r="AA50" s="7">
        <f>IF($B50="","",$AA49+$Y50)</f>
      </c>
      <c r="AB50" s="7">
        <f>IF($B50="","",$AB49+MIN($N50,MAX(0,'Methodology &amp; Sources'!$C$3-($AX50+$AB49-$AW50))))</f>
      </c>
      <c r="AC50" s="7">
        <f>IF($B50="","",$AC49+$E50+$F50)</f>
      </c>
      <c r="AD50" s="3">
        <f>IF($B50="","",IF(AND($AB49&lt;'Methodology &amp; Sources'!$C$3,$AB50&gt;='Methodology &amp; Sources'!$C$3),"★ Social Security maxed on this check — from the next check your net rises by about $"&amp;TEXT(ROUND('Methodology &amp; Sources'!$C$4*$N50,2),"#,##0.00")&amp;". ","")&amp;IF(AND($AC49&lt;'Inputs 2'!$C$34,$AC50&gt;='Inputs 2'!$C$34),"★ 401(k) reaches the $"&amp;TEXT('Inputs 2'!$C$34,"#,##0")&amp;" cap on this check — deferrals stop and net pay rises. ","")&amp;IF(AND($AG49&lt;'Methodology &amp; Sources'!$C$7,$AG50&gt;='Methodology &amp; Sources'!$C$7),"★ Wages pass $200,000 — the 0.9% Additional Medicare Tax starts here. ","")&amp;IF(AND($BJ50&gt;0,$H50&gt;0,$BG49&lt;MIN($BJ50,'Methodology &amp; Sources'!$C$13),$BG49+$H50&gt;=MIN($BJ50,'Methodology &amp; Sources'!$C$13)),"★ Health FSA election is now fully deferred for the year. ",""))</f>
      </c>
      <c r="AE50" s="41" t="n"/>
      <c r="AF50" s="7">
        <f>IF(OR($B50="",$AE50=""),"",$AE50-$Y50)</f>
      </c>
      <c r="AG50" s="7">
        <f>IF($B50="","",$AG49+$N50)</f>
      </c>
      <c r="AH50" s="7">
        <f>IF($B50="","",MAX(0,($M50-$D50)*'Inputs 2'!$C$8+$AP50-$AQ50-IF('Inputs 2'!$C$13,0,IF('Inputs 2'!$C$12="MFJ",'Methodology &amp; Sources'!$C$8,'Methodology &amp; Sources'!$C$9))))</f>
      </c>
      <c r="AI50" s="7">
        <f>IF($B50="","",$O50*'Inputs 2'!$C$8)</f>
      </c>
      <c r="AJ50" s="7">
        <f>IF($B50="","",MAX(0,$AI50-VLOOKUP($AN50,StateTables!$A$6:$AB$56,12,FALSE)*$AT50-IF(($AS50+$AT50)&gt;=2,VLOOKUP($AN50,StateTables!$A$6:$AB$56,8,FALSE),VLOOKUP($AN50,StateTables!$A$6:$AB$56,7,FALSE))))</f>
      </c>
      <c r="AK50" s="7">
        <f>IF($B50="","",IFERROR(LOOKUP(2,1/(('Events 2'!$C$6:$C$17="Salary change")*('Events 2'!$B$6:$B$17&lt;=$B50)*('Events 2'!$B$6:$B$17&lt;&gt;"")),'Events 2'!$D$6:$D$17),IF('Inputs 2'!$C$4="Annual salary",'Inputs 2'!$C$5,'Inputs 2'!$C$6)))</f>
      </c>
      <c r="AL50">
        <f>IF($B50="","",IFERROR(LOOKUP(2,1/(('Events 2'!$C$6:$C$17="401(k) change")*('Events 2'!$B$6:$B$17&lt;=$B50)*('Events 2'!$B$6:$B$17&lt;&gt;"")),'Events 2'!$D$6:$D$17),'Inputs 2'!$C$30))</f>
      </c>
      <c r="AM50" s="7">
        <f>IF($B50="","",IFERROR(LOOKUP(2,1/(('Events 2'!$C$6:$C$17="401(k) change")*('Events 2'!$B$6:$B$17&lt;=$B50)*('Events 2'!$B$6:$B$17&lt;&gt;"")),'Events 2'!$E$6:$E$17),'Inputs 2'!$D$30))</f>
      </c>
      <c r="AN50">
        <f>IF($B50="","",IFERROR(LOOKUP(2,1/(('Events 2'!$C$6:$C$17="State move")*('Events 2'!$B$6:$B$17&lt;=$B50)*('Events 2'!$B$6:$B$17&lt;&gt;"")),'Events 2'!$D$6:$D$17),'Inputs 2'!$C$21))</f>
      </c>
      <c r="AO50" s="7">
        <f>IF($B50="","",IFERROR(LOOKUP(2,1/(('Events 2'!$C$6:$C$17="W-4 change")*('Events 2'!$B$6:$B$17&lt;=$B50)*('Events 2'!$B$6:$B$17&lt;&gt;"")),'Events 2'!$D$6:$D$17),'Inputs 2'!$C$14))</f>
      </c>
      <c r="AP50" s="7">
        <f>IF($B50="","",IFERROR(LOOKUP(2,1/(('Events 2'!$C$6:$C$17="W-4 change")*('Events 2'!$B$6:$B$17&lt;=$B50)*('Events 2'!$B$6:$B$17&lt;&gt;"")),'Events 2'!$E$6:$E$17),'Inputs 2'!$C$15))</f>
      </c>
      <c r="AQ50" s="7">
        <f>IF($B50="","",IFERROR(LOOKUP(2,1/(('Events 2'!$C$6:$C$17="W-4 change")*('Events 2'!$B$6:$B$17&lt;=$B50)*('Events 2'!$B$6:$B$17&lt;&gt;"")),'Events 2'!$F$6:$F$17),'Inputs 2'!$C$16))</f>
      </c>
      <c r="AR50" s="7">
        <f>IF($B50="","",IFERROR(LOOKUP(2,1/(('Events 2'!$C$6:$C$17="W-4 change")*('Events 2'!$B$6:$B$17&lt;=$B50)*('Events 2'!$B$6:$B$17&lt;&gt;"")),'Events 2'!$G$6:$G$17),'Inputs 2'!$C$17))</f>
      </c>
      <c r="AS50" s="6">
        <f>IF($B50="","",IFERROR(LOOKUP(2,1/((('Events 2'!$C$6:$C$17="State move")+('Events 2'!$C$6:$C$17="State cert change"))*('Events 2'!$B$6:$B$17&lt;=$B50)*('Events 2'!$B$6:$B$17&lt;&gt;"")),'Events 2'!$F$6:$F$17),'Inputs 2'!$C$23))</f>
      </c>
      <c r="AT50" s="6">
        <f>IF($B50="","",IFERROR(LOOKUP(2,1/((('Events 2'!$C$6:$C$17="State move")+('Events 2'!$C$6:$C$17="State cert change"))*('Events 2'!$B$6:$B$17&lt;=$B50)*('Events 2'!$B$6:$B$17&lt;&gt;"")),'Events 2'!$G$6:$G$17),'Inputs 2'!$C$24))</f>
      </c>
      <c r="AU50">
        <f>IF($B50="","",IFERROR(LOOKUP(2,1/(('Events 2'!$C$6:$C$17="State move")*('Events 2'!$B$6:$B$17&lt;=$B50)*('Events 2'!$B$6:$B$17&lt;&gt;"")),'Events 2'!$E$6:$E$17),'Inputs 2'!$C$22))</f>
      </c>
      <c r="AV50" s="6">
        <f>IF($B50="","",1+COUNTIFS('Events 2'!$C$6:$C$17,"Employer change",'Events 2'!$B$6:$B$17,"&lt;="&amp;$B50,'Events 2'!$B$6:$B$17,"&lt;&gt;"))</f>
      </c>
      <c r="AW50" s="7">
        <f>IF($B50="","",IF($AV50=1,'Inputs 2'!$C$49,IF(IFERROR(MATCH(IFERROR(LOOKUP(2,1/(('Events 2'!$C$6:$C$17="Employer change")*('Events 2'!$B$6:$B$17&lt;=$B50)*('Events 2'!$B$6:$B$17&lt;&gt;"")),'Events 2'!$B$6:$B$17),""),$B$6:$B$68,1),1)&lt;=1,'Inputs 2'!$C$49,INDEX($AB$6:$AB$68,MATCH(IFERROR(LOOKUP(2,1/(('Events 2'!$C$6:$C$17="Employer change")*('Events 2'!$B$6:$B$17&lt;=$B50)*('Events 2'!$B$6:$B$17&lt;&gt;"")),'Events 2'!$B$6:$B$17),""),$B$6:$B$68,1)-1))))</f>
      </c>
      <c r="AX50" s="7">
        <f>IF($B50="","",IF($AV50=1,'Inputs 2'!$C$49,IFERROR(LOOKUP(2,1/(('Events 2'!$C$6:$C$17="Employer change")*('Events 2'!$B$6:$B$17&lt;=$B50)*('Events 2'!$B$6:$B$17&lt;&gt;"")),'Events 2'!$D$6:$D$17),0)))</f>
      </c>
      <c r="AY50" s="7">
        <f>IF($B50="","",($O50-$D50)*'Inputs 2'!$C$8)</f>
      </c>
      <c r="AZ50" s="7">
        <f>IF($B50="","",IF($AN50="AL",MAX(0,$AY50-IF($AU50="Married",IF($AY50&lt;=25999,8500,MAX(5000,8500-175*CEILING(($AY50-25999)/500,1))),IF($AU50="Head of household",IF($AY50&lt;=25999,5200,MAX(2500,5200-135*CEILING(($AY50-25999)/500,1))),IF($AY50&lt;=25999,3000,MAX(2500,3000-25*CEILING(($AY50-25999)/500,1)))))-($P50-'Methodology &amp; Sources'!$C$10*$D50)*'Inputs 2'!$C$8-IF(OR($AU50="Married",$AU50="Head of household"),3000,1500)-$AT50*IF($AY50&lt;=50000,1000,IF($AY50&lt;=100000,500,300))),IF($AN50="AR",IF(MAX(0,$AY50-2470)&lt;97701,INT(MAX(0,$AY50-2470)/100)*100+50,MAX(0,$AY50-2470)),IF($AN50="DE",MAX(0,$AI50-3250),IF($AN50="HI",MAX(0,$AI50-1144*$AS50-4350),IF($AN50="KS",MAX(0,$AI50-(9160*IF($AU50="Married",2,1)+2320*$AT50+IF($AU50="Head of household",2320,0))),IF($AN50="MD",MAX(0,$AI50-3400-3200*$AS50),IF($AN50="MN",MAX(0,$AY50-5300*$AS50),IF($AN50="MO",MAX(0,$AI50-IF($AU50="Head of household",24150,IF($AU50="Married",IF('Inputs 2'!$C$83,16100,32200),16100))),IF($AN50="MT",$AY50,IF($AN50="ND",($C50+$L50)*'Inputs 2'!$C$8,IF($AN50="NE",MAX(0,$AY50-2440*$AS50),IF($AN50="NJ",MAX(0,$AY50-1000*$AS50),IF($AN50="NY",MAX(0,$AY50-(IF($AU50="Married",7950,7400)+1000*$AS50)),IF($AN50="OH",MAX(0,$AY50-650*$AS50),IF($AN50="OK",MAX(0,$AY50-1000*$AS50),IF($AN50="RI",MAX(0,$AI50-1000*$AS50),IF($AN50="SC",MAX(0,$AI50-5000*$AS50-IF($AS50=0,0,MIN(0.1*$AI50,7500))),IF($AN50="VA",MAX(0,$AI50-IF($AU50="Married",17500,8750)-930*$AS50-800*$AT50),IF($AN50="VT",MAX(0,$AI50-5400*$AS50),IF($AN50="WI",MAX(0,$AI50-MAX(0,IF($AU50="Married",9461-0.2*MAX(0,$AI50-25727),6702-0.12*MAX(0,$AI50-17780)))-400*$AS50),IF($AN50="WV",MAX(0,$AI50-2000*$AS50),$AI50))))))))))))))))))))))</f>
      </c>
      <c r="BA50" s="7">
        <f>IF($B50="","",IF($BW50&lt;&gt;"",$BW50,IF($BX50&lt;&gt;"",$BX50,IF($BY50&lt;&gt;"",$BY50,0))))</f>
      </c>
      <c r="BB50" s="7">
        <f>IF($B50="","",IF($AN50="AR",-29*$AS50,IF($AN50="DE",-110*$AS50,IF($AN50="MD",$AZ50*'Inputs 2'!$C$74,IF($AN50="AZ",'Inputs 2'!$C$82*($M50-$D50)*'Inputs 2'!$C$8,IF($AN50="CO",0.044*MAX(0,$AY50-IF($AU50="Married",10000,5000)),IF($AN50="IA",MAX(0,0.038*MAX(0,$AY50-IF($AU50="Head of household",19500,IF($AU50="Married",26000,13000)))-40*$AS50),IF($AN50="ID",0.053*MAX(0,$AY50-IF($AU50="Married",32000,16094)),IF($AN50="IL",0.0495*MAX(0,$AY50-(2925*$AS50+1000*$AT50)),IF($AN50="IN",(0.0295+'Inputs 2'!$C$76)*MAX(0,$AY50-(1000*$AS50+1500*$AT50+3000*'Inputs 2'!$C$86)),IF($AN50="KY",0.035*MAX(0,$AI50-3360),IF($AN50="LA",IF('Inputs 2'!$C$84="0",0.0309*$AI50,0.0309*MAX(0,$AI50-IF('Inputs 2'!$C$84="2",25750,12875))),IF($AN50="MA",0.05*MIN(MAX(0,$AY50-MIN(($BD49+$Q50+$R50+$S50),2000)-IF($AS50=0,0,IF($AS50=1,4400,1000*$AS50+3400))),1107750)+0.09*MAX(0,MAX(0,$AY50-MIN(($BD49+$Q50+$R50+$S50),2000)-IF($AS50=0,0,IF($AS50=1,4400,1000*$AS50+3400)))-1107750)-IF($AU50="Head of household",120,0)-110*'Inputs 2'!$C$75,IF($AN50="MI",0.0425*MAX(0,$AY50-5900*$AS50),IF($AN50="MS",0.04*MAX(0,$AI50-IF($AU50="Head of household",3400,IF($AU50="Married",4600,2300))-'Inputs 2'!$C$85-10000),IF($AN50="OR",IF(OR($AU50="Married",AND($AU50="Single",$AS50&gt;=3)),SUMPRODUCT((MAX(0,$AY50-MIN(($P50-'Methodology &amp; Sources'!$C$10*$D50)*'Inputs 2'!$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Sources'!$B$211:$J$214,0,4))*(MAX(0,$AY50-MIN(($P50-'Methodology &amp; Sources'!$C$10*$D50)*'Inputs 2'!$C$8,IF(OR($AU50="Married",AND($AU50="Single",$AS50&gt;=3)),IF($AY50&lt;250000,8750,IF($AY50&lt;260000,7000,IF($AY50&lt;270000,5250,IF($AY50&lt;280000,3500,IF($AY50&lt;290000,1750,0))))),IF($AY50&lt;125000,8750,IF($AY50&lt;130000,7000,IF($AY50&lt;135000,5250,IF($AY50&lt;140000,3500,IF($AY50&lt;145000,1750,0)))))))-IF(OR($AU50="Married",AND($AU50="Single",$AS50&gt;=3)),5820,2910))-INDEX('Methodology &amp; Sources'!$B$211:$J$214,0,4))*INDEX('Methodology &amp; Sources'!$B$211:$J$214,0,4+2)),SUMPRODUCT((MAX(0,$AY50-MIN(($P50-'Methodology &amp; Sources'!$C$10*$D50)*'Inputs 2'!$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Sources'!$B$211:$J$214,0,1))*(MAX(0,$AY50-MIN(($P50-'Methodology &amp; Sources'!$C$10*$D50)*'Inputs 2'!$C$8,IF(OR($AU50="Married",AND($AU50="Single",$AS50&gt;=3)),IF($AY50&lt;250000,8750,IF($AY50&lt;260000,7000,IF($AY50&lt;270000,5250,IF($AY50&lt;280000,3500,IF($AY50&lt;290000,1750,0))))),IF($AY50&lt;125000,8750,IF($AY50&lt;130000,7000,IF($AY50&lt;135000,5250,IF($AY50&lt;140000,3500,IF($AY50&lt;145000,1750,0)))))))-IF(OR($AU50="Married",AND($AU50="Single",$AS50&gt;=3)),5820,2910))-INDEX('Methodology &amp; Sources'!$B$211:$J$214,0,1))*INDEX('Methodology &amp; Sources'!$B$211:$J$214,0,1+2)))+263-263*IF(IF($AU50="Married",$AY50&gt;200000,$AY50&gt;100000),0,$AS50),IF($AN50="PA",0.0307*(($O50+$E50+$G50)*'Inputs 2'!$C$8),IF($AN50="NY",IF($AU50="Married",IF($AZ50&gt;=2155350,0,IF($AZ50&gt;=1077550,0.48,IF($AZ50&gt;=373200,1.21,IF($AZ50&gt;=323200,0.21,IF($AZ50&gt;=211550,-0.19,IF($AZ50&gt;=157650,-2.8,IF($AZ50&gt;=107650,-0.8,IF($AZ50&gt;=96800,0.05,IF($AZ50&gt;=80650,-0.1,IF($AZ50&gt;=13900,0.4,IF($AZ50&gt;=11700,-0.3,IF($AZ50&gt;=8500,0.5,0)))))))))))),IF($AZ50&gt;=1077550,0,IF($AZ50&gt;=265400,4.29,IF($AZ50&gt;=215400,2.29,IF($AZ50&gt;=157650,2.29,IF($AZ50&gt;=107650,0.29,IF($AZ50&gt;=96800,0.05,IF($AZ50&gt;=80650,-0.1,IF($AZ50&gt;=13900,0.4,IF($AZ50&gt;=11700,-0.3,IF($AZ50&gt;=8500,0.5,0))))))))))),0))))))))))))))))))</f>
      </c>
      <c r="BC50" s="7">
        <f>IF($B50="","",IF($AN50="AL",0.05*$D50,IF($AN50="AR",0.039*$D50,IF($AN50="ID",0.053*$D50,IF($AN50="IN",(0.0295+'Inputs 2'!$C$76)*$D50,IF($AN50="KS",0.05*$D50,IF($AN50="MA",0.09*MIN($D50,MAX(0,MAX(0,$AY50-MIN(($BD49+$Q50+$R50+$S50),2000)-IF($AS50=0,0,IF($AS50=1,4400,1000*$AS50+3400)))+$D50-1107750))+0.05*($D50-MIN($D50,MAX(0,MAX(0,$AY50-MIN(($BD49+$Q50+$R50+$S50),2000)-IF($AS50=0,0,IF($AS50=1,4400,1000*$AS50+3400)))+$D50-1107750))),IF($AN50="MD",(0.065+'Inputs 2'!$C$74)*$D50,IF($AN50="MI",0.0425*$D50,IF($AN50="MN",0.0625*$D50,IF($AN50="MO",0.047*$D50,IF($AN50="MT",0.05*$D50,IF($AN50="ND",0.015*$D50,IF($AN50="NE",0.035*$D50,IF($AN50="NJ",IF('Inputs 2'!$C$77="B",SUMPRODUCT(($D50*'Inputs 2'!$C$8&gt;INDEX('Methodology &amp; Sources'!$B$155:$J$162,0,4))*($D50*'Inputs 2'!$C$8-INDEX('Methodology &amp; Sources'!$B$155:$J$162,0,4))*INDEX('Methodology &amp; Sources'!$B$155:$J$162,0,4+2)),IF('Inputs 2'!$C$77="C",SUMPRODUCT(($D50*'Inputs 2'!$C$8&gt;INDEX('Methodology &amp; Sources'!$B$155:$J$162,0,7))*($D50*'Inputs 2'!$C$8-INDEX('Methodology &amp; Sources'!$B$155:$J$162,0,7))*INDEX('Methodology &amp; Sources'!$B$155:$J$162,0,7+2)),IF('Inputs 2'!$C$77="D",SUMPRODUCT(($D50*'Inputs 2'!$C$8&gt;INDEX('Methodology &amp; Sources'!$B$167:$J$179,0,1))*($D50*'Inputs 2'!$C$8-INDEX('Methodology &amp; Sources'!$B$167:$J$179,0,1))*INDEX('Methodology &amp; Sources'!$B$167:$J$179,0,1+2)),IF('Inputs 2'!$C$77="E",SUMPRODUCT(($D50*'Inputs 2'!$C$8&gt;INDEX('Methodology &amp; Sources'!$B$167:$J$179,0,4))*($D50*'Inputs 2'!$C$8-INDEX('Methodology &amp; Sources'!$B$167:$J$179,0,4))*INDEX('Methodology &amp; Sources'!$B$167:$J$179,0,4+2)),SUMPRODUCT(($D50*'Inputs 2'!$C$8&gt;INDEX('Methodology &amp; Sources'!$B$155:$J$162,0,1))*($D50*'Inputs 2'!$C$8-INDEX('Methodology &amp; Sources'!$B$155:$J$162,0,1))*INDEX('Methodology &amp; Sources'!$B$155:$J$162,0,1+2))))))/'Inputs 2'!$C$8,IF($AN50="NY",0.117*$D50,IF($AN50="OH",0.0275*$D50,IF($AN50="OK",0.045*$D50,IF($AN50="OR",0.08*$D50,IF($AN50="WI",IF($AY50&lt;12760,0.0354,IF($AY50&lt;25520,0.0465,IF($AY50&lt;280950,0.053,0.0765)))*$D50,0))))))))))))))))))))</f>
      </c>
      <c r="BD50" s="7">
        <f>IF($B50="","",$BD49+$Q50+$R50+$S50)</f>
      </c>
      <c r="BE50" s="6">
        <f>IF($B50="",$BE49,$BE49+$BF50)</f>
      </c>
      <c r="BF50" s="6">
        <f>IF($B50="","",IF(AND(IF(YEAR(IF('Inputs 2'!$C$7="Weekly",'Inputs 2'!$C$9+7*(($BE49+1)-1),IF('Inputs 2'!$C$7="Biweekly",'Inputs 2'!$C$9+14*(($BE49+1)-1),IF('Inputs 2'!$C$7="Semimonthly",DATE(YEAR('Inputs 2'!$C$9),MONTH('Inputs 2'!$C$9)+INT((($BE49+1)-1)/2),MIN(DAY('Inputs 2'!$C$9),DAY(EOMONTH(DATE(YEAR('Inputs 2'!$C$9),MONTH('Inputs 2'!$C$9)+INT((($BE49+1)-1)/2),1),0))))+IF(MOD(($BE49+1)-1,2)=1,15,0),EDATE('Inputs 2'!$C$9,($BE49+1)-1)))))&lt;&gt;'Inputs 2'!$C$10,"",IF('Inputs 2'!$C$7="Weekly",'Inputs 2'!$C$9+7*(($BE49+1)-1),IF('Inputs 2'!$C$7="Biweekly",'Inputs 2'!$C$9+14*(($BE49+1)-1),IF('Inputs 2'!$C$7="Semimonthly",DATE(YEAR('Inputs 2'!$C$9),MONTH('Inputs 2'!$C$9)+INT((($BE49+1)-1)/2),MIN(DAY('Inputs 2'!$C$9),DAY(EOMONTH(DATE(YEAR('Inputs 2'!$C$9),MONTH('Inputs 2'!$C$9)+INT((($BE49+1)-1)/2),1),0))))+IF(MOD(($BE49+1)-1,2)=1,15,0),EDATE('Inputs 2'!$C$9,($BE49+1)-1)))))&lt;&gt;"",$B50=IF(YEAR(IF('Inputs 2'!$C$7="Weekly",'Inputs 2'!$C$9+7*(($BE49+1)-1),IF('Inputs 2'!$C$7="Biweekly",'Inputs 2'!$C$9+14*(($BE49+1)-1),IF('Inputs 2'!$C$7="Semimonthly",DATE(YEAR('Inputs 2'!$C$9),MONTH('Inputs 2'!$C$9)+INT((($BE49+1)-1)/2),MIN(DAY('Inputs 2'!$C$9),DAY(EOMONTH(DATE(YEAR('Inputs 2'!$C$9),MONTH('Inputs 2'!$C$9)+INT((($BE49+1)-1)/2),1),0))))+IF(MOD(($BE49+1)-1,2)=1,15,0),EDATE('Inputs 2'!$C$9,($BE49+1)-1)))))&lt;&gt;'Inputs 2'!$C$10,"",IF('Inputs 2'!$C$7="Weekly",'Inputs 2'!$C$9+7*(($BE49+1)-1),IF('Inputs 2'!$C$7="Biweekly",'Inputs 2'!$C$9+14*(($BE49+1)-1),IF('Inputs 2'!$C$7="Semimonthly",DATE(YEAR('Inputs 2'!$C$9),MONTH('Inputs 2'!$C$9)+INT((($BE49+1)-1)/2),MIN(DAY('Inputs 2'!$C$9),DAY(EOMONTH(DATE(YEAR('Inputs 2'!$C$9),MONTH('Inputs 2'!$C$9)+INT((($BE49+1)-1)/2),1),0))))+IF(MOD(($BE49+1)-1,2)=1,15,0),EDATE('Inputs 2'!$C$9,($BE49+1)-1)))))),1,0))</f>
      </c>
      <c r="BG50" s="7">
        <f>IF($B50="","",$BG49+$H50)</f>
      </c>
      <c r="BH50" s="7">
        <f>IF($B50="","",$BH49+$I50)</f>
      </c>
      <c r="BI50" s="7">
        <f>IF($B50="","",$BI49+$G50)</f>
      </c>
      <c r="BJ50" s="7">
        <f>IF($B50="","",IFERROR(LOOKUP(2,1/(((('Events 2'!$C$6:$C$17="Deduction start"))*('Events 2'!$D$6:$D$17="Health FSA"))*('Events 2'!$B$6:$B$17&lt;=$B50)*('Events 2'!$B$6:$B$17&lt;&gt;"")),'Events 2'!$E$6:$E$17),'Inputs 2'!$D$38))</f>
      </c>
      <c r="BK50" s="7">
        <f>IF($B50="","",IFERROR(LOOKUP(2,1/(((('Events 2'!$C$6:$C$17="Deduction start"))*('Events 2'!$D$6:$D$17="Dependent-care FSA"))*('Events 2'!$B$6:$B$17&lt;=$B50)*('Events 2'!$B$6:$B$17&lt;&gt;"")),'Events 2'!$E$6:$E$17),'Inputs 2'!$D$39))</f>
      </c>
      <c r="BL50" s="7">
        <f>IF($B50="","",IFERROR(LOOKUP(2,1/(((('Events 2'!$C$6:$C$17="Deduction start")+('Events 2'!$C$6:$C$17="Deduction stop"))*('Events 2'!$D$6:$D$17="HSA"))*('Events 2'!$B$6:$B$17&lt;=$B50)*('Events 2'!$B$6:$B$17&lt;&gt;"")),'Events 2'!$I$6:$I$17),'Inputs 2'!$D$35))</f>
      </c>
      <c r="BM50" s="7">
        <f>IF($B50="","",IFERROR(LOOKUP(2,1/(((('Events 2'!$C$6:$C$17="Deduction start")+('Events 2'!$C$6:$C$17="Deduction stop"))*('Events 2'!$D$6:$D$17="Premiums"))*('Events 2'!$B$6:$B$17&lt;=$B50)*('Events 2'!$B$6:$B$17&lt;&gt;"")),'Events 2'!$I$6:$I$17),'Inputs 2'!$D$40+'Inputs 2'!$D$41+'Inputs 2'!$D$42))</f>
      </c>
      <c r="BN50" s="7">
        <f>IF($B50="","",IFERROR(LOOKUP(2,1/(((('Events 2'!$C$6:$C$17="Deduction start")+('Events 2'!$C$6:$C$17="Deduction stop"))*('Events 2'!$D$6:$D$17="Commuter"))*('Events 2'!$B$6:$B$17&lt;=$B50)*('Events 2'!$B$6:$B$17&lt;&gt;"")),'Events 2'!$I$6:$I$17),'Inputs 2'!$D$43))</f>
      </c>
      <c r="BO50" s="7">
        <f>IF($B50="","",IFERROR(LOOKUP(2,1/(((('Events 2'!$C$6:$C$17="Deduction start")+('Events 2'!$C$6:$C$17="Deduction stop"))*('Events 2'!$D$6:$D$17="Other pre-tax"))*('Events 2'!$B$6:$B$17&lt;=$B50)*('Events 2'!$B$6:$B$17&lt;&gt;"")),'Events 2'!$I$6:$I$17),'Inputs 2'!$D$44))</f>
      </c>
      <c r="BP50" s="7">
        <f>IF($B50="","",IFERROR(LOOKUP(2,1/(((('Events 2'!$C$6:$C$17="Deduction start")+('Events 2'!$C$6:$C$17="Deduction stop"))*('Events 2'!$D$6:$D$17="Other post-tax"))*('Events 2'!$B$6:$B$17&lt;=$B50)*('Events 2'!$B$6:$B$17&lt;&gt;"")),'Events 2'!$I$6:$I$17),'Inputs 2'!$D$45))</f>
      </c>
      <c r="BQ50" s="6">
        <f>IF($B50="","",IFERROR(LOOKUP(2,1/(((('Events 2'!$C$6:$C$17="Deduction start")+('Events 2'!$C$6:$C$17="Deduction stop"))*('Events 2'!$D$6:$D$17="Health FSA"))*('Events 2'!$B$6:$B$17&lt;=$B50)*('Events 2'!$B$6:$B$17&lt;&gt;"")),'Events 2'!$J$6:$J$17),0))</f>
      </c>
      <c r="BR50" s="6">
        <f>IF($B50="","",IFERROR(LOOKUP(2,1/(((('Events 2'!$C$6:$C$17="Deduction start")+('Events 2'!$C$6:$C$17="Deduction stop"))*('Events 2'!$D$6:$D$17="Dependent-care FSA"))*('Events 2'!$B$6:$B$17&lt;=$B50)*('Events 2'!$B$6:$B$17&lt;&gt;"")),'Events 2'!$J$6:$J$17),0))</f>
      </c>
      <c r="BS50" s="6">
        <f>IF($B50="","",IF(SUMPRODUCT(('Events 2'!$C$6:$C$17="Deduction start")*('Events 2'!$B$6:$B$17&lt;=$B50)*('Events 2'!$B$6:$B$17&lt;&gt;"")*('Events 2'!$D$6:$D$17="Health FSA"))&gt;0,1,0))</f>
      </c>
      <c r="BT50" s="6">
        <f>IF($B50="","",IF(SUMPRODUCT(('Events 2'!$C$6:$C$17="Deduction start")*('Events 2'!$B$6:$B$17&lt;=$B50)*('Events 2'!$B$6:$B$17&lt;&gt;"")*('Events 2'!$D$6:$D$17="Dependent-care FSA"))&gt;0,1,0))</f>
      </c>
      <c r="BU50" s="24">
        <f>IF($B50="","",IF('Inputs 2'!$C$13,SUMPRODUCT(($AH50&gt;=INDEX('Methodology &amp; Sources'!$B$29:$J$36,0,IF('Inputs 2'!$C$12="MFJ",1,IF('Inputs 2'!$C$12="HoH",7,4))))*INDEX('Methodology &amp; Sources'!$B$29:$J$36,0,IF('Inputs 2'!$C$12="MFJ",1,IF('Inputs 2'!$C$12="HoH",7,4))+2)),SUMPRODUCT(($AH50&gt;=INDEX('Methodology &amp; Sources'!$B$19:$J$26,0,IF('Inputs 2'!$C$12="MFJ",1,IF('Inputs 2'!$C$12="HoH",7,4))))*INDEX('Methodology &amp; Sources'!$B$19:$J$26,0,IF('Inputs 2'!$C$12="MFJ",1,IF('Inputs 2'!$C$12="HoH",7,4))+2))))</f>
      </c>
      <c r="BV50" s="24">
        <f>IF($B50="","",IF($BZ50&lt;&gt;"",$BZ50,IF($CA50&lt;&gt;"",$CA50,IF($CB50&lt;&gt;"",$CB50,IF($CC50&lt;&gt;"",$CC50,0)))))</f>
      </c>
      <c r="BW50" s="7">
        <f>IF($B50="","",IF($AN50="MD",IF(OR($AU50="Married",$AU50="Head of household"),SUMPRODUCT(($AZ50&gt;INDEX('Methodology &amp; Sources'!$B$114:$J$120,0,1))*($AZ50-INDEX('Methodology &amp; Sources'!$B$114:$J$120,0,1))*INDEX('Methodology &amp; Sources'!$B$114:$J$120,0,1+2)),SUMPRODUCT(($AZ50&gt;INDEX('Methodology &amp; Sources'!$B$103:$J$109,0,7))*($AZ50-INDEX('Methodology &amp; Sources'!$B$103:$J$109,0,7))*INDEX('Methodology &amp; Sources'!$B$103:$J$109,0,7+2))),IF($AN50="MO",SUMPRODUCT(($AZ50&gt;INDEX('Methodology &amp; Sources'!$B$125:$J$132,0,1))*($AZ50-INDEX('Methodology &amp; Sources'!$B$125:$J$132,0,1))*INDEX('Methodology &amp; Sources'!$B$125:$J$132,0,1+2)),IF($AN50="MT",IF($AU50="Head of household",SUMPRODUCT(($AZ50&gt;INDEX('Methodology &amp; Sources'!$B$137:$J$139,0,1))*($AZ50-INDEX('Methodology &amp; Sources'!$B$137:$J$139,0,1))*INDEX('Methodology &amp; Sources'!$B$137:$J$139,0,1+2)),IF($AU50="Married",SUMPRODUCT(($AZ50&gt;INDEX('Methodology &amp; Sources'!$B$125:$J$132,0,7))*($AZ50-INDEX('Methodology &amp; Sources'!$B$125:$J$132,0,7))*INDEX('Methodology &amp; Sources'!$B$125:$J$132,0,7+2)),SUMPRODUCT(($AZ50&gt;INDEX('Methodology &amp; Sources'!$B$125:$J$132,0,4))*($AZ50-INDEX('Methodology &amp; Sources'!$B$125:$J$132,0,4))*INDEX('Methodology &amp; Sources'!$B$125:$J$132,0,4+2)))),IF($AN50="ND",IF($AU50="Head of household",SUMPRODUCT(($AZ50&gt;INDEX('Methodology &amp; Sources'!$B$144:$J$150,0,1))*($AZ50-INDEX('Methodology &amp; Sources'!$B$144:$J$150,0,1))*INDEX('Methodology &amp; Sources'!$B$144:$J$150,0,1+2)),IF($AU50="Married",SUMPRODUCT(($AZ50&gt;INDEX('Methodology &amp; Sources'!$B$137:$J$139,0,7))*($AZ50-INDEX('Methodology &amp; Sources'!$B$137:$J$139,0,7))*INDEX('Methodology &amp; Sources'!$B$137:$J$139,0,7+2)),SUMPRODUCT(($AZ50&gt;INDEX('Methodology &amp; Sources'!$B$137:$J$139,0,4))*($AZ50-INDEX('Methodology &amp; Sources'!$B$137:$J$139,0,4))*INDEX('Methodology &amp; Sources'!$B$137:$J$139,0,4+2)))),IF($AN50="NJ",IF('Inputs 2'!$C$77="B",SUMPRODUCT(($AZ50&gt;INDEX('Methodology &amp; Sources'!$B$155:$J$162,0,4))*($AZ50-INDEX('Methodology &amp; Sources'!$B$155:$J$162,0,4))*INDEX('Methodology &amp; Sources'!$B$155:$J$162,0,4+2)),IF('Inputs 2'!$C$77="C",SUMPRODUCT(($AZ50&gt;INDEX('Methodology &amp; Sources'!$B$155:$J$162,0,7))*($AZ50-INDEX('Methodology &amp; Sources'!$B$155:$J$162,0,7))*INDEX('Methodology &amp; Sources'!$B$155:$J$162,0,7+2)),IF('Inputs 2'!$C$77="D",SUMPRODUCT(($AZ50&gt;INDEX('Methodology &amp; Sources'!$B$167:$J$179,0,1))*($AZ50-INDEX('Methodology &amp; Sources'!$B$167:$J$179,0,1))*INDEX('Methodology &amp; Sources'!$B$167:$J$179,0,1+2)),IF('Inputs 2'!$C$77="E",SUMPRODUCT(($AZ50&gt;INDEX('Methodology &amp; Sources'!$B$167:$J$179,0,4))*($AZ50-INDEX('Methodology &amp; Sources'!$B$167:$J$179,0,4))*INDEX('Methodology &amp; Sources'!$B$167:$J$179,0,4+2)),SUMPRODUCT(($AZ50&gt;INDEX('Methodology &amp; Sources'!$B$155:$J$162,0,1))*($AZ50-INDEX('Methodology &amp; Sources'!$B$155:$J$162,0,1))*INDEX('Methodology &amp; Sources'!$B$155:$J$162,0,1+2)))))),IF($AN50="NY",IF($AU50="Married",IF($AZ50&gt;=2155350,$AZ50*IF($AZ50&gt;25000000,0.117,IF($AZ50&gt;5000000,0.111,0.1045)),SUMPRODUCT(($AZ50&gt;INDEX('Methodology &amp; Sources'!$B$184:$J$198,0,1))*($AZ50-INDEX('Methodology &amp; Sources'!$B$184:$J$198,0,1))*INDEX('Methodology &amp; Sources'!$B$184:$J$198,0,1+2))),IF($AZ50&gt;=1077550,$AZ50*IF($AZ50&gt;25000000,0.117,IF($AZ50&gt;5000000,0.111,0.1045)),SUMPRODUCT(($AZ50&gt;INDEX('Methodology &amp; Sources'!$B$167:$J$179,0,7))*($AZ50-INDEX('Methodology &amp; Sources'!$B$167:$J$179,0,7))*INDEX('Methodology &amp; Sources'!$B$167:$J$179,0,7+2)))),"")))))))</f>
      </c>
      <c r="BX50" s="7">
        <f>IF($B50="","",IF($AN50="AL",IF(OR($AU50="Married",$AU50="Head of household"),SUMPRODUCT(($AZ50&gt;INDEX('Methodology &amp; Sources'!$B$82:$J$86,0,4))*($AZ50-INDEX('Methodology &amp; Sources'!$B$82:$J$86,0,4))*INDEX('Methodology &amp; Sources'!$B$82:$J$86,0,4+2)),SUMPRODUCT(($AZ50&gt;INDEX('Methodology &amp; Sources'!$B$82:$J$86,0,1))*($AZ50-INDEX('Methodology &amp; Sources'!$B$82:$J$86,0,1))*INDEX('Methodology &amp; Sources'!$B$82:$J$86,0,1+2))),IF($AN50="KS",IF($AU50="Married",SUMPRODUCT(($AZ50&gt;INDEX('Methodology &amp; Sources'!$B$103:$J$109,0,4))*($AZ50-INDEX('Methodology &amp; Sources'!$B$103:$J$109,0,4))*INDEX('Methodology &amp; Sources'!$B$103:$J$109,0,4+2)),SUMPRODUCT(($AZ50&gt;INDEX('Methodology &amp; Sources'!$B$103:$J$109,0,1))*($AZ50-INDEX('Methodology &amp; Sources'!$B$103:$J$109,0,1))*INDEX('Methodology &amp; Sources'!$B$103:$J$109,0,1+2))),IF($AN50="MN",IF($AU50="Married",SUMPRODUCT(($AZ50&gt;INDEX('Methodology &amp; Sources'!$B$114:$J$120,0,7))*($AZ50-INDEX('Methodology &amp; Sources'!$B$114:$J$120,0,7))*INDEX('Methodology &amp; Sources'!$B$114:$J$120,0,7+2)),SUMPRODUCT(($AZ50&gt;INDEX('Methodology &amp; Sources'!$B$114:$J$120,0,4))*($AZ50-INDEX('Methodology &amp; Sources'!$B$114:$J$120,0,4))*INDEX('Methodology &amp; Sources'!$B$114:$J$120,0,4+2))),IF($AN50="NE",MAX(IF($AU50="Married",SUMPRODUCT(($AZ50&gt;INDEX('Methodology &amp; Sources'!$B$144:$J$150,0,7))*($AZ50-INDEX('Methodology &amp; Sources'!$B$144:$J$150,0,7))*INDEX('Methodology &amp; Sources'!$B$144:$J$150,0,7+2)),SUMPRODUCT(($AZ50&gt;INDEX('Methodology &amp; Sources'!$B$144:$J$150,0,4))*($AZ50-INDEX('Methodology &amp; Sources'!$B$144:$J$150,0,4))*INDEX('Methodology &amp; Sources'!$B$144:$J$150,0,4+2))),0.015*$AZ50),IF($AN50="OH",IF($B50&gt;=DATE(2027,8,1),SUMPRODUCT(($AZ50&gt;INDEX('Methodology &amp; Sources'!$B$203:$J$206,0,1))*($AZ50-INDEX('Methodology &amp; Sources'!$B$203:$J$206,0,1))*INDEX('Methodology &amp; Sources'!$B$203:$J$206,0,1+2)),SUMPRODUCT(($AZ50&gt;INDEX('Methodology &amp; Sources'!$B$184:$J$198,0,7))*($AZ50-INDEX('Methodology &amp; Sources'!$B$184:$J$198,0,7))*INDEX('Methodology &amp; Sources'!$B$184:$J$198,0,7+2))),IF($AN50="OK",IF($AU50="Married",SUMPRODUCT(($AZ50&gt;INDEX('Methodology &amp; Sources'!$B$203:$J$206,0,7))*($AZ50-INDEX('Methodology &amp; Sources'!$B$203:$J$206,0,7))*INDEX('Methodology &amp; Sources'!$B$203:$J$206,0,7+2)),SUMPRODUCT(($AZ50&gt;INDEX('Methodology &amp; Sources'!$B$203:$J$206,0,4))*($AZ50-INDEX('Methodology &amp; Sources'!$B$203:$J$206,0,4))*INDEX('Methodology &amp; Sources'!$B$203:$J$206,0,4+2))),IF($AN50="RI",SUMPRODUCT(($AZ50&gt;INDEX('Methodology &amp; Sources'!$B$211:$J$214,0,7))*($AZ50-INDEX('Methodology &amp; Sources'!$B$211:$J$214,0,7))*INDEX('Methodology &amp; Sources'!$B$211:$J$214,0,7+2)),IF($AN50="VT",IF($AU50="Married",SUMPRODUCT(($AZ50&gt;INDEX('Methodology &amp; Sources'!$B$228:$J$232,0,1))*($AZ50-INDEX('Methodology &amp; Sources'!$B$228:$J$232,0,1))*INDEX('Methodology &amp; Sources'!$B$228:$J$232,0,1+2)),SUMPRODUCT(($AZ50&gt;INDEX('Methodology &amp; Sources'!$B$219:$J$223,0,7))*($AZ50-INDEX('Methodology &amp; Sources'!$B$219:$J$223,0,7))*INDEX('Methodology &amp; Sources'!$B$219:$J$223,0,7+2))),IF($AN50="WV",IF($AU50="Married",SUMPRODUCT(($AZ50&gt;INDEX('Methodology &amp; Sources'!$B$237:$J$241,0,7))*($AZ50-INDEX('Methodology &amp; Sources'!$B$237:$J$241,0,7))*INDEX('Methodology &amp; Sources'!$B$237:$J$241,0,7+2)),SUMPRODUCT(($AZ50&gt;INDEX('Methodology &amp; Sources'!$B$228:$J$232,0,7))*($AZ50-INDEX('Methodology &amp; Sources'!$B$228:$J$232,0,7))*INDEX('Methodology &amp; Sources'!$B$228:$J$232,0,7+2))),""))))))))))</f>
      </c>
      <c r="BY50" s="7">
        <f>IF($B50="","",IF($AN50="AR",SUMPRODUCT(($AZ50&gt;INDEX('Methodology &amp; Sources'!$B$82:$J$86,0,7))*($AZ50-INDEX('Methodology &amp; Sources'!$B$82:$J$86,0,7))*INDEX('Methodology &amp; Sources'!$B$82:$J$86,0,7+2)),IF($AN50="DE",SUMPRODUCT(($AZ50&gt;INDEX('Methodology &amp; Sources'!$B$91:$J$98,0,1))*($AZ50-INDEX('Methodology &amp; Sources'!$B$91:$J$98,0,1))*INDEX('Methodology &amp; Sources'!$B$91:$J$98,0,1+2)),IF($AN50="HI",IF($AU50="Married",SUMPRODUCT(($AZ50&gt;INDEX('Methodology &amp; Sources'!$B$91:$J$98,0,7))*($AZ50-INDEX('Methodology &amp; Sources'!$B$91:$J$98,0,7))*INDEX('Methodology &amp; Sources'!$B$91:$J$98,0,7+2)),SUMPRODUCT(($AZ50&gt;INDEX('Methodology &amp; Sources'!$B$91:$J$98,0,4))*($AZ50-INDEX('Methodology &amp; Sources'!$B$91:$J$98,0,4))*INDEX('Methodology &amp; Sources'!$B$91:$J$98,0,4+2))),IF($AN50="SC",SUMPRODUCT(($AZ50&gt;INDEX('Methodology &amp; Sources'!$B$219:$J$223,0,1))*($AZ50-INDEX('Methodology &amp; Sources'!$B$219:$J$223,0,1))*INDEX('Methodology &amp; Sources'!$B$219:$J$223,0,1+2)),IF($AN50="VA",SUMPRODUCT(($AZ50&gt;INDEX('Methodology &amp; Sources'!$B$219:$J$223,0,4))*($AZ50-INDEX('Methodology &amp; Sources'!$B$219:$J$223,0,4))*INDEX('Methodology &amp; Sources'!$B$219:$J$223,0,4+2)),IF($AN50="WI",SUMPRODUCT(($AZ50&gt;INDEX('Methodology &amp; Sources'!$B$228:$J$232,0,4))*($AZ50-INDEX('Methodology &amp; Sources'!$B$228:$J$232,0,4))*INDEX('Methodology &amp; Sources'!$B$228:$J$232,0,4+2)),"")))))))</f>
      </c>
      <c r="BZ50" s="24">
        <f>IF($B50="","",IF($AN50="NJ",IF('Inputs 2'!$C$77="B",SUMPRODUCT(($AZ50&gt;=INDEX('Methodology &amp; Sources'!$B$155:$J$162,0,4))*INDEX('Methodology &amp; Sources'!$B$155:$J$162,0,4+2)),IF('Inputs 2'!$C$77="C",SUMPRODUCT(($AZ50&gt;=INDEX('Methodology &amp; Sources'!$B$155:$J$162,0,7))*INDEX('Methodology &amp; Sources'!$B$155:$J$162,0,7+2)),IF('Inputs 2'!$C$77="D",SUMPRODUCT(($AZ50&gt;=INDEX('Methodology &amp; Sources'!$B$167:$J$179,0,1))*INDEX('Methodology &amp; Sources'!$B$167:$J$179,0,1+2)),IF('Inputs 2'!$C$77="E",SUMPRODUCT(($AZ50&gt;=INDEX('Methodology &amp; Sources'!$B$167:$J$179,0,4))*INDEX('Methodology &amp; Sources'!$B$167:$J$179,0,4+2)),SUMPRODUCT(($AZ50&gt;=INDEX('Methodology &amp; Sources'!$B$155:$J$162,0,1))*INDEX('Methodology &amp; Sources'!$B$155:$J$162,0,1+2)))))),IF($AN50="OR",IF(OR($AU50="Married",AND($AU50="Single",$AS50&gt;=3)),SUMPRODUCT((MAX(0,$AY50-MIN(($P50-'Methodology &amp; Sources'!$C$10*$D50)*'Inputs 2'!$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Sources'!$B$211:$J$214,0,4))*INDEX('Methodology &amp; Sources'!$B$211:$J$214,0,4+2)),SUMPRODUCT((MAX(0,$AY50-MIN(($P50-'Methodology &amp; Sources'!$C$10*$D50)*'Inputs 2'!$C$8,IF(OR($AU50="Married",AND($AU50="Single",$AS50&gt;=3)),IF($AY50&lt;250000,8750,IF($AY50&lt;260000,7000,IF($AY50&lt;270000,5250,IF($AY50&lt;280000,3500,IF($AY50&lt;290000,1750,0))))),IF($AY50&lt;125000,8750,IF($AY50&lt;130000,7000,IF($AY50&lt;135000,5250,IF($AY50&lt;140000,3500,IF($AY50&lt;145000,1750,0)))))))-IF(OR($AU50="Married",AND($AU50="Single",$AS50&gt;=3)),5820,2910))&gt;=INDEX('Methodology &amp; Sources'!$B$211:$J$214,0,1))*INDEX('Methodology &amp; Sources'!$B$211:$J$214,0,1+2)))*IF(($P50-'Methodology &amp; Sources'!$C$10*$D50)*'Inputs 2'!$C$8&gt;=IF(OR($AU50="Married",AND($AU50="Single",$AS50&gt;=3)),IF($AY50&lt;250000,8750,IF($AY50&lt;260000,7000,IF($AY50&lt;270000,5250,IF($AY50&lt;280000,3500,IF($AY50&lt;290000,1750,0))))),IF($AY50&lt;125000,8750,IF($AY50&lt;130000,7000,IF($AY50&lt;135000,5250,IF($AY50&lt;140000,3500,IF($AY50&lt;145000,1750,0)))))),1,1-IF('Inputs 2'!$C$13,SUMPRODUCT(($AH50&gt;=INDEX('Methodology &amp; Sources'!$B$29:$J$36,0,IF('Inputs 2'!$C$12="MFJ",1,IF('Inputs 2'!$C$12="HoH",7,4))))*INDEX('Methodology &amp; Sources'!$B$29:$J$36,0,IF('Inputs 2'!$C$12="MFJ",1,IF('Inputs 2'!$C$12="HoH",7,4))+2)),SUMPRODUCT(($AH50&gt;=INDEX('Methodology &amp; Sources'!$B$19:$J$26,0,IF('Inputs 2'!$C$12="MFJ",1,IF('Inputs 2'!$C$12="HoH",7,4))))*INDEX('Methodology &amp; Sources'!$B$19:$J$26,0,IF('Inputs 2'!$C$12="MFJ",1,IF('Inputs 2'!$C$12="HoH",7,4))+2)))),IF($AN50="MI",IF($AY50&gt;5900*$AS50,0.0425,0),""))))</f>
      </c>
      <c r="CA50" s="24">
        <f>IF($B50="","",IF($AN50="AL",IF(OR($AU50="Married",$AU50="Head of household"),SUMPRODUCT(($AZ50&gt;=INDEX('Methodology &amp; Sources'!$B$82:$J$86,0,4))*INDEX('Methodology &amp; Sources'!$B$82:$J$86,0,4+2)),SUMPRODUCT(($AZ50&gt;=INDEX('Methodology &amp; Sources'!$B$82:$J$86,0,1))*INDEX('Methodology &amp; Sources'!$B$82:$J$86,0,1+2)))*(1-IF('Inputs 2'!$C$13,SUMPRODUCT(($AH50&gt;=INDEX('Methodology &amp; Sources'!$B$29:$J$36,0,IF('Inputs 2'!$C$12="MFJ",1,IF('Inputs 2'!$C$12="HoH",7,4))))*INDEX('Methodology &amp; Sources'!$B$29:$J$36,0,IF('Inputs 2'!$C$12="MFJ",1,IF('Inputs 2'!$C$12="HoH",7,4))+2)),SUMPRODUCT(($AH50&gt;=INDEX('Methodology &amp; Sources'!$B$19:$J$26,0,IF('Inputs 2'!$C$12="MFJ",1,IF('Inputs 2'!$C$12="HoH",7,4))))*INDEX('Methodology &amp; Sources'!$B$19:$J$26,0,IF('Inputs 2'!$C$12="MFJ",1,IF('Inputs 2'!$C$12="HoH",7,4))+2)))),IF($AN50="KS",IF($AU50="Married",SUMPRODUCT(($AZ50&gt;=INDEX('Methodology &amp; Sources'!$B$103:$J$109,0,4))*INDEX('Methodology &amp; Sources'!$B$103:$J$109,0,4+2)),SUMPRODUCT(($AZ50&gt;=INDEX('Methodology &amp; Sources'!$B$103:$J$109,0,1))*INDEX('Methodology &amp; Sources'!$B$103:$J$109,0,1+2))),IF($AN50="MD",IF(OR($AU50="Married",$AU50="Head of household"),SUMPRODUCT(($AZ50&gt;=INDEX('Methodology &amp; Sources'!$B$114:$J$120,0,1))*INDEX('Methodology &amp; Sources'!$B$114:$J$120,0,1+2)),SUMPRODUCT(($AZ50&gt;=INDEX('Methodology &amp; Sources'!$B$103:$J$109,0,7))*INDEX('Methodology &amp; Sources'!$B$103:$J$109,0,7+2)))+'Inputs 2'!$C$74,IF($AN50="MT",IF($AU50="Head of household",SUMPRODUCT(($AZ50&gt;=INDEX('Methodology &amp; Sources'!$B$137:$J$139,0,1))*INDEX('Methodology &amp; Sources'!$B$137:$J$139,0,1+2)),IF($AU50="Married",SUMPRODUCT(($AZ50&gt;=INDEX('Methodology &amp; Sources'!$B$125:$J$132,0,7))*INDEX('Methodology &amp; Sources'!$B$125:$J$132,0,7+2)),SUMPRODUCT(($AZ50&gt;=INDEX('Methodology &amp; Sources'!$B$125:$J$132,0,4))*INDEX('Methodology &amp; Sources'!$B$125:$J$132,0,4+2)))),IF($AN50="ND",IF($AU50="Head of household",SUMPRODUCT(($AZ50&gt;=INDEX('Methodology &amp; Sources'!$B$144:$J$150,0,1))*INDEX('Methodology &amp; Sources'!$B$144:$J$150,0,1+2)),IF($AU50="Married",SUMPRODUCT(($AZ50&gt;=INDEX('Methodology &amp; Sources'!$B$137:$J$139,0,7))*INDEX('Methodology &amp; Sources'!$B$137:$J$139,0,7+2)),SUMPRODUCT(($AZ50&gt;=INDEX('Methodology &amp; Sources'!$B$137:$J$139,0,4))*INDEX('Methodology &amp; Sources'!$B$137:$J$139,0,4+2)))),IF($AN50="NY",IF($AU50="Married",IF($AZ50&gt;=2155350,IF($AZ50&gt;25000000,0.117,IF($AZ50&gt;5000000,0.111,0.1045)),SUMPRODUCT(($AZ50&gt;=INDEX('Methodology &amp; Sources'!$B$184:$J$198,0,1))*INDEX('Methodology &amp; Sources'!$B$184:$J$198,0,1+2))),IF($AZ50&gt;=1077550,IF($AZ50&gt;25000000,0.117,IF($AZ50&gt;5000000,0.111,0.1045)),SUMPRODUCT(($AZ50&gt;=INDEX('Methodology &amp; Sources'!$B$167:$J$179,0,7))*INDEX('Methodology &amp; Sources'!$B$167:$J$179,0,7+2)))),"")))))))</f>
      </c>
      <c r="CB50" s="24">
        <f>IF($B50="","",IF($AN50="CA",SUMPRODUCT(($AJ50&gt;=INDEX('Methodology &amp; Sources'!$B$39:$J$48,0,IF($AU50="Married",4,IF($AU50="Head of household",7,1))))*INDEX('Methodology &amp; Sources'!$B$39:$J$48,0,IF($AU50="Married",4,IF($AU50="Head of household",7,1))+2)),IF($AN50="HI",IF($AU50="Married",SUMPRODUCT(($AZ50&gt;=INDEX('Methodology &amp; Sources'!$B$91:$J$98,0,7))*INDEX('Methodology &amp; Sources'!$B$91:$J$98,0,7+2)),SUMPRODUCT(($AZ50&gt;=INDEX('Methodology &amp; Sources'!$B$91:$J$98,0,4))*INDEX('Methodology &amp; Sources'!$B$91:$J$98,0,4+2))),IF($AN50="MN",IF($AU50="Married",SUMPRODUCT(($AZ50&gt;=INDEX('Methodology &amp; Sources'!$B$114:$J$120,0,7))*INDEX('Methodology &amp; Sources'!$B$114:$J$120,0,7+2)),SUMPRODUCT(($AZ50&gt;=INDEX('Methodology &amp; Sources'!$B$114:$J$120,0,4))*INDEX('Methodology &amp; Sources'!$B$114:$J$120,0,4+2))),IF($AN50="MO",SUMPRODUCT(($AZ50&gt;=INDEX('Methodology &amp; Sources'!$B$125:$J$132,0,1))*INDEX('Methodology &amp; Sources'!$B$125:$J$132,0,1+2)),IF($AN50="NE",MAX(IF($AU50="Married",SUMPRODUCT(($AZ50&gt;=INDEX('Methodology &amp; Sources'!$B$144:$J$150,0,7))*INDEX('Methodology &amp; Sources'!$B$144:$J$150,0,7+2)),SUMPRODUCT(($AZ50&gt;=INDEX('Methodology &amp; Sources'!$B$144:$J$150,0,4))*INDEX('Methodology &amp; Sources'!$B$144:$J$150,0,4+2))),0.015),IF($AN50="OH",IF($B50&gt;=DATE(2027,8,1),SUMPRODUCT(($AZ50&gt;=INDEX('Methodology &amp; Sources'!$B$203:$J$206,0,1))*INDEX('Methodology &amp; Sources'!$B$203:$J$206,0,1+2)),SUMPRODUCT(($AZ50&gt;=INDEX('Methodology &amp; Sources'!$B$184:$J$198,0,7))*INDEX('Methodology &amp; Sources'!$B$184:$J$198,0,7+2))),IF($AN50="OK",IF($AU50="Married",SUMPRODUCT(($AZ50&gt;=INDEX('Methodology &amp; Sources'!$B$203:$J$206,0,7))*INDEX('Methodology &amp; Sources'!$B$203:$J$206,0,7+2)),SUMPRODUCT(($AZ50&gt;=INDEX('Methodology &amp; Sources'!$B$203:$J$206,0,4))*INDEX('Methodology &amp; Sources'!$B$203:$J$206,0,4+2))),IF($AN50="RI",SUMPRODUCT(($AZ50&gt;=INDEX('Methodology &amp; Sources'!$B$211:$J$214,0,7))*INDEX('Methodology &amp; Sources'!$B$211:$J$214,0,7+2)),IF($AN50="SC",SUMPRODUCT(($AZ50&gt;=INDEX('Methodology &amp; Sources'!$B$219:$J$223,0,1))*INDEX('Methodology &amp; Sources'!$B$219:$J$223,0,1+2)),IF($AN50="VT",IF($AU50="Married",SUMPRODUCT(($AZ50&gt;=INDEX('Methodology &amp; Sources'!$B$228:$J$232,0,1))*INDEX('Methodology &amp; Sources'!$B$228:$J$232,0,1+2)),SUMPRODUCT(($AZ50&gt;=INDEX('Methodology &amp; Sources'!$B$219:$J$223,0,7))*INDEX('Methodology &amp; Sources'!$B$219:$J$223,0,7+2))),IF($AN50="WV",IF($AU50="Married",SUMPRODUCT(($AZ50&gt;=INDEX('Methodology &amp; Sources'!$B$237:$J$241,0,7))*INDEX('Methodology &amp; Sources'!$B$237:$J$241,0,7+2)),SUMPRODUCT(($AZ50&gt;=INDEX('Methodology &amp; Sources'!$B$228:$J$232,0,7))*INDEX('Methodology &amp; Sources'!$B$228:$J$232,0,7+2))),IF($AN50="IN",(0.0295+'Inputs 2'!$C$76),"")))))))))))))</f>
      </c>
      <c r="CC50" s="24">
        <f>IF($B50="","",IF($AN50="AR",SUMPRODUCT(($AZ50&gt;=INDEX('Methodology &amp; Sources'!$B$82:$J$86,0,7))*INDEX('Methodology &amp; Sources'!$B$82:$J$86,0,7+2)),IF($AN50="DE",SUMPRODUCT(($AZ50&gt;=INDEX('Methodology &amp; Sources'!$B$91:$J$98,0,1))*INDEX('Methodology &amp; Sources'!$B$91:$J$98,0,1+2)),IF($AN50="VA",SUMPRODUCT(($AZ50&gt;=INDEX('Methodology &amp; Sources'!$B$219:$J$223,0,4))*INDEX('Methodology &amp; Sources'!$B$219:$J$223,0,4+2)),IF($AN50="WI",SUMPRODUCT(($AZ50&gt;=INDEX('Methodology &amp; Sources'!$B$228:$J$232,0,4))*INDEX('Methodology &amp; Sources'!$B$228:$J$232,0,4+2)),IF($AN50="AZ",'Inputs 2'!$C$82,IF($AN50="CO",IF($AY50&gt;IF($AU50="Married",10000,5000),0.044,0),IF($AN50="IA",IF($AY50&gt;IF($AU50="Head of household",19500,IF($AU50="Married",26000,13000)),0.038,0),IF($AN50="ID",IF($AY50&gt;IF($AU50="Married",32000,16094),0.053,0),IF($AN50="IL",IF($AY50&gt;(2925*$AS50+1000*$AT50),0.0495,0),IF($AN50="KY",IF($AI50&gt;3360,0.035,0),IF($AN50="LA",0.0309,IF($AN50="MA",IF(MAX(0,$AY50-MIN(($BD49+$Q50+$R50+$S50),2000)-IF($AS50=0,0,IF($AS50=1,4400,1000*$AS50+3400)))&gt;=1107750,0.09,0.05),IF($AN50="MS",IF($AI50-IF($AU50="Head of household",3400,IF($AU50="Married",4600,2300))-'Inputs 2'!$C$85&gt;10000,0.04,0),IF($AN50="PA",0.0307,"")))))))))))))))</f>
      </c>
      <c r="CD50" s="21">
        <f>IF(YEAR(IF('Inputs 2'!$C$7="Weekly",'Inputs 2'!$C$9+7*(($BE49+1)-1),IF('Inputs 2'!$C$7="Biweekly",'Inputs 2'!$C$9+14*(($BE49+1)-1),IF('Inputs 2'!$C$7="Semimonthly",DATE(YEAR('Inputs 2'!$C$9),MONTH('Inputs 2'!$C$9)+INT((($BE49+1)-1)/2),MIN(DAY('Inputs 2'!$C$9),DAY(EOMONTH(DATE(YEAR('Inputs 2'!$C$9),MONTH('Inputs 2'!$C$9)+INT((($BE49+1)-1)/2),1),0))))+IF(MOD(($BE49+1)-1,2)=1,15,0),EDATE('Inputs 2'!$C$9,($BE49+1)-1)))))&lt;&gt;'Inputs 2'!$C$10,"",IF('Inputs 2'!$C$7="Weekly",'Inputs 2'!$C$9+7*(($BE49+1)-1),IF('Inputs 2'!$C$7="Biweekly",'Inputs 2'!$C$9+14*(($BE49+1)-1),IF('Inputs 2'!$C$7="Semimonthly",DATE(YEAR('Inputs 2'!$C$9),MONTH('Inputs 2'!$C$9)+INT((($BE49+1)-1)/2),MIN(DAY('Inputs 2'!$C$9),DAY(EOMONTH(DATE(YEAR('Inputs 2'!$C$9),MONTH('Inputs 2'!$C$9)+INT((($BE49+1)-1)/2),1),0))))+IF(MOD(($BE49+1)-1,2)=1,15,0),EDATE('Inputs 2'!$C$9,($BE49+1)-1)))))</f>
      </c>
      <c r="CE50" s="21">
        <f>IF(SUMPRODUCT(MIN(IF(('Inputs 2'!$C$58:$C$67&gt;MAX($B$6:$B49))*('Inputs 2'!$C$58:$C$67&gt;=DATE('Inputs 2'!$C$10,1,1))*('Inputs 2'!$C$58:$C$67&lt;=DATE('Inputs 2'!$C$10,12,31)),'Inputs 2'!$C$58:$C$67,999999)))=999999,"",SUMPRODUCT(MIN(IF(('Inputs 2'!$C$58:$C$67&gt;MAX($B$6:$B49))*('Inputs 2'!$C$58:$C$67&gt;=DATE('Inputs 2'!$C$10,1,1))*('Inputs 2'!$C$58:$C$67&lt;=DATE('Inputs 2'!$C$10,12,31)),'Inputs 2'!$C$58:$C$67,999999))))</f>
      </c>
    </row>
    <row r="51">
      <c r="A51" t="n">
        <v>46</v>
      </c>
      <c r="B51" s="21">
        <f>IF(AND($CD51="",$CE51=""),"",IF($CE51="",$CD51,IF($CD51="",$CE51,MIN($CD51,$CE51))))</f>
      </c>
      <c r="C51" s="7">
        <f>IF($B51="","",IF($BF51=0,0,IF('Inputs 2'!$C$4="Annual salary",ROUND($AK51/IF(AND('Inputs 2'!$C$88="Actual paydays",MONTH('Inputs 2'!$C$9)=1),MAX(1,MAX($BE$6:$BE$68)),'Inputs 2'!$C$8),2),$AK51)))</f>
      </c>
      <c r="D51" s="7">
        <f>IF($B51="","",SUMIF('Inputs 2'!$C$58:$C$67,$B51,'Inputs 2'!$D$58:$D$67))</f>
      </c>
      <c r="E51" s="7">
        <f>IF($B51="","",ROUND(MAX(0,MIN(IF($AL51="Percent",$AM51*($C51+$D51),$AM51),MAX(0,'Inputs 2'!$C$34-$AC50))),2))</f>
      </c>
      <c r="F51" s="7">
        <f>IF($B51="","",ROUND(MAX(0,MIN(IF('Inputs 2'!$C$32="Percent",'Inputs 2'!$D$32*($C51+$D51),'Inputs 2'!$D$32),MAX(0,'Inputs 2'!$C$34-$AC50-$E51))),2))</f>
      </c>
      <c r="G51" s="7">
        <f>IF($B51="","",IF($BF51=0,0,ROUND(MAX(0,MIN($BL51,'Inputs 2'!$C$37-'Inputs 2'!$C$54-$BI50)),2)))</f>
      </c>
      <c r="H51" s="7">
        <f>IF($B51="","",IF(OR($BF51=0,$BQ51=1),0,ROUND(MAX(0,MIN(IF($BS51=1,ROUND(MAX(0,MIN($BJ51,'Methodology &amp; Sources'!$C$13)-$BG50)/MAX(1,MAX($BE$6:$BE$68)-($BE50)),2),ROUND(MIN($BJ51,'Methodology &amp; Sources'!$C$13)/'Inputs 2'!$C$8,2)),MIN($BJ51,'Methodology &amp; Sources'!$C$13)-$BG50)),2)))</f>
      </c>
      <c r="I51" s="7">
        <f>IF($B51="","",IF(OR($BF51=0,$BR51=1),0,ROUND(MAX(0,MIN(IF($BT51=1,ROUND(MAX(0,MIN($BK51,IF('Inputs 2'!$C$12="MFJ",'Methodology &amp; Sources'!$C$14,'Methodology &amp; Sources'!$C$15))-$BH50)/MAX(1,MAX($BE$6:$BE$68)-($BE50)),2),ROUND(MIN($BK51,IF('Inputs 2'!$C$12="MFJ",'Methodology &amp; Sources'!$C$14,'Methodology &amp; Sources'!$C$15))/'Inputs 2'!$C$8,2)),MIN($BK51,IF('Inputs 2'!$C$12="MFJ",'Methodology &amp; Sources'!$C$14,'Methodology &amp; Sources'!$C$15))-$BH50)),2)))</f>
      </c>
      <c r="J51" s="7">
        <f>IF($B51="","",IF($BF51=0,0,$BM51))</f>
      </c>
      <c r="K51" s="7">
        <f>IF($B51="","",IF($BF51=0,0,$BN51+$BO51))</f>
      </c>
      <c r="L51" s="7">
        <f>IF($B51="","",IF($BF51=0,0,'Inputs 2'!$D$46))</f>
      </c>
      <c r="M51" s="7">
        <f>IF($B51="","",$C51+$D51+$L51-$E51-$G51-$H51-$I51-$J51-$K51)</f>
      </c>
      <c r="N51" s="7">
        <f>IF($B51="","",$C51+$D51+$L51-$G51-$H51-$I51-$J51-$K51)</f>
      </c>
      <c r="O51" s="7">
        <f>IF($B51="","",$C51+$D51+$L51-$E51-$H51-$I51-$J51-$K51-IF(OR($AN51="CA",$AN51="NJ"),0,$G51))</f>
      </c>
      <c r="P51" s="7">
        <f>IF($B51="","",IF('Inputs 2'!$C$18,0,ROUND(MAX(0,IF('Inputs 2'!$C$13,SUMPRODUCT(($AH51&gt;INDEX('Methodology &amp; Sources'!$B$29:$J$36,0,IF('Inputs 2'!$C$12="MFJ",1,IF('Inputs 2'!$C$12="HoH",7,4))))*($AH51-INDEX('Methodology &amp; Sources'!$B$29:$J$36,0,IF('Inputs 2'!$C$12="MFJ",1,IF('Inputs 2'!$C$12="HoH",7,4))))*INDEX('Methodology &amp; Sources'!$B$29:$J$36,0,IF('Inputs 2'!$C$12="MFJ",1,IF('Inputs 2'!$C$12="HoH",7,4))+2)),SUMPRODUCT(($AH51&gt;INDEX('Methodology &amp; Sources'!$B$19:$J$26,0,IF('Inputs 2'!$C$12="MFJ",1,IF('Inputs 2'!$C$12="HoH",7,4))))*($AH51-INDEX('Methodology &amp; Sources'!$B$19:$J$26,0,IF('Inputs 2'!$C$12="MFJ",1,IF('Inputs 2'!$C$12="HoH",7,4))))*INDEX('Methodology &amp; Sources'!$B$19:$J$26,0,IF('Inputs 2'!$C$12="MFJ",1,IF('Inputs 2'!$C$12="HoH",7,4))+2)))/'Inputs 2'!$C$8-$AO51/'Inputs 2'!$C$8)+$AR51+IF('Inputs 2'!$C$89="Aggregate",MAX(0,IF('Inputs 2'!$C$13,SUMPRODUCT((($AH51+$D51)&gt;INDEX('Methodology &amp; Sources'!$B$29:$J$36,0,IF('Inputs 2'!$C$12="MFJ",1,IF('Inputs 2'!$C$12="HoH",7,4))))*(($AH51+$D51)-INDEX('Methodology &amp; Sources'!$B$29:$J$36,0,IF('Inputs 2'!$C$12="MFJ",1,IF('Inputs 2'!$C$12="HoH",7,4))))*INDEX('Methodology &amp; Sources'!$B$29:$J$36,0,IF('Inputs 2'!$C$12="MFJ",1,IF('Inputs 2'!$C$12="HoH",7,4))+2)),SUMPRODUCT((($AH51+$D51)&gt;INDEX('Methodology &amp; Sources'!$B$19:$J$26,0,IF('Inputs 2'!$C$12="MFJ",1,IF('Inputs 2'!$C$12="HoH",7,4))))*(($AH51+$D51)-INDEX('Methodology &amp; Sources'!$B$19:$J$26,0,IF('Inputs 2'!$C$12="MFJ",1,IF('Inputs 2'!$C$12="HoH",7,4))))*INDEX('Methodology &amp; Sources'!$B$19:$J$26,0,IF('Inputs 2'!$C$12="MFJ",1,IF('Inputs 2'!$C$12="HoH",7,4))+2)))-IF('Inputs 2'!$C$13,SUMPRODUCT(($AH51&gt;INDEX('Methodology &amp; Sources'!$B$29:$J$36,0,IF('Inputs 2'!$C$12="MFJ",1,IF('Inputs 2'!$C$12="HoH",7,4))))*($AH51-INDEX('Methodology &amp; Sources'!$B$29:$J$36,0,IF('Inputs 2'!$C$12="MFJ",1,IF('Inputs 2'!$C$12="HoH",7,4))))*INDEX('Methodology &amp; Sources'!$B$29:$J$36,0,IF('Inputs 2'!$C$12="MFJ",1,IF('Inputs 2'!$C$12="HoH",7,4))+2)),SUMPRODUCT(($AH51&gt;INDEX('Methodology &amp; Sources'!$B$19:$J$26,0,IF('Inputs 2'!$C$12="MFJ",1,IF('Inputs 2'!$C$12="HoH",7,4))))*($AH51-INDEX('Methodology &amp; Sources'!$B$19:$J$26,0,IF('Inputs 2'!$C$12="MFJ",1,IF('Inputs 2'!$C$12="HoH",7,4))))*INDEX('Methodology &amp; Sources'!$B$19:$J$26,0,IF('Inputs 2'!$C$12="MFJ",1,IF('Inputs 2'!$C$12="HoH",7,4))+2)))),'Methodology &amp; Sources'!$C$10*$D51),2)))</f>
      </c>
      <c r="Q51" s="7">
        <f>IF($B51="","",ROUND('Methodology &amp; Sources'!$C$4*MIN($N51,MAX(0,'Methodology &amp; Sources'!$C$3-($AX51+$AB50-$AW51))),2))</f>
      </c>
      <c r="R51" s="7">
        <f>IF($B51="","",ROUND('Methodology &amp; Sources'!$C$5*$N51,2))</f>
      </c>
      <c r="S51" s="7">
        <f>IF($B51="","",ROUND('Methodology &amp; Sources'!$C$6*MAX(0,MIN($N51,$AG50+$N51-'Methodology &amp; Sources'!$C$7)),2))</f>
      </c>
      <c r="T51" s="7">
        <f>IF($B51="","",IF('Inputs 2'!$C$26,0,IF($AN51="CA",ROUND(IF($AI51&lt;=IF(($AS51+$AT51)&gt;=2,VLOOKUP($AN51,StateTables!$A$6:$AB$56,10,FALSE),VLOOKUP($AN51,StateTables!$A$6:$AB$56,9,FALSE)),0,MAX(0,SUMPRODUCT(($AJ51&gt;INDEX('Methodology &amp; Sources'!$B$39:$J$48,0,IF($AU51="Married",4,IF($AU51="Head of household",7,1))))*($AJ51-INDEX('Methodology &amp; Sources'!$B$39:$J$48,0,IF($AU51="Married",4,IF($AU51="Head of household",7,1))))*INDEX('Methodology &amp; Sources'!$B$39:$J$48,0,IF($AU51="Married",4,IF($AU51="Head of household",7,1))+2))-VLOOKUP($AN51,StateTables!$A$6:$AB$56,11,FALSE)*$AS51)/'Inputs 2'!$C$8)+'Inputs 2'!$C$25+VLOOKUP($AN51,StateTables!$A$6:$AB$56,13,FALSE)*$D51,2),IF(VLOOKUP($AN51,StateTables!$A$6:$AB$56,4,FALSE)="None",0,IF(ISNUMBER(SEARCH("MANUAL",VLOOKUP($AN51,StateTables!$A$6:$AB$56,5,FALSE))),'Inputs 2'!$C$28,ROUND(MAX(0,$BA51+$BB51)/'Inputs 2'!$C$8+'Inputs 2'!$C$25+$BC51,2))))))</f>
      </c>
      <c r="U51" s="7">
        <f>IF($B51="","",IF(VLOOKUP($AN51,StateTables!$A$6:$AB$56,24,FALSE)="flatq",IF(OR(MONTH($B51)=1,MONTH($B51)=4,MONTH($B51)=7,MONTH($B51)=10),VLOOKUP($AN51,StateTables!$A$6:$AB$56,25,FALSE),0),IF(VLOOKUP($AN51,StateTables!$A$6:$AB$56,24,FALSE)="dbl",MIN(ROUND(0.005*$N51,2),ROUND(0.6*52/'Inputs 2'!$C$8,2)),IF(OR(VLOOKUP($AN51,StateTables!$A$6:$AB$56,15,FALSE)="",VLOOKUP($AN51,StateTables!$A$6:$AB$56,15,FALSE)=0),0,ROUND(VLOOKUP($AN51,StateTables!$A$6:$AB$56,15,FALSE)*IF(OR(VLOOKUP($AN51,StateTables!$A$6:$AB$56,16,FALSE)="",VLOOKUP($AN51,StateTables!$A$6:$AB$56,16,FALSE)=0),$N51,MIN($N51,MAX(0,VLOOKUP($AN51,StateTables!$A$6:$AB$56,16,FALSE)-($AX51+$AB50-$AW51)))),2))))+IF(VLOOKUP($AN51,StateTables!$A$6:$AB$56,27,FALSE)="flatq",IF(OR(MONTH($B51)=1,MONTH($B51)=4,MONTH($B51)=7,MONTH($B51)=10),VLOOKUP($AN51,StateTables!$A$6:$AB$56,28,FALSE),0),IF(VLOOKUP($AN51,StateTables!$A$6:$AB$56,27,FALSE)="dbl",MIN(ROUND(0.005*$N51,2),ROUND(0.6*52/'Inputs 2'!$C$8,2)),IF(OR(VLOOKUP($AN51,StateTables!$A$6:$AB$56,18,FALSE)="",VLOOKUP($AN51,StateTables!$A$6:$AB$56,18,FALSE)=0),0,ROUND(VLOOKUP($AN51,StateTables!$A$6:$AB$56,18,FALSE)*IF(OR(VLOOKUP($AN51,StateTables!$A$6:$AB$56,19,FALSE)="",VLOOKUP($AN51,StateTables!$A$6:$AB$56,19,FALSE)=0),$N51,MIN($N51,MAX(0,VLOOKUP($AN51,StateTables!$A$6:$AB$56,19,FALSE)-($AX51+$AB50-$AW51)))),2)))))</f>
      </c>
      <c r="V51" s="7">
        <f>IF($B51="","",IF($AN51="NY",IF('Inputs 2'!$C$78,ROUND(SUMPRODUCT((MAX(0,($O51-$D51)*'Inputs 2'!$C$8-(IF($AU51="Married",5500,5000)+1000*$AS51))&gt;INDEX('Methodology &amp; Sources'!$B$184:$J$198,0,4))*(MAX(0,($O51-$D51)*'Inputs 2'!$C$8-(IF($AU51="Married",5500,5000)+1000*$AS51))-INDEX('Methodology &amp; Sources'!$B$184:$J$198,0,4))*INDEX('Methodology &amp; Sources'!$B$184:$J$198,0,4+2))/'Inputs 2'!$C$8+0.0425*$D51,2),0)+IF('Inputs 2'!$C$79="Resident",ROUND(0.1675*$T51,2),IF('Inputs 2'!$C$79="Nonresident",ROUND(0.005*MAX(0,($O51-$D51)-(IF($AU51="Married",7950,7400)+1000*$AS51)/'Inputs 2'!$C$8),2),0)),IF($AN51="PA",IF('Inputs 2'!$C$80="None",'Inputs 2'!$C$27+ROUND('Inputs 2'!$C$81*($C51+$D51),2),ROUND(IF('Inputs 2'!$C$80="Resident",IF($B51&lt;DATE(2027,7,1),0.03735,0.03735),IF($B51&lt;DATE(2027,7,1),0.03425,0.03425))*($C51+$D51),2)),IF($BF51=0,ROUND('Inputs 2'!$C$81*($C51+$D51),2),'Inputs 2'!$C$27+ROUND('Inputs 2'!$C$81*($C51+$D51),2)))))</f>
      </c>
      <c r="W51" s="7">
        <f>IF($B51="","",IF($BF51=0,0,$BP51))</f>
      </c>
      <c r="X51" s="7">
        <f>IF($B51="","",SUM($E51:$K51)+$P51+$Q51+$R51+$S51+$T51+$U51+$V51+$W51)</f>
      </c>
      <c r="Y51" s="22">
        <f>IF($B51="","",$C51+$D51-$X51)</f>
      </c>
      <c r="Z51" s="7">
        <f>IF($B51="","",$Z50+$C51+$D51)</f>
      </c>
      <c r="AA51" s="7">
        <f>IF($B51="","",$AA50+$Y51)</f>
      </c>
      <c r="AB51" s="7">
        <f>IF($B51="","",$AB50+MIN($N51,MAX(0,'Methodology &amp; Sources'!$C$3-($AX51+$AB50-$AW51))))</f>
      </c>
      <c r="AC51" s="7">
        <f>IF($B51="","",$AC50+$E51+$F51)</f>
      </c>
      <c r="AD51" s="3">
        <f>IF($B51="","",IF(AND($AB50&lt;'Methodology &amp; Sources'!$C$3,$AB51&gt;='Methodology &amp; Sources'!$C$3),"★ Social Security maxed on this check — from the next check your net rises by about $"&amp;TEXT(ROUND('Methodology &amp; Sources'!$C$4*$N51,2),"#,##0.00")&amp;". ","")&amp;IF(AND($AC50&lt;'Inputs 2'!$C$34,$AC51&gt;='Inputs 2'!$C$34),"★ 401(k) reaches the $"&amp;TEXT('Inputs 2'!$C$34,"#,##0")&amp;" cap on this check — deferrals stop and net pay rises. ","")&amp;IF(AND($AG50&lt;'Methodology &amp; Sources'!$C$7,$AG51&gt;='Methodology &amp; Sources'!$C$7),"★ Wages pass $200,000 — the 0.9% Additional Medicare Tax starts here. ","")&amp;IF(AND($BJ51&gt;0,$H51&gt;0,$BG50&lt;MIN($BJ51,'Methodology &amp; Sources'!$C$13),$BG50+$H51&gt;=MIN($BJ51,'Methodology &amp; Sources'!$C$13)),"★ Health FSA election is now fully deferred for the year. ",""))</f>
      </c>
      <c r="AE51" s="41" t="n"/>
      <c r="AF51" s="7">
        <f>IF(OR($B51="",$AE51=""),"",$AE51-$Y51)</f>
      </c>
      <c r="AG51" s="7">
        <f>IF($B51="","",$AG50+$N51)</f>
      </c>
      <c r="AH51" s="7">
        <f>IF($B51="","",MAX(0,($M51-$D51)*'Inputs 2'!$C$8+$AP51-$AQ51-IF('Inputs 2'!$C$13,0,IF('Inputs 2'!$C$12="MFJ",'Methodology &amp; Sources'!$C$8,'Methodology &amp; Sources'!$C$9))))</f>
      </c>
      <c r="AI51" s="7">
        <f>IF($B51="","",$O51*'Inputs 2'!$C$8)</f>
      </c>
      <c r="AJ51" s="7">
        <f>IF($B51="","",MAX(0,$AI51-VLOOKUP($AN51,StateTables!$A$6:$AB$56,12,FALSE)*$AT51-IF(($AS51+$AT51)&gt;=2,VLOOKUP($AN51,StateTables!$A$6:$AB$56,8,FALSE),VLOOKUP($AN51,StateTables!$A$6:$AB$56,7,FALSE))))</f>
      </c>
      <c r="AK51" s="7">
        <f>IF($B51="","",IFERROR(LOOKUP(2,1/(('Events 2'!$C$6:$C$17="Salary change")*('Events 2'!$B$6:$B$17&lt;=$B51)*('Events 2'!$B$6:$B$17&lt;&gt;"")),'Events 2'!$D$6:$D$17),IF('Inputs 2'!$C$4="Annual salary",'Inputs 2'!$C$5,'Inputs 2'!$C$6)))</f>
      </c>
      <c r="AL51">
        <f>IF($B51="","",IFERROR(LOOKUP(2,1/(('Events 2'!$C$6:$C$17="401(k) change")*('Events 2'!$B$6:$B$17&lt;=$B51)*('Events 2'!$B$6:$B$17&lt;&gt;"")),'Events 2'!$D$6:$D$17),'Inputs 2'!$C$30))</f>
      </c>
      <c r="AM51" s="7">
        <f>IF($B51="","",IFERROR(LOOKUP(2,1/(('Events 2'!$C$6:$C$17="401(k) change")*('Events 2'!$B$6:$B$17&lt;=$B51)*('Events 2'!$B$6:$B$17&lt;&gt;"")),'Events 2'!$E$6:$E$17),'Inputs 2'!$D$30))</f>
      </c>
      <c r="AN51">
        <f>IF($B51="","",IFERROR(LOOKUP(2,1/(('Events 2'!$C$6:$C$17="State move")*('Events 2'!$B$6:$B$17&lt;=$B51)*('Events 2'!$B$6:$B$17&lt;&gt;"")),'Events 2'!$D$6:$D$17),'Inputs 2'!$C$21))</f>
      </c>
      <c r="AO51" s="7">
        <f>IF($B51="","",IFERROR(LOOKUP(2,1/(('Events 2'!$C$6:$C$17="W-4 change")*('Events 2'!$B$6:$B$17&lt;=$B51)*('Events 2'!$B$6:$B$17&lt;&gt;"")),'Events 2'!$D$6:$D$17),'Inputs 2'!$C$14))</f>
      </c>
      <c r="AP51" s="7">
        <f>IF($B51="","",IFERROR(LOOKUP(2,1/(('Events 2'!$C$6:$C$17="W-4 change")*('Events 2'!$B$6:$B$17&lt;=$B51)*('Events 2'!$B$6:$B$17&lt;&gt;"")),'Events 2'!$E$6:$E$17),'Inputs 2'!$C$15))</f>
      </c>
      <c r="AQ51" s="7">
        <f>IF($B51="","",IFERROR(LOOKUP(2,1/(('Events 2'!$C$6:$C$17="W-4 change")*('Events 2'!$B$6:$B$17&lt;=$B51)*('Events 2'!$B$6:$B$17&lt;&gt;"")),'Events 2'!$F$6:$F$17),'Inputs 2'!$C$16))</f>
      </c>
      <c r="AR51" s="7">
        <f>IF($B51="","",IFERROR(LOOKUP(2,1/(('Events 2'!$C$6:$C$17="W-4 change")*('Events 2'!$B$6:$B$17&lt;=$B51)*('Events 2'!$B$6:$B$17&lt;&gt;"")),'Events 2'!$G$6:$G$17),'Inputs 2'!$C$17))</f>
      </c>
      <c r="AS51" s="6">
        <f>IF($B51="","",IFERROR(LOOKUP(2,1/((('Events 2'!$C$6:$C$17="State move")+('Events 2'!$C$6:$C$17="State cert change"))*('Events 2'!$B$6:$B$17&lt;=$B51)*('Events 2'!$B$6:$B$17&lt;&gt;"")),'Events 2'!$F$6:$F$17),'Inputs 2'!$C$23))</f>
      </c>
      <c r="AT51" s="6">
        <f>IF($B51="","",IFERROR(LOOKUP(2,1/((('Events 2'!$C$6:$C$17="State move")+('Events 2'!$C$6:$C$17="State cert change"))*('Events 2'!$B$6:$B$17&lt;=$B51)*('Events 2'!$B$6:$B$17&lt;&gt;"")),'Events 2'!$G$6:$G$17),'Inputs 2'!$C$24))</f>
      </c>
      <c r="AU51">
        <f>IF($B51="","",IFERROR(LOOKUP(2,1/(('Events 2'!$C$6:$C$17="State move")*('Events 2'!$B$6:$B$17&lt;=$B51)*('Events 2'!$B$6:$B$17&lt;&gt;"")),'Events 2'!$E$6:$E$17),'Inputs 2'!$C$22))</f>
      </c>
      <c r="AV51" s="6">
        <f>IF($B51="","",1+COUNTIFS('Events 2'!$C$6:$C$17,"Employer change",'Events 2'!$B$6:$B$17,"&lt;="&amp;$B51,'Events 2'!$B$6:$B$17,"&lt;&gt;"))</f>
      </c>
      <c r="AW51" s="7">
        <f>IF($B51="","",IF($AV51=1,'Inputs 2'!$C$49,IF(IFERROR(MATCH(IFERROR(LOOKUP(2,1/(('Events 2'!$C$6:$C$17="Employer change")*('Events 2'!$B$6:$B$17&lt;=$B51)*('Events 2'!$B$6:$B$17&lt;&gt;"")),'Events 2'!$B$6:$B$17),""),$B$6:$B$68,1),1)&lt;=1,'Inputs 2'!$C$49,INDEX($AB$6:$AB$68,MATCH(IFERROR(LOOKUP(2,1/(('Events 2'!$C$6:$C$17="Employer change")*('Events 2'!$B$6:$B$17&lt;=$B51)*('Events 2'!$B$6:$B$17&lt;&gt;"")),'Events 2'!$B$6:$B$17),""),$B$6:$B$68,1)-1))))</f>
      </c>
      <c r="AX51" s="7">
        <f>IF($B51="","",IF($AV51=1,'Inputs 2'!$C$49,IFERROR(LOOKUP(2,1/(('Events 2'!$C$6:$C$17="Employer change")*('Events 2'!$B$6:$B$17&lt;=$B51)*('Events 2'!$B$6:$B$17&lt;&gt;"")),'Events 2'!$D$6:$D$17),0)))</f>
      </c>
      <c r="AY51" s="7">
        <f>IF($B51="","",($O51-$D51)*'Inputs 2'!$C$8)</f>
      </c>
      <c r="AZ51" s="7">
        <f>IF($B51="","",IF($AN51="AL",MAX(0,$AY51-IF($AU51="Married",IF($AY51&lt;=25999,8500,MAX(5000,8500-175*CEILING(($AY51-25999)/500,1))),IF($AU51="Head of household",IF($AY51&lt;=25999,5200,MAX(2500,5200-135*CEILING(($AY51-25999)/500,1))),IF($AY51&lt;=25999,3000,MAX(2500,3000-25*CEILING(($AY51-25999)/500,1)))))-($P51-'Methodology &amp; Sources'!$C$10*$D51)*'Inputs 2'!$C$8-IF(OR($AU51="Married",$AU51="Head of household"),3000,1500)-$AT51*IF($AY51&lt;=50000,1000,IF($AY51&lt;=100000,500,300))),IF($AN51="AR",IF(MAX(0,$AY51-2470)&lt;97701,INT(MAX(0,$AY51-2470)/100)*100+50,MAX(0,$AY51-2470)),IF($AN51="DE",MAX(0,$AI51-3250),IF($AN51="HI",MAX(0,$AI51-1144*$AS51-4350),IF($AN51="KS",MAX(0,$AI51-(9160*IF($AU51="Married",2,1)+2320*$AT51+IF($AU51="Head of household",2320,0))),IF($AN51="MD",MAX(0,$AI51-3400-3200*$AS51),IF($AN51="MN",MAX(0,$AY51-5300*$AS51),IF($AN51="MO",MAX(0,$AI51-IF($AU51="Head of household",24150,IF($AU51="Married",IF('Inputs 2'!$C$83,16100,32200),16100))),IF($AN51="MT",$AY51,IF($AN51="ND",($C51+$L51)*'Inputs 2'!$C$8,IF($AN51="NE",MAX(0,$AY51-2440*$AS51),IF($AN51="NJ",MAX(0,$AY51-1000*$AS51),IF($AN51="NY",MAX(0,$AY51-(IF($AU51="Married",7950,7400)+1000*$AS51)),IF($AN51="OH",MAX(0,$AY51-650*$AS51),IF($AN51="OK",MAX(0,$AY51-1000*$AS51),IF($AN51="RI",MAX(0,$AI51-1000*$AS51),IF($AN51="SC",MAX(0,$AI51-5000*$AS51-IF($AS51=0,0,MIN(0.1*$AI51,7500))),IF($AN51="VA",MAX(0,$AI51-IF($AU51="Married",17500,8750)-930*$AS51-800*$AT51),IF($AN51="VT",MAX(0,$AI51-5400*$AS51),IF($AN51="WI",MAX(0,$AI51-MAX(0,IF($AU51="Married",9461-0.2*MAX(0,$AI51-25727),6702-0.12*MAX(0,$AI51-17780)))-400*$AS51),IF($AN51="WV",MAX(0,$AI51-2000*$AS51),$AI51))))))))))))))))))))))</f>
      </c>
      <c r="BA51" s="7">
        <f>IF($B51="","",IF($BW51&lt;&gt;"",$BW51,IF($BX51&lt;&gt;"",$BX51,IF($BY51&lt;&gt;"",$BY51,0))))</f>
      </c>
      <c r="BB51" s="7">
        <f>IF($B51="","",IF($AN51="AR",-29*$AS51,IF($AN51="DE",-110*$AS51,IF($AN51="MD",$AZ51*'Inputs 2'!$C$74,IF($AN51="AZ",'Inputs 2'!$C$82*($M51-$D51)*'Inputs 2'!$C$8,IF($AN51="CO",0.044*MAX(0,$AY51-IF($AU51="Married",10000,5000)),IF($AN51="IA",MAX(0,0.038*MAX(0,$AY51-IF($AU51="Head of household",19500,IF($AU51="Married",26000,13000)))-40*$AS51),IF($AN51="ID",0.053*MAX(0,$AY51-IF($AU51="Married",32000,16094)),IF($AN51="IL",0.0495*MAX(0,$AY51-(2925*$AS51+1000*$AT51)),IF($AN51="IN",(0.0295+'Inputs 2'!$C$76)*MAX(0,$AY51-(1000*$AS51+1500*$AT51+3000*'Inputs 2'!$C$86)),IF($AN51="KY",0.035*MAX(0,$AI51-3360),IF($AN51="LA",IF('Inputs 2'!$C$84="0",0.0309*$AI51,0.0309*MAX(0,$AI51-IF('Inputs 2'!$C$84="2",25750,12875))),IF($AN51="MA",0.05*MIN(MAX(0,$AY51-MIN(($BD50+$Q51+$R51+$S51),2000)-IF($AS51=0,0,IF($AS51=1,4400,1000*$AS51+3400))),1107750)+0.09*MAX(0,MAX(0,$AY51-MIN(($BD50+$Q51+$R51+$S51),2000)-IF($AS51=0,0,IF($AS51=1,4400,1000*$AS51+3400)))-1107750)-IF($AU51="Head of household",120,0)-110*'Inputs 2'!$C$75,IF($AN51="MI",0.0425*MAX(0,$AY51-5900*$AS51),IF($AN51="MS",0.04*MAX(0,$AI51-IF($AU51="Head of household",3400,IF($AU51="Married",4600,2300))-'Inputs 2'!$C$85-10000),IF($AN51="OR",IF(OR($AU51="Married",AND($AU51="Single",$AS51&gt;=3)),SUMPRODUCT((MAX(0,$AY51-MIN(($P51-'Methodology &amp; Sources'!$C$10*$D51)*'Inputs 2'!$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Sources'!$B$211:$J$214,0,4))*(MAX(0,$AY51-MIN(($P51-'Methodology &amp; Sources'!$C$10*$D51)*'Inputs 2'!$C$8,IF(OR($AU51="Married",AND($AU51="Single",$AS51&gt;=3)),IF($AY51&lt;250000,8750,IF($AY51&lt;260000,7000,IF($AY51&lt;270000,5250,IF($AY51&lt;280000,3500,IF($AY51&lt;290000,1750,0))))),IF($AY51&lt;125000,8750,IF($AY51&lt;130000,7000,IF($AY51&lt;135000,5250,IF($AY51&lt;140000,3500,IF($AY51&lt;145000,1750,0)))))))-IF(OR($AU51="Married",AND($AU51="Single",$AS51&gt;=3)),5820,2910))-INDEX('Methodology &amp; Sources'!$B$211:$J$214,0,4))*INDEX('Methodology &amp; Sources'!$B$211:$J$214,0,4+2)),SUMPRODUCT((MAX(0,$AY51-MIN(($P51-'Methodology &amp; Sources'!$C$10*$D51)*'Inputs 2'!$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Sources'!$B$211:$J$214,0,1))*(MAX(0,$AY51-MIN(($P51-'Methodology &amp; Sources'!$C$10*$D51)*'Inputs 2'!$C$8,IF(OR($AU51="Married",AND($AU51="Single",$AS51&gt;=3)),IF($AY51&lt;250000,8750,IF($AY51&lt;260000,7000,IF($AY51&lt;270000,5250,IF($AY51&lt;280000,3500,IF($AY51&lt;290000,1750,0))))),IF($AY51&lt;125000,8750,IF($AY51&lt;130000,7000,IF($AY51&lt;135000,5250,IF($AY51&lt;140000,3500,IF($AY51&lt;145000,1750,0)))))))-IF(OR($AU51="Married",AND($AU51="Single",$AS51&gt;=3)),5820,2910))-INDEX('Methodology &amp; Sources'!$B$211:$J$214,0,1))*INDEX('Methodology &amp; Sources'!$B$211:$J$214,0,1+2)))+263-263*IF(IF($AU51="Married",$AY51&gt;200000,$AY51&gt;100000),0,$AS51),IF($AN51="PA",0.0307*(($O51+$E51+$G51)*'Inputs 2'!$C$8),IF($AN51="NY",IF($AU51="Married",IF($AZ51&gt;=2155350,0,IF($AZ51&gt;=1077550,0.48,IF($AZ51&gt;=373200,1.21,IF($AZ51&gt;=323200,0.21,IF($AZ51&gt;=211550,-0.19,IF($AZ51&gt;=157650,-2.8,IF($AZ51&gt;=107650,-0.8,IF($AZ51&gt;=96800,0.05,IF($AZ51&gt;=80650,-0.1,IF($AZ51&gt;=13900,0.4,IF($AZ51&gt;=11700,-0.3,IF($AZ51&gt;=8500,0.5,0)))))))))))),IF($AZ51&gt;=1077550,0,IF($AZ51&gt;=265400,4.29,IF($AZ51&gt;=215400,2.29,IF($AZ51&gt;=157650,2.29,IF($AZ51&gt;=107650,0.29,IF($AZ51&gt;=96800,0.05,IF($AZ51&gt;=80650,-0.1,IF($AZ51&gt;=13900,0.4,IF($AZ51&gt;=11700,-0.3,IF($AZ51&gt;=8500,0.5,0))))))))))),0))))))))))))))))))</f>
      </c>
      <c r="BC51" s="7">
        <f>IF($B51="","",IF($AN51="AL",0.05*$D51,IF($AN51="AR",0.039*$D51,IF($AN51="ID",0.053*$D51,IF($AN51="IN",(0.0295+'Inputs 2'!$C$76)*$D51,IF($AN51="KS",0.05*$D51,IF($AN51="MA",0.09*MIN($D51,MAX(0,MAX(0,$AY51-MIN(($BD50+$Q51+$R51+$S51),2000)-IF($AS51=0,0,IF($AS51=1,4400,1000*$AS51+3400)))+$D51-1107750))+0.05*($D51-MIN($D51,MAX(0,MAX(0,$AY51-MIN(($BD50+$Q51+$R51+$S51),2000)-IF($AS51=0,0,IF($AS51=1,4400,1000*$AS51+3400)))+$D51-1107750))),IF($AN51="MD",(0.065+'Inputs 2'!$C$74)*$D51,IF($AN51="MI",0.0425*$D51,IF($AN51="MN",0.0625*$D51,IF($AN51="MO",0.047*$D51,IF($AN51="MT",0.05*$D51,IF($AN51="ND",0.015*$D51,IF($AN51="NE",0.035*$D51,IF($AN51="NJ",IF('Inputs 2'!$C$77="B",SUMPRODUCT(($D51*'Inputs 2'!$C$8&gt;INDEX('Methodology &amp; Sources'!$B$155:$J$162,0,4))*($D51*'Inputs 2'!$C$8-INDEX('Methodology &amp; Sources'!$B$155:$J$162,0,4))*INDEX('Methodology &amp; Sources'!$B$155:$J$162,0,4+2)),IF('Inputs 2'!$C$77="C",SUMPRODUCT(($D51*'Inputs 2'!$C$8&gt;INDEX('Methodology &amp; Sources'!$B$155:$J$162,0,7))*($D51*'Inputs 2'!$C$8-INDEX('Methodology &amp; Sources'!$B$155:$J$162,0,7))*INDEX('Methodology &amp; Sources'!$B$155:$J$162,0,7+2)),IF('Inputs 2'!$C$77="D",SUMPRODUCT(($D51*'Inputs 2'!$C$8&gt;INDEX('Methodology &amp; Sources'!$B$167:$J$179,0,1))*($D51*'Inputs 2'!$C$8-INDEX('Methodology &amp; Sources'!$B$167:$J$179,0,1))*INDEX('Methodology &amp; Sources'!$B$167:$J$179,0,1+2)),IF('Inputs 2'!$C$77="E",SUMPRODUCT(($D51*'Inputs 2'!$C$8&gt;INDEX('Methodology &amp; Sources'!$B$167:$J$179,0,4))*($D51*'Inputs 2'!$C$8-INDEX('Methodology &amp; Sources'!$B$167:$J$179,0,4))*INDEX('Methodology &amp; Sources'!$B$167:$J$179,0,4+2)),SUMPRODUCT(($D51*'Inputs 2'!$C$8&gt;INDEX('Methodology &amp; Sources'!$B$155:$J$162,0,1))*($D51*'Inputs 2'!$C$8-INDEX('Methodology &amp; Sources'!$B$155:$J$162,0,1))*INDEX('Methodology &amp; Sources'!$B$155:$J$162,0,1+2))))))/'Inputs 2'!$C$8,IF($AN51="NY",0.117*$D51,IF($AN51="OH",0.0275*$D51,IF($AN51="OK",0.045*$D51,IF($AN51="OR",0.08*$D51,IF($AN51="WI",IF($AY51&lt;12760,0.0354,IF($AY51&lt;25520,0.0465,IF($AY51&lt;280950,0.053,0.0765)))*$D51,0))))))))))))))))))))</f>
      </c>
      <c r="BD51" s="7">
        <f>IF($B51="","",$BD50+$Q51+$R51+$S51)</f>
      </c>
      <c r="BE51" s="6">
        <f>IF($B51="",$BE50,$BE50+$BF51)</f>
      </c>
      <c r="BF51" s="6">
        <f>IF($B51="","",IF(AND(IF(YEAR(IF('Inputs 2'!$C$7="Weekly",'Inputs 2'!$C$9+7*(($BE50+1)-1),IF('Inputs 2'!$C$7="Biweekly",'Inputs 2'!$C$9+14*(($BE50+1)-1),IF('Inputs 2'!$C$7="Semimonthly",DATE(YEAR('Inputs 2'!$C$9),MONTH('Inputs 2'!$C$9)+INT((($BE50+1)-1)/2),MIN(DAY('Inputs 2'!$C$9),DAY(EOMONTH(DATE(YEAR('Inputs 2'!$C$9),MONTH('Inputs 2'!$C$9)+INT((($BE50+1)-1)/2),1),0))))+IF(MOD(($BE50+1)-1,2)=1,15,0),EDATE('Inputs 2'!$C$9,($BE50+1)-1)))))&lt;&gt;'Inputs 2'!$C$10,"",IF('Inputs 2'!$C$7="Weekly",'Inputs 2'!$C$9+7*(($BE50+1)-1),IF('Inputs 2'!$C$7="Biweekly",'Inputs 2'!$C$9+14*(($BE50+1)-1),IF('Inputs 2'!$C$7="Semimonthly",DATE(YEAR('Inputs 2'!$C$9),MONTH('Inputs 2'!$C$9)+INT((($BE50+1)-1)/2),MIN(DAY('Inputs 2'!$C$9),DAY(EOMONTH(DATE(YEAR('Inputs 2'!$C$9),MONTH('Inputs 2'!$C$9)+INT((($BE50+1)-1)/2),1),0))))+IF(MOD(($BE50+1)-1,2)=1,15,0),EDATE('Inputs 2'!$C$9,($BE50+1)-1)))))&lt;&gt;"",$B51=IF(YEAR(IF('Inputs 2'!$C$7="Weekly",'Inputs 2'!$C$9+7*(($BE50+1)-1),IF('Inputs 2'!$C$7="Biweekly",'Inputs 2'!$C$9+14*(($BE50+1)-1),IF('Inputs 2'!$C$7="Semimonthly",DATE(YEAR('Inputs 2'!$C$9),MONTH('Inputs 2'!$C$9)+INT((($BE50+1)-1)/2),MIN(DAY('Inputs 2'!$C$9),DAY(EOMONTH(DATE(YEAR('Inputs 2'!$C$9),MONTH('Inputs 2'!$C$9)+INT((($BE50+1)-1)/2),1),0))))+IF(MOD(($BE50+1)-1,2)=1,15,0),EDATE('Inputs 2'!$C$9,($BE50+1)-1)))))&lt;&gt;'Inputs 2'!$C$10,"",IF('Inputs 2'!$C$7="Weekly",'Inputs 2'!$C$9+7*(($BE50+1)-1),IF('Inputs 2'!$C$7="Biweekly",'Inputs 2'!$C$9+14*(($BE50+1)-1),IF('Inputs 2'!$C$7="Semimonthly",DATE(YEAR('Inputs 2'!$C$9),MONTH('Inputs 2'!$C$9)+INT((($BE50+1)-1)/2),MIN(DAY('Inputs 2'!$C$9),DAY(EOMONTH(DATE(YEAR('Inputs 2'!$C$9),MONTH('Inputs 2'!$C$9)+INT((($BE50+1)-1)/2),1),0))))+IF(MOD(($BE50+1)-1,2)=1,15,0),EDATE('Inputs 2'!$C$9,($BE50+1)-1)))))),1,0))</f>
      </c>
      <c r="BG51" s="7">
        <f>IF($B51="","",$BG50+$H51)</f>
      </c>
      <c r="BH51" s="7">
        <f>IF($B51="","",$BH50+$I51)</f>
      </c>
      <c r="BI51" s="7">
        <f>IF($B51="","",$BI50+$G51)</f>
      </c>
      <c r="BJ51" s="7">
        <f>IF($B51="","",IFERROR(LOOKUP(2,1/(((('Events 2'!$C$6:$C$17="Deduction start"))*('Events 2'!$D$6:$D$17="Health FSA"))*('Events 2'!$B$6:$B$17&lt;=$B51)*('Events 2'!$B$6:$B$17&lt;&gt;"")),'Events 2'!$E$6:$E$17),'Inputs 2'!$D$38))</f>
      </c>
      <c r="BK51" s="7">
        <f>IF($B51="","",IFERROR(LOOKUP(2,1/(((('Events 2'!$C$6:$C$17="Deduction start"))*('Events 2'!$D$6:$D$17="Dependent-care FSA"))*('Events 2'!$B$6:$B$17&lt;=$B51)*('Events 2'!$B$6:$B$17&lt;&gt;"")),'Events 2'!$E$6:$E$17),'Inputs 2'!$D$39))</f>
      </c>
      <c r="BL51" s="7">
        <f>IF($B51="","",IFERROR(LOOKUP(2,1/(((('Events 2'!$C$6:$C$17="Deduction start")+('Events 2'!$C$6:$C$17="Deduction stop"))*('Events 2'!$D$6:$D$17="HSA"))*('Events 2'!$B$6:$B$17&lt;=$B51)*('Events 2'!$B$6:$B$17&lt;&gt;"")),'Events 2'!$I$6:$I$17),'Inputs 2'!$D$35))</f>
      </c>
      <c r="BM51" s="7">
        <f>IF($B51="","",IFERROR(LOOKUP(2,1/(((('Events 2'!$C$6:$C$17="Deduction start")+('Events 2'!$C$6:$C$17="Deduction stop"))*('Events 2'!$D$6:$D$17="Premiums"))*('Events 2'!$B$6:$B$17&lt;=$B51)*('Events 2'!$B$6:$B$17&lt;&gt;"")),'Events 2'!$I$6:$I$17),'Inputs 2'!$D$40+'Inputs 2'!$D$41+'Inputs 2'!$D$42))</f>
      </c>
      <c r="BN51" s="7">
        <f>IF($B51="","",IFERROR(LOOKUP(2,1/(((('Events 2'!$C$6:$C$17="Deduction start")+('Events 2'!$C$6:$C$17="Deduction stop"))*('Events 2'!$D$6:$D$17="Commuter"))*('Events 2'!$B$6:$B$17&lt;=$B51)*('Events 2'!$B$6:$B$17&lt;&gt;"")),'Events 2'!$I$6:$I$17),'Inputs 2'!$D$43))</f>
      </c>
      <c r="BO51" s="7">
        <f>IF($B51="","",IFERROR(LOOKUP(2,1/(((('Events 2'!$C$6:$C$17="Deduction start")+('Events 2'!$C$6:$C$17="Deduction stop"))*('Events 2'!$D$6:$D$17="Other pre-tax"))*('Events 2'!$B$6:$B$17&lt;=$B51)*('Events 2'!$B$6:$B$17&lt;&gt;"")),'Events 2'!$I$6:$I$17),'Inputs 2'!$D$44))</f>
      </c>
      <c r="BP51" s="7">
        <f>IF($B51="","",IFERROR(LOOKUP(2,1/(((('Events 2'!$C$6:$C$17="Deduction start")+('Events 2'!$C$6:$C$17="Deduction stop"))*('Events 2'!$D$6:$D$17="Other post-tax"))*('Events 2'!$B$6:$B$17&lt;=$B51)*('Events 2'!$B$6:$B$17&lt;&gt;"")),'Events 2'!$I$6:$I$17),'Inputs 2'!$D$45))</f>
      </c>
      <c r="BQ51" s="6">
        <f>IF($B51="","",IFERROR(LOOKUP(2,1/(((('Events 2'!$C$6:$C$17="Deduction start")+('Events 2'!$C$6:$C$17="Deduction stop"))*('Events 2'!$D$6:$D$17="Health FSA"))*('Events 2'!$B$6:$B$17&lt;=$B51)*('Events 2'!$B$6:$B$17&lt;&gt;"")),'Events 2'!$J$6:$J$17),0))</f>
      </c>
      <c r="BR51" s="6">
        <f>IF($B51="","",IFERROR(LOOKUP(2,1/(((('Events 2'!$C$6:$C$17="Deduction start")+('Events 2'!$C$6:$C$17="Deduction stop"))*('Events 2'!$D$6:$D$17="Dependent-care FSA"))*('Events 2'!$B$6:$B$17&lt;=$B51)*('Events 2'!$B$6:$B$17&lt;&gt;"")),'Events 2'!$J$6:$J$17),0))</f>
      </c>
      <c r="BS51" s="6">
        <f>IF($B51="","",IF(SUMPRODUCT(('Events 2'!$C$6:$C$17="Deduction start")*('Events 2'!$B$6:$B$17&lt;=$B51)*('Events 2'!$B$6:$B$17&lt;&gt;"")*('Events 2'!$D$6:$D$17="Health FSA"))&gt;0,1,0))</f>
      </c>
      <c r="BT51" s="6">
        <f>IF($B51="","",IF(SUMPRODUCT(('Events 2'!$C$6:$C$17="Deduction start")*('Events 2'!$B$6:$B$17&lt;=$B51)*('Events 2'!$B$6:$B$17&lt;&gt;"")*('Events 2'!$D$6:$D$17="Dependent-care FSA"))&gt;0,1,0))</f>
      </c>
      <c r="BU51" s="24">
        <f>IF($B51="","",IF('Inputs 2'!$C$13,SUMPRODUCT(($AH51&gt;=INDEX('Methodology &amp; Sources'!$B$29:$J$36,0,IF('Inputs 2'!$C$12="MFJ",1,IF('Inputs 2'!$C$12="HoH",7,4))))*INDEX('Methodology &amp; Sources'!$B$29:$J$36,0,IF('Inputs 2'!$C$12="MFJ",1,IF('Inputs 2'!$C$12="HoH",7,4))+2)),SUMPRODUCT(($AH51&gt;=INDEX('Methodology &amp; Sources'!$B$19:$J$26,0,IF('Inputs 2'!$C$12="MFJ",1,IF('Inputs 2'!$C$12="HoH",7,4))))*INDEX('Methodology &amp; Sources'!$B$19:$J$26,0,IF('Inputs 2'!$C$12="MFJ",1,IF('Inputs 2'!$C$12="HoH",7,4))+2))))</f>
      </c>
      <c r="BV51" s="24">
        <f>IF($B51="","",IF($BZ51&lt;&gt;"",$BZ51,IF($CA51&lt;&gt;"",$CA51,IF($CB51&lt;&gt;"",$CB51,IF($CC51&lt;&gt;"",$CC51,0)))))</f>
      </c>
      <c r="BW51" s="7">
        <f>IF($B51="","",IF($AN51="MD",IF(OR($AU51="Married",$AU51="Head of household"),SUMPRODUCT(($AZ51&gt;INDEX('Methodology &amp; Sources'!$B$114:$J$120,0,1))*($AZ51-INDEX('Methodology &amp; Sources'!$B$114:$J$120,0,1))*INDEX('Methodology &amp; Sources'!$B$114:$J$120,0,1+2)),SUMPRODUCT(($AZ51&gt;INDEX('Methodology &amp; Sources'!$B$103:$J$109,0,7))*($AZ51-INDEX('Methodology &amp; Sources'!$B$103:$J$109,0,7))*INDEX('Methodology &amp; Sources'!$B$103:$J$109,0,7+2))),IF($AN51="MO",SUMPRODUCT(($AZ51&gt;INDEX('Methodology &amp; Sources'!$B$125:$J$132,0,1))*($AZ51-INDEX('Methodology &amp; Sources'!$B$125:$J$132,0,1))*INDEX('Methodology &amp; Sources'!$B$125:$J$132,0,1+2)),IF($AN51="MT",IF($AU51="Head of household",SUMPRODUCT(($AZ51&gt;INDEX('Methodology &amp; Sources'!$B$137:$J$139,0,1))*($AZ51-INDEX('Methodology &amp; Sources'!$B$137:$J$139,0,1))*INDEX('Methodology &amp; Sources'!$B$137:$J$139,0,1+2)),IF($AU51="Married",SUMPRODUCT(($AZ51&gt;INDEX('Methodology &amp; Sources'!$B$125:$J$132,0,7))*($AZ51-INDEX('Methodology &amp; Sources'!$B$125:$J$132,0,7))*INDEX('Methodology &amp; Sources'!$B$125:$J$132,0,7+2)),SUMPRODUCT(($AZ51&gt;INDEX('Methodology &amp; Sources'!$B$125:$J$132,0,4))*($AZ51-INDEX('Methodology &amp; Sources'!$B$125:$J$132,0,4))*INDEX('Methodology &amp; Sources'!$B$125:$J$132,0,4+2)))),IF($AN51="ND",IF($AU51="Head of household",SUMPRODUCT(($AZ51&gt;INDEX('Methodology &amp; Sources'!$B$144:$J$150,0,1))*($AZ51-INDEX('Methodology &amp; Sources'!$B$144:$J$150,0,1))*INDEX('Methodology &amp; Sources'!$B$144:$J$150,0,1+2)),IF($AU51="Married",SUMPRODUCT(($AZ51&gt;INDEX('Methodology &amp; Sources'!$B$137:$J$139,0,7))*($AZ51-INDEX('Methodology &amp; Sources'!$B$137:$J$139,0,7))*INDEX('Methodology &amp; Sources'!$B$137:$J$139,0,7+2)),SUMPRODUCT(($AZ51&gt;INDEX('Methodology &amp; Sources'!$B$137:$J$139,0,4))*($AZ51-INDEX('Methodology &amp; Sources'!$B$137:$J$139,0,4))*INDEX('Methodology &amp; Sources'!$B$137:$J$139,0,4+2)))),IF($AN51="NJ",IF('Inputs 2'!$C$77="B",SUMPRODUCT(($AZ51&gt;INDEX('Methodology &amp; Sources'!$B$155:$J$162,0,4))*($AZ51-INDEX('Methodology &amp; Sources'!$B$155:$J$162,0,4))*INDEX('Methodology &amp; Sources'!$B$155:$J$162,0,4+2)),IF('Inputs 2'!$C$77="C",SUMPRODUCT(($AZ51&gt;INDEX('Methodology &amp; Sources'!$B$155:$J$162,0,7))*($AZ51-INDEX('Methodology &amp; Sources'!$B$155:$J$162,0,7))*INDEX('Methodology &amp; Sources'!$B$155:$J$162,0,7+2)),IF('Inputs 2'!$C$77="D",SUMPRODUCT(($AZ51&gt;INDEX('Methodology &amp; Sources'!$B$167:$J$179,0,1))*($AZ51-INDEX('Methodology &amp; Sources'!$B$167:$J$179,0,1))*INDEX('Methodology &amp; Sources'!$B$167:$J$179,0,1+2)),IF('Inputs 2'!$C$77="E",SUMPRODUCT(($AZ51&gt;INDEX('Methodology &amp; Sources'!$B$167:$J$179,0,4))*($AZ51-INDEX('Methodology &amp; Sources'!$B$167:$J$179,0,4))*INDEX('Methodology &amp; Sources'!$B$167:$J$179,0,4+2)),SUMPRODUCT(($AZ51&gt;INDEX('Methodology &amp; Sources'!$B$155:$J$162,0,1))*($AZ51-INDEX('Methodology &amp; Sources'!$B$155:$J$162,0,1))*INDEX('Methodology &amp; Sources'!$B$155:$J$162,0,1+2)))))),IF($AN51="NY",IF($AU51="Married",IF($AZ51&gt;=2155350,$AZ51*IF($AZ51&gt;25000000,0.117,IF($AZ51&gt;5000000,0.111,0.1045)),SUMPRODUCT(($AZ51&gt;INDEX('Methodology &amp; Sources'!$B$184:$J$198,0,1))*($AZ51-INDEX('Methodology &amp; Sources'!$B$184:$J$198,0,1))*INDEX('Methodology &amp; Sources'!$B$184:$J$198,0,1+2))),IF($AZ51&gt;=1077550,$AZ51*IF($AZ51&gt;25000000,0.117,IF($AZ51&gt;5000000,0.111,0.1045)),SUMPRODUCT(($AZ51&gt;INDEX('Methodology &amp; Sources'!$B$167:$J$179,0,7))*($AZ51-INDEX('Methodology &amp; Sources'!$B$167:$J$179,0,7))*INDEX('Methodology &amp; Sources'!$B$167:$J$179,0,7+2)))),"")))))))</f>
      </c>
      <c r="BX51" s="7">
        <f>IF($B51="","",IF($AN51="AL",IF(OR($AU51="Married",$AU51="Head of household"),SUMPRODUCT(($AZ51&gt;INDEX('Methodology &amp; Sources'!$B$82:$J$86,0,4))*($AZ51-INDEX('Methodology &amp; Sources'!$B$82:$J$86,0,4))*INDEX('Methodology &amp; Sources'!$B$82:$J$86,0,4+2)),SUMPRODUCT(($AZ51&gt;INDEX('Methodology &amp; Sources'!$B$82:$J$86,0,1))*($AZ51-INDEX('Methodology &amp; Sources'!$B$82:$J$86,0,1))*INDEX('Methodology &amp; Sources'!$B$82:$J$86,0,1+2))),IF($AN51="KS",IF($AU51="Married",SUMPRODUCT(($AZ51&gt;INDEX('Methodology &amp; Sources'!$B$103:$J$109,0,4))*($AZ51-INDEX('Methodology &amp; Sources'!$B$103:$J$109,0,4))*INDEX('Methodology &amp; Sources'!$B$103:$J$109,0,4+2)),SUMPRODUCT(($AZ51&gt;INDEX('Methodology &amp; Sources'!$B$103:$J$109,0,1))*($AZ51-INDEX('Methodology &amp; Sources'!$B$103:$J$109,0,1))*INDEX('Methodology &amp; Sources'!$B$103:$J$109,0,1+2))),IF($AN51="MN",IF($AU51="Married",SUMPRODUCT(($AZ51&gt;INDEX('Methodology &amp; Sources'!$B$114:$J$120,0,7))*($AZ51-INDEX('Methodology &amp; Sources'!$B$114:$J$120,0,7))*INDEX('Methodology &amp; Sources'!$B$114:$J$120,0,7+2)),SUMPRODUCT(($AZ51&gt;INDEX('Methodology &amp; Sources'!$B$114:$J$120,0,4))*($AZ51-INDEX('Methodology &amp; Sources'!$B$114:$J$120,0,4))*INDEX('Methodology &amp; Sources'!$B$114:$J$120,0,4+2))),IF($AN51="NE",MAX(IF($AU51="Married",SUMPRODUCT(($AZ51&gt;INDEX('Methodology &amp; Sources'!$B$144:$J$150,0,7))*($AZ51-INDEX('Methodology &amp; Sources'!$B$144:$J$150,0,7))*INDEX('Methodology &amp; Sources'!$B$144:$J$150,0,7+2)),SUMPRODUCT(($AZ51&gt;INDEX('Methodology &amp; Sources'!$B$144:$J$150,0,4))*($AZ51-INDEX('Methodology &amp; Sources'!$B$144:$J$150,0,4))*INDEX('Methodology &amp; Sources'!$B$144:$J$150,0,4+2))),0.015*$AZ51),IF($AN51="OH",IF($B51&gt;=DATE(2027,8,1),SUMPRODUCT(($AZ51&gt;INDEX('Methodology &amp; Sources'!$B$203:$J$206,0,1))*($AZ51-INDEX('Methodology &amp; Sources'!$B$203:$J$206,0,1))*INDEX('Methodology &amp; Sources'!$B$203:$J$206,0,1+2)),SUMPRODUCT(($AZ51&gt;INDEX('Methodology &amp; Sources'!$B$184:$J$198,0,7))*($AZ51-INDEX('Methodology &amp; Sources'!$B$184:$J$198,0,7))*INDEX('Methodology &amp; Sources'!$B$184:$J$198,0,7+2))),IF($AN51="OK",IF($AU51="Married",SUMPRODUCT(($AZ51&gt;INDEX('Methodology &amp; Sources'!$B$203:$J$206,0,7))*($AZ51-INDEX('Methodology &amp; Sources'!$B$203:$J$206,0,7))*INDEX('Methodology &amp; Sources'!$B$203:$J$206,0,7+2)),SUMPRODUCT(($AZ51&gt;INDEX('Methodology &amp; Sources'!$B$203:$J$206,0,4))*($AZ51-INDEX('Methodology &amp; Sources'!$B$203:$J$206,0,4))*INDEX('Methodology &amp; Sources'!$B$203:$J$206,0,4+2))),IF($AN51="RI",SUMPRODUCT(($AZ51&gt;INDEX('Methodology &amp; Sources'!$B$211:$J$214,0,7))*($AZ51-INDEX('Methodology &amp; Sources'!$B$211:$J$214,0,7))*INDEX('Methodology &amp; Sources'!$B$211:$J$214,0,7+2)),IF($AN51="VT",IF($AU51="Married",SUMPRODUCT(($AZ51&gt;INDEX('Methodology &amp; Sources'!$B$228:$J$232,0,1))*($AZ51-INDEX('Methodology &amp; Sources'!$B$228:$J$232,0,1))*INDEX('Methodology &amp; Sources'!$B$228:$J$232,0,1+2)),SUMPRODUCT(($AZ51&gt;INDEX('Methodology &amp; Sources'!$B$219:$J$223,0,7))*($AZ51-INDEX('Methodology &amp; Sources'!$B$219:$J$223,0,7))*INDEX('Methodology &amp; Sources'!$B$219:$J$223,0,7+2))),IF($AN51="WV",IF($AU51="Married",SUMPRODUCT(($AZ51&gt;INDEX('Methodology &amp; Sources'!$B$237:$J$241,0,7))*($AZ51-INDEX('Methodology &amp; Sources'!$B$237:$J$241,0,7))*INDEX('Methodology &amp; Sources'!$B$237:$J$241,0,7+2)),SUMPRODUCT(($AZ51&gt;INDEX('Methodology &amp; Sources'!$B$228:$J$232,0,7))*($AZ51-INDEX('Methodology &amp; Sources'!$B$228:$J$232,0,7))*INDEX('Methodology &amp; Sources'!$B$228:$J$232,0,7+2))),""))))))))))</f>
      </c>
      <c r="BY51" s="7">
        <f>IF($B51="","",IF($AN51="AR",SUMPRODUCT(($AZ51&gt;INDEX('Methodology &amp; Sources'!$B$82:$J$86,0,7))*($AZ51-INDEX('Methodology &amp; Sources'!$B$82:$J$86,0,7))*INDEX('Methodology &amp; Sources'!$B$82:$J$86,0,7+2)),IF($AN51="DE",SUMPRODUCT(($AZ51&gt;INDEX('Methodology &amp; Sources'!$B$91:$J$98,0,1))*($AZ51-INDEX('Methodology &amp; Sources'!$B$91:$J$98,0,1))*INDEX('Methodology &amp; Sources'!$B$91:$J$98,0,1+2)),IF($AN51="HI",IF($AU51="Married",SUMPRODUCT(($AZ51&gt;INDEX('Methodology &amp; Sources'!$B$91:$J$98,0,7))*($AZ51-INDEX('Methodology &amp; Sources'!$B$91:$J$98,0,7))*INDEX('Methodology &amp; Sources'!$B$91:$J$98,0,7+2)),SUMPRODUCT(($AZ51&gt;INDEX('Methodology &amp; Sources'!$B$91:$J$98,0,4))*($AZ51-INDEX('Methodology &amp; Sources'!$B$91:$J$98,0,4))*INDEX('Methodology &amp; Sources'!$B$91:$J$98,0,4+2))),IF($AN51="SC",SUMPRODUCT(($AZ51&gt;INDEX('Methodology &amp; Sources'!$B$219:$J$223,0,1))*($AZ51-INDEX('Methodology &amp; Sources'!$B$219:$J$223,0,1))*INDEX('Methodology &amp; Sources'!$B$219:$J$223,0,1+2)),IF($AN51="VA",SUMPRODUCT(($AZ51&gt;INDEX('Methodology &amp; Sources'!$B$219:$J$223,0,4))*($AZ51-INDEX('Methodology &amp; Sources'!$B$219:$J$223,0,4))*INDEX('Methodology &amp; Sources'!$B$219:$J$223,0,4+2)),IF($AN51="WI",SUMPRODUCT(($AZ51&gt;INDEX('Methodology &amp; Sources'!$B$228:$J$232,0,4))*($AZ51-INDEX('Methodology &amp; Sources'!$B$228:$J$232,0,4))*INDEX('Methodology &amp; Sources'!$B$228:$J$232,0,4+2)),"")))))))</f>
      </c>
      <c r="BZ51" s="24">
        <f>IF($B51="","",IF($AN51="NJ",IF('Inputs 2'!$C$77="B",SUMPRODUCT(($AZ51&gt;=INDEX('Methodology &amp; Sources'!$B$155:$J$162,0,4))*INDEX('Methodology &amp; Sources'!$B$155:$J$162,0,4+2)),IF('Inputs 2'!$C$77="C",SUMPRODUCT(($AZ51&gt;=INDEX('Methodology &amp; Sources'!$B$155:$J$162,0,7))*INDEX('Methodology &amp; Sources'!$B$155:$J$162,0,7+2)),IF('Inputs 2'!$C$77="D",SUMPRODUCT(($AZ51&gt;=INDEX('Methodology &amp; Sources'!$B$167:$J$179,0,1))*INDEX('Methodology &amp; Sources'!$B$167:$J$179,0,1+2)),IF('Inputs 2'!$C$77="E",SUMPRODUCT(($AZ51&gt;=INDEX('Methodology &amp; Sources'!$B$167:$J$179,0,4))*INDEX('Methodology &amp; Sources'!$B$167:$J$179,0,4+2)),SUMPRODUCT(($AZ51&gt;=INDEX('Methodology &amp; Sources'!$B$155:$J$162,0,1))*INDEX('Methodology &amp; Sources'!$B$155:$J$162,0,1+2)))))),IF($AN51="OR",IF(OR($AU51="Married",AND($AU51="Single",$AS51&gt;=3)),SUMPRODUCT((MAX(0,$AY51-MIN(($P51-'Methodology &amp; Sources'!$C$10*$D51)*'Inputs 2'!$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Sources'!$B$211:$J$214,0,4))*INDEX('Methodology &amp; Sources'!$B$211:$J$214,0,4+2)),SUMPRODUCT((MAX(0,$AY51-MIN(($P51-'Methodology &amp; Sources'!$C$10*$D51)*'Inputs 2'!$C$8,IF(OR($AU51="Married",AND($AU51="Single",$AS51&gt;=3)),IF($AY51&lt;250000,8750,IF($AY51&lt;260000,7000,IF($AY51&lt;270000,5250,IF($AY51&lt;280000,3500,IF($AY51&lt;290000,1750,0))))),IF($AY51&lt;125000,8750,IF($AY51&lt;130000,7000,IF($AY51&lt;135000,5250,IF($AY51&lt;140000,3500,IF($AY51&lt;145000,1750,0)))))))-IF(OR($AU51="Married",AND($AU51="Single",$AS51&gt;=3)),5820,2910))&gt;=INDEX('Methodology &amp; Sources'!$B$211:$J$214,0,1))*INDEX('Methodology &amp; Sources'!$B$211:$J$214,0,1+2)))*IF(($P51-'Methodology &amp; Sources'!$C$10*$D51)*'Inputs 2'!$C$8&gt;=IF(OR($AU51="Married",AND($AU51="Single",$AS51&gt;=3)),IF($AY51&lt;250000,8750,IF($AY51&lt;260000,7000,IF($AY51&lt;270000,5250,IF($AY51&lt;280000,3500,IF($AY51&lt;290000,1750,0))))),IF($AY51&lt;125000,8750,IF($AY51&lt;130000,7000,IF($AY51&lt;135000,5250,IF($AY51&lt;140000,3500,IF($AY51&lt;145000,1750,0)))))),1,1-IF('Inputs 2'!$C$13,SUMPRODUCT(($AH51&gt;=INDEX('Methodology &amp; Sources'!$B$29:$J$36,0,IF('Inputs 2'!$C$12="MFJ",1,IF('Inputs 2'!$C$12="HoH",7,4))))*INDEX('Methodology &amp; Sources'!$B$29:$J$36,0,IF('Inputs 2'!$C$12="MFJ",1,IF('Inputs 2'!$C$12="HoH",7,4))+2)),SUMPRODUCT(($AH51&gt;=INDEX('Methodology &amp; Sources'!$B$19:$J$26,0,IF('Inputs 2'!$C$12="MFJ",1,IF('Inputs 2'!$C$12="HoH",7,4))))*INDEX('Methodology &amp; Sources'!$B$19:$J$26,0,IF('Inputs 2'!$C$12="MFJ",1,IF('Inputs 2'!$C$12="HoH",7,4))+2)))),IF($AN51="MI",IF($AY51&gt;5900*$AS51,0.0425,0),""))))</f>
      </c>
      <c r="CA51" s="24">
        <f>IF($B51="","",IF($AN51="AL",IF(OR($AU51="Married",$AU51="Head of household"),SUMPRODUCT(($AZ51&gt;=INDEX('Methodology &amp; Sources'!$B$82:$J$86,0,4))*INDEX('Methodology &amp; Sources'!$B$82:$J$86,0,4+2)),SUMPRODUCT(($AZ51&gt;=INDEX('Methodology &amp; Sources'!$B$82:$J$86,0,1))*INDEX('Methodology &amp; Sources'!$B$82:$J$86,0,1+2)))*(1-IF('Inputs 2'!$C$13,SUMPRODUCT(($AH51&gt;=INDEX('Methodology &amp; Sources'!$B$29:$J$36,0,IF('Inputs 2'!$C$12="MFJ",1,IF('Inputs 2'!$C$12="HoH",7,4))))*INDEX('Methodology &amp; Sources'!$B$29:$J$36,0,IF('Inputs 2'!$C$12="MFJ",1,IF('Inputs 2'!$C$12="HoH",7,4))+2)),SUMPRODUCT(($AH51&gt;=INDEX('Methodology &amp; Sources'!$B$19:$J$26,0,IF('Inputs 2'!$C$12="MFJ",1,IF('Inputs 2'!$C$12="HoH",7,4))))*INDEX('Methodology &amp; Sources'!$B$19:$J$26,0,IF('Inputs 2'!$C$12="MFJ",1,IF('Inputs 2'!$C$12="HoH",7,4))+2)))),IF($AN51="KS",IF($AU51="Married",SUMPRODUCT(($AZ51&gt;=INDEX('Methodology &amp; Sources'!$B$103:$J$109,0,4))*INDEX('Methodology &amp; Sources'!$B$103:$J$109,0,4+2)),SUMPRODUCT(($AZ51&gt;=INDEX('Methodology &amp; Sources'!$B$103:$J$109,0,1))*INDEX('Methodology &amp; Sources'!$B$103:$J$109,0,1+2))),IF($AN51="MD",IF(OR($AU51="Married",$AU51="Head of household"),SUMPRODUCT(($AZ51&gt;=INDEX('Methodology &amp; Sources'!$B$114:$J$120,0,1))*INDEX('Methodology &amp; Sources'!$B$114:$J$120,0,1+2)),SUMPRODUCT(($AZ51&gt;=INDEX('Methodology &amp; Sources'!$B$103:$J$109,0,7))*INDEX('Methodology &amp; Sources'!$B$103:$J$109,0,7+2)))+'Inputs 2'!$C$74,IF($AN51="MT",IF($AU51="Head of household",SUMPRODUCT(($AZ51&gt;=INDEX('Methodology &amp; Sources'!$B$137:$J$139,0,1))*INDEX('Methodology &amp; Sources'!$B$137:$J$139,0,1+2)),IF($AU51="Married",SUMPRODUCT(($AZ51&gt;=INDEX('Methodology &amp; Sources'!$B$125:$J$132,0,7))*INDEX('Methodology &amp; Sources'!$B$125:$J$132,0,7+2)),SUMPRODUCT(($AZ51&gt;=INDEX('Methodology &amp; Sources'!$B$125:$J$132,0,4))*INDEX('Methodology &amp; Sources'!$B$125:$J$132,0,4+2)))),IF($AN51="ND",IF($AU51="Head of household",SUMPRODUCT(($AZ51&gt;=INDEX('Methodology &amp; Sources'!$B$144:$J$150,0,1))*INDEX('Methodology &amp; Sources'!$B$144:$J$150,0,1+2)),IF($AU51="Married",SUMPRODUCT(($AZ51&gt;=INDEX('Methodology &amp; Sources'!$B$137:$J$139,0,7))*INDEX('Methodology &amp; Sources'!$B$137:$J$139,0,7+2)),SUMPRODUCT(($AZ51&gt;=INDEX('Methodology &amp; Sources'!$B$137:$J$139,0,4))*INDEX('Methodology &amp; Sources'!$B$137:$J$139,0,4+2)))),IF($AN51="NY",IF($AU51="Married",IF($AZ51&gt;=2155350,IF($AZ51&gt;25000000,0.117,IF($AZ51&gt;5000000,0.111,0.1045)),SUMPRODUCT(($AZ51&gt;=INDEX('Methodology &amp; Sources'!$B$184:$J$198,0,1))*INDEX('Methodology &amp; Sources'!$B$184:$J$198,0,1+2))),IF($AZ51&gt;=1077550,IF($AZ51&gt;25000000,0.117,IF($AZ51&gt;5000000,0.111,0.1045)),SUMPRODUCT(($AZ51&gt;=INDEX('Methodology &amp; Sources'!$B$167:$J$179,0,7))*INDEX('Methodology &amp; Sources'!$B$167:$J$179,0,7+2)))),"")))))))</f>
      </c>
      <c r="CB51" s="24">
        <f>IF($B51="","",IF($AN51="CA",SUMPRODUCT(($AJ51&gt;=INDEX('Methodology &amp; Sources'!$B$39:$J$48,0,IF($AU51="Married",4,IF($AU51="Head of household",7,1))))*INDEX('Methodology &amp; Sources'!$B$39:$J$48,0,IF($AU51="Married",4,IF($AU51="Head of household",7,1))+2)),IF($AN51="HI",IF($AU51="Married",SUMPRODUCT(($AZ51&gt;=INDEX('Methodology &amp; Sources'!$B$91:$J$98,0,7))*INDEX('Methodology &amp; Sources'!$B$91:$J$98,0,7+2)),SUMPRODUCT(($AZ51&gt;=INDEX('Methodology &amp; Sources'!$B$91:$J$98,0,4))*INDEX('Methodology &amp; Sources'!$B$91:$J$98,0,4+2))),IF($AN51="MN",IF($AU51="Married",SUMPRODUCT(($AZ51&gt;=INDEX('Methodology &amp; Sources'!$B$114:$J$120,0,7))*INDEX('Methodology &amp; Sources'!$B$114:$J$120,0,7+2)),SUMPRODUCT(($AZ51&gt;=INDEX('Methodology &amp; Sources'!$B$114:$J$120,0,4))*INDEX('Methodology &amp; Sources'!$B$114:$J$120,0,4+2))),IF($AN51="MO",SUMPRODUCT(($AZ51&gt;=INDEX('Methodology &amp; Sources'!$B$125:$J$132,0,1))*INDEX('Methodology &amp; Sources'!$B$125:$J$132,0,1+2)),IF($AN51="NE",MAX(IF($AU51="Married",SUMPRODUCT(($AZ51&gt;=INDEX('Methodology &amp; Sources'!$B$144:$J$150,0,7))*INDEX('Methodology &amp; Sources'!$B$144:$J$150,0,7+2)),SUMPRODUCT(($AZ51&gt;=INDEX('Methodology &amp; Sources'!$B$144:$J$150,0,4))*INDEX('Methodology &amp; Sources'!$B$144:$J$150,0,4+2))),0.015),IF($AN51="OH",IF($B51&gt;=DATE(2027,8,1),SUMPRODUCT(($AZ51&gt;=INDEX('Methodology &amp; Sources'!$B$203:$J$206,0,1))*INDEX('Methodology &amp; Sources'!$B$203:$J$206,0,1+2)),SUMPRODUCT(($AZ51&gt;=INDEX('Methodology &amp; Sources'!$B$184:$J$198,0,7))*INDEX('Methodology &amp; Sources'!$B$184:$J$198,0,7+2))),IF($AN51="OK",IF($AU51="Married",SUMPRODUCT(($AZ51&gt;=INDEX('Methodology &amp; Sources'!$B$203:$J$206,0,7))*INDEX('Methodology &amp; Sources'!$B$203:$J$206,0,7+2)),SUMPRODUCT(($AZ51&gt;=INDEX('Methodology &amp; Sources'!$B$203:$J$206,0,4))*INDEX('Methodology &amp; Sources'!$B$203:$J$206,0,4+2))),IF($AN51="RI",SUMPRODUCT(($AZ51&gt;=INDEX('Methodology &amp; Sources'!$B$211:$J$214,0,7))*INDEX('Methodology &amp; Sources'!$B$211:$J$214,0,7+2)),IF($AN51="SC",SUMPRODUCT(($AZ51&gt;=INDEX('Methodology &amp; Sources'!$B$219:$J$223,0,1))*INDEX('Methodology &amp; Sources'!$B$219:$J$223,0,1+2)),IF($AN51="VT",IF($AU51="Married",SUMPRODUCT(($AZ51&gt;=INDEX('Methodology &amp; Sources'!$B$228:$J$232,0,1))*INDEX('Methodology &amp; Sources'!$B$228:$J$232,0,1+2)),SUMPRODUCT(($AZ51&gt;=INDEX('Methodology &amp; Sources'!$B$219:$J$223,0,7))*INDEX('Methodology &amp; Sources'!$B$219:$J$223,0,7+2))),IF($AN51="WV",IF($AU51="Married",SUMPRODUCT(($AZ51&gt;=INDEX('Methodology &amp; Sources'!$B$237:$J$241,0,7))*INDEX('Methodology &amp; Sources'!$B$237:$J$241,0,7+2)),SUMPRODUCT(($AZ51&gt;=INDEX('Methodology &amp; Sources'!$B$228:$J$232,0,7))*INDEX('Methodology &amp; Sources'!$B$228:$J$232,0,7+2))),IF($AN51="IN",(0.0295+'Inputs 2'!$C$76),"")))))))))))))</f>
      </c>
      <c r="CC51" s="24">
        <f>IF($B51="","",IF($AN51="AR",SUMPRODUCT(($AZ51&gt;=INDEX('Methodology &amp; Sources'!$B$82:$J$86,0,7))*INDEX('Methodology &amp; Sources'!$B$82:$J$86,0,7+2)),IF($AN51="DE",SUMPRODUCT(($AZ51&gt;=INDEX('Methodology &amp; Sources'!$B$91:$J$98,0,1))*INDEX('Methodology &amp; Sources'!$B$91:$J$98,0,1+2)),IF($AN51="VA",SUMPRODUCT(($AZ51&gt;=INDEX('Methodology &amp; Sources'!$B$219:$J$223,0,4))*INDEX('Methodology &amp; Sources'!$B$219:$J$223,0,4+2)),IF($AN51="WI",SUMPRODUCT(($AZ51&gt;=INDEX('Methodology &amp; Sources'!$B$228:$J$232,0,4))*INDEX('Methodology &amp; Sources'!$B$228:$J$232,0,4+2)),IF($AN51="AZ",'Inputs 2'!$C$82,IF($AN51="CO",IF($AY51&gt;IF($AU51="Married",10000,5000),0.044,0),IF($AN51="IA",IF($AY51&gt;IF($AU51="Head of household",19500,IF($AU51="Married",26000,13000)),0.038,0),IF($AN51="ID",IF($AY51&gt;IF($AU51="Married",32000,16094),0.053,0),IF($AN51="IL",IF($AY51&gt;(2925*$AS51+1000*$AT51),0.0495,0),IF($AN51="KY",IF($AI51&gt;3360,0.035,0),IF($AN51="LA",0.0309,IF($AN51="MA",IF(MAX(0,$AY51-MIN(($BD50+$Q51+$R51+$S51),2000)-IF($AS51=0,0,IF($AS51=1,4400,1000*$AS51+3400)))&gt;=1107750,0.09,0.05),IF($AN51="MS",IF($AI51-IF($AU51="Head of household",3400,IF($AU51="Married",4600,2300))-'Inputs 2'!$C$85&gt;10000,0.04,0),IF($AN51="PA",0.0307,"")))))))))))))))</f>
      </c>
      <c r="CD51" s="21">
        <f>IF(YEAR(IF('Inputs 2'!$C$7="Weekly",'Inputs 2'!$C$9+7*(($BE50+1)-1),IF('Inputs 2'!$C$7="Biweekly",'Inputs 2'!$C$9+14*(($BE50+1)-1),IF('Inputs 2'!$C$7="Semimonthly",DATE(YEAR('Inputs 2'!$C$9),MONTH('Inputs 2'!$C$9)+INT((($BE50+1)-1)/2),MIN(DAY('Inputs 2'!$C$9),DAY(EOMONTH(DATE(YEAR('Inputs 2'!$C$9),MONTH('Inputs 2'!$C$9)+INT((($BE50+1)-1)/2),1),0))))+IF(MOD(($BE50+1)-1,2)=1,15,0),EDATE('Inputs 2'!$C$9,($BE50+1)-1)))))&lt;&gt;'Inputs 2'!$C$10,"",IF('Inputs 2'!$C$7="Weekly",'Inputs 2'!$C$9+7*(($BE50+1)-1),IF('Inputs 2'!$C$7="Biweekly",'Inputs 2'!$C$9+14*(($BE50+1)-1),IF('Inputs 2'!$C$7="Semimonthly",DATE(YEAR('Inputs 2'!$C$9),MONTH('Inputs 2'!$C$9)+INT((($BE50+1)-1)/2),MIN(DAY('Inputs 2'!$C$9),DAY(EOMONTH(DATE(YEAR('Inputs 2'!$C$9),MONTH('Inputs 2'!$C$9)+INT((($BE50+1)-1)/2),1),0))))+IF(MOD(($BE50+1)-1,2)=1,15,0),EDATE('Inputs 2'!$C$9,($BE50+1)-1)))))</f>
      </c>
      <c r="CE51" s="21">
        <f>IF(SUMPRODUCT(MIN(IF(('Inputs 2'!$C$58:$C$67&gt;MAX($B$6:$B50))*('Inputs 2'!$C$58:$C$67&gt;=DATE('Inputs 2'!$C$10,1,1))*('Inputs 2'!$C$58:$C$67&lt;=DATE('Inputs 2'!$C$10,12,31)),'Inputs 2'!$C$58:$C$67,999999)))=999999,"",SUMPRODUCT(MIN(IF(('Inputs 2'!$C$58:$C$67&gt;MAX($B$6:$B50))*('Inputs 2'!$C$58:$C$67&gt;=DATE('Inputs 2'!$C$10,1,1))*('Inputs 2'!$C$58:$C$67&lt;=DATE('Inputs 2'!$C$10,12,31)),'Inputs 2'!$C$58:$C$67,999999))))</f>
      </c>
    </row>
    <row r="52">
      <c r="A52" t="n">
        <v>47</v>
      </c>
      <c r="B52" s="21">
        <f>IF(AND($CD52="",$CE52=""),"",IF($CE52="",$CD52,IF($CD52="",$CE52,MIN($CD52,$CE52))))</f>
      </c>
      <c r="C52" s="7">
        <f>IF($B52="","",IF($BF52=0,0,IF('Inputs 2'!$C$4="Annual salary",ROUND($AK52/IF(AND('Inputs 2'!$C$88="Actual paydays",MONTH('Inputs 2'!$C$9)=1),MAX(1,MAX($BE$6:$BE$68)),'Inputs 2'!$C$8),2),$AK52)))</f>
      </c>
      <c r="D52" s="7">
        <f>IF($B52="","",SUMIF('Inputs 2'!$C$58:$C$67,$B52,'Inputs 2'!$D$58:$D$67))</f>
      </c>
      <c r="E52" s="7">
        <f>IF($B52="","",ROUND(MAX(0,MIN(IF($AL52="Percent",$AM52*($C52+$D52),$AM52),MAX(0,'Inputs 2'!$C$34-$AC51))),2))</f>
      </c>
      <c r="F52" s="7">
        <f>IF($B52="","",ROUND(MAX(0,MIN(IF('Inputs 2'!$C$32="Percent",'Inputs 2'!$D$32*($C52+$D52),'Inputs 2'!$D$32),MAX(0,'Inputs 2'!$C$34-$AC51-$E52))),2))</f>
      </c>
      <c r="G52" s="7">
        <f>IF($B52="","",IF($BF52=0,0,ROUND(MAX(0,MIN($BL52,'Inputs 2'!$C$37-'Inputs 2'!$C$54-$BI51)),2)))</f>
      </c>
      <c r="H52" s="7">
        <f>IF($B52="","",IF(OR($BF52=0,$BQ52=1),0,ROUND(MAX(0,MIN(IF($BS52=1,ROUND(MAX(0,MIN($BJ52,'Methodology &amp; Sources'!$C$13)-$BG51)/MAX(1,MAX($BE$6:$BE$68)-($BE51)),2),ROUND(MIN($BJ52,'Methodology &amp; Sources'!$C$13)/'Inputs 2'!$C$8,2)),MIN($BJ52,'Methodology &amp; Sources'!$C$13)-$BG51)),2)))</f>
      </c>
      <c r="I52" s="7">
        <f>IF($B52="","",IF(OR($BF52=0,$BR52=1),0,ROUND(MAX(0,MIN(IF($BT52=1,ROUND(MAX(0,MIN($BK52,IF('Inputs 2'!$C$12="MFJ",'Methodology &amp; Sources'!$C$14,'Methodology &amp; Sources'!$C$15))-$BH51)/MAX(1,MAX($BE$6:$BE$68)-($BE51)),2),ROUND(MIN($BK52,IF('Inputs 2'!$C$12="MFJ",'Methodology &amp; Sources'!$C$14,'Methodology &amp; Sources'!$C$15))/'Inputs 2'!$C$8,2)),MIN($BK52,IF('Inputs 2'!$C$12="MFJ",'Methodology &amp; Sources'!$C$14,'Methodology &amp; Sources'!$C$15))-$BH51)),2)))</f>
      </c>
      <c r="J52" s="7">
        <f>IF($B52="","",IF($BF52=0,0,$BM52))</f>
      </c>
      <c r="K52" s="7">
        <f>IF($B52="","",IF($BF52=0,0,$BN52+$BO52))</f>
      </c>
      <c r="L52" s="7">
        <f>IF($B52="","",IF($BF52=0,0,'Inputs 2'!$D$46))</f>
      </c>
      <c r="M52" s="7">
        <f>IF($B52="","",$C52+$D52+$L52-$E52-$G52-$H52-$I52-$J52-$K52)</f>
      </c>
      <c r="N52" s="7">
        <f>IF($B52="","",$C52+$D52+$L52-$G52-$H52-$I52-$J52-$K52)</f>
      </c>
      <c r="O52" s="7">
        <f>IF($B52="","",$C52+$D52+$L52-$E52-$H52-$I52-$J52-$K52-IF(OR($AN52="CA",$AN52="NJ"),0,$G52))</f>
      </c>
      <c r="P52" s="7">
        <f>IF($B52="","",IF('Inputs 2'!$C$18,0,ROUND(MAX(0,IF('Inputs 2'!$C$13,SUMPRODUCT(($AH52&gt;INDEX('Methodology &amp; Sources'!$B$29:$J$36,0,IF('Inputs 2'!$C$12="MFJ",1,IF('Inputs 2'!$C$12="HoH",7,4))))*($AH52-INDEX('Methodology &amp; Sources'!$B$29:$J$36,0,IF('Inputs 2'!$C$12="MFJ",1,IF('Inputs 2'!$C$12="HoH",7,4))))*INDEX('Methodology &amp; Sources'!$B$29:$J$36,0,IF('Inputs 2'!$C$12="MFJ",1,IF('Inputs 2'!$C$12="HoH",7,4))+2)),SUMPRODUCT(($AH52&gt;INDEX('Methodology &amp; Sources'!$B$19:$J$26,0,IF('Inputs 2'!$C$12="MFJ",1,IF('Inputs 2'!$C$12="HoH",7,4))))*($AH52-INDEX('Methodology &amp; Sources'!$B$19:$J$26,0,IF('Inputs 2'!$C$12="MFJ",1,IF('Inputs 2'!$C$12="HoH",7,4))))*INDEX('Methodology &amp; Sources'!$B$19:$J$26,0,IF('Inputs 2'!$C$12="MFJ",1,IF('Inputs 2'!$C$12="HoH",7,4))+2)))/'Inputs 2'!$C$8-$AO52/'Inputs 2'!$C$8)+$AR52+IF('Inputs 2'!$C$89="Aggregate",MAX(0,IF('Inputs 2'!$C$13,SUMPRODUCT((($AH52+$D52)&gt;INDEX('Methodology &amp; Sources'!$B$29:$J$36,0,IF('Inputs 2'!$C$12="MFJ",1,IF('Inputs 2'!$C$12="HoH",7,4))))*(($AH52+$D52)-INDEX('Methodology &amp; Sources'!$B$29:$J$36,0,IF('Inputs 2'!$C$12="MFJ",1,IF('Inputs 2'!$C$12="HoH",7,4))))*INDEX('Methodology &amp; Sources'!$B$29:$J$36,0,IF('Inputs 2'!$C$12="MFJ",1,IF('Inputs 2'!$C$12="HoH",7,4))+2)),SUMPRODUCT((($AH52+$D52)&gt;INDEX('Methodology &amp; Sources'!$B$19:$J$26,0,IF('Inputs 2'!$C$12="MFJ",1,IF('Inputs 2'!$C$12="HoH",7,4))))*(($AH52+$D52)-INDEX('Methodology &amp; Sources'!$B$19:$J$26,0,IF('Inputs 2'!$C$12="MFJ",1,IF('Inputs 2'!$C$12="HoH",7,4))))*INDEX('Methodology &amp; Sources'!$B$19:$J$26,0,IF('Inputs 2'!$C$12="MFJ",1,IF('Inputs 2'!$C$12="HoH",7,4))+2)))-IF('Inputs 2'!$C$13,SUMPRODUCT(($AH52&gt;INDEX('Methodology &amp; Sources'!$B$29:$J$36,0,IF('Inputs 2'!$C$12="MFJ",1,IF('Inputs 2'!$C$12="HoH",7,4))))*($AH52-INDEX('Methodology &amp; Sources'!$B$29:$J$36,0,IF('Inputs 2'!$C$12="MFJ",1,IF('Inputs 2'!$C$12="HoH",7,4))))*INDEX('Methodology &amp; Sources'!$B$29:$J$36,0,IF('Inputs 2'!$C$12="MFJ",1,IF('Inputs 2'!$C$12="HoH",7,4))+2)),SUMPRODUCT(($AH52&gt;INDEX('Methodology &amp; Sources'!$B$19:$J$26,0,IF('Inputs 2'!$C$12="MFJ",1,IF('Inputs 2'!$C$12="HoH",7,4))))*($AH52-INDEX('Methodology &amp; Sources'!$B$19:$J$26,0,IF('Inputs 2'!$C$12="MFJ",1,IF('Inputs 2'!$C$12="HoH",7,4))))*INDEX('Methodology &amp; Sources'!$B$19:$J$26,0,IF('Inputs 2'!$C$12="MFJ",1,IF('Inputs 2'!$C$12="HoH",7,4))+2)))),'Methodology &amp; Sources'!$C$10*$D52),2)))</f>
      </c>
      <c r="Q52" s="7">
        <f>IF($B52="","",ROUND('Methodology &amp; Sources'!$C$4*MIN($N52,MAX(0,'Methodology &amp; Sources'!$C$3-($AX52+$AB51-$AW52))),2))</f>
      </c>
      <c r="R52" s="7">
        <f>IF($B52="","",ROUND('Methodology &amp; Sources'!$C$5*$N52,2))</f>
      </c>
      <c r="S52" s="7">
        <f>IF($B52="","",ROUND('Methodology &amp; Sources'!$C$6*MAX(0,MIN($N52,$AG51+$N52-'Methodology &amp; Sources'!$C$7)),2))</f>
      </c>
      <c r="T52" s="7">
        <f>IF($B52="","",IF('Inputs 2'!$C$26,0,IF($AN52="CA",ROUND(IF($AI52&lt;=IF(($AS52+$AT52)&gt;=2,VLOOKUP($AN52,StateTables!$A$6:$AB$56,10,FALSE),VLOOKUP($AN52,StateTables!$A$6:$AB$56,9,FALSE)),0,MAX(0,SUMPRODUCT(($AJ52&gt;INDEX('Methodology &amp; Sources'!$B$39:$J$48,0,IF($AU52="Married",4,IF($AU52="Head of household",7,1))))*($AJ52-INDEX('Methodology &amp; Sources'!$B$39:$J$48,0,IF($AU52="Married",4,IF($AU52="Head of household",7,1))))*INDEX('Methodology &amp; Sources'!$B$39:$J$48,0,IF($AU52="Married",4,IF($AU52="Head of household",7,1))+2))-VLOOKUP($AN52,StateTables!$A$6:$AB$56,11,FALSE)*$AS52)/'Inputs 2'!$C$8)+'Inputs 2'!$C$25+VLOOKUP($AN52,StateTables!$A$6:$AB$56,13,FALSE)*$D52,2),IF(VLOOKUP($AN52,StateTables!$A$6:$AB$56,4,FALSE)="None",0,IF(ISNUMBER(SEARCH("MANUAL",VLOOKUP($AN52,StateTables!$A$6:$AB$56,5,FALSE))),'Inputs 2'!$C$28,ROUND(MAX(0,$BA52+$BB52)/'Inputs 2'!$C$8+'Inputs 2'!$C$25+$BC52,2))))))</f>
      </c>
      <c r="U52" s="7">
        <f>IF($B52="","",IF(VLOOKUP($AN52,StateTables!$A$6:$AB$56,24,FALSE)="flatq",IF(OR(MONTH($B52)=1,MONTH($B52)=4,MONTH($B52)=7,MONTH($B52)=10),VLOOKUP($AN52,StateTables!$A$6:$AB$56,25,FALSE),0),IF(VLOOKUP($AN52,StateTables!$A$6:$AB$56,24,FALSE)="dbl",MIN(ROUND(0.005*$N52,2),ROUND(0.6*52/'Inputs 2'!$C$8,2)),IF(OR(VLOOKUP($AN52,StateTables!$A$6:$AB$56,15,FALSE)="",VLOOKUP($AN52,StateTables!$A$6:$AB$56,15,FALSE)=0),0,ROUND(VLOOKUP($AN52,StateTables!$A$6:$AB$56,15,FALSE)*IF(OR(VLOOKUP($AN52,StateTables!$A$6:$AB$56,16,FALSE)="",VLOOKUP($AN52,StateTables!$A$6:$AB$56,16,FALSE)=0),$N52,MIN($N52,MAX(0,VLOOKUP($AN52,StateTables!$A$6:$AB$56,16,FALSE)-($AX52+$AB51-$AW52)))),2))))+IF(VLOOKUP($AN52,StateTables!$A$6:$AB$56,27,FALSE)="flatq",IF(OR(MONTH($B52)=1,MONTH($B52)=4,MONTH($B52)=7,MONTH($B52)=10),VLOOKUP($AN52,StateTables!$A$6:$AB$56,28,FALSE),0),IF(VLOOKUP($AN52,StateTables!$A$6:$AB$56,27,FALSE)="dbl",MIN(ROUND(0.005*$N52,2),ROUND(0.6*52/'Inputs 2'!$C$8,2)),IF(OR(VLOOKUP($AN52,StateTables!$A$6:$AB$56,18,FALSE)="",VLOOKUP($AN52,StateTables!$A$6:$AB$56,18,FALSE)=0),0,ROUND(VLOOKUP($AN52,StateTables!$A$6:$AB$56,18,FALSE)*IF(OR(VLOOKUP($AN52,StateTables!$A$6:$AB$56,19,FALSE)="",VLOOKUP($AN52,StateTables!$A$6:$AB$56,19,FALSE)=0),$N52,MIN($N52,MAX(0,VLOOKUP($AN52,StateTables!$A$6:$AB$56,19,FALSE)-($AX52+$AB51-$AW52)))),2)))))</f>
      </c>
      <c r="V52" s="7">
        <f>IF($B52="","",IF($AN52="NY",IF('Inputs 2'!$C$78,ROUND(SUMPRODUCT((MAX(0,($O52-$D52)*'Inputs 2'!$C$8-(IF($AU52="Married",5500,5000)+1000*$AS52))&gt;INDEX('Methodology &amp; Sources'!$B$184:$J$198,0,4))*(MAX(0,($O52-$D52)*'Inputs 2'!$C$8-(IF($AU52="Married",5500,5000)+1000*$AS52))-INDEX('Methodology &amp; Sources'!$B$184:$J$198,0,4))*INDEX('Methodology &amp; Sources'!$B$184:$J$198,0,4+2))/'Inputs 2'!$C$8+0.0425*$D52,2),0)+IF('Inputs 2'!$C$79="Resident",ROUND(0.1675*$T52,2),IF('Inputs 2'!$C$79="Nonresident",ROUND(0.005*MAX(0,($O52-$D52)-(IF($AU52="Married",7950,7400)+1000*$AS52)/'Inputs 2'!$C$8),2),0)),IF($AN52="PA",IF('Inputs 2'!$C$80="None",'Inputs 2'!$C$27+ROUND('Inputs 2'!$C$81*($C52+$D52),2),ROUND(IF('Inputs 2'!$C$80="Resident",IF($B52&lt;DATE(2027,7,1),0.03735,0.03735),IF($B52&lt;DATE(2027,7,1),0.03425,0.03425))*($C52+$D52),2)),IF($BF52=0,ROUND('Inputs 2'!$C$81*($C52+$D52),2),'Inputs 2'!$C$27+ROUND('Inputs 2'!$C$81*($C52+$D52),2)))))</f>
      </c>
      <c r="W52" s="7">
        <f>IF($B52="","",IF($BF52=0,0,$BP52))</f>
      </c>
      <c r="X52" s="7">
        <f>IF($B52="","",SUM($E52:$K52)+$P52+$Q52+$R52+$S52+$T52+$U52+$V52+$W52)</f>
      </c>
      <c r="Y52" s="22">
        <f>IF($B52="","",$C52+$D52-$X52)</f>
      </c>
      <c r="Z52" s="7">
        <f>IF($B52="","",$Z51+$C52+$D52)</f>
      </c>
      <c r="AA52" s="7">
        <f>IF($B52="","",$AA51+$Y52)</f>
      </c>
      <c r="AB52" s="7">
        <f>IF($B52="","",$AB51+MIN($N52,MAX(0,'Methodology &amp; Sources'!$C$3-($AX52+$AB51-$AW52))))</f>
      </c>
      <c r="AC52" s="7">
        <f>IF($B52="","",$AC51+$E52+$F52)</f>
      </c>
      <c r="AD52" s="3">
        <f>IF($B52="","",IF(AND($AB51&lt;'Methodology &amp; Sources'!$C$3,$AB52&gt;='Methodology &amp; Sources'!$C$3),"★ Social Security maxed on this check — from the next check your net rises by about $"&amp;TEXT(ROUND('Methodology &amp; Sources'!$C$4*$N52,2),"#,##0.00")&amp;". ","")&amp;IF(AND($AC51&lt;'Inputs 2'!$C$34,$AC52&gt;='Inputs 2'!$C$34),"★ 401(k) reaches the $"&amp;TEXT('Inputs 2'!$C$34,"#,##0")&amp;" cap on this check — deferrals stop and net pay rises. ","")&amp;IF(AND($AG51&lt;'Methodology &amp; Sources'!$C$7,$AG52&gt;='Methodology &amp; Sources'!$C$7),"★ Wages pass $200,000 — the 0.9% Additional Medicare Tax starts here. ","")&amp;IF(AND($BJ52&gt;0,$H52&gt;0,$BG51&lt;MIN($BJ52,'Methodology &amp; Sources'!$C$13),$BG51+$H52&gt;=MIN($BJ52,'Methodology &amp; Sources'!$C$13)),"★ Health FSA election is now fully deferred for the year. ",""))</f>
      </c>
      <c r="AE52" s="41" t="n"/>
      <c r="AF52" s="7">
        <f>IF(OR($B52="",$AE52=""),"",$AE52-$Y52)</f>
      </c>
      <c r="AG52" s="7">
        <f>IF($B52="","",$AG51+$N52)</f>
      </c>
      <c r="AH52" s="7">
        <f>IF($B52="","",MAX(0,($M52-$D52)*'Inputs 2'!$C$8+$AP52-$AQ52-IF('Inputs 2'!$C$13,0,IF('Inputs 2'!$C$12="MFJ",'Methodology &amp; Sources'!$C$8,'Methodology &amp; Sources'!$C$9))))</f>
      </c>
      <c r="AI52" s="7">
        <f>IF($B52="","",$O52*'Inputs 2'!$C$8)</f>
      </c>
      <c r="AJ52" s="7">
        <f>IF($B52="","",MAX(0,$AI52-VLOOKUP($AN52,StateTables!$A$6:$AB$56,12,FALSE)*$AT52-IF(($AS52+$AT52)&gt;=2,VLOOKUP($AN52,StateTables!$A$6:$AB$56,8,FALSE),VLOOKUP($AN52,StateTables!$A$6:$AB$56,7,FALSE))))</f>
      </c>
      <c r="AK52" s="7">
        <f>IF($B52="","",IFERROR(LOOKUP(2,1/(('Events 2'!$C$6:$C$17="Salary change")*('Events 2'!$B$6:$B$17&lt;=$B52)*('Events 2'!$B$6:$B$17&lt;&gt;"")),'Events 2'!$D$6:$D$17),IF('Inputs 2'!$C$4="Annual salary",'Inputs 2'!$C$5,'Inputs 2'!$C$6)))</f>
      </c>
      <c r="AL52">
        <f>IF($B52="","",IFERROR(LOOKUP(2,1/(('Events 2'!$C$6:$C$17="401(k) change")*('Events 2'!$B$6:$B$17&lt;=$B52)*('Events 2'!$B$6:$B$17&lt;&gt;"")),'Events 2'!$D$6:$D$17),'Inputs 2'!$C$30))</f>
      </c>
      <c r="AM52" s="7">
        <f>IF($B52="","",IFERROR(LOOKUP(2,1/(('Events 2'!$C$6:$C$17="401(k) change")*('Events 2'!$B$6:$B$17&lt;=$B52)*('Events 2'!$B$6:$B$17&lt;&gt;"")),'Events 2'!$E$6:$E$17),'Inputs 2'!$D$30))</f>
      </c>
      <c r="AN52">
        <f>IF($B52="","",IFERROR(LOOKUP(2,1/(('Events 2'!$C$6:$C$17="State move")*('Events 2'!$B$6:$B$17&lt;=$B52)*('Events 2'!$B$6:$B$17&lt;&gt;"")),'Events 2'!$D$6:$D$17),'Inputs 2'!$C$21))</f>
      </c>
      <c r="AO52" s="7">
        <f>IF($B52="","",IFERROR(LOOKUP(2,1/(('Events 2'!$C$6:$C$17="W-4 change")*('Events 2'!$B$6:$B$17&lt;=$B52)*('Events 2'!$B$6:$B$17&lt;&gt;"")),'Events 2'!$D$6:$D$17),'Inputs 2'!$C$14))</f>
      </c>
      <c r="AP52" s="7">
        <f>IF($B52="","",IFERROR(LOOKUP(2,1/(('Events 2'!$C$6:$C$17="W-4 change")*('Events 2'!$B$6:$B$17&lt;=$B52)*('Events 2'!$B$6:$B$17&lt;&gt;"")),'Events 2'!$E$6:$E$17),'Inputs 2'!$C$15))</f>
      </c>
      <c r="AQ52" s="7">
        <f>IF($B52="","",IFERROR(LOOKUP(2,1/(('Events 2'!$C$6:$C$17="W-4 change")*('Events 2'!$B$6:$B$17&lt;=$B52)*('Events 2'!$B$6:$B$17&lt;&gt;"")),'Events 2'!$F$6:$F$17),'Inputs 2'!$C$16))</f>
      </c>
      <c r="AR52" s="7">
        <f>IF($B52="","",IFERROR(LOOKUP(2,1/(('Events 2'!$C$6:$C$17="W-4 change")*('Events 2'!$B$6:$B$17&lt;=$B52)*('Events 2'!$B$6:$B$17&lt;&gt;"")),'Events 2'!$G$6:$G$17),'Inputs 2'!$C$17))</f>
      </c>
      <c r="AS52" s="6">
        <f>IF($B52="","",IFERROR(LOOKUP(2,1/((('Events 2'!$C$6:$C$17="State move")+('Events 2'!$C$6:$C$17="State cert change"))*('Events 2'!$B$6:$B$17&lt;=$B52)*('Events 2'!$B$6:$B$17&lt;&gt;"")),'Events 2'!$F$6:$F$17),'Inputs 2'!$C$23))</f>
      </c>
      <c r="AT52" s="6">
        <f>IF($B52="","",IFERROR(LOOKUP(2,1/((('Events 2'!$C$6:$C$17="State move")+('Events 2'!$C$6:$C$17="State cert change"))*('Events 2'!$B$6:$B$17&lt;=$B52)*('Events 2'!$B$6:$B$17&lt;&gt;"")),'Events 2'!$G$6:$G$17),'Inputs 2'!$C$24))</f>
      </c>
      <c r="AU52">
        <f>IF($B52="","",IFERROR(LOOKUP(2,1/(('Events 2'!$C$6:$C$17="State move")*('Events 2'!$B$6:$B$17&lt;=$B52)*('Events 2'!$B$6:$B$17&lt;&gt;"")),'Events 2'!$E$6:$E$17),'Inputs 2'!$C$22))</f>
      </c>
      <c r="AV52" s="6">
        <f>IF($B52="","",1+COUNTIFS('Events 2'!$C$6:$C$17,"Employer change",'Events 2'!$B$6:$B$17,"&lt;="&amp;$B52,'Events 2'!$B$6:$B$17,"&lt;&gt;"))</f>
      </c>
      <c r="AW52" s="7">
        <f>IF($B52="","",IF($AV52=1,'Inputs 2'!$C$49,IF(IFERROR(MATCH(IFERROR(LOOKUP(2,1/(('Events 2'!$C$6:$C$17="Employer change")*('Events 2'!$B$6:$B$17&lt;=$B52)*('Events 2'!$B$6:$B$17&lt;&gt;"")),'Events 2'!$B$6:$B$17),""),$B$6:$B$68,1),1)&lt;=1,'Inputs 2'!$C$49,INDEX($AB$6:$AB$68,MATCH(IFERROR(LOOKUP(2,1/(('Events 2'!$C$6:$C$17="Employer change")*('Events 2'!$B$6:$B$17&lt;=$B52)*('Events 2'!$B$6:$B$17&lt;&gt;"")),'Events 2'!$B$6:$B$17),""),$B$6:$B$68,1)-1))))</f>
      </c>
      <c r="AX52" s="7">
        <f>IF($B52="","",IF($AV52=1,'Inputs 2'!$C$49,IFERROR(LOOKUP(2,1/(('Events 2'!$C$6:$C$17="Employer change")*('Events 2'!$B$6:$B$17&lt;=$B52)*('Events 2'!$B$6:$B$17&lt;&gt;"")),'Events 2'!$D$6:$D$17),0)))</f>
      </c>
      <c r="AY52" s="7">
        <f>IF($B52="","",($O52-$D52)*'Inputs 2'!$C$8)</f>
      </c>
      <c r="AZ52" s="7">
        <f>IF($B52="","",IF($AN52="AL",MAX(0,$AY52-IF($AU52="Married",IF($AY52&lt;=25999,8500,MAX(5000,8500-175*CEILING(($AY52-25999)/500,1))),IF($AU52="Head of household",IF($AY52&lt;=25999,5200,MAX(2500,5200-135*CEILING(($AY52-25999)/500,1))),IF($AY52&lt;=25999,3000,MAX(2500,3000-25*CEILING(($AY52-25999)/500,1)))))-($P52-'Methodology &amp; Sources'!$C$10*$D52)*'Inputs 2'!$C$8-IF(OR($AU52="Married",$AU52="Head of household"),3000,1500)-$AT52*IF($AY52&lt;=50000,1000,IF($AY52&lt;=100000,500,300))),IF($AN52="AR",IF(MAX(0,$AY52-2470)&lt;97701,INT(MAX(0,$AY52-2470)/100)*100+50,MAX(0,$AY52-2470)),IF($AN52="DE",MAX(0,$AI52-3250),IF($AN52="HI",MAX(0,$AI52-1144*$AS52-4350),IF($AN52="KS",MAX(0,$AI52-(9160*IF($AU52="Married",2,1)+2320*$AT52+IF($AU52="Head of household",2320,0))),IF($AN52="MD",MAX(0,$AI52-3400-3200*$AS52),IF($AN52="MN",MAX(0,$AY52-5300*$AS52),IF($AN52="MO",MAX(0,$AI52-IF($AU52="Head of household",24150,IF($AU52="Married",IF('Inputs 2'!$C$83,16100,32200),16100))),IF($AN52="MT",$AY52,IF($AN52="ND",($C52+$L52)*'Inputs 2'!$C$8,IF($AN52="NE",MAX(0,$AY52-2440*$AS52),IF($AN52="NJ",MAX(0,$AY52-1000*$AS52),IF($AN52="NY",MAX(0,$AY52-(IF($AU52="Married",7950,7400)+1000*$AS52)),IF($AN52="OH",MAX(0,$AY52-650*$AS52),IF($AN52="OK",MAX(0,$AY52-1000*$AS52),IF($AN52="RI",MAX(0,$AI52-1000*$AS52),IF($AN52="SC",MAX(0,$AI52-5000*$AS52-IF($AS52=0,0,MIN(0.1*$AI52,7500))),IF($AN52="VA",MAX(0,$AI52-IF($AU52="Married",17500,8750)-930*$AS52-800*$AT52),IF($AN52="VT",MAX(0,$AI52-5400*$AS52),IF($AN52="WI",MAX(0,$AI52-MAX(0,IF($AU52="Married",9461-0.2*MAX(0,$AI52-25727),6702-0.12*MAX(0,$AI52-17780)))-400*$AS52),IF($AN52="WV",MAX(0,$AI52-2000*$AS52),$AI52))))))))))))))))))))))</f>
      </c>
      <c r="BA52" s="7">
        <f>IF($B52="","",IF($BW52&lt;&gt;"",$BW52,IF($BX52&lt;&gt;"",$BX52,IF($BY52&lt;&gt;"",$BY52,0))))</f>
      </c>
      <c r="BB52" s="7">
        <f>IF($B52="","",IF($AN52="AR",-29*$AS52,IF($AN52="DE",-110*$AS52,IF($AN52="MD",$AZ52*'Inputs 2'!$C$74,IF($AN52="AZ",'Inputs 2'!$C$82*($M52-$D52)*'Inputs 2'!$C$8,IF($AN52="CO",0.044*MAX(0,$AY52-IF($AU52="Married",10000,5000)),IF($AN52="IA",MAX(0,0.038*MAX(0,$AY52-IF($AU52="Head of household",19500,IF($AU52="Married",26000,13000)))-40*$AS52),IF($AN52="ID",0.053*MAX(0,$AY52-IF($AU52="Married",32000,16094)),IF($AN52="IL",0.0495*MAX(0,$AY52-(2925*$AS52+1000*$AT52)),IF($AN52="IN",(0.0295+'Inputs 2'!$C$76)*MAX(0,$AY52-(1000*$AS52+1500*$AT52+3000*'Inputs 2'!$C$86)),IF($AN52="KY",0.035*MAX(0,$AI52-3360),IF($AN52="LA",IF('Inputs 2'!$C$84="0",0.0309*$AI52,0.0309*MAX(0,$AI52-IF('Inputs 2'!$C$84="2",25750,12875))),IF($AN52="MA",0.05*MIN(MAX(0,$AY52-MIN(($BD51+$Q52+$R52+$S52),2000)-IF($AS52=0,0,IF($AS52=1,4400,1000*$AS52+3400))),1107750)+0.09*MAX(0,MAX(0,$AY52-MIN(($BD51+$Q52+$R52+$S52),2000)-IF($AS52=0,0,IF($AS52=1,4400,1000*$AS52+3400)))-1107750)-IF($AU52="Head of household",120,0)-110*'Inputs 2'!$C$75,IF($AN52="MI",0.0425*MAX(0,$AY52-5900*$AS52),IF($AN52="MS",0.04*MAX(0,$AI52-IF($AU52="Head of household",3400,IF($AU52="Married",4600,2300))-'Inputs 2'!$C$85-10000),IF($AN52="OR",IF(OR($AU52="Married",AND($AU52="Single",$AS52&gt;=3)),SUMPRODUCT((MAX(0,$AY52-MIN(($P52-'Methodology &amp; Sources'!$C$10*$D52)*'Inputs 2'!$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Sources'!$B$211:$J$214,0,4))*(MAX(0,$AY52-MIN(($P52-'Methodology &amp; Sources'!$C$10*$D52)*'Inputs 2'!$C$8,IF(OR($AU52="Married",AND($AU52="Single",$AS52&gt;=3)),IF($AY52&lt;250000,8750,IF($AY52&lt;260000,7000,IF($AY52&lt;270000,5250,IF($AY52&lt;280000,3500,IF($AY52&lt;290000,1750,0))))),IF($AY52&lt;125000,8750,IF($AY52&lt;130000,7000,IF($AY52&lt;135000,5250,IF($AY52&lt;140000,3500,IF($AY52&lt;145000,1750,0)))))))-IF(OR($AU52="Married",AND($AU52="Single",$AS52&gt;=3)),5820,2910))-INDEX('Methodology &amp; Sources'!$B$211:$J$214,0,4))*INDEX('Methodology &amp; Sources'!$B$211:$J$214,0,4+2)),SUMPRODUCT((MAX(0,$AY52-MIN(($P52-'Methodology &amp; Sources'!$C$10*$D52)*'Inputs 2'!$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Sources'!$B$211:$J$214,0,1))*(MAX(0,$AY52-MIN(($P52-'Methodology &amp; Sources'!$C$10*$D52)*'Inputs 2'!$C$8,IF(OR($AU52="Married",AND($AU52="Single",$AS52&gt;=3)),IF($AY52&lt;250000,8750,IF($AY52&lt;260000,7000,IF($AY52&lt;270000,5250,IF($AY52&lt;280000,3500,IF($AY52&lt;290000,1750,0))))),IF($AY52&lt;125000,8750,IF($AY52&lt;130000,7000,IF($AY52&lt;135000,5250,IF($AY52&lt;140000,3500,IF($AY52&lt;145000,1750,0)))))))-IF(OR($AU52="Married",AND($AU52="Single",$AS52&gt;=3)),5820,2910))-INDEX('Methodology &amp; Sources'!$B$211:$J$214,0,1))*INDEX('Methodology &amp; Sources'!$B$211:$J$214,0,1+2)))+263-263*IF(IF($AU52="Married",$AY52&gt;200000,$AY52&gt;100000),0,$AS52),IF($AN52="PA",0.0307*(($O52+$E52+$G52)*'Inputs 2'!$C$8),IF($AN52="NY",IF($AU52="Married",IF($AZ52&gt;=2155350,0,IF($AZ52&gt;=1077550,0.48,IF($AZ52&gt;=373200,1.21,IF($AZ52&gt;=323200,0.21,IF($AZ52&gt;=211550,-0.19,IF($AZ52&gt;=157650,-2.8,IF($AZ52&gt;=107650,-0.8,IF($AZ52&gt;=96800,0.05,IF($AZ52&gt;=80650,-0.1,IF($AZ52&gt;=13900,0.4,IF($AZ52&gt;=11700,-0.3,IF($AZ52&gt;=8500,0.5,0)))))))))))),IF($AZ52&gt;=1077550,0,IF($AZ52&gt;=265400,4.29,IF($AZ52&gt;=215400,2.29,IF($AZ52&gt;=157650,2.29,IF($AZ52&gt;=107650,0.29,IF($AZ52&gt;=96800,0.05,IF($AZ52&gt;=80650,-0.1,IF($AZ52&gt;=13900,0.4,IF($AZ52&gt;=11700,-0.3,IF($AZ52&gt;=8500,0.5,0))))))))))),0))))))))))))))))))</f>
      </c>
      <c r="BC52" s="7">
        <f>IF($B52="","",IF($AN52="AL",0.05*$D52,IF($AN52="AR",0.039*$D52,IF($AN52="ID",0.053*$D52,IF($AN52="IN",(0.0295+'Inputs 2'!$C$76)*$D52,IF($AN52="KS",0.05*$D52,IF($AN52="MA",0.09*MIN($D52,MAX(0,MAX(0,$AY52-MIN(($BD51+$Q52+$R52+$S52),2000)-IF($AS52=0,0,IF($AS52=1,4400,1000*$AS52+3400)))+$D52-1107750))+0.05*($D52-MIN($D52,MAX(0,MAX(0,$AY52-MIN(($BD51+$Q52+$R52+$S52),2000)-IF($AS52=0,0,IF($AS52=1,4400,1000*$AS52+3400)))+$D52-1107750))),IF($AN52="MD",(0.065+'Inputs 2'!$C$74)*$D52,IF($AN52="MI",0.0425*$D52,IF($AN52="MN",0.0625*$D52,IF($AN52="MO",0.047*$D52,IF($AN52="MT",0.05*$D52,IF($AN52="ND",0.015*$D52,IF($AN52="NE",0.035*$D52,IF($AN52="NJ",IF('Inputs 2'!$C$77="B",SUMPRODUCT(($D52*'Inputs 2'!$C$8&gt;INDEX('Methodology &amp; Sources'!$B$155:$J$162,0,4))*($D52*'Inputs 2'!$C$8-INDEX('Methodology &amp; Sources'!$B$155:$J$162,0,4))*INDEX('Methodology &amp; Sources'!$B$155:$J$162,0,4+2)),IF('Inputs 2'!$C$77="C",SUMPRODUCT(($D52*'Inputs 2'!$C$8&gt;INDEX('Methodology &amp; Sources'!$B$155:$J$162,0,7))*($D52*'Inputs 2'!$C$8-INDEX('Methodology &amp; Sources'!$B$155:$J$162,0,7))*INDEX('Methodology &amp; Sources'!$B$155:$J$162,0,7+2)),IF('Inputs 2'!$C$77="D",SUMPRODUCT(($D52*'Inputs 2'!$C$8&gt;INDEX('Methodology &amp; Sources'!$B$167:$J$179,0,1))*($D52*'Inputs 2'!$C$8-INDEX('Methodology &amp; Sources'!$B$167:$J$179,0,1))*INDEX('Methodology &amp; Sources'!$B$167:$J$179,0,1+2)),IF('Inputs 2'!$C$77="E",SUMPRODUCT(($D52*'Inputs 2'!$C$8&gt;INDEX('Methodology &amp; Sources'!$B$167:$J$179,0,4))*($D52*'Inputs 2'!$C$8-INDEX('Methodology &amp; Sources'!$B$167:$J$179,0,4))*INDEX('Methodology &amp; Sources'!$B$167:$J$179,0,4+2)),SUMPRODUCT(($D52*'Inputs 2'!$C$8&gt;INDEX('Methodology &amp; Sources'!$B$155:$J$162,0,1))*($D52*'Inputs 2'!$C$8-INDEX('Methodology &amp; Sources'!$B$155:$J$162,0,1))*INDEX('Methodology &amp; Sources'!$B$155:$J$162,0,1+2))))))/'Inputs 2'!$C$8,IF($AN52="NY",0.117*$D52,IF($AN52="OH",0.0275*$D52,IF($AN52="OK",0.045*$D52,IF($AN52="OR",0.08*$D52,IF($AN52="WI",IF($AY52&lt;12760,0.0354,IF($AY52&lt;25520,0.0465,IF($AY52&lt;280950,0.053,0.0765)))*$D52,0))))))))))))))))))))</f>
      </c>
      <c r="BD52" s="7">
        <f>IF($B52="","",$BD51+$Q52+$R52+$S52)</f>
      </c>
      <c r="BE52" s="6">
        <f>IF($B52="",$BE51,$BE51+$BF52)</f>
      </c>
      <c r="BF52" s="6">
        <f>IF($B52="","",IF(AND(IF(YEAR(IF('Inputs 2'!$C$7="Weekly",'Inputs 2'!$C$9+7*(($BE51+1)-1),IF('Inputs 2'!$C$7="Biweekly",'Inputs 2'!$C$9+14*(($BE51+1)-1),IF('Inputs 2'!$C$7="Semimonthly",DATE(YEAR('Inputs 2'!$C$9),MONTH('Inputs 2'!$C$9)+INT((($BE51+1)-1)/2),MIN(DAY('Inputs 2'!$C$9),DAY(EOMONTH(DATE(YEAR('Inputs 2'!$C$9),MONTH('Inputs 2'!$C$9)+INT((($BE51+1)-1)/2),1),0))))+IF(MOD(($BE51+1)-1,2)=1,15,0),EDATE('Inputs 2'!$C$9,($BE51+1)-1)))))&lt;&gt;'Inputs 2'!$C$10,"",IF('Inputs 2'!$C$7="Weekly",'Inputs 2'!$C$9+7*(($BE51+1)-1),IF('Inputs 2'!$C$7="Biweekly",'Inputs 2'!$C$9+14*(($BE51+1)-1),IF('Inputs 2'!$C$7="Semimonthly",DATE(YEAR('Inputs 2'!$C$9),MONTH('Inputs 2'!$C$9)+INT((($BE51+1)-1)/2),MIN(DAY('Inputs 2'!$C$9),DAY(EOMONTH(DATE(YEAR('Inputs 2'!$C$9),MONTH('Inputs 2'!$C$9)+INT((($BE51+1)-1)/2),1),0))))+IF(MOD(($BE51+1)-1,2)=1,15,0),EDATE('Inputs 2'!$C$9,($BE51+1)-1)))))&lt;&gt;"",$B52=IF(YEAR(IF('Inputs 2'!$C$7="Weekly",'Inputs 2'!$C$9+7*(($BE51+1)-1),IF('Inputs 2'!$C$7="Biweekly",'Inputs 2'!$C$9+14*(($BE51+1)-1),IF('Inputs 2'!$C$7="Semimonthly",DATE(YEAR('Inputs 2'!$C$9),MONTH('Inputs 2'!$C$9)+INT((($BE51+1)-1)/2),MIN(DAY('Inputs 2'!$C$9),DAY(EOMONTH(DATE(YEAR('Inputs 2'!$C$9),MONTH('Inputs 2'!$C$9)+INT((($BE51+1)-1)/2),1),0))))+IF(MOD(($BE51+1)-1,2)=1,15,0),EDATE('Inputs 2'!$C$9,($BE51+1)-1)))))&lt;&gt;'Inputs 2'!$C$10,"",IF('Inputs 2'!$C$7="Weekly",'Inputs 2'!$C$9+7*(($BE51+1)-1),IF('Inputs 2'!$C$7="Biweekly",'Inputs 2'!$C$9+14*(($BE51+1)-1),IF('Inputs 2'!$C$7="Semimonthly",DATE(YEAR('Inputs 2'!$C$9),MONTH('Inputs 2'!$C$9)+INT((($BE51+1)-1)/2),MIN(DAY('Inputs 2'!$C$9),DAY(EOMONTH(DATE(YEAR('Inputs 2'!$C$9),MONTH('Inputs 2'!$C$9)+INT((($BE51+1)-1)/2),1),0))))+IF(MOD(($BE51+1)-1,2)=1,15,0),EDATE('Inputs 2'!$C$9,($BE51+1)-1)))))),1,0))</f>
      </c>
      <c r="BG52" s="7">
        <f>IF($B52="","",$BG51+$H52)</f>
      </c>
      <c r="BH52" s="7">
        <f>IF($B52="","",$BH51+$I52)</f>
      </c>
      <c r="BI52" s="7">
        <f>IF($B52="","",$BI51+$G52)</f>
      </c>
      <c r="BJ52" s="7">
        <f>IF($B52="","",IFERROR(LOOKUP(2,1/(((('Events 2'!$C$6:$C$17="Deduction start"))*('Events 2'!$D$6:$D$17="Health FSA"))*('Events 2'!$B$6:$B$17&lt;=$B52)*('Events 2'!$B$6:$B$17&lt;&gt;"")),'Events 2'!$E$6:$E$17),'Inputs 2'!$D$38))</f>
      </c>
      <c r="BK52" s="7">
        <f>IF($B52="","",IFERROR(LOOKUP(2,1/(((('Events 2'!$C$6:$C$17="Deduction start"))*('Events 2'!$D$6:$D$17="Dependent-care FSA"))*('Events 2'!$B$6:$B$17&lt;=$B52)*('Events 2'!$B$6:$B$17&lt;&gt;"")),'Events 2'!$E$6:$E$17),'Inputs 2'!$D$39))</f>
      </c>
      <c r="BL52" s="7">
        <f>IF($B52="","",IFERROR(LOOKUP(2,1/(((('Events 2'!$C$6:$C$17="Deduction start")+('Events 2'!$C$6:$C$17="Deduction stop"))*('Events 2'!$D$6:$D$17="HSA"))*('Events 2'!$B$6:$B$17&lt;=$B52)*('Events 2'!$B$6:$B$17&lt;&gt;"")),'Events 2'!$I$6:$I$17),'Inputs 2'!$D$35))</f>
      </c>
      <c r="BM52" s="7">
        <f>IF($B52="","",IFERROR(LOOKUP(2,1/(((('Events 2'!$C$6:$C$17="Deduction start")+('Events 2'!$C$6:$C$17="Deduction stop"))*('Events 2'!$D$6:$D$17="Premiums"))*('Events 2'!$B$6:$B$17&lt;=$B52)*('Events 2'!$B$6:$B$17&lt;&gt;"")),'Events 2'!$I$6:$I$17),'Inputs 2'!$D$40+'Inputs 2'!$D$41+'Inputs 2'!$D$42))</f>
      </c>
      <c r="BN52" s="7">
        <f>IF($B52="","",IFERROR(LOOKUP(2,1/(((('Events 2'!$C$6:$C$17="Deduction start")+('Events 2'!$C$6:$C$17="Deduction stop"))*('Events 2'!$D$6:$D$17="Commuter"))*('Events 2'!$B$6:$B$17&lt;=$B52)*('Events 2'!$B$6:$B$17&lt;&gt;"")),'Events 2'!$I$6:$I$17),'Inputs 2'!$D$43))</f>
      </c>
      <c r="BO52" s="7">
        <f>IF($B52="","",IFERROR(LOOKUP(2,1/(((('Events 2'!$C$6:$C$17="Deduction start")+('Events 2'!$C$6:$C$17="Deduction stop"))*('Events 2'!$D$6:$D$17="Other pre-tax"))*('Events 2'!$B$6:$B$17&lt;=$B52)*('Events 2'!$B$6:$B$17&lt;&gt;"")),'Events 2'!$I$6:$I$17),'Inputs 2'!$D$44))</f>
      </c>
      <c r="BP52" s="7">
        <f>IF($B52="","",IFERROR(LOOKUP(2,1/(((('Events 2'!$C$6:$C$17="Deduction start")+('Events 2'!$C$6:$C$17="Deduction stop"))*('Events 2'!$D$6:$D$17="Other post-tax"))*('Events 2'!$B$6:$B$17&lt;=$B52)*('Events 2'!$B$6:$B$17&lt;&gt;"")),'Events 2'!$I$6:$I$17),'Inputs 2'!$D$45))</f>
      </c>
      <c r="BQ52" s="6">
        <f>IF($B52="","",IFERROR(LOOKUP(2,1/(((('Events 2'!$C$6:$C$17="Deduction start")+('Events 2'!$C$6:$C$17="Deduction stop"))*('Events 2'!$D$6:$D$17="Health FSA"))*('Events 2'!$B$6:$B$17&lt;=$B52)*('Events 2'!$B$6:$B$17&lt;&gt;"")),'Events 2'!$J$6:$J$17),0))</f>
      </c>
      <c r="BR52" s="6">
        <f>IF($B52="","",IFERROR(LOOKUP(2,1/(((('Events 2'!$C$6:$C$17="Deduction start")+('Events 2'!$C$6:$C$17="Deduction stop"))*('Events 2'!$D$6:$D$17="Dependent-care FSA"))*('Events 2'!$B$6:$B$17&lt;=$B52)*('Events 2'!$B$6:$B$17&lt;&gt;"")),'Events 2'!$J$6:$J$17),0))</f>
      </c>
      <c r="BS52" s="6">
        <f>IF($B52="","",IF(SUMPRODUCT(('Events 2'!$C$6:$C$17="Deduction start")*('Events 2'!$B$6:$B$17&lt;=$B52)*('Events 2'!$B$6:$B$17&lt;&gt;"")*('Events 2'!$D$6:$D$17="Health FSA"))&gt;0,1,0))</f>
      </c>
      <c r="BT52" s="6">
        <f>IF($B52="","",IF(SUMPRODUCT(('Events 2'!$C$6:$C$17="Deduction start")*('Events 2'!$B$6:$B$17&lt;=$B52)*('Events 2'!$B$6:$B$17&lt;&gt;"")*('Events 2'!$D$6:$D$17="Dependent-care FSA"))&gt;0,1,0))</f>
      </c>
      <c r="BU52" s="24">
        <f>IF($B52="","",IF('Inputs 2'!$C$13,SUMPRODUCT(($AH52&gt;=INDEX('Methodology &amp; Sources'!$B$29:$J$36,0,IF('Inputs 2'!$C$12="MFJ",1,IF('Inputs 2'!$C$12="HoH",7,4))))*INDEX('Methodology &amp; Sources'!$B$29:$J$36,0,IF('Inputs 2'!$C$12="MFJ",1,IF('Inputs 2'!$C$12="HoH",7,4))+2)),SUMPRODUCT(($AH52&gt;=INDEX('Methodology &amp; Sources'!$B$19:$J$26,0,IF('Inputs 2'!$C$12="MFJ",1,IF('Inputs 2'!$C$12="HoH",7,4))))*INDEX('Methodology &amp; Sources'!$B$19:$J$26,0,IF('Inputs 2'!$C$12="MFJ",1,IF('Inputs 2'!$C$12="HoH",7,4))+2))))</f>
      </c>
      <c r="BV52" s="24">
        <f>IF($B52="","",IF($BZ52&lt;&gt;"",$BZ52,IF($CA52&lt;&gt;"",$CA52,IF($CB52&lt;&gt;"",$CB52,IF($CC52&lt;&gt;"",$CC52,0)))))</f>
      </c>
      <c r="BW52" s="7">
        <f>IF($B52="","",IF($AN52="MD",IF(OR($AU52="Married",$AU52="Head of household"),SUMPRODUCT(($AZ52&gt;INDEX('Methodology &amp; Sources'!$B$114:$J$120,0,1))*($AZ52-INDEX('Methodology &amp; Sources'!$B$114:$J$120,0,1))*INDEX('Methodology &amp; Sources'!$B$114:$J$120,0,1+2)),SUMPRODUCT(($AZ52&gt;INDEX('Methodology &amp; Sources'!$B$103:$J$109,0,7))*($AZ52-INDEX('Methodology &amp; Sources'!$B$103:$J$109,0,7))*INDEX('Methodology &amp; Sources'!$B$103:$J$109,0,7+2))),IF($AN52="MO",SUMPRODUCT(($AZ52&gt;INDEX('Methodology &amp; Sources'!$B$125:$J$132,0,1))*($AZ52-INDEX('Methodology &amp; Sources'!$B$125:$J$132,0,1))*INDEX('Methodology &amp; Sources'!$B$125:$J$132,0,1+2)),IF($AN52="MT",IF($AU52="Head of household",SUMPRODUCT(($AZ52&gt;INDEX('Methodology &amp; Sources'!$B$137:$J$139,0,1))*($AZ52-INDEX('Methodology &amp; Sources'!$B$137:$J$139,0,1))*INDEX('Methodology &amp; Sources'!$B$137:$J$139,0,1+2)),IF($AU52="Married",SUMPRODUCT(($AZ52&gt;INDEX('Methodology &amp; Sources'!$B$125:$J$132,0,7))*($AZ52-INDEX('Methodology &amp; Sources'!$B$125:$J$132,0,7))*INDEX('Methodology &amp; Sources'!$B$125:$J$132,0,7+2)),SUMPRODUCT(($AZ52&gt;INDEX('Methodology &amp; Sources'!$B$125:$J$132,0,4))*($AZ52-INDEX('Methodology &amp; Sources'!$B$125:$J$132,0,4))*INDEX('Methodology &amp; Sources'!$B$125:$J$132,0,4+2)))),IF($AN52="ND",IF($AU52="Head of household",SUMPRODUCT(($AZ52&gt;INDEX('Methodology &amp; Sources'!$B$144:$J$150,0,1))*($AZ52-INDEX('Methodology &amp; Sources'!$B$144:$J$150,0,1))*INDEX('Methodology &amp; Sources'!$B$144:$J$150,0,1+2)),IF($AU52="Married",SUMPRODUCT(($AZ52&gt;INDEX('Methodology &amp; Sources'!$B$137:$J$139,0,7))*($AZ52-INDEX('Methodology &amp; Sources'!$B$137:$J$139,0,7))*INDEX('Methodology &amp; Sources'!$B$137:$J$139,0,7+2)),SUMPRODUCT(($AZ52&gt;INDEX('Methodology &amp; Sources'!$B$137:$J$139,0,4))*($AZ52-INDEX('Methodology &amp; Sources'!$B$137:$J$139,0,4))*INDEX('Methodology &amp; Sources'!$B$137:$J$139,0,4+2)))),IF($AN52="NJ",IF('Inputs 2'!$C$77="B",SUMPRODUCT(($AZ52&gt;INDEX('Methodology &amp; Sources'!$B$155:$J$162,0,4))*($AZ52-INDEX('Methodology &amp; Sources'!$B$155:$J$162,0,4))*INDEX('Methodology &amp; Sources'!$B$155:$J$162,0,4+2)),IF('Inputs 2'!$C$77="C",SUMPRODUCT(($AZ52&gt;INDEX('Methodology &amp; Sources'!$B$155:$J$162,0,7))*($AZ52-INDEX('Methodology &amp; Sources'!$B$155:$J$162,0,7))*INDEX('Methodology &amp; Sources'!$B$155:$J$162,0,7+2)),IF('Inputs 2'!$C$77="D",SUMPRODUCT(($AZ52&gt;INDEX('Methodology &amp; Sources'!$B$167:$J$179,0,1))*($AZ52-INDEX('Methodology &amp; Sources'!$B$167:$J$179,0,1))*INDEX('Methodology &amp; Sources'!$B$167:$J$179,0,1+2)),IF('Inputs 2'!$C$77="E",SUMPRODUCT(($AZ52&gt;INDEX('Methodology &amp; Sources'!$B$167:$J$179,0,4))*($AZ52-INDEX('Methodology &amp; Sources'!$B$167:$J$179,0,4))*INDEX('Methodology &amp; Sources'!$B$167:$J$179,0,4+2)),SUMPRODUCT(($AZ52&gt;INDEX('Methodology &amp; Sources'!$B$155:$J$162,0,1))*($AZ52-INDEX('Methodology &amp; Sources'!$B$155:$J$162,0,1))*INDEX('Methodology &amp; Sources'!$B$155:$J$162,0,1+2)))))),IF($AN52="NY",IF($AU52="Married",IF($AZ52&gt;=2155350,$AZ52*IF($AZ52&gt;25000000,0.117,IF($AZ52&gt;5000000,0.111,0.1045)),SUMPRODUCT(($AZ52&gt;INDEX('Methodology &amp; Sources'!$B$184:$J$198,0,1))*($AZ52-INDEX('Methodology &amp; Sources'!$B$184:$J$198,0,1))*INDEX('Methodology &amp; Sources'!$B$184:$J$198,0,1+2))),IF($AZ52&gt;=1077550,$AZ52*IF($AZ52&gt;25000000,0.117,IF($AZ52&gt;5000000,0.111,0.1045)),SUMPRODUCT(($AZ52&gt;INDEX('Methodology &amp; Sources'!$B$167:$J$179,0,7))*($AZ52-INDEX('Methodology &amp; Sources'!$B$167:$J$179,0,7))*INDEX('Methodology &amp; Sources'!$B$167:$J$179,0,7+2)))),"")))))))</f>
      </c>
      <c r="BX52" s="7">
        <f>IF($B52="","",IF($AN52="AL",IF(OR($AU52="Married",$AU52="Head of household"),SUMPRODUCT(($AZ52&gt;INDEX('Methodology &amp; Sources'!$B$82:$J$86,0,4))*($AZ52-INDEX('Methodology &amp; Sources'!$B$82:$J$86,0,4))*INDEX('Methodology &amp; Sources'!$B$82:$J$86,0,4+2)),SUMPRODUCT(($AZ52&gt;INDEX('Methodology &amp; Sources'!$B$82:$J$86,0,1))*($AZ52-INDEX('Methodology &amp; Sources'!$B$82:$J$86,0,1))*INDEX('Methodology &amp; Sources'!$B$82:$J$86,0,1+2))),IF($AN52="KS",IF($AU52="Married",SUMPRODUCT(($AZ52&gt;INDEX('Methodology &amp; Sources'!$B$103:$J$109,0,4))*($AZ52-INDEX('Methodology &amp; Sources'!$B$103:$J$109,0,4))*INDEX('Methodology &amp; Sources'!$B$103:$J$109,0,4+2)),SUMPRODUCT(($AZ52&gt;INDEX('Methodology &amp; Sources'!$B$103:$J$109,0,1))*($AZ52-INDEX('Methodology &amp; Sources'!$B$103:$J$109,0,1))*INDEX('Methodology &amp; Sources'!$B$103:$J$109,0,1+2))),IF($AN52="MN",IF($AU52="Married",SUMPRODUCT(($AZ52&gt;INDEX('Methodology &amp; Sources'!$B$114:$J$120,0,7))*($AZ52-INDEX('Methodology &amp; Sources'!$B$114:$J$120,0,7))*INDEX('Methodology &amp; Sources'!$B$114:$J$120,0,7+2)),SUMPRODUCT(($AZ52&gt;INDEX('Methodology &amp; Sources'!$B$114:$J$120,0,4))*($AZ52-INDEX('Methodology &amp; Sources'!$B$114:$J$120,0,4))*INDEX('Methodology &amp; Sources'!$B$114:$J$120,0,4+2))),IF($AN52="NE",MAX(IF($AU52="Married",SUMPRODUCT(($AZ52&gt;INDEX('Methodology &amp; Sources'!$B$144:$J$150,0,7))*($AZ52-INDEX('Methodology &amp; Sources'!$B$144:$J$150,0,7))*INDEX('Methodology &amp; Sources'!$B$144:$J$150,0,7+2)),SUMPRODUCT(($AZ52&gt;INDEX('Methodology &amp; Sources'!$B$144:$J$150,0,4))*($AZ52-INDEX('Methodology &amp; Sources'!$B$144:$J$150,0,4))*INDEX('Methodology &amp; Sources'!$B$144:$J$150,0,4+2))),0.015*$AZ52),IF($AN52="OH",IF($B52&gt;=DATE(2027,8,1),SUMPRODUCT(($AZ52&gt;INDEX('Methodology &amp; Sources'!$B$203:$J$206,0,1))*($AZ52-INDEX('Methodology &amp; Sources'!$B$203:$J$206,0,1))*INDEX('Methodology &amp; Sources'!$B$203:$J$206,0,1+2)),SUMPRODUCT(($AZ52&gt;INDEX('Methodology &amp; Sources'!$B$184:$J$198,0,7))*($AZ52-INDEX('Methodology &amp; Sources'!$B$184:$J$198,0,7))*INDEX('Methodology &amp; Sources'!$B$184:$J$198,0,7+2))),IF($AN52="OK",IF($AU52="Married",SUMPRODUCT(($AZ52&gt;INDEX('Methodology &amp; Sources'!$B$203:$J$206,0,7))*($AZ52-INDEX('Methodology &amp; Sources'!$B$203:$J$206,0,7))*INDEX('Methodology &amp; Sources'!$B$203:$J$206,0,7+2)),SUMPRODUCT(($AZ52&gt;INDEX('Methodology &amp; Sources'!$B$203:$J$206,0,4))*($AZ52-INDEX('Methodology &amp; Sources'!$B$203:$J$206,0,4))*INDEX('Methodology &amp; Sources'!$B$203:$J$206,0,4+2))),IF($AN52="RI",SUMPRODUCT(($AZ52&gt;INDEX('Methodology &amp; Sources'!$B$211:$J$214,0,7))*($AZ52-INDEX('Methodology &amp; Sources'!$B$211:$J$214,0,7))*INDEX('Methodology &amp; Sources'!$B$211:$J$214,0,7+2)),IF($AN52="VT",IF($AU52="Married",SUMPRODUCT(($AZ52&gt;INDEX('Methodology &amp; Sources'!$B$228:$J$232,0,1))*($AZ52-INDEX('Methodology &amp; Sources'!$B$228:$J$232,0,1))*INDEX('Methodology &amp; Sources'!$B$228:$J$232,0,1+2)),SUMPRODUCT(($AZ52&gt;INDEX('Methodology &amp; Sources'!$B$219:$J$223,0,7))*($AZ52-INDEX('Methodology &amp; Sources'!$B$219:$J$223,0,7))*INDEX('Methodology &amp; Sources'!$B$219:$J$223,0,7+2))),IF($AN52="WV",IF($AU52="Married",SUMPRODUCT(($AZ52&gt;INDEX('Methodology &amp; Sources'!$B$237:$J$241,0,7))*($AZ52-INDEX('Methodology &amp; Sources'!$B$237:$J$241,0,7))*INDEX('Methodology &amp; Sources'!$B$237:$J$241,0,7+2)),SUMPRODUCT(($AZ52&gt;INDEX('Methodology &amp; Sources'!$B$228:$J$232,0,7))*($AZ52-INDEX('Methodology &amp; Sources'!$B$228:$J$232,0,7))*INDEX('Methodology &amp; Sources'!$B$228:$J$232,0,7+2))),""))))))))))</f>
      </c>
      <c r="BY52" s="7">
        <f>IF($B52="","",IF($AN52="AR",SUMPRODUCT(($AZ52&gt;INDEX('Methodology &amp; Sources'!$B$82:$J$86,0,7))*($AZ52-INDEX('Methodology &amp; Sources'!$B$82:$J$86,0,7))*INDEX('Methodology &amp; Sources'!$B$82:$J$86,0,7+2)),IF($AN52="DE",SUMPRODUCT(($AZ52&gt;INDEX('Methodology &amp; Sources'!$B$91:$J$98,0,1))*($AZ52-INDEX('Methodology &amp; Sources'!$B$91:$J$98,0,1))*INDEX('Methodology &amp; Sources'!$B$91:$J$98,0,1+2)),IF($AN52="HI",IF($AU52="Married",SUMPRODUCT(($AZ52&gt;INDEX('Methodology &amp; Sources'!$B$91:$J$98,0,7))*($AZ52-INDEX('Methodology &amp; Sources'!$B$91:$J$98,0,7))*INDEX('Methodology &amp; Sources'!$B$91:$J$98,0,7+2)),SUMPRODUCT(($AZ52&gt;INDEX('Methodology &amp; Sources'!$B$91:$J$98,0,4))*($AZ52-INDEX('Methodology &amp; Sources'!$B$91:$J$98,0,4))*INDEX('Methodology &amp; Sources'!$B$91:$J$98,0,4+2))),IF($AN52="SC",SUMPRODUCT(($AZ52&gt;INDEX('Methodology &amp; Sources'!$B$219:$J$223,0,1))*($AZ52-INDEX('Methodology &amp; Sources'!$B$219:$J$223,0,1))*INDEX('Methodology &amp; Sources'!$B$219:$J$223,0,1+2)),IF($AN52="VA",SUMPRODUCT(($AZ52&gt;INDEX('Methodology &amp; Sources'!$B$219:$J$223,0,4))*($AZ52-INDEX('Methodology &amp; Sources'!$B$219:$J$223,0,4))*INDEX('Methodology &amp; Sources'!$B$219:$J$223,0,4+2)),IF($AN52="WI",SUMPRODUCT(($AZ52&gt;INDEX('Methodology &amp; Sources'!$B$228:$J$232,0,4))*($AZ52-INDEX('Methodology &amp; Sources'!$B$228:$J$232,0,4))*INDEX('Methodology &amp; Sources'!$B$228:$J$232,0,4+2)),"")))))))</f>
      </c>
      <c r="BZ52" s="24">
        <f>IF($B52="","",IF($AN52="NJ",IF('Inputs 2'!$C$77="B",SUMPRODUCT(($AZ52&gt;=INDEX('Methodology &amp; Sources'!$B$155:$J$162,0,4))*INDEX('Methodology &amp; Sources'!$B$155:$J$162,0,4+2)),IF('Inputs 2'!$C$77="C",SUMPRODUCT(($AZ52&gt;=INDEX('Methodology &amp; Sources'!$B$155:$J$162,0,7))*INDEX('Methodology &amp; Sources'!$B$155:$J$162,0,7+2)),IF('Inputs 2'!$C$77="D",SUMPRODUCT(($AZ52&gt;=INDEX('Methodology &amp; Sources'!$B$167:$J$179,0,1))*INDEX('Methodology &amp; Sources'!$B$167:$J$179,0,1+2)),IF('Inputs 2'!$C$77="E",SUMPRODUCT(($AZ52&gt;=INDEX('Methodology &amp; Sources'!$B$167:$J$179,0,4))*INDEX('Methodology &amp; Sources'!$B$167:$J$179,0,4+2)),SUMPRODUCT(($AZ52&gt;=INDEX('Methodology &amp; Sources'!$B$155:$J$162,0,1))*INDEX('Methodology &amp; Sources'!$B$155:$J$162,0,1+2)))))),IF($AN52="OR",IF(OR($AU52="Married",AND($AU52="Single",$AS52&gt;=3)),SUMPRODUCT((MAX(0,$AY52-MIN(($P52-'Methodology &amp; Sources'!$C$10*$D52)*'Inputs 2'!$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Sources'!$B$211:$J$214,0,4))*INDEX('Methodology &amp; Sources'!$B$211:$J$214,0,4+2)),SUMPRODUCT((MAX(0,$AY52-MIN(($P52-'Methodology &amp; Sources'!$C$10*$D52)*'Inputs 2'!$C$8,IF(OR($AU52="Married",AND($AU52="Single",$AS52&gt;=3)),IF($AY52&lt;250000,8750,IF($AY52&lt;260000,7000,IF($AY52&lt;270000,5250,IF($AY52&lt;280000,3500,IF($AY52&lt;290000,1750,0))))),IF($AY52&lt;125000,8750,IF($AY52&lt;130000,7000,IF($AY52&lt;135000,5250,IF($AY52&lt;140000,3500,IF($AY52&lt;145000,1750,0)))))))-IF(OR($AU52="Married",AND($AU52="Single",$AS52&gt;=3)),5820,2910))&gt;=INDEX('Methodology &amp; Sources'!$B$211:$J$214,0,1))*INDEX('Methodology &amp; Sources'!$B$211:$J$214,0,1+2)))*IF(($P52-'Methodology &amp; Sources'!$C$10*$D52)*'Inputs 2'!$C$8&gt;=IF(OR($AU52="Married",AND($AU52="Single",$AS52&gt;=3)),IF($AY52&lt;250000,8750,IF($AY52&lt;260000,7000,IF($AY52&lt;270000,5250,IF($AY52&lt;280000,3500,IF($AY52&lt;290000,1750,0))))),IF($AY52&lt;125000,8750,IF($AY52&lt;130000,7000,IF($AY52&lt;135000,5250,IF($AY52&lt;140000,3500,IF($AY52&lt;145000,1750,0)))))),1,1-IF('Inputs 2'!$C$13,SUMPRODUCT(($AH52&gt;=INDEX('Methodology &amp; Sources'!$B$29:$J$36,0,IF('Inputs 2'!$C$12="MFJ",1,IF('Inputs 2'!$C$12="HoH",7,4))))*INDEX('Methodology &amp; Sources'!$B$29:$J$36,0,IF('Inputs 2'!$C$12="MFJ",1,IF('Inputs 2'!$C$12="HoH",7,4))+2)),SUMPRODUCT(($AH52&gt;=INDEX('Methodology &amp; Sources'!$B$19:$J$26,0,IF('Inputs 2'!$C$12="MFJ",1,IF('Inputs 2'!$C$12="HoH",7,4))))*INDEX('Methodology &amp; Sources'!$B$19:$J$26,0,IF('Inputs 2'!$C$12="MFJ",1,IF('Inputs 2'!$C$12="HoH",7,4))+2)))),IF($AN52="MI",IF($AY52&gt;5900*$AS52,0.0425,0),""))))</f>
      </c>
      <c r="CA52" s="24">
        <f>IF($B52="","",IF($AN52="AL",IF(OR($AU52="Married",$AU52="Head of household"),SUMPRODUCT(($AZ52&gt;=INDEX('Methodology &amp; Sources'!$B$82:$J$86,0,4))*INDEX('Methodology &amp; Sources'!$B$82:$J$86,0,4+2)),SUMPRODUCT(($AZ52&gt;=INDEX('Methodology &amp; Sources'!$B$82:$J$86,0,1))*INDEX('Methodology &amp; Sources'!$B$82:$J$86,0,1+2)))*(1-IF('Inputs 2'!$C$13,SUMPRODUCT(($AH52&gt;=INDEX('Methodology &amp; Sources'!$B$29:$J$36,0,IF('Inputs 2'!$C$12="MFJ",1,IF('Inputs 2'!$C$12="HoH",7,4))))*INDEX('Methodology &amp; Sources'!$B$29:$J$36,0,IF('Inputs 2'!$C$12="MFJ",1,IF('Inputs 2'!$C$12="HoH",7,4))+2)),SUMPRODUCT(($AH52&gt;=INDEX('Methodology &amp; Sources'!$B$19:$J$26,0,IF('Inputs 2'!$C$12="MFJ",1,IF('Inputs 2'!$C$12="HoH",7,4))))*INDEX('Methodology &amp; Sources'!$B$19:$J$26,0,IF('Inputs 2'!$C$12="MFJ",1,IF('Inputs 2'!$C$12="HoH",7,4))+2)))),IF($AN52="KS",IF($AU52="Married",SUMPRODUCT(($AZ52&gt;=INDEX('Methodology &amp; Sources'!$B$103:$J$109,0,4))*INDEX('Methodology &amp; Sources'!$B$103:$J$109,0,4+2)),SUMPRODUCT(($AZ52&gt;=INDEX('Methodology &amp; Sources'!$B$103:$J$109,0,1))*INDEX('Methodology &amp; Sources'!$B$103:$J$109,0,1+2))),IF($AN52="MD",IF(OR($AU52="Married",$AU52="Head of household"),SUMPRODUCT(($AZ52&gt;=INDEX('Methodology &amp; Sources'!$B$114:$J$120,0,1))*INDEX('Methodology &amp; Sources'!$B$114:$J$120,0,1+2)),SUMPRODUCT(($AZ52&gt;=INDEX('Methodology &amp; Sources'!$B$103:$J$109,0,7))*INDEX('Methodology &amp; Sources'!$B$103:$J$109,0,7+2)))+'Inputs 2'!$C$74,IF($AN52="MT",IF($AU52="Head of household",SUMPRODUCT(($AZ52&gt;=INDEX('Methodology &amp; Sources'!$B$137:$J$139,0,1))*INDEX('Methodology &amp; Sources'!$B$137:$J$139,0,1+2)),IF($AU52="Married",SUMPRODUCT(($AZ52&gt;=INDEX('Methodology &amp; Sources'!$B$125:$J$132,0,7))*INDEX('Methodology &amp; Sources'!$B$125:$J$132,0,7+2)),SUMPRODUCT(($AZ52&gt;=INDEX('Methodology &amp; Sources'!$B$125:$J$132,0,4))*INDEX('Methodology &amp; Sources'!$B$125:$J$132,0,4+2)))),IF($AN52="ND",IF($AU52="Head of household",SUMPRODUCT(($AZ52&gt;=INDEX('Methodology &amp; Sources'!$B$144:$J$150,0,1))*INDEX('Methodology &amp; Sources'!$B$144:$J$150,0,1+2)),IF($AU52="Married",SUMPRODUCT(($AZ52&gt;=INDEX('Methodology &amp; Sources'!$B$137:$J$139,0,7))*INDEX('Methodology &amp; Sources'!$B$137:$J$139,0,7+2)),SUMPRODUCT(($AZ52&gt;=INDEX('Methodology &amp; Sources'!$B$137:$J$139,0,4))*INDEX('Methodology &amp; Sources'!$B$137:$J$139,0,4+2)))),IF($AN52="NY",IF($AU52="Married",IF($AZ52&gt;=2155350,IF($AZ52&gt;25000000,0.117,IF($AZ52&gt;5000000,0.111,0.1045)),SUMPRODUCT(($AZ52&gt;=INDEX('Methodology &amp; Sources'!$B$184:$J$198,0,1))*INDEX('Methodology &amp; Sources'!$B$184:$J$198,0,1+2))),IF($AZ52&gt;=1077550,IF($AZ52&gt;25000000,0.117,IF($AZ52&gt;5000000,0.111,0.1045)),SUMPRODUCT(($AZ52&gt;=INDEX('Methodology &amp; Sources'!$B$167:$J$179,0,7))*INDEX('Methodology &amp; Sources'!$B$167:$J$179,0,7+2)))),"")))))))</f>
      </c>
      <c r="CB52" s="24">
        <f>IF($B52="","",IF($AN52="CA",SUMPRODUCT(($AJ52&gt;=INDEX('Methodology &amp; Sources'!$B$39:$J$48,0,IF($AU52="Married",4,IF($AU52="Head of household",7,1))))*INDEX('Methodology &amp; Sources'!$B$39:$J$48,0,IF($AU52="Married",4,IF($AU52="Head of household",7,1))+2)),IF($AN52="HI",IF($AU52="Married",SUMPRODUCT(($AZ52&gt;=INDEX('Methodology &amp; Sources'!$B$91:$J$98,0,7))*INDEX('Methodology &amp; Sources'!$B$91:$J$98,0,7+2)),SUMPRODUCT(($AZ52&gt;=INDEX('Methodology &amp; Sources'!$B$91:$J$98,0,4))*INDEX('Methodology &amp; Sources'!$B$91:$J$98,0,4+2))),IF($AN52="MN",IF($AU52="Married",SUMPRODUCT(($AZ52&gt;=INDEX('Methodology &amp; Sources'!$B$114:$J$120,0,7))*INDEX('Methodology &amp; Sources'!$B$114:$J$120,0,7+2)),SUMPRODUCT(($AZ52&gt;=INDEX('Methodology &amp; Sources'!$B$114:$J$120,0,4))*INDEX('Methodology &amp; Sources'!$B$114:$J$120,0,4+2))),IF($AN52="MO",SUMPRODUCT(($AZ52&gt;=INDEX('Methodology &amp; Sources'!$B$125:$J$132,0,1))*INDEX('Methodology &amp; Sources'!$B$125:$J$132,0,1+2)),IF($AN52="NE",MAX(IF($AU52="Married",SUMPRODUCT(($AZ52&gt;=INDEX('Methodology &amp; Sources'!$B$144:$J$150,0,7))*INDEX('Methodology &amp; Sources'!$B$144:$J$150,0,7+2)),SUMPRODUCT(($AZ52&gt;=INDEX('Methodology &amp; Sources'!$B$144:$J$150,0,4))*INDEX('Methodology &amp; Sources'!$B$144:$J$150,0,4+2))),0.015),IF($AN52="OH",IF($B52&gt;=DATE(2027,8,1),SUMPRODUCT(($AZ52&gt;=INDEX('Methodology &amp; Sources'!$B$203:$J$206,0,1))*INDEX('Methodology &amp; Sources'!$B$203:$J$206,0,1+2)),SUMPRODUCT(($AZ52&gt;=INDEX('Methodology &amp; Sources'!$B$184:$J$198,0,7))*INDEX('Methodology &amp; Sources'!$B$184:$J$198,0,7+2))),IF($AN52="OK",IF($AU52="Married",SUMPRODUCT(($AZ52&gt;=INDEX('Methodology &amp; Sources'!$B$203:$J$206,0,7))*INDEX('Methodology &amp; Sources'!$B$203:$J$206,0,7+2)),SUMPRODUCT(($AZ52&gt;=INDEX('Methodology &amp; Sources'!$B$203:$J$206,0,4))*INDEX('Methodology &amp; Sources'!$B$203:$J$206,0,4+2))),IF($AN52="RI",SUMPRODUCT(($AZ52&gt;=INDEX('Methodology &amp; Sources'!$B$211:$J$214,0,7))*INDEX('Methodology &amp; Sources'!$B$211:$J$214,0,7+2)),IF($AN52="SC",SUMPRODUCT(($AZ52&gt;=INDEX('Methodology &amp; Sources'!$B$219:$J$223,0,1))*INDEX('Methodology &amp; Sources'!$B$219:$J$223,0,1+2)),IF($AN52="VT",IF($AU52="Married",SUMPRODUCT(($AZ52&gt;=INDEX('Methodology &amp; Sources'!$B$228:$J$232,0,1))*INDEX('Methodology &amp; Sources'!$B$228:$J$232,0,1+2)),SUMPRODUCT(($AZ52&gt;=INDEX('Methodology &amp; Sources'!$B$219:$J$223,0,7))*INDEX('Methodology &amp; Sources'!$B$219:$J$223,0,7+2))),IF($AN52="WV",IF($AU52="Married",SUMPRODUCT(($AZ52&gt;=INDEX('Methodology &amp; Sources'!$B$237:$J$241,0,7))*INDEX('Methodology &amp; Sources'!$B$237:$J$241,0,7+2)),SUMPRODUCT(($AZ52&gt;=INDEX('Methodology &amp; Sources'!$B$228:$J$232,0,7))*INDEX('Methodology &amp; Sources'!$B$228:$J$232,0,7+2))),IF($AN52="IN",(0.0295+'Inputs 2'!$C$76),"")))))))))))))</f>
      </c>
      <c r="CC52" s="24">
        <f>IF($B52="","",IF($AN52="AR",SUMPRODUCT(($AZ52&gt;=INDEX('Methodology &amp; Sources'!$B$82:$J$86,0,7))*INDEX('Methodology &amp; Sources'!$B$82:$J$86,0,7+2)),IF($AN52="DE",SUMPRODUCT(($AZ52&gt;=INDEX('Methodology &amp; Sources'!$B$91:$J$98,0,1))*INDEX('Methodology &amp; Sources'!$B$91:$J$98,0,1+2)),IF($AN52="VA",SUMPRODUCT(($AZ52&gt;=INDEX('Methodology &amp; Sources'!$B$219:$J$223,0,4))*INDEX('Methodology &amp; Sources'!$B$219:$J$223,0,4+2)),IF($AN52="WI",SUMPRODUCT(($AZ52&gt;=INDEX('Methodology &amp; Sources'!$B$228:$J$232,0,4))*INDEX('Methodology &amp; Sources'!$B$228:$J$232,0,4+2)),IF($AN52="AZ",'Inputs 2'!$C$82,IF($AN52="CO",IF($AY52&gt;IF($AU52="Married",10000,5000),0.044,0),IF($AN52="IA",IF($AY52&gt;IF($AU52="Head of household",19500,IF($AU52="Married",26000,13000)),0.038,0),IF($AN52="ID",IF($AY52&gt;IF($AU52="Married",32000,16094),0.053,0),IF($AN52="IL",IF($AY52&gt;(2925*$AS52+1000*$AT52),0.0495,0),IF($AN52="KY",IF($AI52&gt;3360,0.035,0),IF($AN52="LA",0.0309,IF($AN52="MA",IF(MAX(0,$AY52-MIN(($BD51+$Q52+$R52+$S52),2000)-IF($AS52=0,0,IF($AS52=1,4400,1000*$AS52+3400)))&gt;=1107750,0.09,0.05),IF($AN52="MS",IF($AI52-IF($AU52="Head of household",3400,IF($AU52="Married",4600,2300))-'Inputs 2'!$C$85&gt;10000,0.04,0),IF($AN52="PA",0.0307,"")))))))))))))))</f>
      </c>
      <c r="CD52" s="21">
        <f>IF(YEAR(IF('Inputs 2'!$C$7="Weekly",'Inputs 2'!$C$9+7*(($BE51+1)-1),IF('Inputs 2'!$C$7="Biweekly",'Inputs 2'!$C$9+14*(($BE51+1)-1),IF('Inputs 2'!$C$7="Semimonthly",DATE(YEAR('Inputs 2'!$C$9),MONTH('Inputs 2'!$C$9)+INT((($BE51+1)-1)/2),MIN(DAY('Inputs 2'!$C$9),DAY(EOMONTH(DATE(YEAR('Inputs 2'!$C$9),MONTH('Inputs 2'!$C$9)+INT((($BE51+1)-1)/2),1),0))))+IF(MOD(($BE51+1)-1,2)=1,15,0),EDATE('Inputs 2'!$C$9,($BE51+1)-1)))))&lt;&gt;'Inputs 2'!$C$10,"",IF('Inputs 2'!$C$7="Weekly",'Inputs 2'!$C$9+7*(($BE51+1)-1),IF('Inputs 2'!$C$7="Biweekly",'Inputs 2'!$C$9+14*(($BE51+1)-1),IF('Inputs 2'!$C$7="Semimonthly",DATE(YEAR('Inputs 2'!$C$9),MONTH('Inputs 2'!$C$9)+INT((($BE51+1)-1)/2),MIN(DAY('Inputs 2'!$C$9),DAY(EOMONTH(DATE(YEAR('Inputs 2'!$C$9),MONTH('Inputs 2'!$C$9)+INT((($BE51+1)-1)/2),1),0))))+IF(MOD(($BE51+1)-1,2)=1,15,0),EDATE('Inputs 2'!$C$9,($BE51+1)-1)))))</f>
      </c>
      <c r="CE52" s="21">
        <f>IF(SUMPRODUCT(MIN(IF(('Inputs 2'!$C$58:$C$67&gt;MAX($B$6:$B51))*('Inputs 2'!$C$58:$C$67&gt;=DATE('Inputs 2'!$C$10,1,1))*('Inputs 2'!$C$58:$C$67&lt;=DATE('Inputs 2'!$C$10,12,31)),'Inputs 2'!$C$58:$C$67,999999)))=999999,"",SUMPRODUCT(MIN(IF(('Inputs 2'!$C$58:$C$67&gt;MAX($B$6:$B51))*('Inputs 2'!$C$58:$C$67&gt;=DATE('Inputs 2'!$C$10,1,1))*('Inputs 2'!$C$58:$C$67&lt;=DATE('Inputs 2'!$C$10,12,31)),'Inputs 2'!$C$58:$C$67,999999))))</f>
      </c>
    </row>
    <row r="53">
      <c r="A53" t="n">
        <v>48</v>
      </c>
      <c r="B53" s="21">
        <f>IF(AND($CD53="",$CE53=""),"",IF($CE53="",$CD53,IF($CD53="",$CE53,MIN($CD53,$CE53))))</f>
      </c>
      <c r="C53" s="7">
        <f>IF($B53="","",IF($BF53=0,0,IF('Inputs 2'!$C$4="Annual salary",ROUND($AK53/IF(AND('Inputs 2'!$C$88="Actual paydays",MONTH('Inputs 2'!$C$9)=1),MAX(1,MAX($BE$6:$BE$68)),'Inputs 2'!$C$8),2),$AK53)))</f>
      </c>
      <c r="D53" s="7">
        <f>IF($B53="","",SUMIF('Inputs 2'!$C$58:$C$67,$B53,'Inputs 2'!$D$58:$D$67))</f>
      </c>
      <c r="E53" s="7">
        <f>IF($B53="","",ROUND(MAX(0,MIN(IF($AL53="Percent",$AM53*($C53+$D53),$AM53),MAX(0,'Inputs 2'!$C$34-$AC52))),2))</f>
      </c>
      <c r="F53" s="7">
        <f>IF($B53="","",ROUND(MAX(0,MIN(IF('Inputs 2'!$C$32="Percent",'Inputs 2'!$D$32*($C53+$D53),'Inputs 2'!$D$32),MAX(0,'Inputs 2'!$C$34-$AC52-$E53))),2))</f>
      </c>
      <c r="G53" s="7">
        <f>IF($B53="","",IF($BF53=0,0,ROUND(MAX(0,MIN($BL53,'Inputs 2'!$C$37-'Inputs 2'!$C$54-$BI52)),2)))</f>
      </c>
      <c r="H53" s="7">
        <f>IF($B53="","",IF(OR($BF53=0,$BQ53=1),0,ROUND(MAX(0,MIN(IF($BS53=1,ROUND(MAX(0,MIN($BJ53,'Methodology &amp; Sources'!$C$13)-$BG52)/MAX(1,MAX($BE$6:$BE$68)-($BE52)),2),ROUND(MIN($BJ53,'Methodology &amp; Sources'!$C$13)/'Inputs 2'!$C$8,2)),MIN($BJ53,'Methodology &amp; Sources'!$C$13)-$BG52)),2)))</f>
      </c>
      <c r="I53" s="7">
        <f>IF($B53="","",IF(OR($BF53=0,$BR53=1),0,ROUND(MAX(0,MIN(IF($BT53=1,ROUND(MAX(0,MIN($BK53,IF('Inputs 2'!$C$12="MFJ",'Methodology &amp; Sources'!$C$14,'Methodology &amp; Sources'!$C$15))-$BH52)/MAX(1,MAX($BE$6:$BE$68)-($BE52)),2),ROUND(MIN($BK53,IF('Inputs 2'!$C$12="MFJ",'Methodology &amp; Sources'!$C$14,'Methodology &amp; Sources'!$C$15))/'Inputs 2'!$C$8,2)),MIN($BK53,IF('Inputs 2'!$C$12="MFJ",'Methodology &amp; Sources'!$C$14,'Methodology &amp; Sources'!$C$15))-$BH52)),2)))</f>
      </c>
      <c r="J53" s="7">
        <f>IF($B53="","",IF($BF53=0,0,$BM53))</f>
      </c>
      <c r="K53" s="7">
        <f>IF($B53="","",IF($BF53=0,0,$BN53+$BO53))</f>
      </c>
      <c r="L53" s="7">
        <f>IF($B53="","",IF($BF53=0,0,'Inputs 2'!$D$46))</f>
      </c>
      <c r="M53" s="7">
        <f>IF($B53="","",$C53+$D53+$L53-$E53-$G53-$H53-$I53-$J53-$K53)</f>
      </c>
      <c r="N53" s="7">
        <f>IF($B53="","",$C53+$D53+$L53-$G53-$H53-$I53-$J53-$K53)</f>
      </c>
      <c r="O53" s="7">
        <f>IF($B53="","",$C53+$D53+$L53-$E53-$H53-$I53-$J53-$K53-IF(OR($AN53="CA",$AN53="NJ"),0,$G53))</f>
      </c>
      <c r="P53" s="7">
        <f>IF($B53="","",IF('Inputs 2'!$C$18,0,ROUND(MAX(0,IF('Inputs 2'!$C$13,SUMPRODUCT(($AH53&gt;INDEX('Methodology &amp; Sources'!$B$29:$J$36,0,IF('Inputs 2'!$C$12="MFJ",1,IF('Inputs 2'!$C$12="HoH",7,4))))*($AH53-INDEX('Methodology &amp; Sources'!$B$29:$J$36,0,IF('Inputs 2'!$C$12="MFJ",1,IF('Inputs 2'!$C$12="HoH",7,4))))*INDEX('Methodology &amp; Sources'!$B$29:$J$36,0,IF('Inputs 2'!$C$12="MFJ",1,IF('Inputs 2'!$C$12="HoH",7,4))+2)),SUMPRODUCT(($AH53&gt;INDEX('Methodology &amp; Sources'!$B$19:$J$26,0,IF('Inputs 2'!$C$12="MFJ",1,IF('Inputs 2'!$C$12="HoH",7,4))))*($AH53-INDEX('Methodology &amp; Sources'!$B$19:$J$26,0,IF('Inputs 2'!$C$12="MFJ",1,IF('Inputs 2'!$C$12="HoH",7,4))))*INDEX('Methodology &amp; Sources'!$B$19:$J$26,0,IF('Inputs 2'!$C$12="MFJ",1,IF('Inputs 2'!$C$12="HoH",7,4))+2)))/'Inputs 2'!$C$8-$AO53/'Inputs 2'!$C$8)+$AR53+IF('Inputs 2'!$C$89="Aggregate",MAX(0,IF('Inputs 2'!$C$13,SUMPRODUCT((($AH53+$D53)&gt;INDEX('Methodology &amp; Sources'!$B$29:$J$36,0,IF('Inputs 2'!$C$12="MFJ",1,IF('Inputs 2'!$C$12="HoH",7,4))))*(($AH53+$D53)-INDEX('Methodology &amp; Sources'!$B$29:$J$36,0,IF('Inputs 2'!$C$12="MFJ",1,IF('Inputs 2'!$C$12="HoH",7,4))))*INDEX('Methodology &amp; Sources'!$B$29:$J$36,0,IF('Inputs 2'!$C$12="MFJ",1,IF('Inputs 2'!$C$12="HoH",7,4))+2)),SUMPRODUCT((($AH53+$D53)&gt;INDEX('Methodology &amp; Sources'!$B$19:$J$26,0,IF('Inputs 2'!$C$12="MFJ",1,IF('Inputs 2'!$C$12="HoH",7,4))))*(($AH53+$D53)-INDEX('Methodology &amp; Sources'!$B$19:$J$26,0,IF('Inputs 2'!$C$12="MFJ",1,IF('Inputs 2'!$C$12="HoH",7,4))))*INDEX('Methodology &amp; Sources'!$B$19:$J$26,0,IF('Inputs 2'!$C$12="MFJ",1,IF('Inputs 2'!$C$12="HoH",7,4))+2)))-IF('Inputs 2'!$C$13,SUMPRODUCT(($AH53&gt;INDEX('Methodology &amp; Sources'!$B$29:$J$36,0,IF('Inputs 2'!$C$12="MFJ",1,IF('Inputs 2'!$C$12="HoH",7,4))))*($AH53-INDEX('Methodology &amp; Sources'!$B$29:$J$36,0,IF('Inputs 2'!$C$12="MFJ",1,IF('Inputs 2'!$C$12="HoH",7,4))))*INDEX('Methodology &amp; Sources'!$B$29:$J$36,0,IF('Inputs 2'!$C$12="MFJ",1,IF('Inputs 2'!$C$12="HoH",7,4))+2)),SUMPRODUCT(($AH53&gt;INDEX('Methodology &amp; Sources'!$B$19:$J$26,0,IF('Inputs 2'!$C$12="MFJ",1,IF('Inputs 2'!$C$12="HoH",7,4))))*($AH53-INDEX('Methodology &amp; Sources'!$B$19:$J$26,0,IF('Inputs 2'!$C$12="MFJ",1,IF('Inputs 2'!$C$12="HoH",7,4))))*INDEX('Methodology &amp; Sources'!$B$19:$J$26,0,IF('Inputs 2'!$C$12="MFJ",1,IF('Inputs 2'!$C$12="HoH",7,4))+2)))),'Methodology &amp; Sources'!$C$10*$D53),2)))</f>
      </c>
      <c r="Q53" s="7">
        <f>IF($B53="","",ROUND('Methodology &amp; Sources'!$C$4*MIN($N53,MAX(0,'Methodology &amp; Sources'!$C$3-($AX53+$AB52-$AW53))),2))</f>
      </c>
      <c r="R53" s="7">
        <f>IF($B53="","",ROUND('Methodology &amp; Sources'!$C$5*$N53,2))</f>
      </c>
      <c r="S53" s="7">
        <f>IF($B53="","",ROUND('Methodology &amp; Sources'!$C$6*MAX(0,MIN($N53,$AG52+$N53-'Methodology &amp; Sources'!$C$7)),2))</f>
      </c>
      <c r="T53" s="7">
        <f>IF($B53="","",IF('Inputs 2'!$C$26,0,IF($AN53="CA",ROUND(IF($AI53&lt;=IF(($AS53+$AT53)&gt;=2,VLOOKUP($AN53,StateTables!$A$6:$AB$56,10,FALSE),VLOOKUP($AN53,StateTables!$A$6:$AB$56,9,FALSE)),0,MAX(0,SUMPRODUCT(($AJ53&gt;INDEX('Methodology &amp; Sources'!$B$39:$J$48,0,IF($AU53="Married",4,IF($AU53="Head of household",7,1))))*($AJ53-INDEX('Methodology &amp; Sources'!$B$39:$J$48,0,IF($AU53="Married",4,IF($AU53="Head of household",7,1))))*INDEX('Methodology &amp; Sources'!$B$39:$J$48,0,IF($AU53="Married",4,IF($AU53="Head of household",7,1))+2))-VLOOKUP($AN53,StateTables!$A$6:$AB$56,11,FALSE)*$AS53)/'Inputs 2'!$C$8)+'Inputs 2'!$C$25+VLOOKUP($AN53,StateTables!$A$6:$AB$56,13,FALSE)*$D53,2),IF(VLOOKUP($AN53,StateTables!$A$6:$AB$56,4,FALSE)="None",0,IF(ISNUMBER(SEARCH("MANUAL",VLOOKUP($AN53,StateTables!$A$6:$AB$56,5,FALSE))),'Inputs 2'!$C$28,ROUND(MAX(0,$BA53+$BB53)/'Inputs 2'!$C$8+'Inputs 2'!$C$25+$BC53,2))))))</f>
      </c>
      <c r="U53" s="7">
        <f>IF($B53="","",IF(VLOOKUP($AN53,StateTables!$A$6:$AB$56,24,FALSE)="flatq",IF(OR(MONTH($B53)=1,MONTH($B53)=4,MONTH($B53)=7,MONTH($B53)=10),VLOOKUP($AN53,StateTables!$A$6:$AB$56,25,FALSE),0),IF(VLOOKUP($AN53,StateTables!$A$6:$AB$56,24,FALSE)="dbl",MIN(ROUND(0.005*$N53,2),ROUND(0.6*52/'Inputs 2'!$C$8,2)),IF(OR(VLOOKUP($AN53,StateTables!$A$6:$AB$56,15,FALSE)="",VLOOKUP($AN53,StateTables!$A$6:$AB$56,15,FALSE)=0),0,ROUND(VLOOKUP($AN53,StateTables!$A$6:$AB$56,15,FALSE)*IF(OR(VLOOKUP($AN53,StateTables!$A$6:$AB$56,16,FALSE)="",VLOOKUP($AN53,StateTables!$A$6:$AB$56,16,FALSE)=0),$N53,MIN($N53,MAX(0,VLOOKUP($AN53,StateTables!$A$6:$AB$56,16,FALSE)-($AX53+$AB52-$AW53)))),2))))+IF(VLOOKUP($AN53,StateTables!$A$6:$AB$56,27,FALSE)="flatq",IF(OR(MONTH($B53)=1,MONTH($B53)=4,MONTH($B53)=7,MONTH($B53)=10),VLOOKUP($AN53,StateTables!$A$6:$AB$56,28,FALSE),0),IF(VLOOKUP($AN53,StateTables!$A$6:$AB$56,27,FALSE)="dbl",MIN(ROUND(0.005*$N53,2),ROUND(0.6*52/'Inputs 2'!$C$8,2)),IF(OR(VLOOKUP($AN53,StateTables!$A$6:$AB$56,18,FALSE)="",VLOOKUP($AN53,StateTables!$A$6:$AB$56,18,FALSE)=0),0,ROUND(VLOOKUP($AN53,StateTables!$A$6:$AB$56,18,FALSE)*IF(OR(VLOOKUP($AN53,StateTables!$A$6:$AB$56,19,FALSE)="",VLOOKUP($AN53,StateTables!$A$6:$AB$56,19,FALSE)=0),$N53,MIN($N53,MAX(0,VLOOKUP($AN53,StateTables!$A$6:$AB$56,19,FALSE)-($AX53+$AB52-$AW53)))),2)))))</f>
      </c>
      <c r="V53" s="7">
        <f>IF($B53="","",IF($AN53="NY",IF('Inputs 2'!$C$78,ROUND(SUMPRODUCT((MAX(0,($O53-$D53)*'Inputs 2'!$C$8-(IF($AU53="Married",5500,5000)+1000*$AS53))&gt;INDEX('Methodology &amp; Sources'!$B$184:$J$198,0,4))*(MAX(0,($O53-$D53)*'Inputs 2'!$C$8-(IF($AU53="Married",5500,5000)+1000*$AS53))-INDEX('Methodology &amp; Sources'!$B$184:$J$198,0,4))*INDEX('Methodology &amp; Sources'!$B$184:$J$198,0,4+2))/'Inputs 2'!$C$8+0.0425*$D53,2),0)+IF('Inputs 2'!$C$79="Resident",ROUND(0.1675*$T53,2),IF('Inputs 2'!$C$79="Nonresident",ROUND(0.005*MAX(0,($O53-$D53)-(IF($AU53="Married",7950,7400)+1000*$AS53)/'Inputs 2'!$C$8),2),0)),IF($AN53="PA",IF('Inputs 2'!$C$80="None",'Inputs 2'!$C$27+ROUND('Inputs 2'!$C$81*($C53+$D53),2),ROUND(IF('Inputs 2'!$C$80="Resident",IF($B53&lt;DATE(2027,7,1),0.03735,0.03735),IF($B53&lt;DATE(2027,7,1),0.03425,0.03425))*($C53+$D53),2)),IF($BF53=0,ROUND('Inputs 2'!$C$81*($C53+$D53),2),'Inputs 2'!$C$27+ROUND('Inputs 2'!$C$81*($C53+$D53),2)))))</f>
      </c>
      <c r="W53" s="7">
        <f>IF($B53="","",IF($BF53=0,0,$BP53))</f>
      </c>
      <c r="X53" s="7">
        <f>IF($B53="","",SUM($E53:$K53)+$P53+$Q53+$R53+$S53+$T53+$U53+$V53+$W53)</f>
      </c>
      <c r="Y53" s="22">
        <f>IF($B53="","",$C53+$D53-$X53)</f>
      </c>
      <c r="Z53" s="7">
        <f>IF($B53="","",$Z52+$C53+$D53)</f>
      </c>
      <c r="AA53" s="7">
        <f>IF($B53="","",$AA52+$Y53)</f>
      </c>
      <c r="AB53" s="7">
        <f>IF($B53="","",$AB52+MIN($N53,MAX(0,'Methodology &amp; Sources'!$C$3-($AX53+$AB52-$AW53))))</f>
      </c>
      <c r="AC53" s="7">
        <f>IF($B53="","",$AC52+$E53+$F53)</f>
      </c>
      <c r="AD53" s="3">
        <f>IF($B53="","",IF(AND($AB52&lt;'Methodology &amp; Sources'!$C$3,$AB53&gt;='Methodology &amp; Sources'!$C$3),"★ Social Security maxed on this check — from the next check your net rises by about $"&amp;TEXT(ROUND('Methodology &amp; Sources'!$C$4*$N53,2),"#,##0.00")&amp;". ","")&amp;IF(AND($AC52&lt;'Inputs 2'!$C$34,$AC53&gt;='Inputs 2'!$C$34),"★ 401(k) reaches the $"&amp;TEXT('Inputs 2'!$C$34,"#,##0")&amp;" cap on this check — deferrals stop and net pay rises. ","")&amp;IF(AND($AG52&lt;'Methodology &amp; Sources'!$C$7,$AG53&gt;='Methodology &amp; Sources'!$C$7),"★ Wages pass $200,000 — the 0.9% Additional Medicare Tax starts here. ","")&amp;IF(AND($BJ53&gt;0,$H53&gt;0,$BG52&lt;MIN($BJ53,'Methodology &amp; Sources'!$C$13),$BG52+$H53&gt;=MIN($BJ53,'Methodology &amp; Sources'!$C$13)),"★ Health FSA election is now fully deferred for the year. ",""))</f>
      </c>
      <c r="AE53" s="41" t="n"/>
      <c r="AF53" s="7">
        <f>IF(OR($B53="",$AE53=""),"",$AE53-$Y53)</f>
      </c>
      <c r="AG53" s="7">
        <f>IF($B53="","",$AG52+$N53)</f>
      </c>
      <c r="AH53" s="7">
        <f>IF($B53="","",MAX(0,($M53-$D53)*'Inputs 2'!$C$8+$AP53-$AQ53-IF('Inputs 2'!$C$13,0,IF('Inputs 2'!$C$12="MFJ",'Methodology &amp; Sources'!$C$8,'Methodology &amp; Sources'!$C$9))))</f>
      </c>
      <c r="AI53" s="7">
        <f>IF($B53="","",$O53*'Inputs 2'!$C$8)</f>
      </c>
      <c r="AJ53" s="7">
        <f>IF($B53="","",MAX(0,$AI53-VLOOKUP($AN53,StateTables!$A$6:$AB$56,12,FALSE)*$AT53-IF(($AS53+$AT53)&gt;=2,VLOOKUP($AN53,StateTables!$A$6:$AB$56,8,FALSE),VLOOKUP($AN53,StateTables!$A$6:$AB$56,7,FALSE))))</f>
      </c>
      <c r="AK53" s="7">
        <f>IF($B53="","",IFERROR(LOOKUP(2,1/(('Events 2'!$C$6:$C$17="Salary change")*('Events 2'!$B$6:$B$17&lt;=$B53)*('Events 2'!$B$6:$B$17&lt;&gt;"")),'Events 2'!$D$6:$D$17),IF('Inputs 2'!$C$4="Annual salary",'Inputs 2'!$C$5,'Inputs 2'!$C$6)))</f>
      </c>
      <c r="AL53">
        <f>IF($B53="","",IFERROR(LOOKUP(2,1/(('Events 2'!$C$6:$C$17="401(k) change")*('Events 2'!$B$6:$B$17&lt;=$B53)*('Events 2'!$B$6:$B$17&lt;&gt;"")),'Events 2'!$D$6:$D$17),'Inputs 2'!$C$30))</f>
      </c>
      <c r="AM53" s="7">
        <f>IF($B53="","",IFERROR(LOOKUP(2,1/(('Events 2'!$C$6:$C$17="401(k) change")*('Events 2'!$B$6:$B$17&lt;=$B53)*('Events 2'!$B$6:$B$17&lt;&gt;"")),'Events 2'!$E$6:$E$17),'Inputs 2'!$D$30))</f>
      </c>
      <c r="AN53">
        <f>IF($B53="","",IFERROR(LOOKUP(2,1/(('Events 2'!$C$6:$C$17="State move")*('Events 2'!$B$6:$B$17&lt;=$B53)*('Events 2'!$B$6:$B$17&lt;&gt;"")),'Events 2'!$D$6:$D$17),'Inputs 2'!$C$21))</f>
      </c>
      <c r="AO53" s="7">
        <f>IF($B53="","",IFERROR(LOOKUP(2,1/(('Events 2'!$C$6:$C$17="W-4 change")*('Events 2'!$B$6:$B$17&lt;=$B53)*('Events 2'!$B$6:$B$17&lt;&gt;"")),'Events 2'!$D$6:$D$17),'Inputs 2'!$C$14))</f>
      </c>
      <c r="AP53" s="7">
        <f>IF($B53="","",IFERROR(LOOKUP(2,1/(('Events 2'!$C$6:$C$17="W-4 change")*('Events 2'!$B$6:$B$17&lt;=$B53)*('Events 2'!$B$6:$B$17&lt;&gt;"")),'Events 2'!$E$6:$E$17),'Inputs 2'!$C$15))</f>
      </c>
      <c r="AQ53" s="7">
        <f>IF($B53="","",IFERROR(LOOKUP(2,1/(('Events 2'!$C$6:$C$17="W-4 change")*('Events 2'!$B$6:$B$17&lt;=$B53)*('Events 2'!$B$6:$B$17&lt;&gt;"")),'Events 2'!$F$6:$F$17),'Inputs 2'!$C$16))</f>
      </c>
      <c r="AR53" s="7">
        <f>IF($B53="","",IFERROR(LOOKUP(2,1/(('Events 2'!$C$6:$C$17="W-4 change")*('Events 2'!$B$6:$B$17&lt;=$B53)*('Events 2'!$B$6:$B$17&lt;&gt;"")),'Events 2'!$G$6:$G$17),'Inputs 2'!$C$17))</f>
      </c>
      <c r="AS53" s="6">
        <f>IF($B53="","",IFERROR(LOOKUP(2,1/((('Events 2'!$C$6:$C$17="State move")+('Events 2'!$C$6:$C$17="State cert change"))*('Events 2'!$B$6:$B$17&lt;=$B53)*('Events 2'!$B$6:$B$17&lt;&gt;"")),'Events 2'!$F$6:$F$17),'Inputs 2'!$C$23))</f>
      </c>
      <c r="AT53" s="6">
        <f>IF($B53="","",IFERROR(LOOKUP(2,1/((('Events 2'!$C$6:$C$17="State move")+('Events 2'!$C$6:$C$17="State cert change"))*('Events 2'!$B$6:$B$17&lt;=$B53)*('Events 2'!$B$6:$B$17&lt;&gt;"")),'Events 2'!$G$6:$G$17),'Inputs 2'!$C$24))</f>
      </c>
      <c r="AU53">
        <f>IF($B53="","",IFERROR(LOOKUP(2,1/(('Events 2'!$C$6:$C$17="State move")*('Events 2'!$B$6:$B$17&lt;=$B53)*('Events 2'!$B$6:$B$17&lt;&gt;"")),'Events 2'!$E$6:$E$17),'Inputs 2'!$C$22))</f>
      </c>
      <c r="AV53" s="6">
        <f>IF($B53="","",1+COUNTIFS('Events 2'!$C$6:$C$17,"Employer change",'Events 2'!$B$6:$B$17,"&lt;="&amp;$B53,'Events 2'!$B$6:$B$17,"&lt;&gt;"))</f>
      </c>
      <c r="AW53" s="7">
        <f>IF($B53="","",IF($AV53=1,'Inputs 2'!$C$49,IF(IFERROR(MATCH(IFERROR(LOOKUP(2,1/(('Events 2'!$C$6:$C$17="Employer change")*('Events 2'!$B$6:$B$17&lt;=$B53)*('Events 2'!$B$6:$B$17&lt;&gt;"")),'Events 2'!$B$6:$B$17),""),$B$6:$B$68,1),1)&lt;=1,'Inputs 2'!$C$49,INDEX($AB$6:$AB$68,MATCH(IFERROR(LOOKUP(2,1/(('Events 2'!$C$6:$C$17="Employer change")*('Events 2'!$B$6:$B$17&lt;=$B53)*('Events 2'!$B$6:$B$17&lt;&gt;"")),'Events 2'!$B$6:$B$17),""),$B$6:$B$68,1)-1))))</f>
      </c>
      <c r="AX53" s="7">
        <f>IF($B53="","",IF($AV53=1,'Inputs 2'!$C$49,IFERROR(LOOKUP(2,1/(('Events 2'!$C$6:$C$17="Employer change")*('Events 2'!$B$6:$B$17&lt;=$B53)*('Events 2'!$B$6:$B$17&lt;&gt;"")),'Events 2'!$D$6:$D$17),0)))</f>
      </c>
      <c r="AY53" s="7">
        <f>IF($B53="","",($O53-$D53)*'Inputs 2'!$C$8)</f>
      </c>
      <c r="AZ53" s="7">
        <f>IF($B53="","",IF($AN53="AL",MAX(0,$AY53-IF($AU53="Married",IF($AY53&lt;=25999,8500,MAX(5000,8500-175*CEILING(($AY53-25999)/500,1))),IF($AU53="Head of household",IF($AY53&lt;=25999,5200,MAX(2500,5200-135*CEILING(($AY53-25999)/500,1))),IF($AY53&lt;=25999,3000,MAX(2500,3000-25*CEILING(($AY53-25999)/500,1)))))-($P53-'Methodology &amp; Sources'!$C$10*$D53)*'Inputs 2'!$C$8-IF(OR($AU53="Married",$AU53="Head of household"),3000,1500)-$AT53*IF($AY53&lt;=50000,1000,IF($AY53&lt;=100000,500,300))),IF($AN53="AR",IF(MAX(0,$AY53-2470)&lt;97701,INT(MAX(0,$AY53-2470)/100)*100+50,MAX(0,$AY53-2470)),IF($AN53="DE",MAX(0,$AI53-3250),IF($AN53="HI",MAX(0,$AI53-1144*$AS53-4350),IF($AN53="KS",MAX(0,$AI53-(9160*IF($AU53="Married",2,1)+2320*$AT53+IF($AU53="Head of household",2320,0))),IF($AN53="MD",MAX(0,$AI53-3400-3200*$AS53),IF($AN53="MN",MAX(0,$AY53-5300*$AS53),IF($AN53="MO",MAX(0,$AI53-IF($AU53="Head of household",24150,IF($AU53="Married",IF('Inputs 2'!$C$83,16100,32200),16100))),IF($AN53="MT",$AY53,IF($AN53="ND",($C53+$L53)*'Inputs 2'!$C$8,IF($AN53="NE",MAX(0,$AY53-2440*$AS53),IF($AN53="NJ",MAX(0,$AY53-1000*$AS53),IF($AN53="NY",MAX(0,$AY53-(IF($AU53="Married",7950,7400)+1000*$AS53)),IF($AN53="OH",MAX(0,$AY53-650*$AS53),IF($AN53="OK",MAX(0,$AY53-1000*$AS53),IF($AN53="RI",MAX(0,$AI53-1000*$AS53),IF($AN53="SC",MAX(0,$AI53-5000*$AS53-IF($AS53=0,0,MIN(0.1*$AI53,7500))),IF($AN53="VA",MAX(0,$AI53-IF($AU53="Married",17500,8750)-930*$AS53-800*$AT53),IF($AN53="VT",MAX(0,$AI53-5400*$AS53),IF($AN53="WI",MAX(0,$AI53-MAX(0,IF($AU53="Married",9461-0.2*MAX(0,$AI53-25727),6702-0.12*MAX(0,$AI53-17780)))-400*$AS53),IF($AN53="WV",MAX(0,$AI53-2000*$AS53),$AI53))))))))))))))))))))))</f>
      </c>
      <c r="BA53" s="7">
        <f>IF($B53="","",IF($BW53&lt;&gt;"",$BW53,IF($BX53&lt;&gt;"",$BX53,IF($BY53&lt;&gt;"",$BY53,0))))</f>
      </c>
      <c r="BB53" s="7">
        <f>IF($B53="","",IF($AN53="AR",-29*$AS53,IF($AN53="DE",-110*$AS53,IF($AN53="MD",$AZ53*'Inputs 2'!$C$74,IF($AN53="AZ",'Inputs 2'!$C$82*($M53-$D53)*'Inputs 2'!$C$8,IF($AN53="CO",0.044*MAX(0,$AY53-IF($AU53="Married",10000,5000)),IF($AN53="IA",MAX(0,0.038*MAX(0,$AY53-IF($AU53="Head of household",19500,IF($AU53="Married",26000,13000)))-40*$AS53),IF($AN53="ID",0.053*MAX(0,$AY53-IF($AU53="Married",32000,16094)),IF($AN53="IL",0.0495*MAX(0,$AY53-(2925*$AS53+1000*$AT53)),IF($AN53="IN",(0.0295+'Inputs 2'!$C$76)*MAX(0,$AY53-(1000*$AS53+1500*$AT53+3000*'Inputs 2'!$C$86)),IF($AN53="KY",0.035*MAX(0,$AI53-3360),IF($AN53="LA",IF('Inputs 2'!$C$84="0",0.0309*$AI53,0.0309*MAX(0,$AI53-IF('Inputs 2'!$C$84="2",25750,12875))),IF($AN53="MA",0.05*MIN(MAX(0,$AY53-MIN(($BD52+$Q53+$R53+$S53),2000)-IF($AS53=0,0,IF($AS53=1,4400,1000*$AS53+3400))),1107750)+0.09*MAX(0,MAX(0,$AY53-MIN(($BD52+$Q53+$R53+$S53),2000)-IF($AS53=0,0,IF($AS53=1,4400,1000*$AS53+3400)))-1107750)-IF($AU53="Head of household",120,0)-110*'Inputs 2'!$C$75,IF($AN53="MI",0.0425*MAX(0,$AY53-5900*$AS53),IF($AN53="MS",0.04*MAX(0,$AI53-IF($AU53="Head of household",3400,IF($AU53="Married",4600,2300))-'Inputs 2'!$C$85-10000),IF($AN53="OR",IF(OR($AU53="Married",AND($AU53="Single",$AS53&gt;=3)),SUMPRODUCT((MAX(0,$AY53-MIN(($P53-'Methodology &amp; Sources'!$C$10*$D53)*'Inputs 2'!$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Sources'!$B$211:$J$214,0,4))*(MAX(0,$AY53-MIN(($P53-'Methodology &amp; Sources'!$C$10*$D53)*'Inputs 2'!$C$8,IF(OR($AU53="Married",AND($AU53="Single",$AS53&gt;=3)),IF($AY53&lt;250000,8750,IF($AY53&lt;260000,7000,IF($AY53&lt;270000,5250,IF($AY53&lt;280000,3500,IF($AY53&lt;290000,1750,0))))),IF($AY53&lt;125000,8750,IF($AY53&lt;130000,7000,IF($AY53&lt;135000,5250,IF($AY53&lt;140000,3500,IF($AY53&lt;145000,1750,0)))))))-IF(OR($AU53="Married",AND($AU53="Single",$AS53&gt;=3)),5820,2910))-INDEX('Methodology &amp; Sources'!$B$211:$J$214,0,4))*INDEX('Methodology &amp; Sources'!$B$211:$J$214,0,4+2)),SUMPRODUCT((MAX(0,$AY53-MIN(($P53-'Methodology &amp; Sources'!$C$10*$D53)*'Inputs 2'!$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Sources'!$B$211:$J$214,0,1))*(MAX(0,$AY53-MIN(($P53-'Methodology &amp; Sources'!$C$10*$D53)*'Inputs 2'!$C$8,IF(OR($AU53="Married",AND($AU53="Single",$AS53&gt;=3)),IF($AY53&lt;250000,8750,IF($AY53&lt;260000,7000,IF($AY53&lt;270000,5250,IF($AY53&lt;280000,3500,IF($AY53&lt;290000,1750,0))))),IF($AY53&lt;125000,8750,IF($AY53&lt;130000,7000,IF($AY53&lt;135000,5250,IF($AY53&lt;140000,3500,IF($AY53&lt;145000,1750,0)))))))-IF(OR($AU53="Married",AND($AU53="Single",$AS53&gt;=3)),5820,2910))-INDEX('Methodology &amp; Sources'!$B$211:$J$214,0,1))*INDEX('Methodology &amp; Sources'!$B$211:$J$214,0,1+2)))+263-263*IF(IF($AU53="Married",$AY53&gt;200000,$AY53&gt;100000),0,$AS53),IF($AN53="PA",0.0307*(($O53+$E53+$G53)*'Inputs 2'!$C$8),IF($AN53="NY",IF($AU53="Married",IF($AZ53&gt;=2155350,0,IF($AZ53&gt;=1077550,0.48,IF($AZ53&gt;=373200,1.21,IF($AZ53&gt;=323200,0.21,IF($AZ53&gt;=211550,-0.19,IF($AZ53&gt;=157650,-2.8,IF($AZ53&gt;=107650,-0.8,IF($AZ53&gt;=96800,0.05,IF($AZ53&gt;=80650,-0.1,IF($AZ53&gt;=13900,0.4,IF($AZ53&gt;=11700,-0.3,IF($AZ53&gt;=8500,0.5,0)))))))))))),IF($AZ53&gt;=1077550,0,IF($AZ53&gt;=265400,4.29,IF($AZ53&gt;=215400,2.29,IF($AZ53&gt;=157650,2.29,IF($AZ53&gt;=107650,0.29,IF($AZ53&gt;=96800,0.05,IF($AZ53&gt;=80650,-0.1,IF($AZ53&gt;=13900,0.4,IF($AZ53&gt;=11700,-0.3,IF($AZ53&gt;=8500,0.5,0))))))))))),0))))))))))))))))))</f>
      </c>
      <c r="BC53" s="7">
        <f>IF($B53="","",IF($AN53="AL",0.05*$D53,IF($AN53="AR",0.039*$D53,IF($AN53="ID",0.053*$D53,IF($AN53="IN",(0.0295+'Inputs 2'!$C$76)*$D53,IF($AN53="KS",0.05*$D53,IF($AN53="MA",0.09*MIN($D53,MAX(0,MAX(0,$AY53-MIN(($BD52+$Q53+$R53+$S53),2000)-IF($AS53=0,0,IF($AS53=1,4400,1000*$AS53+3400)))+$D53-1107750))+0.05*($D53-MIN($D53,MAX(0,MAX(0,$AY53-MIN(($BD52+$Q53+$R53+$S53),2000)-IF($AS53=0,0,IF($AS53=1,4400,1000*$AS53+3400)))+$D53-1107750))),IF($AN53="MD",(0.065+'Inputs 2'!$C$74)*$D53,IF($AN53="MI",0.0425*$D53,IF($AN53="MN",0.0625*$D53,IF($AN53="MO",0.047*$D53,IF($AN53="MT",0.05*$D53,IF($AN53="ND",0.015*$D53,IF($AN53="NE",0.035*$D53,IF($AN53="NJ",IF('Inputs 2'!$C$77="B",SUMPRODUCT(($D53*'Inputs 2'!$C$8&gt;INDEX('Methodology &amp; Sources'!$B$155:$J$162,0,4))*($D53*'Inputs 2'!$C$8-INDEX('Methodology &amp; Sources'!$B$155:$J$162,0,4))*INDEX('Methodology &amp; Sources'!$B$155:$J$162,0,4+2)),IF('Inputs 2'!$C$77="C",SUMPRODUCT(($D53*'Inputs 2'!$C$8&gt;INDEX('Methodology &amp; Sources'!$B$155:$J$162,0,7))*($D53*'Inputs 2'!$C$8-INDEX('Methodology &amp; Sources'!$B$155:$J$162,0,7))*INDEX('Methodology &amp; Sources'!$B$155:$J$162,0,7+2)),IF('Inputs 2'!$C$77="D",SUMPRODUCT(($D53*'Inputs 2'!$C$8&gt;INDEX('Methodology &amp; Sources'!$B$167:$J$179,0,1))*($D53*'Inputs 2'!$C$8-INDEX('Methodology &amp; Sources'!$B$167:$J$179,0,1))*INDEX('Methodology &amp; Sources'!$B$167:$J$179,0,1+2)),IF('Inputs 2'!$C$77="E",SUMPRODUCT(($D53*'Inputs 2'!$C$8&gt;INDEX('Methodology &amp; Sources'!$B$167:$J$179,0,4))*($D53*'Inputs 2'!$C$8-INDEX('Methodology &amp; Sources'!$B$167:$J$179,0,4))*INDEX('Methodology &amp; Sources'!$B$167:$J$179,0,4+2)),SUMPRODUCT(($D53*'Inputs 2'!$C$8&gt;INDEX('Methodology &amp; Sources'!$B$155:$J$162,0,1))*($D53*'Inputs 2'!$C$8-INDEX('Methodology &amp; Sources'!$B$155:$J$162,0,1))*INDEX('Methodology &amp; Sources'!$B$155:$J$162,0,1+2))))))/'Inputs 2'!$C$8,IF($AN53="NY",0.117*$D53,IF($AN53="OH",0.0275*$D53,IF($AN53="OK",0.045*$D53,IF($AN53="OR",0.08*$D53,IF($AN53="WI",IF($AY53&lt;12760,0.0354,IF($AY53&lt;25520,0.0465,IF($AY53&lt;280950,0.053,0.0765)))*$D53,0))))))))))))))))))))</f>
      </c>
      <c r="BD53" s="7">
        <f>IF($B53="","",$BD52+$Q53+$R53+$S53)</f>
      </c>
      <c r="BE53" s="6">
        <f>IF($B53="",$BE52,$BE52+$BF53)</f>
      </c>
      <c r="BF53" s="6">
        <f>IF($B53="","",IF(AND(IF(YEAR(IF('Inputs 2'!$C$7="Weekly",'Inputs 2'!$C$9+7*(($BE52+1)-1),IF('Inputs 2'!$C$7="Biweekly",'Inputs 2'!$C$9+14*(($BE52+1)-1),IF('Inputs 2'!$C$7="Semimonthly",DATE(YEAR('Inputs 2'!$C$9),MONTH('Inputs 2'!$C$9)+INT((($BE52+1)-1)/2),MIN(DAY('Inputs 2'!$C$9),DAY(EOMONTH(DATE(YEAR('Inputs 2'!$C$9),MONTH('Inputs 2'!$C$9)+INT((($BE52+1)-1)/2),1),0))))+IF(MOD(($BE52+1)-1,2)=1,15,0),EDATE('Inputs 2'!$C$9,($BE52+1)-1)))))&lt;&gt;'Inputs 2'!$C$10,"",IF('Inputs 2'!$C$7="Weekly",'Inputs 2'!$C$9+7*(($BE52+1)-1),IF('Inputs 2'!$C$7="Biweekly",'Inputs 2'!$C$9+14*(($BE52+1)-1),IF('Inputs 2'!$C$7="Semimonthly",DATE(YEAR('Inputs 2'!$C$9),MONTH('Inputs 2'!$C$9)+INT((($BE52+1)-1)/2),MIN(DAY('Inputs 2'!$C$9),DAY(EOMONTH(DATE(YEAR('Inputs 2'!$C$9),MONTH('Inputs 2'!$C$9)+INT((($BE52+1)-1)/2),1),0))))+IF(MOD(($BE52+1)-1,2)=1,15,0),EDATE('Inputs 2'!$C$9,($BE52+1)-1)))))&lt;&gt;"",$B53=IF(YEAR(IF('Inputs 2'!$C$7="Weekly",'Inputs 2'!$C$9+7*(($BE52+1)-1),IF('Inputs 2'!$C$7="Biweekly",'Inputs 2'!$C$9+14*(($BE52+1)-1),IF('Inputs 2'!$C$7="Semimonthly",DATE(YEAR('Inputs 2'!$C$9),MONTH('Inputs 2'!$C$9)+INT((($BE52+1)-1)/2),MIN(DAY('Inputs 2'!$C$9),DAY(EOMONTH(DATE(YEAR('Inputs 2'!$C$9),MONTH('Inputs 2'!$C$9)+INT((($BE52+1)-1)/2),1),0))))+IF(MOD(($BE52+1)-1,2)=1,15,0),EDATE('Inputs 2'!$C$9,($BE52+1)-1)))))&lt;&gt;'Inputs 2'!$C$10,"",IF('Inputs 2'!$C$7="Weekly",'Inputs 2'!$C$9+7*(($BE52+1)-1),IF('Inputs 2'!$C$7="Biweekly",'Inputs 2'!$C$9+14*(($BE52+1)-1),IF('Inputs 2'!$C$7="Semimonthly",DATE(YEAR('Inputs 2'!$C$9),MONTH('Inputs 2'!$C$9)+INT((($BE52+1)-1)/2),MIN(DAY('Inputs 2'!$C$9),DAY(EOMONTH(DATE(YEAR('Inputs 2'!$C$9),MONTH('Inputs 2'!$C$9)+INT((($BE52+1)-1)/2),1),0))))+IF(MOD(($BE52+1)-1,2)=1,15,0),EDATE('Inputs 2'!$C$9,($BE52+1)-1)))))),1,0))</f>
      </c>
      <c r="BG53" s="7">
        <f>IF($B53="","",$BG52+$H53)</f>
      </c>
      <c r="BH53" s="7">
        <f>IF($B53="","",$BH52+$I53)</f>
      </c>
      <c r="BI53" s="7">
        <f>IF($B53="","",$BI52+$G53)</f>
      </c>
      <c r="BJ53" s="7">
        <f>IF($B53="","",IFERROR(LOOKUP(2,1/(((('Events 2'!$C$6:$C$17="Deduction start"))*('Events 2'!$D$6:$D$17="Health FSA"))*('Events 2'!$B$6:$B$17&lt;=$B53)*('Events 2'!$B$6:$B$17&lt;&gt;"")),'Events 2'!$E$6:$E$17),'Inputs 2'!$D$38))</f>
      </c>
      <c r="BK53" s="7">
        <f>IF($B53="","",IFERROR(LOOKUP(2,1/(((('Events 2'!$C$6:$C$17="Deduction start"))*('Events 2'!$D$6:$D$17="Dependent-care FSA"))*('Events 2'!$B$6:$B$17&lt;=$B53)*('Events 2'!$B$6:$B$17&lt;&gt;"")),'Events 2'!$E$6:$E$17),'Inputs 2'!$D$39))</f>
      </c>
      <c r="BL53" s="7">
        <f>IF($B53="","",IFERROR(LOOKUP(2,1/(((('Events 2'!$C$6:$C$17="Deduction start")+('Events 2'!$C$6:$C$17="Deduction stop"))*('Events 2'!$D$6:$D$17="HSA"))*('Events 2'!$B$6:$B$17&lt;=$B53)*('Events 2'!$B$6:$B$17&lt;&gt;"")),'Events 2'!$I$6:$I$17),'Inputs 2'!$D$35))</f>
      </c>
      <c r="BM53" s="7">
        <f>IF($B53="","",IFERROR(LOOKUP(2,1/(((('Events 2'!$C$6:$C$17="Deduction start")+('Events 2'!$C$6:$C$17="Deduction stop"))*('Events 2'!$D$6:$D$17="Premiums"))*('Events 2'!$B$6:$B$17&lt;=$B53)*('Events 2'!$B$6:$B$17&lt;&gt;"")),'Events 2'!$I$6:$I$17),'Inputs 2'!$D$40+'Inputs 2'!$D$41+'Inputs 2'!$D$42))</f>
      </c>
      <c r="BN53" s="7">
        <f>IF($B53="","",IFERROR(LOOKUP(2,1/(((('Events 2'!$C$6:$C$17="Deduction start")+('Events 2'!$C$6:$C$17="Deduction stop"))*('Events 2'!$D$6:$D$17="Commuter"))*('Events 2'!$B$6:$B$17&lt;=$B53)*('Events 2'!$B$6:$B$17&lt;&gt;"")),'Events 2'!$I$6:$I$17),'Inputs 2'!$D$43))</f>
      </c>
      <c r="BO53" s="7">
        <f>IF($B53="","",IFERROR(LOOKUP(2,1/(((('Events 2'!$C$6:$C$17="Deduction start")+('Events 2'!$C$6:$C$17="Deduction stop"))*('Events 2'!$D$6:$D$17="Other pre-tax"))*('Events 2'!$B$6:$B$17&lt;=$B53)*('Events 2'!$B$6:$B$17&lt;&gt;"")),'Events 2'!$I$6:$I$17),'Inputs 2'!$D$44))</f>
      </c>
      <c r="BP53" s="7">
        <f>IF($B53="","",IFERROR(LOOKUP(2,1/(((('Events 2'!$C$6:$C$17="Deduction start")+('Events 2'!$C$6:$C$17="Deduction stop"))*('Events 2'!$D$6:$D$17="Other post-tax"))*('Events 2'!$B$6:$B$17&lt;=$B53)*('Events 2'!$B$6:$B$17&lt;&gt;"")),'Events 2'!$I$6:$I$17),'Inputs 2'!$D$45))</f>
      </c>
      <c r="BQ53" s="6">
        <f>IF($B53="","",IFERROR(LOOKUP(2,1/(((('Events 2'!$C$6:$C$17="Deduction start")+('Events 2'!$C$6:$C$17="Deduction stop"))*('Events 2'!$D$6:$D$17="Health FSA"))*('Events 2'!$B$6:$B$17&lt;=$B53)*('Events 2'!$B$6:$B$17&lt;&gt;"")),'Events 2'!$J$6:$J$17),0))</f>
      </c>
      <c r="BR53" s="6">
        <f>IF($B53="","",IFERROR(LOOKUP(2,1/(((('Events 2'!$C$6:$C$17="Deduction start")+('Events 2'!$C$6:$C$17="Deduction stop"))*('Events 2'!$D$6:$D$17="Dependent-care FSA"))*('Events 2'!$B$6:$B$17&lt;=$B53)*('Events 2'!$B$6:$B$17&lt;&gt;"")),'Events 2'!$J$6:$J$17),0))</f>
      </c>
      <c r="BS53" s="6">
        <f>IF($B53="","",IF(SUMPRODUCT(('Events 2'!$C$6:$C$17="Deduction start")*('Events 2'!$B$6:$B$17&lt;=$B53)*('Events 2'!$B$6:$B$17&lt;&gt;"")*('Events 2'!$D$6:$D$17="Health FSA"))&gt;0,1,0))</f>
      </c>
      <c r="BT53" s="6">
        <f>IF($B53="","",IF(SUMPRODUCT(('Events 2'!$C$6:$C$17="Deduction start")*('Events 2'!$B$6:$B$17&lt;=$B53)*('Events 2'!$B$6:$B$17&lt;&gt;"")*('Events 2'!$D$6:$D$17="Dependent-care FSA"))&gt;0,1,0))</f>
      </c>
      <c r="BU53" s="24">
        <f>IF($B53="","",IF('Inputs 2'!$C$13,SUMPRODUCT(($AH53&gt;=INDEX('Methodology &amp; Sources'!$B$29:$J$36,0,IF('Inputs 2'!$C$12="MFJ",1,IF('Inputs 2'!$C$12="HoH",7,4))))*INDEX('Methodology &amp; Sources'!$B$29:$J$36,0,IF('Inputs 2'!$C$12="MFJ",1,IF('Inputs 2'!$C$12="HoH",7,4))+2)),SUMPRODUCT(($AH53&gt;=INDEX('Methodology &amp; Sources'!$B$19:$J$26,0,IF('Inputs 2'!$C$12="MFJ",1,IF('Inputs 2'!$C$12="HoH",7,4))))*INDEX('Methodology &amp; Sources'!$B$19:$J$26,0,IF('Inputs 2'!$C$12="MFJ",1,IF('Inputs 2'!$C$12="HoH",7,4))+2))))</f>
      </c>
      <c r="BV53" s="24">
        <f>IF($B53="","",IF($BZ53&lt;&gt;"",$BZ53,IF($CA53&lt;&gt;"",$CA53,IF($CB53&lt;&gt;"",$CB53,IF($CC53&lt;&gt;"",$CC53,0)))))</f>
      </c>
      <c r="BW53" s="7">
        <f>IF($B53="","",IF($AN53="MD",IF(OR($AU53="Married",$AU53="Head of household"),SUMPRODUCT(($AZ53&gt;INDEX('Methodology &amp; Sources'!$B$114:$J$120,0,1))*($AZ53-INDEX('Methodology &amp; Sources'!$B$114:$J$120,0,1))*INDEX('Methodology &amp; Sources'!$B$114:$J$120,0,1+2)),SUMPRODUCT(($AZ53&gt;INDEX('Methodology &amp; Sources'!$B$103:$J$109,0,7))*($AZ53-INDEX('Methodology &amp; Sources'!$B$103:$J$109,0,7))*INDEX('Methodology &amp; Sources'!$B$103:$J$109,0,7+2))),IF($AN53="MO",SUMPRODUCT(($AZ53&gt;INDEX('Methodology &amp; Sources'!$B$125:$J$132,0,1))*($AZ53-INDEX('Methodology &amp; Sources'!$B$125:$J$132,0,1))*INDEX('Methodology &amp; Sources'!$B$125:$J$132,0,1+2)),IF($AN53="MT",IF($AU53="Head of household",SUMPRODUCT(($AZ53&gt;INDEX('Methodology &amp; Sources'!$B$137:$J$139,0,1))*($AZ53-INDEX('Methodology &amp; Sources'!$B$137:$J$139,0,1))*INDEX('Methodology &amp; Sources'!$B$137:$J$139,0,1+2)),IF($AU53="Married",SUMPRODUCT(($AZ53&gt;INDEX('Methodology &amp; Sources'!$B$125:$J$132,0,7))*($AZ53-INDEX('Methodology &amp; Sources'!$B$125:$J$132,0,7))*INDEX('Methodology &amp; Sources'!$B$125:$J$132,0,7+2)),SUMPRODUCT(($AZ53&gt;INDEX('Methodology &amp; Sources'!$B$125:$J$132,0,4))*($AZ53-INDEX('Methodology &amp; Sources'!$B$125:$J$132,0,4))*INDEX('Methodology &amp; Sources'!$B$125:$J$132,0,4+2)))),IF($AN53="ND",IF($AU53="Head of household",SUMPRODUCT(($AZ53&gt;INDEX('Methodology &amp; Sources'!$B$144:$J$150,0,1))*($AZ53-INDEX('Methodology &amp; Sources'!$B$144:$J$150,0,1))*INDEX('Methodology &amp; Sources'!$B$144:$J$150,0,1+2)),IF($AU53="Married",SUMPRODUCT(($AZ53&gt;INDEX('Methodology &amp; Sources'!$B$137:$J$139,0,7))*($AZ53-INDEX('Methodology &amp; Sources'!$B$137:$J$139,0,7))*INDEX('Methodology &amp; Sources'!$B$137:$J$139,0,7+2)),SUMPRODUCT(($AZ53&gt;INDEX('Methodology &amp; Sources'!$B$137:$J$139,0,4))*($AZ53-INDEX('Methodology &amp; Sources'!$B$137:$J$139,0,4))*INDEX('Methodology &amp; Sources'!$B$137:$J$139,0,4+2)))),IF($AN53="NJ",IF('Inputs 2'!$C$77="B",SUMPRODUCT(($AZ53&gt;INDEX('Methodology &amp; Sources'!$B$155:$J$162,0,4))*($AZ53-INDEX('Methodology &amp; Sources'!$B$155:$J$162,0,4))*INDEX('Methodology &amp; Sources'!$B$155:$J$162,0,4+2)),IF('Inputs 2'!$C$77="C",SUMPRODUCT(($AZ53&gt;INDEX('Methodology &amp; Sources'!$B$155:$J$162,0,7))*($AZ53-INDEX('Methodology &amp; Sources'!$B$155:$J$162,0,7))*INDEX('Methodology &amp; Sources'!$B$155:$J$162,0,7+2)),IF('Inputs 2'!$C$77="D",SUMPRODUCT(($AZ53&gt;INDEX('Methodology &amp; Sources'!$B$167:$J$179,0,1))*($AZ53-INDEX('Methodology &amp; Sources'!$B$167:$J$179,0,1))*INDEX('Methodology &amp; Sources'!$B$167:$J$179,0,1+2)),IF('Inputs 2'!$C$77="E",SUMPRODUCT(($AZ53&gt;INDEX('Methodology &amp; Sources'!$B$167:$J$179,0,4))*($AZ53-INDEX('Methodology &amp; Sources'!$B$167:$J$179,0,4))*INDEX('Methodology &amp; Sources'!$B$167:$J$179,0,4+2)),SUMPRODUCT(($AZ53&gt;INDEX('Methodology &amp; Sources'!$B$155:$J$162,0,1))*($AZ53-INDEX('Methodology &amp; Sources'!$B$155:$J$162,0,1))*INDEX('Methodology &amp; Sources'!$B$155:$J$162,0,1+2)))))),IF($AN53="NY",IF($AU53="Married",IF($AZ53&gt;=2155350,$AZ53*IF($AZ53&gt;25000000,0.117,IF($AZ53&gt;5000000,0.111,0.1045)),SUMPRODUCT(($AZ53&gt;INDEX('Methodology &amp; Sources'!$B$184:$J$198,0,1))*($AZ53-INDEX('Methodology &amp; Sources'!$B$184:$J$198,0,1))*INDEX('Methodology &amp; Sources'!$B$184:$J$198,0,1+2))),IF($AZ53&gt;=1077550,$AZ53*IF($AZ53&gt;25000000,0.117,IF($AZ53&gt;5000000,0.111,0.1045)),SUMPRODUCT(($AZ53&gt;INDEX('Methodology &amp; Sources'!$B$167:$J$179,0,7))*($AZ53-INDEX('Methodology &amp; Sources'!$B$167:$J$179,0,7))*INDEX('Methodology &amp; Sources'!$B$167:$J$179,0,7+2)))),"")))))))</f>
      </c>
      <c r="BX53" s="7">
        <f>IF($B53="","",IF($AN53="AL",IF(OR($AU53="Married",$AU53="Head of household"),SUMPRODUCT(($AZ53&gt;INDEX('Methodology &amp; Sources'!$B$82:$J$86,0,4))*($AZ53-INDEX('Methodology &amp; Sources'!$B$82:$J$86,0,4))*INDEX('Methodology &amp; Sources'!$B$82:$J$86,0,4+2)),SUMPRODUCT(($AZ53&gt;INDEX('Methodology &amp; Sources'!$B$82:$J$86,0,1))*($AZ53-INDEX('Methodology &amp; Sources'!$B$82:$J$86,0,1))*INDEX('Methodology &amp; Sources'!$B$82:$J$86,0,1+2))),IF($AN53="KS",IF($AU53="Married",SUMPRODUCT(($AZ53&gt;INDEX('Methodology &amp; Sources'!$B$103:$J$109,0,4))*($AZ53-INDEX('Methodology &amp; Sources'!$B$103:$J$109,0,4))*INDEX('Methodology &amp; Sources'!$B$103:$J$109,0,4+2)),SUMPRODUCT(($AZ53&gt;INDEX('Methodology &amp; Sources'!$B$103:$J$109,0,1))*($AZ53-INDEX('Methodology &amp; Sources'!$B$103:$J$109,0,1))*INDEX('Methodology &amp; Sources'!$B$103:$J$109,0,1+2))),IF($AN53="MN",IF($AU53="Married",SUMPRODUCT(($AZ53&gt;INDEX('Methodology &amp; Sources'!$B$114:$J$120,0,7))*($AZ53-INDEX('Methodology &amp; Sources'!$B$114:$J$120,0,7))*INDEX('Methodology &amp; Sources'!$B$114:$J$120,0,7+2)),SUMPRODUCT(($AZ53&gt;INDEX('Methodology &amp; Sources'!$B$114:$J$120,0,4))*($AZ53-INDEX('Methodology &amp; Sources'!$B$114:$J$120,0,4))*INDEX('Methodology &amp; Sources'!$B$114:$J$120,0,4+2))),IF($AN53="NE",MAX(IF($AU53="Married",SUMPRODUCT(($AZ53&gt;INDEX('Methodology &amp; Sources'!$B$144:$J$150,0,7))*($AZ53-INDEX('Methodology &amp; Sources'!$B$144:$J$150,0,7))*INDEX('Methodology &amp; Sources'!$B$144:$J$150,0,7+2)),SUMPRODUCT(($AZ53&gt;INDEX('Methodology &amp; Sources'!$B$144:$J$150,0,4))*($AZ53-INDEX('Methodology &amp; Sources'!$B$144:$J$150,0,4))*INDEX('Methodology &amp; Sources'!$B$144:$J$150,0,4+2))),0.015*$AZ53),IF($AN53="OH",IF($B53&gt;=DATE(2027,8,1),SUMPRODUCT(($AZ53&gt;INDEX('Methodology &amp; Sources'!$B$203:$J$206,0,1))*($AZ53-INDEX('Methodology &amp; Sources'!$B$203:$J$206,0,1))*INDEX('Methodology &amp; Sources'!$B$203:$J$206,0,1+2)),SUMPRODUCT(($AZ53&gt;INDEX('Methodology &amp; Sources'!$B$184:$J$198,0,7))*($AZ53-INDEX('Methodology &amp; Sources'!$B$184:$J$198,0,7))*INDEX('Methodology &amp; Sources'!$B$184:$J$198,0,7+2))),IF($AN53="OK",IF($AU53="Married",SUMPRODUCT(($AZ53&gt;INDEX('Methodology &amp; Sources'!$B$203:$J$206,0,7))*($AZ53-INDEX('Methodology &amp; Sources'!$B$203:$J$206,0,7))*INDEX('Methodology &amp; Sources'!$B$203:$J$206,0,7+2)),SUMPRODUCT(($AZ53&gt;INDEX('Methodology &amp; Sources'!$B$203:$J$206,0,4))*($AZ53-INDEX('Methodology &amp; Sources'!$B$203:$J$206,0,4))*INDEX('Methodology &amp; Sources'!$B$203:$J$206,0,4+2))),IF($AN53="RI",SUMPRODUCT(($AZ53&gt;INDEX('Methodology &amp; Sources'!$B$211:$J$214,0,7))*($AZ53-INDEX('Methodology &amp; Sources'!$B$211:$J$214,0,7))*INDEX('Methodology &amp; Sources'!$B$211:$J$214,0,7+2)),IF($AN53="VT",IF($AU53="Married",SUMPRODUCT(($AZ53&gt;INDEX('Methodology &amp; Sources'!$B$228:$J$232,0,1))*($AZ53-INDEX('Methodology &amp; Sources'!$B$228:$J$232,0,1))*INDEX('Methodology &amp; Sources'!$B$228:$J$232,0,1+2)),SUMPRODUCT(($AZ53&gt;INDEX('Methodology &amp; Sources'!$B$219:$J$223,0,7))*($AZ53-INDEX('Methodology &amp; Sources'!$B$219:$J$223,0,7))*INDEX('Methodology &amp; Sources'!$B$219:$J$223,0,7+2))),IF($AN53="WV",IF($AU53="Married",SUMPRODUCT(($AZ53&gt;INDEX('Methodology &amp; Sources'!$B$237:$J$241,0,7))*($AZ53-INDEX('Methodology &amp; Sources'!$B$237:$J$241,0,7))*INDEX('Methodology &amp; Sources'!$B$237:$J$241,0,7+2)),SUMPRODUCT(($AZ53&gt;INDEX('Methodology &amp; Sources'!$B$228:$J$232,0,7))*($AZ53-INDEX('Methodology &amp; Sources'!$B$228:$J$232,0,7))*INDEX('Methodology &amp; Sources'!$B$228:$J$232,0,7+2))),""))))))))))</f>
      </c>
      <c r="BY53" s="7">
        <f>IF($B53="","",IF($AN53="AR",SUMPRODUCT(($AZ53&gt;INDEX('Methodology &amp; Sources'!$B$82:$J$86,0,7))*($AZ53-INDEX('Methodology &amp; Sources'!$B$82:$J$86,0,7))*INDEX('Methodology &amp; Sources'!$B$82:$J$86,0,7+2)),IF($AN53="DE",SUMPRODUCT(($AZ53&gt;INDEX('Methodology &amp; Sources'!$B$91:$J$98,0,1))*($AZ53-INDEX('Methodology &amp; Sources'!$B$91:$J$98,0,1))*INDEX('Methodology &amp; Sources'!$B$91:$J$98,0,1+2)),IF($AN53="HI",IF($AU53="Married",SUMPRODUCT(($AZ53&gt;INDEX('Methodology &amp; Sources'!$B$91:$J$98,0,7))*($AZ53-INDEX('Methodology &amp; Sources'!$B$91:$J$98,0,7))*INDEX('Methodology &amp; Sources'!$B$91:$J$98,0,7+2)),SUMPRODUCT(($AZ53&gt;INDEX('Methodology &amp; Sources'!$B$91:$J$98,0,4))*($AZ53-INDEX('Methodology &amp; Sources'!$B$91:$J$98,0,4))*INDEX('Methodology &amp; Sources'!$B$91:$J$98,0,4+2))),IF($AN53="SC",SUMPRODUCT(($AZ53&gt;INDEX('Methodology &amp; Sources'!$B$219:$J$223,0,1))*($AZ53-INDEX('Methodology &amp; Sources'!$B$219:$J$223,0,1))*INDEX('Methodology &amp; Sources'!$B$219:$J$223,0,1+2)),IF($AN53="VA",SUMPRODUCT(($AZ53&gt;INDEX('Methodology &amp; Sources'!$B$219:$J$223,0,4))*($AZ53-INDEX('Methodology &amp; Sources'!$B$219:$J$223,0,4))*INDEX('Methodology &amp; Sources'!$B$219:$J$223,0,4+2)),IF($AN53="WI",SUMPRODUCT(($AZ53&gt;INDEX('Methodology &amp; Sources'!$B$228:$J$232,0,4))*($AZ53-INDEX('Methodology &amp; Sources'!$B$228:$J$232,0,4))*INDEX('Methodology &amp; Sources'!$B$228:$J$232,0,4+2)),"")))))))</f>
      </c>
      <c r="BZ53" s="24">
        <f>IF($B53="","",IF($AN53="NJ",IF('Inputs 2'!$C$77="B",SUMPRODUCT(($AZ53&gt;=INDEX('Methodology &amp; Sources'!$B$155:$J$162,0,4))*INDEX('Methodology &amp; Sources'!$B$155:$J$162,0,4+2)),IF('Inputs 2'!$C$77="C",SUMPRODUCT(($AZ53&gt;=INDEX('Methodology &amp; Sources'!$B$155:$J$162,0,7))*INDEX('Methodology &amp; Sources'!$B$155:$J$162,0,7+2)),IF('Inputs 2'!$C$77="D",SUMPRODUCT(($AZ53&gt;=INDEX('Methodology &amp; Sources'!$B$167:$J$179,0,1))*INDEX('Methodology &amp; Sources'!$B$167:$J$179,0,1+2)),IF('Inputs 2'!$C$77="E",SUMPRODUCT(($AZ53&gt;=INDEX('Methodology &amp; Sources'!$B$167:$J$179,0,4))*INDEX('Methodology &amp; Sources'!$B$167:$J$179,0,4+2)),SUMPRODUCT(($AZ53&gt;=INDEX('Methodology &amp; Sources'!$B$155:$J$162,0,1))*INDEX('Methodology &amp; Sources'!$B$155:$J$162,0,1+2)))))),IF($AN53="OR",IF(OR($AU53="Married",AND($AU53="Single",$AS53&gt;=3)),SUMPRODUCT((MAX(0,$AY53-MIN(($P53-'Methodology &amp; Sources'!$C$10*$D53)*'Inputs 2'!$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Sources'!$B$211:$J$214,0,4))*INDEX('Methodology &amp; Sources'!$B$211:$J$214,0,4+2)),SUMPRODUCT((MAX(0,$AY53-MIN(($P53-'Methodology &amp; Sources'!$C$10*$D53)*'Inputs 2'!$C$8,IF(OR($AU53="Married",AND($AU53="Single",$AS53&gt;=3)),IF($AY53&lt;250000,8750,IF($AY53&lt;260000,7000,IF($AY53&lt;270000,5250,IF($AY53&lt;280000,3500,IF($AY53&lt;290000,1750,0))))),IF($AY53&lt;125000,8750,IF($AY53&lt;130000,7000,IF($AY53&lt;135000,5250,IF($AY53&lt;140000,3500,IF($AY53&lt;145000,1750,0)))))))-IF(OR($AU53="Married",AND($AU53="Single",$AS53&gt;=3)),5820,2910))&gt;=INDEX('Methodology &amp; Sources'!$B$211:$J$214,0,1))*INDEX('Methodology &amp; Sources'!$B$211:$J$214,0,1+2)))*IF(($P53-'Methodology &amp; Sources'!$C$10*$D53)*'Inputs 2'!$C$8&gt;=IF(OR($AU53="Married",AND($AU53="Single",$AS53&gt;=3)),IF($AY53&lt;250000,8750,IF($AY53&lt;260000,7000,IF($AY53&lt;270000,5250,IF($AY53&lt;280000,3500,IF($AY53&lt;290000,1750,0))))),IF($AY53&lt;125000,8750,IF($AY53&lt;130000,7000,IF($AY53&lt;135000,5250,IF($AY53&lt;140000,3500,IF($AY53&lt;145000,1750,0)))))),1,1-IF('Inputs 2'!$C$13,SUMPRODUCT(($AH53&gt;=INDEX('Methodology &amp; Sources'!$B$29:$J$36,0,IF('Inputs 2'!$C$12="MFJ",1,IF('Inputs 2'!$C$12="HoH",7,4))))*INDEX('Methodology &amp; Sources'!$B$29:$J$36,0,IF('Inputs 2'!$C$12="MFJ",1,IF('Inputs 2'!$C$12="HoH",7,4))+2)),SUMPRODUCT(($AH53&gt;=INDEX('Methodology &amp; Sources'!$B$19:$J$26,0,IF('Inputs 2'!$C$12="MFJ",1,IF('Inputs 2'!$C$12="HoH",7,4))))*INDEX('Methodology &amp; Sources'!$B$19:$J$26,0,IF('Inputs 2'!$C$12="MFJ",1,IF('Inputs 2'!$C$12="HoH",7,4))+2)))),IF($AN53="MI",IF($AY53&gt;5900*$AS53,0.0425,0),""))))</f>
      </c>
      <c r="CA53" s="24">
        <f>IF($B53="","",IF($AN53="AL",IF(OR($AU53="Married",$AU53="Head of household"),SUMPRODUCT(($AZ53&gt;=INDEX('Methodology &amp; Sources'!$B$82:$J$86,0,4))*INDEX('Methodology &amp; Sources'!$B$82:$J$86,0,4+2)),SUMPRODUCT(($AZ53&gt;=INDEX('Methodology &amp; Sources'!$B$82:$J$86,0,1))*INDEX('Methodology &amp; Sources'!$B$82:$J$86,0,1+2)))*(1-IF('Inputs 2'!$C$13,SUMPRODUCT(($AH53&gt;=INDEX('Methodology &amp; Sources'!$B$29:$J$36,0,IF('Inputs 2'!$C$12="MFJ",1,IF('Inputs 2'!$C$12="HoH",7,4))))*INDEX('Methodology &amp; Sources'!$B$29:$J$36,0,IF('Inputs 2'!$C$12="MFJ",1,IF('Inputs 2'!$C$12="HoH",7,4))+2)),SUMPRODUCT(($AH53&gt;=INDEX('Methodology &amp; Sources'!$B$19:$J$26,0,IF('Inputs 2'!$C$12="MFJ",1,IF('Inputs 2'!$C$12="HoH",7,4))))*INDEX('Methodology &amp; Sources'!$B$19:$J$26,0,IF('Inputs 2'!$C$12="MFJ",1,IF('Inputs 2'!$C$12="HoH",7,4))+2)))),IF($AN53="KS",IF($AU53="Married",SUMPRODUCT(($AZ53&gt;=INDEX('Methodology &amp; Sources'!$B$103:$J$109,0,4))*INDEX('Methodology &amp; Sources'!$B$103:$J$109,0,4+2)),SUMPRODUCT(($AZ53&gt;=INDEX('Methodology &amp; Sources'!$B$103:$J$109,0,1))*INDEX('Methodology &amp; Sources'!$B$103:$J$109,0,1+2))),IF($AN53="MD",IF(OR($AU53="Married",$AU53="Head of household"),SUMPRODUCT(($AZ53&gt;=INDEX('Methodology &amp; Sources'!$B$114:$J$120,0,1))*INDEX('Methodology &amp; Sources'!$B$114:$J$120,0,1+2)),SUMPRODUCT(($AZ53&gt;=INDEX('Methodology &amp; Sources'!$B$103:$J$109,0,7))*INDEX('Methodology &amp; Sources'!$B$103:$J$109,0,7+2)))+'Inputs 2'!$C$74,IF($AN53="MT",IF($AU53="Head of household",SUMPRODUCT(($AZ53&gt;=INDEX('Methodology &amp; Sources'!$B$137:$J$139,0,1))*INDEX('Methodology &amp; Sources'!$B$137:$J$139,0,1+2)),IF($AU53="Married",SUMPRODUCT(($AZ53&gt;=INDEX('Methodology &amp; Sources'!$B$125:$J$132,0,7))*INDEX('Methodology &amp; Sources'!$B$125:$J$132,0,7+2)),SUMPRODUCT(($AZ53&gt;=INDEX('Methodology &amp; Sources'!$B$125:$J$132,0,4))*INDEX('Methodology &amp; Sources'!$B$125:$J$132,0,4+2)))),IF($AN53="ND",IF($AU53="Head of household",SUMPRODUCT(($AZ53&gt;=INDEX('Methodology &amp; Sources'!$B$144:$J$150,0,1))*INDEX('Methodology &amp; Sources'!$B$144:$J$150,0,1+2)),IF($AU53="Married",SUMPRODUCT(($AZ53&gt;=INDEX('Methodology &amp; Sources'!$B$137:$J$139,0,7))*INDEX('Methodology &amp; Sources'!$B$137:$J$139,0,7+2)),SUMPRODUCT(($AZ53&gt;=INDEX('Methodology &amp; Sources'!$B$137:$J$139,0,4))*INDEX('Methodology &amp; Sources'!$B$137:$J$139,0,4+2)))),IF($AN53="NY",IF($AU53="Married",IF($AZ53&gt;=2155350,IF($AZ53&gt;25000000,0.117,IF($AZ53&gt;5000000,0.111,0.1045)),SUMPRODUCT(($AZ53&gt;=INDEX('Methodology &amp; Sources'!$B$184:$J$198,0,1))*INDEX('Methodology &amp; Sources'!$B$184:$J$198,0,1+2))),IF($AZ53&gt;=1077550,IF($AZ53&gt;25000000,0.117,IF($AZ53&gt;5000000,0.111,0.1045)),SUMPRODUCT(($AZ53&gt;=INDEX('Methodology &amp; Sources'!$B$167:$J$179,0,7))*INDEX('Methodology &amp; Sources'!$B$167:$J$179,0,7+2)))),"")))))))</f>
      </c>
      <c r="CB53" s="24">
        <f>IF($B53="","",IF($AN53="CA",SUMPRODUCT(($AJ53&gt;=INDEX('Methodology &amp; Sources'!$B$39:$J$48,0,IF($AU53="Married",4,IF($AU53="Head of household",7,1))))*INDEX('Methodology &amp; Sources'!$B$39:$J$48,0,IF($AU53="Married",4,IF($AU53="Head of household",7,1))+2)),IF($AN53="HI",IF($AU53="Married",SUMPRODUCT(($AZ53&gt;=INDEX('Methodology &amp; Sources'!$B$91:$J$98,0,7))*INDEX('Methodology &amp; Sources'!$B$91:$J$98,0,7+2)),SUMPRODUCT(($AZ53&gt;=INDEX('Methodology &amp; Sources'!$B$91:$J$98,0,4))*INDEX('Methodology &amp; Sources'!$B$91:$J$98,0,4+2))),IF($AN53="MN",IF($AU53="Married",SUMPRODUCT(($AZ53&gt;=INDEX('Methodology &amp; Sources'!$B$114:$J$120,0,7))*INDEX('Methodology &amp; Sources'!$B$114:$J$120,0,7+2)),SUMPRODUCT(($AZ53&gt;=INDEX('Methodology &amp; Sources'!$B$114:$J$120,0,4))*INDEX('Methodology &amp; Sources'!$B$114:$J$120,0,4+2))),IF($AN53="MO",SUMPRODUCT(($AZ53&gt;=INDEX('Methodology &amp; Sources'!$B$125:$J$132,0,1))*INDEX('Methodology &amp; Sources'!$B$125:$J$132,0,1+2)),IF($AN53="NE",MAX(IF($AU53="Married",SUMPRODUCT(($AZ53&gt;=INDEX('Methodology &amp; Sources'!$B$144:$J$150,0,7))*INDEX('Methodology &amp; Sources'!$B$144:$J$150,0,7+2)),SUMPRODUCT(($AZ53&gt;=INDEX('Methodology &amp; Sources'!$B$144:$J$150,0,4))*INDEX('Methodology &amp; Sources'!$B$144:$J$150,0,4+2))),0.015),IF($AN53="OH",IF($B53&gt;=DATE(2027,8,1),SUMPRODUCT(($AZ53&gt;=INDEX('Methodology &amp; Sources'!$B$203:$J$206,0,1))*INDEX('Methodology &amp; Sources'!$B$203:$J$206,0,1+2)),SUMPRODUCT(($AZ53&gt;=INDEX('Methodology &amp; Sources'!$B$184:$J$198,0,7))*INDEX('Methodology &amp; Sources'!$B$184:$J$198,0,7+2))),IF($AN53="OK",IF($AU53="Married",SUMPRODUCT(($AZ53&gt;=INDEX('Methodology &amp; Sources'!$B$203:$J$206,0,7))*INDEX('Methodology &amp; Sources'!$B$203:$J$206,0,7+2)),SUMPRODUCT(($AZ53&gt;=INDEX('Methodology &amp; Sources'!$B$203:$J$206,0,4))*INDEX('Methodology &amp; Sources'!$B$203:$J$206,0,4+2))),IF($AN53="RI",SUMPRODUCT(($AZ53&gt;=INDEX('Methodology &amp; Sources'!$B$211:$J$214,0,7))*INDEX('Methodology &amp; Sources'!$B$211:$J$214,0,7+2)),IF($AN53="SC",SUMPRODUCT(($AZ53&gt;=INDEX('Methodology &amp; Sources'!$B$219:$J$223,0,1))*INDEX('Methodology &amp; Sources'!$B$219:$J$223,0,1+2)),IF($AN53="VT",IF($AU53="Married",SUMPRODUCT(($AZ53&gt;=INDEX('Methodology &amp; Sources'!$B$228:$J$232,0,1))*INDEX('Methodology &amp; Sources'!$B$228:$J$232,0,1+2)),SUMPRODUCT(($AZ53&gt;=INDEX('Methodology &amp; Sources'!$B$219:$J$223,0,7))*INDEX('Methodology &amp; Sources'!$B$219:$J$223,0,7+2))),IF($AN53="WV",IF($AU53="Married",SUMPRODUCT(($AZ53&gt;=INDEX('Methodology &amp; Sources'!$B$237:$J$241,0,7))*INDEX('Methodology &amp; Sources'!$B$237:$J$241,0,7+2)),SUMPRODUCT(($AZ53&gt;=INDEX('Methodology &amp; Sources'!$B$228:$J$232,0,7))*INDEX('Methodology &amp; Sources'!$B$228:$J$232,0,7+2))),IF($AN53="IN",(0.0295+'Inputs 2'!$C$76),"")))))))))))))</f>
      </c>
      <c r="CC53" s="24">
        <f>IF($B53="","",IF($AN53="AR",SUMPRODUCT(($AZ53&gt;=INDEX('Methodology &amp; Sources'!$B$82:$J$86,0,7))*INDEX('Methodology &amp; Sources'!$B$82:$J$86,0,7+2)),IF($AN53="DE",SUMPRODUCT(($AZ53&gt;=INDEX('Methodology &amp; Sources'!$B$91:$J$98,0,1))*INDEX('Methodology &amp; Sources'!$B$91:$J$98,0,1+2)),IF($AN53="VA",SUMPRODUCT(($AZ53&gt;=INDEX('Methodology &amp; Sources'!$B$219:$J$223,0,4))*INDEX('Methodology &amp; Sources'!$B$219:$J$223,0,4+2)),IF($AN53="WI",SUMPRODUCT(($AZ53&gt;=INDEX('Methodology &amp; Sources'!$B$228:$J$232,0,4))*INDEX('Methodology &amp; Sources'!$B$228:$J$232,0,4+2)),IF($AN53="AZ",'Inputs 2'!$C$82,IF($AN53="CO",IF($AY53&gt;IF($AU53="Married",10000,5000),0.044,0),IF($AN53="IA",IF($AY53&gt;IF($AU53="Head of household",19500,IF($AU53="Married",26000,13000)),0.038,0),IF($AN53="ID",IF($AY53&gt;IF($AU53="Married",32000,16094),0.053,0),IF($AN53="IL",IF($AY53&gt;(2925*$AS53+1000*$AT53),0.0495,0),IF($AN53="KY",IF($AI53&gt;3360,0.035,0),IF($AN53="LA",0.0309,IF($AN53="MA",IF(MAX(0,$AY53-MIN(($BD52+$Q53+$R53+$S53),2000)-IF($AS53=0,0,IF($AS53=1,4400,1000*$AS53+3400)))&gt;=1107750,0.09,0.05),IF($AN53="MS",IF($AI53-IF($AU53="Head of household",3400,IF($AU53="Married",4600,2300))-'Inputs 2'!$C$85&gt;10000,0.04,0),IF($AN53="PA",0.0307,"")))))))))))))))</f>
      </c>
      <c r="CD53" s="21">
        <f>IF(YEAR(IF('Inputs 2'!$C$7="Weekly",'Inputs 2'!$C$9+7*(($BE52+1)-1),IF('Inputs 2'!$C$7="Biweekly",'Inputs 2'!$C$9+14*(($BE52+1)-1),IF('Inputs 2'!$C$7="Semimonthly",DATE(YEAR('Inputs 2'!$C$9),MONTH('Inputs 2'!$C$9)+INT((($BE52+1)-1)/2),MIN(DAY('Inputs 2'!$C$9),DAY(EOMONTH(DATE(YEAR('Inputs 2'!$C$9),MONTH('Inputs 2'!$C$9)+INT((($BE52+1)-1)/2),1),0))))+IF(MOD(($BE52+1)-1,2)=1,15,0),EDATE('Inputs 2'!$C$9,($BE52+1)-1)))))&lt;&gt;'Inputs 2'!$C$10,"",IF('Inputs 2'!$C$7="Weekly",'Inputs 2'!$C$9+7*(($BE52+1)-1),IF('Inputs 2'!$C$7="Biweekly",'Inputs 2'!$C$9+14*(($BE52+1)-1),IF('Inputs 2'!$C$7="Semimonthly",DATE(YEAR('Inputs 2'!$C$9),MONTH('Inputs 2'!$C$9)+INT((($BE52+1)-1)/2),MIN(DAY('Inputs 2'!$C$9),DAY(EOMONTH(DATE(YEAR('Inputs 2'!$C$9),MONTH('Inputs 2'!$C$9)+INT((($BE52+1)-1)/2),1),0))))+IF(MOD(($BE52+1)-1,2)=1,15,0),EDATE('Inputs 2'!$C$9,($BE52+1)-1)))))</f>
      </c>
      <c r="CE53" s="21">
        <f>IF(SUMPRODUCT(MIN(IF(('Inputs 2'!$C$58:$C$67&gt;MAX($B$6:$B52))*('Inputs 2'!$C$58:$C$67&gt;=DATE('Inputs 2'!$C$10,1,1))*('Inputs 2'!$C$58:$C$67&lt;=DATE('Inputs 2'!$C$10,12,31)),'Inputs 2'!$C$58:$C$67,999999)))=999999,"",SUMPRODUCT(MIN(IF(('Inputs 2'!$C$58:$C$67&gt;MAX($B$6:$B52))*('Inputs 2'!$C$58:$C$67&gt;=DATE('Inputs 2'!$C$10,1,1))*('Inputs 2'!$C$58:$C$67&lt;=DATE('Inputs 2'!$C$10,12,31)),'Inputs 2'!$C$58:$C$67,999999))))</f>
      </c>
    </row>
    <row r="54">
      <c r="A54" t="n">
        <v>49</v>
      </c>
      <c r="B54" s="21">
        <f>IF(AND($CD54="",$CE54=""),"",IF($CE54="",$CD54,IF($CD54="",$CE54,MIN($CD54,$CE54))))</f>
      </c>
      <c r="C54" s="7">
        <f>IF($B54="","",IF($BF54=0,0,IF('Inputs 2'!$C$4="Annual salary",ROUND($AK54/IF(AND('Inputs 2'!$C$88="Actual paydays",MONTH('Inputs 2'!$C$9)=1),MAX(1,MAX($BE$6:$BE$68)),'Inputs 2'!$C$8),2),$AK54)))</f>
      </c>
      <c r="D54" s="7">
        <f>IF($B54="","",SUMIF('Inputs 2'!$C$58:$C$67,$B54,'Inputs 2'!$D$58:$D$67))</f>
      </c>
      <c r="E54" s="7">
        <f>IF($B54="","",ROUND(MAX(0,MIN(IF($AL54="Percent",$AM54*($C54+$D54),$AM54),MAX(0,'Inputs 2'!$C$34-$AC53))),2))</f>
      </c>
      <c r="F54" s="7">
        <f>IF($B54="","",ROUND(MAX(0,MIN(IF('Inputs 2'!$C$32="Percent",'Inputs 2'!$D$32*($C54+$D54),'Inputs 2'!$D$32),MAX(0,'Inputs 2'!$C$34-$AC53-$E54))),2))</f>
      </c>
      <c r="G54" s="7">
        <f>IF($B54="","",IF($BF54=0,0,ROUND(MAX(0,MIN($BL54,'Inputs 2'!$C$37-'Inputs 2'!$C$54-$BI53)),2)))</f>
      </c>
      <c r="H54" s="7">
        <f>IF($B54="","",IF(OR($BF54=0,$BQ54=1),0,ROUND(MAX(0,MIN(IF($BS54=1,ROUND(MAX(0,MIN($BJ54,'Methodology &amp; Sources'!$C$13)-$BG53)/MAX(1,MAX($BE$6:$BE$68)-($BE53)),2),ROUND(MIN($BJ54,'Methodology &amp; Sources'!$C$13)/'Inputs 2'!$C$8,2)),MIN($BJ54,'Methodology &amp; Sources'!$C$13)-$BG53)),2)))</f>
      </c>
      <c r="I54" s="7">
        <f>IF($B54="","",IF(OR($BF54=0,$BR54=1),0,ROUND(MAX(0,MIN(IF($BT54=1,ROUND(MAX(0,MIN($BK54,IF('Inputs 2'!$C$12="MFJ",'Methodology &amp; Sources'!$C$14,'Methodology &amp; Sources'!$C$15))-$BH53)/MAX(1,MAX($BE$6:$BE$68)-($BE53)),2),ROUND(MIN($BK54,IF('Inputs 2'!$C$12="MFJ",'Methodology &amp; Sources'!$C$14,'Methodology &amp; Sources'!$C$15))/'Inputs 2'!$C$8,2)),MIN($BK54,IF('Inputs 2'!$C$12="MFJ",'Methodology &amp; Sources'!$C$14,'Methodology &amp; Sources'!$C$15))-$BH53)),2)))</f>
      </c>
      <c r="J54" s="7">
        <f>IF($B54="","",IF($BF54=0,0,$BM54))</f>
      </c>
      <c r="K54" s="7">
        <f>IF($B54="","",IF($BF54=0,0,$BN54+$BO54))</f>
      </c>
      <c r="L54" s="7">
        <f>IF($B54="","",IF($BF54=0,0,'Inputs 2'!$D$46))</f>
      </c>
      <c r="M54" s="7">
        <f>IF($B54="","",$C54+$D54+$L54-$E54-$G54-$H54-$I54-$J54-$K54)</f>
      </c>
      <c r="N54" s="7">
        <f>IF($B54="","",$C54+$D54+$L54-$G54-$H54-$I54-$J54-$K54)</f>
      </c>
      <c r="O54" s="7">
        <f>IF($B54="","",$C54+$D54+$L54-$E54-$H54-$I54-$J54-$K54-IF(OR($AN54="CA",$AN54="NJ"),0,$G54))</f>
      </c>
      <c r="P54" s="7">
        <f>IF($B54="","",IF('Inputs 2'!$C$18,0,ROUND(MAX(0,IF('Inputs 2'!$C$13,SUMPRODUCT(($AH54&gt;INDEX('Methodology &amp; Sources'!$B$29:$J$36,0,IF('Inputs 2'!$C$12="MFJ",1,IF('Inputs 2'!$C$12="HoH",7,4))))*($AH54-INDEX('Methodology &amp; Sources'!$B$29:$J$36,0,IF('Inputs 2'!$C$12="MFJ",1,IF('Inputs 2'!$C$12="HoH",7,4))))*INDEX('Methodology &amp; Sources'!$B$29:$J$36,0,IF('Inputs 2'!$C$12="MFJ",1,IF('Inputs 2'!$C$12="HoH",7,4))+2)),SUMPRODUCT(($AH54&gt;INDEX('Methodology &amp; Sources'!$B$19:$J$26,0,IF('Inputs 2'!$C$12="MFJ",1,IF('Inputs 2'!$C$12="HoH",7,4))))*($AH54-INDEX('Methodology &amp; Sources'!$B$19:$J$26,0,IF('Inputs 2'!$C$12="MFJ",1,IF('Inputs 2'!$C$12="HoH",7,4))))*INDEX('Methodology &amp; Sources'!$B$19:$J$26,0,IF('Inputs 2'!$C$12="MFJ",1,IF('Inputs 2'!$C$12="HoH",7,4))+2)))/'Inputs 2'!$C$8-$AO54/'Inputs 2'!$C$8)+$AR54+IF('Inputs 2'!$C$89="Aggregate",MAX(0,IF('Inputs 2'!$C$13,SUMPRODUCT((($AH54+$D54)&gt;INDEX('Methodology &amp; Sources'!$B$29:$J$36,0,IF('Inputs 2'!$C$12="MFJ",1,IF('Inputs 2'!$C$12="HoH",7,4))))*(($AH54+$D54)-INDEX('Methodology &amp; Sources'!$B$29:$J$36,0,IF('Inputs 2'!$C$12="MFJ",1,IF('Inputs 2'!$C$12="HoH",7,4))))*INDEX('Methodology &amp; Sources'!$B$29:$J$36,0,IF('Inputs 2'!$C$12="MFJ",1,IF('Inputs 2'!$C$12="HoH",7,4))+2)),SUMPRODUCT((($AH54+$D54)&gt;INDEX('Methodology &amp; Sources'!$B$19:$J$26,0,IF('Inputs 2'!$C$12="MFJ",1,IF('Inputs 2'!$C$12="HoH",7,4))))*(($AH54+$D54)-INDEX('Methodology &amp; Sources'!$B$19:$J$26,0,IF('Inputs 2'!$C$12="MFJ",1,IF('Inputs 2'!$C$12="HoH",7,4))))*INDEX('Methodology &amp; Sources'!$B$19:$J$26,0,IF('Inputs 2'!$C$12="MFJ",1,IF('Inputs 2'!$C$12="HoH",7,4))+2)))-IF('Inputs 2'!$C$13,SUMPRODUCT(($AH54&gt;INDEX('Methodology &amp; Sources'!$B$29:$J$36,0,IF('Inputs 2'!$C$12="MFJ",1,IF('Inputs 2'!$C$12="HoH",7,4))))*($AH54-INDEX('Methodology &amp; Sources'!$B$29:$J$36,0,IF('Inputs 2'!$C$12="MFJ",1,IF('Inputs 2'!$C$12="HoH",7,4))))*INDEX('Methodology &amp; Sources'!$B$29:$J$36,0,IF('Inputs 2'!$C$12="MFJ",1,IF('Inputs 2'!$C$12="HoH",7,4))+2)),SUMPRODUCT(($AH54&gt;INDEX('Methodology &amp; Sources'!$B$19:$J$26,0,IF('Inputs 2'!$C$12="MFJ",1,IF('Inputs 2'!$C$12="HoH",7,4))))*($AH54-INDEX('Methodology &amp; Sources'!$B$19:$J$26,0,IF('Inputs 2'!$C$12="MFJ",1,IF('Inputs 2'!$C$12="HoH",7,4))))*INDEX('Methodology &amp; Sources'!$B$19:$J$26,0,IF('Inputs 2'!$C$12="MFJ",1,IF('Inputs 2'!$C$12="HoH",7,4))+2)))),'Methodology &amp; Sources'!$C$10*$D54),2)))</f>
      </c>
      <c r="Q54" s="7">
        <f>IF($B54="","",ROUND('Methodology &amp; Sources'!$C$4*MIN($N54,MAX(0,'Methodology &amp; Sources'!$C$3-($AX54+$AB53-$AW54))),2))</f>
      </c>
      <c r="R54" s="7">
        <f>IF($B54="","",ROUND('Methodology &amp; Sources'!$C$5*$N54,2))</f>
      </c>
      <c r="S54" s="7">
        <f>IF($B54="","",ROUND('Methodology &amp; Sources'!$C$6*MAX(0,MIN($N54,$AG53+$N54-'Methodology &amp; Sources'!$C$7)),2))</f>
      </c>
      <c r="T54" s="7">
        <f>IF($B54="","",IF('Inputs 2'!$C$26,0,IF($AN54="CA",ROUND(IF($AI54&lt;=IF(($AS54+$AT54)&gt;=2,VLOOKUP($AN54,StateTables!$A$6:$AB$56,10,FALSE),VLOOKUP($AN54,StateTables!$A$6:$AB$56,9,FALSE)),0,MAX(0,SUMPRODUCT(($AJ54&gt;INDEX('Methodology &amp; Sources'!$B$39:$J$48,0,IF($AU54="Married",4,IF($AU54="Head of household",7,1))))*($AJ54-INDEX('Methodology &amp; Sources'!$B$39:$J$48,0,IF($AU54="Married",4,IF($AU54="Head of household",7,1))))*INDEX('Methodology &amp; Sources'!$B$39:$J$48,0,IF($AU54="Married",4,IF($AU54="Head of household",7,1))+2))-VLOOKUP($AN54,StateTables!$A$6:$AB$56,11,FALSE)*$AS54)/'Inputs 2'!$C$8)+'Inputs 2'!$C$25+VLOOKUP($AN54,StateTables!$A$6:$AB$56,13,FALSE)*$D54,2),IF(VLOOKUP($AN54,StateTables!$A$6:$AB$56,4,FALSE)="None",0,IF(ISNUMBER(SEARCH("MANUAL",VLOOKUP($AN54,StateTables!$A$6:$AB$56,5,FALSE))),'Inputs 2'!$C$28,ROUND(MAX(0,$BA54+$BB54)/'Inputs 2'!$C$8+'Inputs 2'!$C$25+$BC54,2))))))</f>
      </c>
      <c r="U54" s="7">
        <f>IF($B54="","",IF(VLOOKUP($AN54,StateTables!$A$6:$AB$56,24,FALSE)="flatq",IF(OR(MONTH($B54)=1,MONTH($B54)=4,MONTH($B54)=7,MONTH($B54)=10),VLOOKUP($AN54,StateTables!$A$6:$AB$56,25,FALSE),0),IF(VLOOKUP($AN54,StateTables!$A$6:$AB$56,24,FALSE)="dbl",MIN(ROUND(0.005*$N54,2),ROUND(0.6*52/'Inputs 2'!$C$8,2)),IF(OR(VLOOKUP($AN54,StateTables!$A$6:$AB$56,15,FALSE)="",VLOOKUP($AN54,StateTables!$A$6:$AB$56,15,FALSE)=0),0,ROUND(VLOOKUP($AN54,StateTables!$A$6:$AB$56,15,FALSE)*IF(OR(VLOOKUP($AN54,StateTables!$A$6:$AB$56,16,FALSE)="",VLOOKUP($AN54,StateTables!$A$6:$AB$56,16,FALSE)=0),$N54,MIN($N54,MAX(0,VLOOKUP($AN54,StateTables!$A$6:$AB$56,16,FALSE)-($AX54+$AB53-$AW54)))),2))))+IF(VLOOKUP($AN54,StateTables!$A$6:$AB$56,27,FALSE)="flatq",IF(OR(MONTH($B54)=1,MONTH($B54)=4,MONTH($B54)=7,MONTH($B54)=10),VLOOKUP($AN54,StateTables!$A$6:$AB$56,28,FALSE),0),IF(VLOOKUP($AN54,StateTables!$A$6:$AB$56,27,FALSE)="dbl",MIN(ROUND(0.005*$N54,2),ROUND(0.6*52/'Inputs 2'!$C$8,2)),IF(OR(VLOOKUP($AN54,StateTables!$A$6:$AB$56,18,FALSE)="",VLOOKUP($AN54,StateTables!$A$6:$AB$56,18,FALSE)=0),0,ROUND(VLOOKUP($AN54,StateTables!$A$6:$AB$56,18,FALSE)*IF(OR(VLOOKUP($AN54,StateTables!$A$6:$AB$56,19,FALSE)="",VLOOKUP($AN54,StateTables!$A$6:$AB$56,19,FALSE)=0),$N54,MIN($N54,MAX(0,VLOOKUP($AN54,StateTables!$A$6:$AB$56,19,FALSE)-($AX54+$AB53-$AW54)))),2)))))</f>
      </c>
      <c r="V54" s="7">
        <f>IF($B54="","",IF($AN54="NY",IF('Inputs 2'!$C$78,ROUND(SUMPRODUCT((MAX(0,($O54-$D54)*'Inputs 2'!$C$8-(IF($AU54="Married",5500,5000)+1000*$AS54))&gt;INDEX('Methodology &amp; Sources'!$B$184:$J$198,0,4))*(MAX(0,($O54-$D54)*'Inputs 2'!$C$8-(IF($AU54="Married",5500,5000)+1000*$AS54))-INDEX('Methodology &amp; Sources'!$B$184:$J$198,0,4))*INDEX('Methodology &amp; Sources'!$B$184:$J$198,0,4+2))/'Inputs 2'!$C$8+0.0425*$D54,2),0)+IF('Inputs 2'!$C$79="Resident",ROUND(0.1675*$T54,2),IF('Inputs 2'!$C$79="Nonresident",ROUND(0.005*MAX(0,($O54-$D54)-(IF($AU54="Married",7950,7400)+1000*$AS54)/'Inputs 2'!$C$8),2),0)),IF($AN54="PA",IF('Inputs 2'!$C$80="None",'Inputs 2'!$C$27+ROUND('Inputs 2'!$C$81*($C54+$D54),2),ROUND(IF('Inputs 2'!$C$80="Resident",IF($B54&lt;DATE(2027,7,1),0.03735,0.03735),IF($B54&lt;DATE(2027,7,1),0.03425,0.03425))*($C54+$D54),2)),IF($BF54=0,ROUND('Inputs 2'!$C$81*($C54+$D54),2),'Inputs 2'!$C$27+ROUND('Inputs 2'!$C$81*($C54+$D54),2)))))</f>
      </c>
      <c r="W54" s="7">
        <f>IF($B54="","",IF($BF54=0,0,$BP54))</f>
      </c>
      <c r="X54" s="7">
        <f>IF($B54="","",SUM($E54:$K54)+$P54+$Q54+$R54+$S54+$T54+$U54+$V54+$W54)</f>
      </c>
      <c r="Y54" s="22">
        <f>IF($B54="","",$C54+$D54-$X54)</f>
      </c>
      <c r="Z54" s="7">
        <f>IF($B54="","",$Z53+$C54+$D54)</f>
      </c>
      <c r="AA54" s="7">
        <f>IF($B54="","",$AA53+$Y54)</f>
      </c>
      <c r="AB54" s="7">
        <f>IF($B54="","",$AB53+MIN($N54,MAX(0,'Methodology &amp; Sources'!$C$3-($AX54+$AB53-$AW54))))</f>
      </c>
      <c r="AC54" s="7">
        <f>IF($B54="","",$AC53+$E54+$F54)</f>
      </c>
      <c r="AD54" s="3">
        <f>IF($B54="","",IF(AND($AB53&lt;'Methodology &amp; Sources'!$C$3,$AB54&gt;='Methodology &amp; Sources'!$C$3),"★ Social Security maxed on this check — from the next check your net rises by about $"&amp;TEXT(ROUND('Methodology &amp; Sources'!$C$4*$N54,2),"#,##0.00")&amp;". ","")&amp;IF(AND($AC53&lt;'Inputs 2'!$C$34,$AC54&gt;='Inputs 2'!$C$34),"★ 401(k) reaches the $"&amp;TEXT('Inputs 2'!$C$34,"#,##0")&amp;" cap on this check — deferrals stop and net pay rises. ","")&amp;IF(AND($AG53&lt;'Methodology &amp; Sources'!$C$7,$AG54&gt;='Methodology &amp; Sources'!$C$7),"★ Wages pass $200,000 — the 0.9% Additional Medicare Tax starts here. ","")&amp;IF(AND($BJ54&gt;0,$H54&gt;0,$BG53&lt;MIN($BJ54,'Methodology &amp; Sources'!$C$13),$BG53+$H54&gt;=MIN($BJ54,'Methodology &amp; Sources'!$C$13)),"★ Health FSA election is now fully deferred for the year. ",""))</f>
      </c>
      <c r="AE54" s="41" t="n"/>
      <c r="AF54" s="7">
        <f>IF(OR($B54="",$AE54=""),"",$AE54-$Y54)</f>
      </c>
      <c r="AG54" s="7">
        <f>IF($B54="","",$AG53+$N54)</f>
      </c>
      <c r="AH54" s="7">
        <f>IF($B54="","",MAX(0,($M54-$D54)*'Inputs 2'!$C$8+$AP54-$AQ54-IF('Inputs 2'!$C$13,0,IF('Inputs 2'!$C$12="MFJ",'Methodology &amp; Sources'!$C$8,'Methodology &amp; Sources'!$C$9))))</f>
      </c>
      <c r="AI54" s="7">
        <f>IF($B54="","",$O54*'Inputs 2'!$C$8)</f>
      </c>
      <c r="AJ54" s="7">
        <f>IF($B54="","",MAX(0,$AI54-VLOOKUP($AN54,StateTables!$A$6:$AB$56,12,FALSE)*$AT54-IF(($AS54+$AT54)&gt;=2,VLOOKUP($AN54,StateTables!$A$6:$AB$56,8,FALSE),VLOOKUP($AN54,StateTables!$A$6:$AB$56,7,FALSE))))</f>
      </c>
      <c r="AK54" s="7">
        <f>IF($B54="","",IFERROR(LOOKUP(2,1/(('Events 2'!$C$6:$C$17="Salary change")*('Events 2'!$B$6:$B$17&lt;=$B54)*('Events 2'!$B$6:$B$17&lt;&gt;"")),'Events 2'!$D$6:$D$17),IF('Inputs 2'!$C$4="Annual salary",'Inputs 2'!$C$5,'Inputs 2'!$C$6)))</f>
      </c>
      <c r="AL54">
        <f>IF($B54="","",IFERROR(LOOKUP(2,1/(('Events 2'!$C$6:$C$17="401(k) change")*('Events 2'!$B$6:$B$17&lt;=$B54)*('Events 2'!$B$6:$B$17&lt;&gt;"")),'Events 2'!$D$6:$D$17),'Inputs 2'!$C$30))</f>
      </c>
      <c r="AM54" s="7">
        <f>IF($B54="","",IFERROR(LOOKUP(2,1/(('Events 2'!$C$6:$C$17="401(k) change")*('Events 2'!$B$6:$B$17&lt;=$B54)*('Events 2'!$B$6:$B$17&lt;&gt;"")),'Events 2'!$E$6:$E$17),'Inputs 2'!$D$30))</f>
      </c>
      <c r="AN54">
        <f>IF($B54="","",IFERROR(LOOKUP(2,1/(('Events 2'!$C$6:$C$17="State move")*('Events 2'!$B$6:$B$17&lt;=$B54)*('Events 2'!$B$6:$B$17&lt;&gt;"")),'Events 2'!$D$6:$D$17),'Inputs 2'!$C$21))</f>
      </c>
      <c r="AO54" s="7">
        <f>IF($B54="","",IFERROR(LOOKUP(2,1/(('Events 2'!$C$6:$C$17="W-4 change")*('Events 2'!$B$6:$B$17&lt;=$B54)*('Events 2'!$B$6:$B$17&lt;&gt;"")),'Events 2'!$D$6:$D$17),'Inputs 2'!$C$14))</f>
      </c>
      <c r="AP54" s="7">
        <f>IF($B54="","",IFERROR(LOOKUP(2,1/(('Events 2'!$C$6:$C$17="W-4 change")*('Events 2'!$B$6:$B$17&lt;=$B54)*('Events 2'!$B$6:$B$17&lt;&gt;"")),'Events 2'!$E$6:$E$17),'Inputs 2'!$C$15))</f>
      </c>
      <c r="AQ54" s="7">
        <f>IF($B54="","",IFERROR(LOOKUP(2,1/(('Events 2'!$C$6:$C$17="W-4 change")*('Events 2'!$B$6:$B$17&lt;=$B54)*('Events 2'!$B$6:$B$17&lt;&gt;"")),'Events 2'!$F$6:$F$17),'Inputs 2'!$C$16))</f>
      </c>
      <c r="AR54" s="7">
        <f>IF($B54="","",IFERROR(LOOKUP(2,1/(('Events 2'!$C$6:$C$17="W-4 change")*('Events 2'!$B$6:$B$17&lt;=$B54)*('Events 2'!$B$6:$B$17&lt;&gt;"")),'Events 2'!$G$6:$G$17),'Inputs 2'!$C$17))</f>
      </c>
      <c r="AS54" s="6">
        <f>IF($B54="","",IFERROR(LOOKUP(2,1/((('Events 2'!$C$6:$C$17="State move")+('Events 2'!$C$6:$C$17="State cert change"))*('Events 2'!$B$6:$B$17&lt;=$B54)*('Events 2'!$B$6:$B$17&lt;&gt;"")),'Events 2'!$F$6:$F$17),'Inputs 2'!$C$23))</f>
      </c>
      <c r="AT54" s="6">
        <f>IF($B54="","",IFERROR(LOOKUP(2,1/((('Events 2'!$C$6:$C$17="State move")+('Events 2'!$C$6:$C$17="State cert change"))*('Events 2'!$B$6:$B$17&lt;=$B54)*('Events 2'!$B$6:$B$17&lt;&gt;"")),'Events 2'!$G$6:$G$17),'Inputs 2'!$C$24))</f>
      </c>
      <c r="AU54">
        <f>IF($B54="","",IFERROR(LOOKUP(2,1/(('Events 2'!$C$6:$C$17="State move")*('Events 2'!$B$6:$B$17&lt;=$B54)*('Events 2'!$B$6:$B$17&lt;&gt;"")),'Events 2'!$E$6:$E$17),'Inputs 2'!$C$22))</f>
      </c>
      <c r="AV54" s="6">
        <f>IF($B54="","",1+COUNTIFS('Events 2'!$C$6:$C$17,"Employer change",'Events 2'!$B$6:$B$17,"&lt;="&amp;$B54,'Events 2'!$B$6:$B$17,"&lt;&gt;"))</f>
      </c>
      <c r="AW54" s="7">
        <f>IF($B54="","",IF($AV54=1,'Inputs 2'!$C$49,IF(IFERROR(MATCH(IFERROR(LOOKUP(2,1/(('Events 2'!$C$6:$C$17="Employer change")*('Events 2'!$B$6:$B$17&lt;=$B54)*('Events 2'!$B$6:$B$17&lt;&gt;"")),'Events 2'!$B$6:$B$17),""),$B$6:$B$68,1),1)&lt;=1,'Inputs 2'!$C$49,INDEX($AB$6:$AB$68,MATCH(IFERROR(LOOKUP(2,1/(('Events 2'!$C$6:$C$17="Employer change")*('Events 2'!$B$6:$B$17&lt;=$B54)*('Events 2'!$B$6:$B$17&lt;&gt;"")),'Events 2'!$B$6:$B$17),""),$B$6:$B$68,1)-1))))</f>
      </c>
      <c r="AX54" s="7">
        <f>IF($B54="","",IF($AV54=1,'Inputs 2'!$C$49,IFERROR(LOOKUP(2,1/(('Events 2'!$C$6:$C$17="Employer change")*('Events 2'!$B$6:$B$17&lt;=$B54)*('Events 2'!$B$6:$B$17&lt;&gt;"")),'Events 2'!$D$6:$D$17),0)))</f>
      </c>
      <c r="AY54" s="7">
        <f>IF($B54="","",($O54-$D54)*'Inputs 2'!$C$8)</f>
      </c>
      <c r="AZ54" s="7">
        <f>IF($B54="","",IF($AN54="AL",MAX(0,$AY54-IF($AU54="Married",IF($AY54&lt;=25999,8500,MAX(5000,8500-175*CEILING(($AY54-25999)/500,1))),IF($AU54="Head of household",IF($AY54&lt;=25999,5200,MAX(2500,5200-135*CEILING(($AY54-25999)/500,1))),IF($AY54&lt;=25999,3000,MAX(2500,3000-25*CEILING(($AY54-25999)/500,1)))))-($P54-'Methodology &amp; Sources'!$C$10*$D54)*'Inputs 2'!$C$8-IF(OR($AU54="Married",$AU54="Head of household"),3000,1500)-$AT54*IF($AY54&lt;=50000,1000,IF($AY54&lt;=100000,500,300))),IF($AN54="AR",IF(MAX(0,$AY54-2470)&lt;97701,INT(MAX(0,$AY54-2470)/100)*100+50,MAX(0,$AY54-2470)),IF($AN54="DE",MAX(0,$AI54-3250),IF($AN54="HI",MAX(0,$AI54-1144*$AS54-4350),IF($AN54="KS",MAX(0,$AI54-(9160*IF($AU54="Married",2,1)+2320*$AT54+IF($AU54="Head of household",2320,0))),IF($AN54="MD",MAX(0,$AI54-3400-3200*$AS54),IF($AN54="MN",MAX(0,$AY54-5300*$AS54),IF($AN54="MO",MAX(0,$AI54-IF($AU54="Head of household",24150,IF($AU54="Married",IF('Inputs 2'!$C$83,16100,32200),16100))),IF($AN54="MT",$AY54,IF($AN54="ND",($C54+$L54)*'Inputs 2'!$C$8,IF($AN54="NE",MAX(0,$AY54-2440*$AS54),IF($AN54="NJ",MAX(0,$AY54-1000*$AS54),IF($AN54="NY",MAX(0,$AY54-(IF($AU54="Married",7950,7400)+1000*$AS54)),IF($AN54="OH",MAX(0,$AY54-650*$AS54),IF($AN54="OK",MAX(0,$AY54-1000*$AS54),IF($AN54="RI",MAX(0,$AI54-1000*$AS54),IF($AN54="SC",MAX(0,$AI54-5000*$AS54-IF($AS54=0,0,MIN(0.1*$AI54,7500))),IF($AN54="VA",MAX(0,$AI54-IF($AU54="Married",17500,8750)-930*$AS54-800*$AT54),IF($AN54="VT",MAX(0,$AI54-5400*$AS54),IF($AN54="WI",MAX(0,$AI54-MAX(0,IF($AU54="Married",9461-0.2*MAX(0,$AI54-25727),6702-0.12*MAX(0,$AI54-17780)))-400*$AS54),IF($AN54="WV",MAX(0,$AI54-2000*$AS54),$AI54))))))))))))))))))))))</f>
      </c>
      <c r="BA54" s="7">
        <f>IF($B54="","",IF($BW54&lt;&gt;"",$BW54,IF($BX54&lt;&gt;"",$BX54,IF($BY54&lt;&gt;"",$BY54,0))))</f>
      </c>
      <c r="BB54" s="7">
        <f>IF($B54="","",IF($AN54="AR",-29*$AS54,IF($AN54="DE",-110*$AS54,IF($AN54="MD",$AZ54*'Inputs 2'!$C$74,IF($AN54="AZ",'Inputs 2'!$C$82*($M54-$D54)*'Inputs 2'!$C$8,IF($AN54="CO",0.044*MAX(0,$AY54-IF($AU54="Married",10000,5000)),IF($AN54="IA",MAX(0,0.038*MAX(0,$AY54-IF($AU54="Head of household",19500,IF($AU54="Married",26000,13000)))-40*$AS54),IF($AN54="ID",0.053*MAX(0,$AY54-IF($AU54="Married",32000,16094)),IF($AN54="IL",0.0495*MAX(0,$AY54-(2925*$AS54+1000*$AT54)),IF($AN54="IN",(0.0295+'Inputs 2'!$C$76)*MAX(0,$AY54-(1000*$AS54+1500*$AT54+3000*'Inputs 2'!$C$86)),IF($AN54="KY",0.035*MAX(0,$AI54-3360),IF($AN54="LA",IF('Inputs 2'!$C$84="0",0.0309*$AI54,0.0309*MAX(0,$AI54-IF('Inputs 2'!$C$84="2",25750,12875))),IF($AN54="MA",0.05*MIN(MAX(0,$AY54-MIN(($BD53+$Q54+$R54+$S54),2000)-IF($AS54=0,0,IF($AS54=1,4400,1000*$AS54+3400))),1107750)+0.09*MAX(0,MAX(0,$AY54-MIN(($BD53+$Q54+$R54+$S54),2000)-IF($AS54=0,0,IF($AS54=1,4400,1000*$AS54+3400)))-1107750)-IF($AU54="Head of household",120,0)-110*'Inputs 2'!$C$75,IF($AN54="MI",0.0425*MAX(0,$AY54-5900*$AS54),IF($AN54="MS",0.04*MAX(0,$AI54-IF($AU54="Head of household",3400,IF($AU54="Married",4600,2300))-'Inputs 2'!$C$85-10000),IF($AN54="OR",IF(OR($AU54="Married",AND($AU54="Single",$AS54&gt;=3)),SUMPRODUCT((MAX(0,$AY54-MIN(($P54-'Methodology &amp; Sources'!$C$10*$D54)*'Inputs 2'!$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Sources'!$B$211:$J$214,0,4))*(MAX(0,$AY54-MIN(($P54-'Methodology &amp; Sources'!$C$10*$D54)*'Inputs 2'!$C$8,IF(OR($AU54="Married",AND($AU54="Single",$AS54&gt;=3)),IF($AY54&lt;250000,8750,IF($AY54&lt;260000,7000,IF($AY54&lt;270000,5250,IF($AY54&lt;280000,3500,IF($AY54&lt;290000,1750,0))))),IF($AY54&lt;125000,8750,IF($AY54&lt;130000,7000,IF($AY54&lt;135000,5250,IF($AY54&lt;140000,3500,IF($AY54&lt;145000,1750,0)))))))-IF(OR($AU54="Married",AND($AU54="Single",$AS54&gt;=3)),5820,2910))-INDEX('Methodology &amp; Sources'!$B$211:$J$214,0,4))*INDEX('Methodology &amp; Sources'!$B$211:$J$214,0,4+2)),SUMPRODUCT((MAX(0,$AY54-MIN(($P54-'Methodology &amp; Sources'!$C$10*$D54)*'Inputs 2'!$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Sources'!$B$211:$J$214,0,1))*(MAX(0,$AY54-MIN(($P54-'Methodology &amp; Sources'!$C$10*$D54)*'Inputs 2'!$C$8,IF(OR($AU54="Married",AND($AU54="Single",$AS54&gt;=3)),IF($AY54&lt;250000,8750,IF($AY54&lt;260000,7000,IF($AY54&lt;270000,5250,IF($AY54&lt;280000,3500,IF($AY54&lt;290000,1750,0))))),IF($AY54&lt;125000,8750,IF($AY54&lt;130000,7000,IF($AY54&lt;135000,5250,IF($AY54&lt;140000,3500,IF($AY54&lt;145000,1750,0)))))))-IF(OR($AU54="Married",AND($AU54="Single",$AS54&gt;=3)),5820,2910))-INDEX('Methodology &amp; Sources'!$B$211:$J$214,0,1))*INDEX('Methodology &amp; Sources'!$B$211:$J$214,0,1+2)))+263-263*IF(IF($AU54="Married",$AY54&gt;200000,$AY54&gt;100000),0,$AS54),IF($AN54="PA",0.0307*(($O54+$E54+$G54)*'Inputs 2'!$C$8),IF($AN54="NY",IF($AU54="Married",IF($AZ54&gt;=2155350,0,IF($AZ54&gt;=1077550,0.48,IF($AZ54&gt;=373200,1.21,IF($AZ54&gt;=323200,0.21,IF($AZ54&gt;=211550,-0.19,IF($AZ54&gt;=157650,-2.8,IF($AZ54&gt;=107650,-0.8,IF($AZ54&gt;=96800,0.05,IF($AZ54&gt;=80650,-0.1,IF($AZ54&gt;=13900,0.4,IF($AZ54&gt;=11700,-0.3,IF($AZ54&gt;=8500,0.5,0)))))))))))),IF($AZ54&gt;=1077550,0,IF($AZ54&gt;=265400,4.29,IF($AZ54&gt;=215400,2.29,IF($AZ54&gt;=157650,2.29,IF($AZ54&gt;=107650,0.29,IF($AZ54&gt;=96800,0.05,IF($AZ54&gt;=80650,-0.1,IF($AZ54&gt;=13900,0.4,IF($AZ54&gt;=11700,-0.3,IF($AZ54&gt;=8500,0.5,0))))))))))),0))))))))))))))))))</f>
      </c>
      <c r="BC54" s="7">
        <f>IF($B54="","",IF($AN54="AL",0.05*$D54,IF($AN54="AR",0.039*$D54,IF($AN54="ID",0.053*$D54,IF($AN54="IN",(0.0295+'Inputs 2'!$C$76)*$D54,IF($AN54="KS",0.05*$D54,IF($AN54="MA",0.09*MIN($D54,MAX(0,MAX(0,$AY54-MIN(($BD53+$Q54+$R54+$S54),2000)-IF($AS54=0,0,IF($AS54=1,4400,1000*$AS54+3400)))+$D54-1107750))+0.05*($D54-MIN($D54,MAX(0,MAX(0,$AY54-MIN(($BD53+$Q54+$R54+$S54),2000)-IF($AS54=0,0,IF($AS54=1,4400,1000*$AS54+3400)))+$D54-1107750))),IF($AN54="MD",(0.065+'Inputs 2'!$C$74)*$D54,IF($AN54="MI",0.0425*$D54,IF($AN54="MN",0.0625*$D54,IF($AN54="MO",0.047*$D54,IF($AN54="MT",0.05*$D54,IF($AN54="ND",0.015*$D54,IF($AN54="NE",0.035*$D54,IF($AN54="NJ",IF('Inputs 2'!$C$77="B",SUMPRODUCT(($D54*'Inputs 2'!$C$8&gt;INDEX('Methodology &amp; Sources'!$B$155:$J$162,0,4))*($D54*'Inputs 2'!$C$8-INDEX('Methodology &amp; Sources'!$B$155:$J$162,0,4))*INDEX('Methodology &amp; Sources'!$B$155:$J$162,0,4+2)),IF('Inputs 2'!$C$77="C",SUMPRODUCT(($D54*'Inputs 2'!$C$8&gt;INDEX('Methodology &amp; Sources'!$B$155:$J$162,0,7))*($D54*'Inputs 2'!$C$8-INDEX('Methodology &amp; Sources'!$B$155:$J$162,0,7))*INDEX('Methodology &amp; Sources'!$B$155:$J$162,0,7+2)),IF('Inputs 2'!$C$77="D",SUMPRODUCT(($D54*'Inputs 2'!$C$8&gt;INDEX('Methodology &amp; Sources'!$B$167:$J$179,0,1))*($D54*'Inputs 2'!$C$8-INDEX('Methodology &amp; Sources'!$B$167:$J$179,0,1))*INDEX('Methodology &amp; Sources'!$B$167:$J$179,0,1+2)),IF('Inputs 2'!$C$77="E",SUMPRODUCT(($D54*'Inputs 2'!$C$8&gt;INDEX('Methodology &amp; Sources'!$B$167:$J$179,0,4))*($D54*'Inputs 2'!$C$8-INDEX('Methodology &amp; Sources'!$B$167:$J$179,0,4))*INDEX('Methodology &amp; Sources'!$B$167:$J$179,0,4+2)),SUMPRODUCT(($D54*'Inputs 2'!$C$8&gt;INDEX('Methodology &amp; Sources'!$B$155:$J$162,0,1))*($D54*'Inputs 2'!$C$8-INDEX('Methodology &amp; Sources'!$B$155:$J$162,0,1))*INDEX('Methodology &amp; Sources'!$B$155:$J$162,0,1+2))))))/'Inputs 2'!$C$8,IF($AN54="NY",0.117*$D54,IF($AN54="OH",0.0275*$D54,IF($AN54="OK",0.045*$D54,IF($AN54="OR",0.08*$D54,IF($AN54="WI",IF($AY54&lt;12760,0.0354,IF($AY54&lt;25520,0.0465,IF($AY54&lt;280950,0.053,0.0765)))*$D54,0))))))))))))))))))))</f>
      </c>
      <c r="BD54" s="7">
        <f>IF($B54="","",$BD53+$Q54+$R54+$S54)</f>
      </c>
      <c r="BE54" s="6">
        <f>IF($B54="",$BE53,$BE53+$BF54)</f>
      </c>
      <c r="BF54" s="6">
        <f>IF($B54="","",IF(AND(IF(YEAR(IF('Inputs 2'!$C$7="Weekly",'Inputs 2'!$C$9+7*(($BE53+1)-1),IF('Inputs 2'!$C$7="Biweekly",'Inputs 2'!$C$9+14*(($BE53+1)-1),IF('Inputs 2'!$C$7="Semimonthly",DATE(YEAR('Inputs 2'!$C$9),MONTH('Inputs 2'!$C$9)+INT((($BE53+1)-1)/2),MIN(DAY('Inputs 2'!$C$9),DAY(EOMONTH(DATE(YEAR('Inputs 2'!$C$9),MONTH('Inputs 2'!$C$9)+INT((($BE53+1)-1)/2),1),0))))+IF(MOD(($BE53+1)-1,2)=1,15,0),EDATE('Inputs 2'!$C$9,($BE53+1)-1)))))&lt;&gt;'Inputs 2'!$C$10,"",IF('Inputs 2'!$C$7="Weekly",'Inputs 2'!$C$9+7*(($BE53+1)-1),IF('Inputs 2'!$C$7="Biweekly",'Inputs 2'!$C$9+14*(($BE53+1)-1),IF('Inputs 2'!$C$7="Semimonthly",DATE(YEAR('Inputs 2'!$C$9),MONTH('Inputs 2'!$C$9)+INT((($BE53+1)-1)/2),MIN(DAY('Inputs 2'!$C$9),DAY(EOMONTH(DATE(YEAR('Inputs 2'!$C$9),MONTH('Inputs 2'!$C$9)+INT((($BE53+1)-1)/2),1),0))))+IF(MOD(($BE53+1)-1,2)=1,15,0),EDATE('Inputs 2'!$C$9,($BE53+1)-1)))))&lt;&gt;"",$B54=IF(YEAR(IF('Inputs 2'!$C$7="Weekly",'Inputs 2'!$C$9+7*(($BE53+1)-1),IF('Inputs 2'!$C$7="Biweekly",'Inputs 2'!$C$9+14*(($BE53+1)-1),IF('Inputs 2'!$C$7="Semimonthly",DATE(YEAR('Inputs 2'!$C$9),MONTH('Inputs 2'!$C$9)+INT((($BE53+1)-1)/2),MIN(DAY('Inputs 2'!$C$9),DAY(EOMONTH(DATE(YEAR('Inputs 2'!$C$9),MONTH('Inputs 2'!$C$9)+INT((($BE53+1)-1)/2),1),0))))+IF(MOD(($BE53+1)-1,2)=1,15,0),EDATE('Inputs 2'!$C$9,($BE53+1)-1)))))&lt;&gt;'Inputs 2'!$C$10,"",IF('Inputs 2'!$C$7="Weekly",'Inputs 2'!$C$9+7*(($BE53+1)-1),IF('Inputs 2'!$C$7="Biweekly",'Inputs 2'!$C$9+14*(($BE53+1)-1),IF('Inputs 2'!$C$7="Semimonthly",DATE(YEAR('Inputs 2'!$C$9),MONTH('Inputs 2'!$C$9)+INT((($BE53+1)-1)/2),MIN(DAY('Inputs 2'!$C$9),DAY(EOMONTH(DATE(YEAR('Inputs 2'!$C$9),MONTH('Inputs 2'!$C$9)+INT((($BE53+1)-1)/2),1),0))))+IF(MOD(($BE53+1)-1,2)=1,15,0),EDATE('Inputs 2'!$C$9,($BE53+1)-1)))))),1,0))</f>
      </c>
      <c r="BG54" s="7">
        <f>IF($B54="","",$BG53+$H54)</f>
      </c>
      <c r="BH54" s="7">
        <f>IF($B54="","",$BH53+$I54)</f>
      </c>
      <c r="BI54" s="7">
        <f>IF($B54="","",$BI53+$G54)</f>
      </c>
      <c r="BJ54" s="7">
        <f>IF($B54="","",IFERROR(LOOKUP(2,1/(((('Events 2'!$C$6:$C$17="Deduction start"))*('Events 2'!$D$6:$D$17="Health FSA"))*('Events 2'!$B$6:$B$17&lt;=$B54)*('Events 2'!$B$6:$B$17&lt;&gt;"")),'Events 2'!$E$6:$E$17),'Inputs 2'!$D$38))</f>
      </c>
      <c r="BK54" s="7">
        <f>IF($B54="","",IFERROR(LOOKUP(2,1/(((('Events 2'!$C$6:$C$17="Deduction start"))*('Events 2'!$D$6:$D$17="Dependent-care FSA"))*('Events 2'!$B$6:$B$17&lt;=$B54)*('Events 2'!$B$6:$B$17&lt;&gt;"")),'Events 2'!$E$6:$E$17),'Inputs 2'!$D$39))</f>
      </c>
      <c r="BL54" s="7">
        <f>IF($B54="","",IFERROR(LOOKUP(2,1/(((('Events 2'!$C$6:$C$17="Deduction start")+('Events 2'!$C$6:$C$17="Deduction stop"))*('Events 2'!$D$6:$D$17="HSA"))*('Events 2'!$B$6:$B$17&lt;=$B54)*('Events 2'!$B$6:$B$17&lt;&gt;"")),'Events 2'!$I$6:$I$17),'Inputs 2'!$D$35))</f>
      </c>
      <c r="BM54" s="7">
        <f>IF($B54="","",IFERROR(LOOKUP(2,1/(((('Events 2'!$C$6:$C$17="Deduction start")+('Events 2'!$C$6:$C$17="Deduction stop"))*('Events 2'!$D$6:$D$17="Premiums"))*('Events 2'!$B$6:$B$17&lt;=$B54)*('Events 2'!$B$6:$B$17&lt;&gt;"")),'Events 2'!$I$6:$I$17),'Inputs 2'!$D$40+'Inputs 2'!$D$41+'Inputs 2'!$D$42))</f>
      </c>
      <c r="BN54" s="7">
        <f>IF($B54="","",IFERROR(LOOKUP(2,1/(((('Events 2'!$C$6:$C$17="Deduction start")+('Events 2'!$C$6:$C$17="Deduction stop"))*('Events 2'!$D$6:$D$17="Commuter"))*('Events 2'!$B$6:$B$17&lt;=$B54)*('Events 2'!$B$6:$B$17&lt;&gt;"")),'Events 2'!$I$6:$I$17),'Inputs 2'!$D$43))</f>
      </c>
      <c r="BO54" s="7">
        <f>IF($B54="","",IFERROR(LOOKUP(2,1/(((('Events 2'!$C$6:$C$17="Deduction start")+('Events 2'!$C$6:$C$17="Deduction stop"))*('Events 2'!$D$6:$D$17="Other pre-tax"))*('Events 2'!$B$6:$B$17&lt;=$B54)*('Events 2'!$B$6:$B$17&lt;&gt;"")),'Events 2'!$I$6:$I$17),'Inputs 2'!$D$44))</f>
      </c>
      <c r="BP54" s="7">
        <f>IF($B54="","",IFERROR(LOOKUP(2,1/(((('Events 2'!$C$6:$C$17="Deduction start")+('Events 2'!$C$6:$C$17="Deduction stop"))*('Events 2'!$D$6:$D$17="Other post-tax"))*('Events 2'!$B$6:$B$17&lt;=$B54)*('Events 2'!$B$6:$B$17&lt;&gt;"")),'Events 2'!$I$6:$I$17),'Inputs 2'!$D$45))</f>
      </c>
      <c r="BQ54" s="6">
        <f>IF($B54="","",IFERROR(LOOKUP(2,1/(((('Events 2'!$C$6:$C$17="Deduction start")+('Events 2'!$C$6:$C$17="Deduction stop"))*('Events 2'!$D$6:$D$17="Health FSA"))*('Events 2'!$B$6:$B$17&lt;=$B54)*('Events 2'!$B$6:$B$17&lt;&gt;"")),'Events 2'!$J$6:$J$17),0))</f>
      </c>
      <c r="BR54" s="6">
        <f>IF($B54="","",IFERROR(LOOKUP(2,1/(((('Events 2'!$C$6:$C$17="Deduction start")+('Events 2'!$C$6:$C$17="Deduction stop"))*('Events 2'!$D$6:$D$17="Dependent-care FSA"))*('Events 2'!$B$6:$B$17&lt;=$B54)*('Events 2'!$B$6:$B$17&lt;&gt;"")),'Events 2'!$J$6:$J$17),0))</f>
      </c>
      <c r="BS54" s="6">
        <f>IF($B54="","",IF(SUMPRODUCT(('Events 2'!$C$6:$C$17="Deduction start")*('Events 2'!$B$6:$B$17&lt;=$B54)*('Events 2'!$B$6:$B$17&lt;&gt;"")*('Events 2'!$D$6:$D$17="Health FSA"))&gt;0,1,0))</f>
      </c>
      <c r="BT54" s="6">
        <f>IF($B54="","",IF(SUMPRODUCT(('Events 2'!$C$6:$C$17="Deduction start")*('Events 2'!$B$6:$B$17&lt;=$B54)*('Events 2'!$B$6:$B$17&lt;&gt;"")*('Events 2'!$D$6:$D$17="Dependent-care FSA"))&gt;0,1,0))</f>
      </c>
      <c r="BU54" s="24">
        <f>IF($B54="","",IF('Inputs 2'!$C$13,SUMPRODUCT(($AH54&gt;=INDEX('Methodology &amp; Sources'!$B$29:$J$36,0,IF('Inputs 2'!$C$12="MFJ",1,IF('Inputs 2'!$C$12="HoH",7,4))))*INDEX('Methodology &amp; Sources'!$B$29:$J$36,0,IF('Inputs 2'!$C$12="MFJ",1,IF('Inputs 2'!$C$12="HoH",7,4))+2)),SUMPRODUCT(($AH54&gt;=INDEX('Methodology &amp; Sources'!$B$19:$J$26,0,IF('Inputs 2'!$C$12="MFJ",1,IF('Inputs 2'!$C$12="HoH",7,4))))*INDEX('Methodology &amp; Sources'!$B$19:$J$26,0,IF('Inputs 2'!$C$12="MFJ",1,IF('Inputs 2'!$C$12="HoH",7,4))+2))))</f>
      </c>
      <c r="BV54" s="24">
        <f>IF($B54="","",IF($BZ54&lt;&gt;"",$BZ54,IF($CA54&lt;&gt;"",$CA54,IF($CB54&lt;&gt;"",$CB54,IF($CC54&lt;&gt;"",$CC54,0)))))</f>
      </c>
      <c r="BW54" s="7">
        <f>IF($B54="","",IF($AN54="MD",IF(OR($AU54="Married",$AU54="Head of household"),SUMPRODUCT(($AZ54&gt;INDEX('Methodology &amp; Sources'!$B$114:$J$120,0,1))*($AZ54-INDEX('Methodology &amp; Sources'!$B$114:$J$120,0,1))*INDEX('Methodology &amp; Sources'!$B$114:$J$120,0,1+2)),SUMPRODUCT(($AZ54&gt;INDEX('Methodology &amp; Sources'!$B$103:$J$109,0,7))*($AZ54-INDEX('Methodology &amp; Sources'!$B$103:$J$109,0,7))*INDEX('Methodology &amp; Sources'!$B$103:$J$109,0,7+2))),IF($AN54="MO",SUMPRODUCT(($AZ54&gt;INDEX('Methodology &amp; Sources'!$B$125:$J$132,0,1))*($AZ54-INDEX('Methodology &amp; Sources'!$B$125:$J$132,0,1))*INDEX('Methodology &amp; Sources'!$B$125:$J$132,0,1+2)),IF($AN54="MT",IF($AU54="Head of household",SUMPRODUCT(($AZ54&gt;INDEX('Methodology &amp; Sources'!$B$137:$J$139,0,1))*($AZ54-INDEX('Methodology &amp; Sources'!$B$137:$J$139,0,1))*INDEX('Methodology &amp; Sources'!$B$137:$J$139,0,1+2)),IF($AU54="Married",SUMPRODUCT(($AZ54&gt;INDEX('Methodology &amp; Sources'!$B$125:$J$132,0,7))*($AZ54-INDEX('Methodology &amp; Sources'!$B$125:$J$132,0,7))*INDEX('Methodology &amp; Sources'!$B$125:$J$132,0,7+2)),SUMPRODUCT(($AZ54&gt;INDEX('Methodology &amp; Sources'!$B$125:$J$132,0,4))*($AZ54-INDEX('Methodology &amp; Sources'!$B$125:$J$132,0,4))*INDEX('Methodology &amp; Sources'!$B$125:$J$132,0,4+2)))),IF($AN54="ND",IF($AU54="Head of household",SUMPRODUCT(($AZ54&gt;INDEX('Methodology &amp; Sources'!$B$144:$J$150,0,1))*($AZ54-INDEX('Methodology &amp; Sources'!$B$144:$J$150,0,1))*INDEX('Methodology &amp; Sources'!$B$144:$J$150,0,1+2)),IF($AU54="Married",SUMPRODUCT(($AZ54&gt;INDEX('Methodology &amp; Sources'!$B$137:$J$139,0,7))*($AZ54-INDEX('Methodology &amp; Sources'!$B$137:$J$139,0,7))*INDEX('Methodology &amp; Sources'!$B$137:$J$139,0,7+2)),SUMPRODUCT(($AZ54&gt;INDEX('Methodology &amp; Sources'!$B$137:$J$139,0,4))*($AZ54-INDEX('Methodology &amp; Sources'!$B$137:$J$139,0,4))*INDEX('Methodology &amp; Sources'!$B$137:$J$139,0,4+2)))),IF($AN54="NJ",IF('Inputs 2'!$C$77="B",SUMPRODUCT(($AZ54&gt;INDEX('Methodology &amp; Sources'!$B$155:$J$162,0,4))*($AZ54-INDEX('Methodology &amp; Sources'!$B$155:$J$162,0,4))*INDEX('Methodology &amp; Sources'!$B$155:$J$162,0,4+2)),IF('Inputs 2'!$C$77="C",SUMPRODUCT(($AZ54&gt;INDEX('Methodology &amp; Sources'!$B$155:$J$162,0,7))*($AZ54-INDEX('Methodology &amp; Sources'!$B$155:$J$162,0,7))*INDEX('Methodology &amp; Sources'!$B$155:$J$162,0,7+2)),IF('Inputs 2'!$C$77="D",SUMPRODUCT(($AZ54&gt;INDEX('Methodology &amp; Sources'!$B$167:$J$179,0,1))*($AZ54-INDEX('Methodology &amp; Sources'!$B$167:$J$179,0,1))*INDEX('Methodology &amp; Sources'!$B$167:$J$179,0,1+2)),IF('Inputs 2'!$C$77="E",SUMPRODUCT(($AZ54&gt;INDEX('Methodology &amp; Sources'!$B$167:$J$179,0,4))*($AZ54-INDEX('Methodology &amp; Sources'!$B$167:$J$179,0,4))*INDEX('Methodology &amp; Sources'!$B$167:$J$179,0,4+2)),SUMPRODUCT(($AZ54&gt;INDEX('Methodology &amp; Sources'!$B$155:$J$162,0,1))*($AZ54-INDEX('Methodology &amp; Sources'!$B$155:$J$162,0,1))*INDEX('Methodology &amp; Sources'!$B$155:$J$162,0,1+2)))))),IF($AN54="NY",IF($AU54="Married",IF($AZ54&gt;=2155350,$AZ54*IF($AZ54&gt;25000000,0.117,IF($AZ54&gt;5000000,0.111,0.1045)),SUMPRODUCT(($AZ54&gt;INDEX('Methodology &amp; Sources'!$B$184:$J$198,0,1))*($AZ54-INDEX('Methodology &amp; Sources'!$B$184:$J$198,0,1))*INDEX('Methodology &amp; Sources'!$B$184:$J$198,0,1+2))),IF($AZ54&gt;=1077550,$AZ54*IF($AZ54&gt;25000000,0.117,IF($AZ54&gt;5000000,0.111,0.1045)),SUMPRODUCT(($AZ54&gt;INDEX('Methodology &amp; Sources'!$B$167:$J$179,0,7))*($AZ54-INDEX('Methodology &amp; Sources'!$B$167:$J$179,0,7))*INDEX('Methodology &amp; Sources'!$B$167:$J$179,0,7+2)))),"")))))))</f>
      </c>
      <c r="BX54" s="7">
        <f>IF($B54="","",IF($AN54="AL",IF(OR($AU54="Married",$AU54="Head of household"),SUMPRODUCT(($AZ54&gt;INDEX('Methodology &amp; Sources'!$B$82:$J$86,0,4))*($AZ54-INDEX('Methodology &amp; Sources'!$B$82:$J$86,0,4))*INDEX('Methodology &amp; Sources'!$B$82:$J$86,0,4+2)),SUMPRODUCT(($AZ54&gt;INDEX('Methodology &amp; Sources'!$B$82:$J$86,0,1))*($AZ54-INDEX('Methodology &amp; Sources'!$B$82:$J$86,0,1))*INDEX('Methodology &amp; Sources'!$B$82:$J$86,0,1+2))),IF($AN54="KS",IF($AU54="Married",SUMPRODUCT(($AZ54&gt;INDEX('Methodology &amp; Sources'!$B$103:$J$109,0,4))*($AZ54-INDEX('Methodology &amp; Sources'!$B$103:$J$109,0,4))*INDEX('Methodology &amp; Sources'!$B$103:$J$109,0,4+2)),SUMPRODUCT(($AZ54&gt;INDEX('Methodology &amp; Sources'!$B$103:$J$109,0,1))*($AZ54-INDEX('Methodology &amp; Sources'!$B$103:$J$109,0,1))*INDEX('Methodology &amp; Sources'!$B$103:$J$109,0,1+2))),IF($AN54="MN",IF($AU54="Married",SUMPRODUCT(($AZ54&gt;INDEX('Methodology &amp; Sources'!$B$114:$J$120,0,7))*($AZ54-INDEX('Methodology &amp; Sources'!$B$114:$J$120,0,7))*INDEX('Methodology &amp; Sources'!$B$114:$J$120,0,7+2)),SUMPRODUCT(($AZ54&gt;INDEX('Methodology &amp; Sources'!$B$114:$J$120,0,4))*($AZ54-INDEX('Methodology &amp; Sources'!$B$114:$J$120,0,4))*INDEX('Methodology &amp; Sources'!$B$114:$J$120,0,4+2))),IF($AN54="NE",MAX(IF($AU54="Married",SUMPRODUCT(($AZ54&gt;INDEX('Methodology &amp; Sources'!$B$144:$J$150,0,7))*($AZ54-INDEX('Methodology &amp; Sources'!$B$144:$J$150,0,7))*INDEX('Methodology &amp; Sources'!$B$144:$J$150,0,7+2)),SUMPRODUCT(($AZ54&gt;INDEX('Methodology &amp; Sources'!$B$144:$J$150,0,4))*($AZ54-INDEX('Methodology &amp; Sources'!$B$144:$J$150,0,4))*INDEX('Methodology &amp; Sources'!$B$144:$J$150,0,4+2))),0.015*$AZ54),IF($AN54="OH",IF($B54&gt;=DATE(2027,8,1),SUMPRODUCT(($AZ54&gt;INDEX('Methodology &amp; Sources'!$B$203:$J$206,0,1))*($AZ54-INDEX('Methodology &amp; Sources'!$B$203:$J$206,0,1))*INDEX('Methodology &amp; Sources'!$B$203:$J$206,0,1+2)),SUMPRODUCT(($AZ54&gt;INDEX('Methodology &amp; Sources'!$B$184:$J$198,0,7))*($AZ54-INDEX('Methodology &amp; Sources'!$B$184:$J$198,0,7))*INDEX('Methodology &amp; Sources'!$B$184:$J$198,0,7+2))),IF($AN54="OK",IF($AU54="Married",SUMPRODUCT(($AZ54&gt;INDEX('Methodology &amp; Sources'!$B$203:$J$206,0,7))*($AZ54-INDEX('Methodology &amp; Sources'!$B$203:$J$206,0,7))*INDEX('Methodology &amp; Sources'!$B$203:$J$206,0,7+2)),SUMPRODUCT(($AZ54&gt;INDEX('Methodology &amp; Sources'!$B$203:$J$206,0,4))*($AZ54-INDEX('Methodology &amp; Sources'!$B$203:$J$206,0,4))*INDEX('Methodology &amp; Sources'!$B$203:$J$206,0,4+2))),IF($AN54="RI",SUMPRODUCT(($AZ54&gt;INDEX('Methodology &amp; Sources'!$B$211:$J$214,0,7))*($AZ54-INDEX('Methodology &amp; Sources'!$B$211:$J$214,0,7))*INDEX('Methodology &amp; Sources'!$B$211:$J$214,0,7+2)),IF($AN54="VT",IF($AU54="Married",SUMPRODUCT(($AZ54&gt;INDEX('Methodology &amp; Sources'!$B$228:$J$232,0,1))*($AZ54-INDEX('Methodology &amp; Sources'!$B$228:$J$232,0,1))*INDEX('Methodology &amp; Sources'!$B$228:$J$232,0,1+2)),SUMPRODUCT(($AZ54&gt;INDEX('Methodology &amp; Sources'!$B$219:$J$223,0,7))*($AZ54-INDEX('Methodology &amp; Sources'!$B$219:$J$223,0,7))*INDEX('Methodology &amp; Sources'!$B$219:$J$223,0,7+2))),IF($AN54="WV",IF($AU54="Married",SUMPRODUCT(($AZ54&gt;INDEX('Methodology &amp; Sources'!$B$237:$J$241,0,7))*($AZ54-INDEX('Methodology &amp; Sources'!$B$237:$J$241,0,7))*INDEX('Methodology &amp; Sources'!$B$237:$J$241,0,7+2)),SUMPRODUCT(($AZ54&gt;INDEX('Methodology &amp; Sources'!$B$228:$J$232,0,7))*($AZ54-INDEX('Methodology &amp; Sources'!$B$228:$J$232,0,7))*INDEX('Methodology &amp; Sources'!$B$228:$J$232,0,7+2))),""))))))))))</f>
      </c>
      <c r="BY54" s="7">
        <f>IF($B54="","",IF($AN54="AR",SUMPRODUCT(($AZ54&gt;INDEX('Methodology &amp; Sources'!$B$82:$J$86,0,7))*($AZ54-INDEX('Methodology &amp; Sources'!$B$82:$J$86,0,7))*INDEX('Methodology &amp; Sources'!$B$82:$J$86,0,7+2)),IF($AN54="DE",SUMPRODUCT(($AZ54&gt;INDEX('Methodology &amp; Sources'!$B$91:$J$98,0,1))*($AZ54-INDEX('Methodology &amp; Sources'!$B$91:$J$98,0,1))*INDEX('Methodology &amp; Sources'!$B$91:$J$98,0,1+2)),IF($AN54="HI",IF($AU54="Married",SUMPRODUCT(($AZ54&gt;INDEX('Methodology &amp; Sources'!$B$91:$J$98,0,7))*($AZ54-INDEX('Methodology &amp; Sources'!$B$91:$J$98,0,7))*INDEX('Methodology &amp; Sources'!$B$91:$J$98,0,7+2)),SUMPRODUCT(($AZ54&gt;INDEX('Methodology &amp; Sources'!$B$91:$J$98,0,4))*($AZ54-INDEX('Methodology &amp; Sources'!$B$91:$J$98,0,4))*INDEX('Methodology &amp; Sources'!$B$91:$J$98,0,4+2))),IF($AN54="SC",SUMPRODUCT(($AZ54&gt;INDEX('Methodology &amp; Sources'!$B$219:$J$223,0,1))*($AZ54-INDEX('Methodology &amp; Sources'!$B$219:$J$223,0,1))*INDEX('Methodology &amp; Sources'!$B$219:$J$223,0,1+2)),IF($AN54="VA",SUMPRODUCT(($AZ54&gt;INDEX('Methodology &amp; Sources'!$B$219:$J$223,0,4))*($AZ54-INDEX('Methodology &amp; Sources'!$B$219:$J$223,0,4))*INDEX('Methodology &amp; Sources'!$B$219:$J$223,0,4+2)),IF($AN54="WI",SUMPRODUCT(($AZ54&gt;INDEX('Methodology &amp; Sources'!$B$228:$J$232,0,4))*($AZ54-INDEX('Methodology &amp; Sources'!$B$228:$J$232,0,4))*INDEX('Methodology &amp; Sources'!$B$228:$J$232,0,4+2)),"")))))))</f>
      </c>
      <c r="BZ54" s="24">
        <f>IF($B54="","",IF($AN54="NJ",IF('Inputs 2'!$C$77="B",SUMPRODUCT(($AZ54&gt;=INDEX('Methodology &amp; Sources'!$B$155:$J$162,0,4))*INDEX('Methodology &amp; Sources'!$B$155:$J$162,0,4+2)),IF('Inputs 2'!$C$77="C",SUMPRODUCT(($AZ54&gt;=INDEX('Methodology &amp; Sources'!$B$155:$J$162,0,7))*INDEX('Methodology &amp; Sources'!$B$155:$J$162,0,7+2)),IF('Inputs 2'!$C$77="D",SUMPRODUCT(($AZ54&gt;=INDEX('Methodology &amp; Sources'!$B$167:$J$179,0,1))*INDEX('Methodology &amp; Sources'!$B$167:$J$179,0,1+2)),IF('Inputs 2'!$C$77="E",SUMPRODUCT(($AZ54&gt;=INDEX('Methodology &amp; Sources'!$B$167:$J$179,0,4))*INDEX('Methodology &amp; Sources'!$B$167:$J$179,0,4+2)),SUMPRODUCT(($AZ54&gt;=INDEX('Methodology &amp; Sources'!$B$155:$J$162,0,1))*INDEX('Methodology &amp; Sources'!$B$155:$J$162,0,1+2)))))),IF($AN54="OR",IF(OR($AU54="Married",AND($AU54="Single",$AS54&gt;=3)),SUMPRODUCT((MAX(0,$AY54-MIN(($P54-'Methodology &amp; Sources'!$C$10*$D54)*'Inputs 2'!$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Sources'!$B$211:$J$214,0,4))*INDEX('Methodology &amp; Sources'!$B$211:$J$214,0,4+2)),SUMPRODUCT((MAX(0,$AY54-MIN(($P54-'Methodology &amp; Sources'!$C$10*$D54)*'Inputs 2'!$C$8,IF(OR($AU54="Married",AND($AU54="Single",$AS54&gt;=3)),IF($AY54&lt;250000,8750,IF($AY54&lt;260000,7000,IF($AY54&lt;270000,5250,IF($AY54&lt;280000,3500,IF($AY54&lt;290000,1750,0))))),IF($AY54&lt;125000,8750,IF($AY54&lt;130000,7000,IF($AY54&lt;135000,5250,IF($AY54&lt;140000,3500,IF($AY54&lt;145000,1750,0)))))))-IF(OR($AU54="Married",AND($AU54="Single",$AS54&gt;=3)),5820,2910))&gt;=INDEX('Methodology &amp; Sources'!$B$211:$J$214,0,1))*INDEX('Methodology &amp; Sources'!$B$211:$J$214,0,1+2)))*IF(($P54-'Methodology &amp; Sources'!$C$10*$D54)*'Inputs 2'!$C$8&gt;=IF(OR($AU54="Married",AND($AU54="Single",$AS54&gt;=3)),IF($AY54&lt;250000,8750,IF($AY54&lt;260000,7000,IF($AY54&lt;270000,5250,IF($AY54&lt;280000,3500,IF($AY54&lt;290000,1750,0))))),IF($AY54&lt;125000,8750,IF($AY54&lt;130000,7000,IF($AY54&lt;135000,5250,IF($AY54&lt;140000,3500,IF($AY54&lt;145000,1750,0)))))),1,1-IF('Inputs 2'!$C$13,SUMPRODUCT(($AH54&gt;=INDEX('Methodology &amp; Sources'!$B$29:$J$36,0,IF('Inputs 2'!$C$12="MFJ",1,IF('Inputs 2'!$C$12="HoH",7,4))))*INDEX('Methodology &amp; Sources'!$B$29:$J$36,0,IF('Inputs 2'!$C$12="MFJ",1,IF('Inputs 2'!$C$12="HoH",7,4))+2)),SUMPRODUCT(($AH54&gt;=INDEX('Methodology &amp; Sources'!$B$19:$J$26,0,IF('Inputs 2'!$C$12="MFJ",1,IF('Inputs 2'!$C$12="HoH",7,4))))*INDEX('Methodology &amp; Sources'!$B$19:$J$26,0,IF('Inputs 2'!$C$12="MFJ",1,IF('Inputs 2'!$C$12="HoH",7,4))+2)))),IF($AN54="MI",IF($AY54&gt;5900*$AS54,0.0425,0),""))))</f>
      </c>
      <c r="CA54" s="24">
        <f>IF($B54="","",IF($AN54="AL",IF(OR($AU54="Married",$AU54="Head of household"),SUMPRODUCT(($AZ54&gt;=INDEX('Methodology &amp; Sources'!$B$82:$J$86,0,4))*INDEX('Methodology &amp; Sources'!$B$82:$J$86,0,4+2)),SUMPRODUCT(($AZ54&gt;=INDEX('Methodology &amp; Sources'!$B$82:$J$86,0,1))*INDEX('Methodology &amp; Sources'!$B$82:$J$86,0,1+2)))*(1-IF('Inputs 2'!$C$13,SUMPRODUCT(($AH54&gt;=INDEX('Methodology &amp; Sources'!$B$29:$J$36,0,IF('Inputs 2'!$C$12="MFJ",1,IF('Inputs 2'!$C$12="HoH",7,4))))*INDEX('Methodology &amp; Sources'!$B$29:$J$36,0,IF('Inputs 2'!$C$12="MFJ",1,IF('Inputs 2'!$C$12="HoH",7,4))+2)),SUMPRODUCT(($AH54&gt;=INDEX('Methodology &amp; Sources'!$B$19:$J$26,0,IF('Inputs 2'!$C$12="MFJ",1,IF('Inputs 2'!$C$12="HoH",7,4))))*INDEX('Methodology &amp; Sources'!$B$19:$J$26,0,IF('Inputs 2'!$C$12="MFJ",1,IF('Inputs 2'!$C$12="HoH",7,4))+2)))),IF($AN54="KS",IF($AU54="Married",SUMPRODUCT(($AZ54&gt;=INDEX('Methodology &amp; Sources'!$B$103:$J$109,0,4))*INDEX('Methodology &amp; Sources'!$B$103:$J$109,0,4+2)),SUMPRODUCT(($AZ54&gt;=INDEX('Methodology &amp; Sources'!$B$103:$J$109,0,1))*INDEX('Methodology &amp; Sources'!$B$103:$J$109,0,1+2))),IF($AN54="MD",IF(OR($AU54="Married",$AU54="Head of household"),SUMPRODUCT(($AZ54&gt;=INDEX('Methodology &amp; Sources'!$B$114:$J$120,0,1))*INDEX('Methodology &amp; Sources'!$B$114:$J$120,0,1+2)),SUMPRODUCT(($AZ54&gt;=INDEX('Methodology &amp; Sources'!$B$103:$J$109,0,7))*INDEX('Methodology &amp; Sources'!$B$103:$J$109,0,7+2)))+'Inputs 2'!$C$74,IF($AN54="MT",IF($AU54="Head of household",SUMPRODUCT(($AZ54&gt;=INDEX('Methodology &amp; Sources'!$B$137:$J$139,0,1))*INDEX('Methodology &amp; Sources'!$B$137:$J$139,0,1+2)),IF($AU54="Married",SUMPRODUCT(($AZ54&gt;=INDEX('Methodology &amp; Sources'!$B$125:$J$132,0,7))*INDEX('Methodology &amp; Sources'!$B$125:$J$132,0,7+2)),SUMPRODUCT(($AZ54&gt;=INDEX('Methodology &amp; Sources'!$B$125:$J$132,0,4))*INDEX('Methodology &amp; Sources'!$B$125:$J$132,0,4+2)))),IF($AN54="ND",IF($AU54="Head of household",SUMPRODUCT(($AZ54&gt;=INDEX('Methodology &amp; Sources'!$B$144:$J$150,0,1))*INDEX('Methodology &amp; Sources'!$B$144:$J$150,0,1+2)),IF($AU54="Married",SUMPRODUCT(($AZ54&gt;=INDEX('Methodology &amp; Sources'!$B$137:$J$139,0,7))*INDEX('Methodology &amp; Sources'!$B$137:$J$139,0,7+2)),SUMPRODUCT(($AZ54&gt;=INDEX('Methodology &amp; Sources'!$B$137:$J$139,0,4))*INDEX('Methodology &amp; Sources'!$B$137:$J$139,0,4+2)))),IF($AN54="NY",IF($AU54="Married",IF($AZ54&gt;=2155350,IF($AZ54&gt;25000000,0.117,IF($AZ54&gt;5000000,0.111,0.1045)),SUMPRODUCT(($AZ54&gt;=INDEX('Methodology &amp; Sources'!$B$184:$J$198,0,1))*INDEX('Methodology &amp; Sources'!$B$184:$J$198,0,1+2))),IF($AZ54&gt;=1077550,IF($AZ54&gt;25000000,0.117,IF($AZ54&gt;5000000,0.111,0.1045)),SUMPRODUCT(($AZ54&gt;=INDEX('Methodology &amp; Sources'!$B$167:$J$179,0,7))*INDEX('Methodology &amp; Sources'!$B$167:$J$179,0,7+2)))),"")))))))</f>
      </c>
      <c r="CB54" s="24">
        <f>IF($B54="","",IF($AN54="CA",SUMPRODUCT(($AJ54&gt;=INDEX('Methodology &amp; Sources'!$B$39:$J$48,0,IF($AU54="Married",4,IF($AU54="Head of household",7,1))))*INDEX('Methodology &amp; Sources'!$B$39:$J$48,0,IF($AU54="Married",4,IF($AU54="Head of household",7,1))+2)),IF($AN54="HI",IF($AU54="Married",SUMPRODUCT(($AZ54&gt;=INDEX('Methodology &amp; Sources'!$B$91:$J$98,0,7))*INDEX('Methodology &amp; Sources'!$B$91:$J$98,0,7+2)),SUMPRODUCT(($AZ54&gt;=INDEX('Methodology &amp; Sources'!$B$91:$J$98,0,4))*INDEX('Methodology &amp; Sources'!$B$91:$J$98,0,4+2))),IF($AN54="MN",IF($AU54="Married",SUMPRODUCT(($AZ54&gt;=INDEX('Methodology &amp; Sources'!$B$114:$J$120,0,7))*INDEX('Methodology &amp; Sources'!$B$114:$J$120,0,7+2)),SUMPRODUCT(($AZ54&gt;=INDEX('Methodology &amp; Sources'!$B$114:$J$120,0,4))*INDEX('Methodology &amp; Sources'!$B$114:$J$120,0,4+2))),IF($AN54="MO",SUMPRODUCT(($AZ54&gt;=INDEX('Methodology &amp; Sources'!$B$125:$J$132,0,1))*INDEX('Methodology &amp; Sources'!$B$125:$J$132,0,1+2)),IF($AN54="NE",MAX(IF($AU54="Married",SUMPRODUCT(($AZ54&gt;=INDEX('Methodology &amp; Sources'!$B$144:$J$150,0,7))*INDEX('Methodology &amp; Sources'!$B$144:$J$150,0,7+2)),SUMPRODUCT(($AZ54&gt;=INDEX('Methodology &amp; Sources'!$B$144:$J$150,0,4))*INDEX('Methodology &amp; Sources'!$B$144:$J$150,0,4+2))),0.015),IF($AN54="OH",IF($B54&gt;=DATE(2027,8,1),SUMPRODUCT(($AZ54&gt;=INDEX('Methodology &amp; Sources'!$B$203:$J$206,0,1))*INDEX('Methodology &amp; Sources'!$B$203:$J$206,0,1+2)),SUMPRODUCT(($AZ54&gt;=INDEX('Methodology &amp; Sources'!$B$184:$J$198,0,7))*INDEX('Methodology &amp; Sources'!$B$184:$J$198,0,7+2))),IF($AN54="OK",IF($AU54="Married",SUMPRODUCT(($AZ54&gt;=INDEX('Methodology &amp; Sources'!$B$203:$J$206,0,7))*INDEX('Methodology &amp; Sources'!$B$203:$J$206,0,7+2)),SUMPRODUCT(($AZ54&gt;=INDEX('Methodology &amp; Sources'!$B$203:$J$206,0,4))*INDEX('Methodology &amp; Sources'!$B$203:$J$206,0,4+2))),IF($AN54="RI",SUMPRODUCT(($AZ54&gt;=INDEX('Methodology &amp; Sources'!$B$211:$J$214,0,7))*INDEX('Methodology &amp; Sources'!$B$211:$J$214,0,7+2)),IF($AN54="SC",SUMPRODUCT(($AZ54&gt;=INDEX('Methodology &amp; Sources'!$B$219:$J$223,0,1))*INDEX('Methodology &amp; Sources'!$B$219:$J$223,0,1+2)),IF($AN54="VT",IF($AU54="Married",SUMPRODUCT(($AZ54&gt;=INDEX('Methodology &amp; Sources'!$B$228:$J$232,0,1))*INDEX('Methodology &amp; Sources'!$B$228:$J$232,0,1+2)),SUMPRODUCT(($AZ54&gt;=INDEX('Methodology &amp; Sources'!$B$219:$J$223,0,7))*INDEX('Methodology &amp; Sources'!$B$219:$J$223,0,7+2))),IF($AN54="WV",IF($AU54="Married",SUMPRODUCT(($AZ54&gt;=INDEX('Methodology &amp; Sources'!$B$237:$J$241,0,7))*INDEX('Methodology &amp; Sources'!$B$237:$J$241,0,7+2)),SUMPRODUCT(($AZ54&gt;=INDEX('Methodology &amp; Sources'!$B$228:$J$232,0,7))*INDEX('Methodology &amp; Sources'!$B$228:$J$232,0,7+2))),IF($AN54="IN",(0.0295+'Inputs 2'!$C$76),"")))))))))))))</f>
      </c>
      <c r="CC54" s="24">
        <f>IF($B54="","",IF($AN54="AR",SUMPRODUCT(($AZ54&gt;=INDEX('Methodology &amp; Sources'!$B$82:$J$86,0,7))*INDEX('Methodology &amp; Sources'!$B$82:$J$86,0,7+2)),IF($AN54="DE",SUMPRODUCT(($AZ54&gt;=INDEX('Methodology &amp; Sources'!$B$91:$J$98,0,1))*INDEX('Methodology &amp; Sources'!$B$91:$J$98,0,1+2)),IF($AN54="VA",SUMPRODUCT(($AZ54&gt;=INDEX('Methodology &amp; Sources'!$B$219:$J$223,0,4))*INDEX('Methodology &amp; Sources'!$B$219:$J$223,0,4+2)),IF($AN54="WI",SUMPRODUCT(($AZ54&gt;=INDEX('Methodology &amp; Sources'!$B$228:$J$232,0,4))*INDEX('Methodology &amp; Sources'!$B$228:$J$232,0,4+2)),IF($AN54="AZ",'Inputs 2'!$C$82,IF($AN54="CO",IF($AY54&gt;IF($AU54="Married",10000,5000),0.044,0),IF($AN54="IA",IF($AY54&gt;IF($AU54="Head of household",19500,IF($AU54="Married",26000,13000)),0.038,0),IF($AN54="ID",IF($AY54&gt;IF($AU54="Married",32000,16094),0.053,0),IF($AN54="IL",IF($AY54&gt;(2925*$AS54+1000*$AT54),0.0495,0),IF($AN54="KY",IF($AI54&gt;3360,0.035,0),IF($AN54="LA",0.0309,IF($AN54="MA",IF(MAX(0,$AY54-MIN(($BD53+$Q54+$R54+$S54),2000)-IF($AS54=0,0,IF($AS54=1,4400,1000*$AS54+3400)))&gt;=1107750,0.09,0.05),IF($AN54="MS",IF($AI54-IF($AU54="Head of household",3400,IF($AU54="Married",4600,2300))-'Inputs 2'!$C$85&gt;10000,0.04,0),IF($AN54="PA",0.0307,"")))))))))))))))</f>
      </c>
      <c r="CD54" s="21">
        <f>IF(YEAR(IF('Inputs 2'!$C$7="Weekly",'Inputs 2'!$C$9+7*(($BE53+1)-1),IF('Inputs 2'!$C$7="Biweekly",'Inputs 2'!$C$9+14*(($BE53+1)-1),IF('Inputs 2'!$C$7="Semimonthly",DATE(YEAR('Inputs 2'!$C$9),MONTH('Inputs 2'!$C$9)+INT((($BE53+1)-1)/2),MIN(DAY('Inputs 2'!$C$9),DAY(EOMONTH(DATE(YEAR('Inputs 2'!$C$9),MONTH('Inputs 2'!$C$9)+INT((($BE53+1)-1)/2),1),0))))+IF(MOD(($BE53+1)-1,2)=1,15,0),EDATE('Inputs 2'!$C$9,($BE53+1)-1)))))&lt;&gt;'Inputs 2'!$C$10,"",IF('Inputs 2'!$C$7="Weekly",'Inputs 2'!$C$9+7*(($BE53+1)-1),IF('Inputs 2'!$C$7="Biweekly",'Inputs 2'!$C$9+14*(($BE53+1)-1),IF('Inputs 2'!$C$7="Semimonthly",DATE(YEAR('Inputs 2'!$C$9),MONTH('Inputs 2'!$C$9)+INT((($BE53+1)-1)/2),MIN(DAY('Inputs 2'!$C$9),DAY(EOMONTH(DATE(YEAR('Inputs 2'!$C$9),MONTH('Inputs 2'!$C$9)+INT((($BE53+1)-1)/2),1),0))))+IF(MOD(($BE53+1)-1,2)=1,15,0),EDATE('Inputs 2'!$C$9,($BE53+1)-1)))))</f>
      </c>
      <c r="CE54" s="21">
        <f>IF(SUMPRODUCT(MIN(IF(('Inputs 2'!$C$58:$C$67&gt;MAX($B$6:$B53))*('Inputs 2'!$C$58:$C$67&gt;=DATE('Inputs 2'!$C$10,1,1))*('Inputs 2'!$C$58:$C$67&lt;=DATE('Inputs 2'!$C$10,12,31)),'Inputs 2'!$C$58:$C$67,999999)))=999999,"",SUMPRODUCT(MIN(IF(('Inputs 2'!$C$58:$C$67&gt;MAX($B$6:$B53))*('Inputs 2'!$C$58:$C$67&gt;=DATE('Inputs 2'!$C$10,1,1))*('Inputs 2'!$C$58:$C$67&lt;=DATE('Inputs 2'!$C$10,12,31)),'Inputs 2'!$C$58:$C$67,999999))))</f>
      </c>
    </row>
    <row r="55">
      <c r="A55" t="n">
        <v>50</v>
      </c>
      <c r="B55" s="21">
        <f>IF(AND($CD55="",$CE55=""),"",IF($CE55="",$CD55,IF($CD55="",$CE55,MIN($CD55,$CE55))))</f>
      </c>
      <c r="C55" s="7">
        <f>IF($B55="","",IF($BF55=0,0,IF('Inputs 2'!$C$4="Annual salary",ROUND($AK55/IF(AND('Inputs 2'!$C$88="Actual paydays",MONTH('Inputs 2'!$C$9)=1),MAX(1,MAX($BE$6:$BE$68)),'Inputs 2'!$C$8),2),$AK55)))</f>
      </c>
      <c r="D55" s="7">
        <f>IF($B55="","",SUMIF('Inputs 2'!$C$58:$C$67,$B55,'Inputs 2'!$D$58:$D$67))</f>
      </c>
      <c r="E55" s="7">
        <f>IF($B55="","",ROUND(MAX(0,MIN(IF($AL55="Percent",$AM55*($C55+$D55),$AM55),MAX(0,'Inputs 2'!$C$34-$AC54))),2))</f>
      </c>
      <c r="F55" s="7">
        <f>IF($B55="","",ROUND(MAX(0,MIN(IF('Inputs 2'!$C$32="Percent",'Inputs 2'!$D$32*($C55+$D55),'Inputs 2'!$D$32),MAX(0,'Inputs 2'!$C$34-$AC54-$E55))),2))</f>
      </c>
      <c r="G55" s="7">
        <f>IF($B55="","",IF($BF55=0,0,ROUND(MAX(0,MIN($BL55,'Inputs 2'!$C$37-'Inputs 2'!$C$54-$BI54)),2)))</f>
      </c>
      <c r="H55" s="7">
        <f>IF($B55="","",IF(OR($BF55=0,$BQ55=1),0,ROUND(MAX(0,MIN(IF($BS55=1,ROUND(MAX(0,MIN($BJ55,'Methodology &amp; Sources'!$C$13)-$BG54)/MAX(1,MAX($BE$6:$BE$68)-($BE54)),2),ROUND(MIN($BJ55,'Methodology &amp; Sources'!$C$13)/'Inputs 2'!$C$8,2)),MIN($BJ55,'Methodology &amp; Sources'!$C$13)-$BG54)),2)))</f>
      </c>
      <c r="I55" s="7">
        <f>IF($B55="","",IF(OR($BF55=0,$BR55=1),0,ROUND(MAX(0,MIN(IF($BT55=1,ROUND(MAX(0,MIN($BK55,IF('Inputs 2'!$C$12="MFJ",'Methodology &amp; Sources'!$C$14,'Methodology &amp; Sources'!$C$15))-$BH54)/MAX(1,MAX($BE$6:$BE$68)-($BE54)),2),ROUND(MIN($BK55,IF('Inputs 2'!$C$12="MFJ",'Methodology &amp; Sources'!$C$14,'Methodology &amp; Sources'!$C$15))/'Inputs 2'!$C$8,2)),MIN($BK55,IF('Inputs 2'!$C$12="MFJ",'Methodology &amp; Sources'!$C$14,'Methodology &amp; Sources'!$C$15))-$BH54)),2)))</f>
      </c>
      <c r="J55" s="7">
        <f>IF($B55="","",IF($BF55=0,0,$BM55))</f>
      </c>
      <c r="K55" s="7">
        <f>IF($B55="","",IF($BF55=0,0,$BN55+$BO55))</f>
      </c>
      <c r="L55" s="7">
        <f>IF($B55="","",IF($BF55=0,0,'Inputs 2'!$D$46))</f>
      </c>
      <c r="M55" s="7">
        <f>IF($B55="","",$C55+$D55+$L55-$E55-$G55-$H55-$I55-$J55-$K55)</f>
      </c>
      <c r="N55" s="7">
        <f>IF($B55="","",$C55+$D55+$L55-$G55-$H55-$I55-$J55-$K55)</f>
      </c>
      <c r="O55" s="7">
        <f>IF($B55="","",$C55+$D55+$L55-$E55-$H55-$I55-$J55-$K55-IF(OR($AN55="CA",$AN55="NJ"),0,$G55))</f>
      </c>
      <c r="P55" s="7">
        <f>IF($B55="","",IF('Inputs 2'!$C$18,0,ROUND(MAX(0,IF('Inputs 2'!$C$13,SUMPRODUCT(($AH55&gt;INDEX('Methodology &amp; Sources'!$B$29:$J$36,0,IF('Inputs 2'!$C$12="MFJ",1,IF('Inputs 2'!$C$12="HoH",7,4))))*($AH55-INDEX('Methodology &amp; Sources'!$B$29:$J$36,0,IF('Inputs 2'!$C$12="MFJ",1,IF('Inputs 2'!$C$12="HoH",7,4))))*INDEX('Methodology &amp; Sources'!$B$29:$J$36,0,IF('Inputs 2'!$C$12="MFJ",1,IF('Inputs 2'!$C$12="HoH",7,4))+2)),SUMPRODUCT(($AH55&gt;INDEX('Methodology &amp; Sources'!$B$19:$J$26,0,IF('Inputs 2'!$C$12="MFJ",1,IF('Inputs 2'!$C$12="HoH",7,4))))*($AH55-INDEX('Methodology &amp; Sources'!$B$19:$J$26,0,IF('Inputs 2'!$C$12="MFJ",1,IF('Inputs 2'!$C$12="HoH",7,4))))*INDEX('Methodology &amp; Sources'!$B$19:$J$26,0,IF('Inputs 2'!$C$12="MFJ",1,IF('Inputs 2'!$C$12="HoH",7,4))+2)))/'Inputs 2'!$C$8-$AO55/'Inputs 2'!$C$8)+$AR55+IF('Inputs 2'!$C$89="Aggregate",MAX(0,IF('Inputs 2'!$C$13,SUMPRODUCT((($AH55+$D55)&gt;INDEX('Methodology &amp; Sources'!$B$29:$J$36,0,IF('Inputs 2'!$C$12="MFJ",1,IF('Inputs 2'!$C$12="HoH",7,4))))*(($AH55+$D55)-INDEX('Methodology &amp; Sources'!$B$29:$J$36,0,IF('Inputs 2'!$C$12="MFJ",1,IF('Inputs 2'!$C$12="HoH",7,4))))*INDEX('Methodology &amp; Sources'!$B$29:$J$36,0,IF('Inputs 2'!$C$12="MFJ",1,IF('Inputs 2'!$C$12="HoH",7,4))+2)),SUMPRODUCT((($AH55+$D55)&gt;INDEX('Methodology &amp; Sources'!$B$19:$J$26,0,IF('Inputs 2'!$C$12="MFJ",1,IF('Inputs 2'!$C$12="HoH",7,4))))*(($AH55+$D55)-INDEX('Methodology &amp; Sources'!$B$19:$J$26,0,IF('Inputs 2'!$C$12="MFJ",1,IF('Inputs 2'!$C$12="HoH",7,4))))*INDEX('Methodology &amp; Sources'!$B$19:$J$26,0,IF('Inputs 2'!$C$12="MFJ",1,IF('Inputs 2'!$C$12="HoH",7,4))+2)))-IF('Inputs 2'!$C$13,SUMPRODUCT(($AH55&gt;INDEX('Methodology &amp; Sources'!$B$29:$J$36,0,IF('Inputs 2'!$C$12="MFJ",1,IF('Inputs 2'!$C$12="HoH",7,4))))*($AH55-INDEX('Methodology &amp; Sources'!$B$29:$J$36,0,IF('Inputs 2'!$C$12="MFJ",1,IF('Inputs 2'!$C$12="HoH",7,4))))*INDEX('Methodology &amp; Sources'!$B$29:$J$36,0,IF('Inputs 2'!$C$12="MFJ",1,IF('Inputs 2'!$C$12="HoH",7,4))+2)),SUMPRODUCT(($AH55&gt;INDEX('Methodology &amp; Sources'!$B$19:$J$26,0,IF('Inputs 2'!$C$12="MFJ",1,IF('Inputs 2'!$C$12="HoH",7,4))))*($AH55-INDEX('Methodology &amp; Sources'!$B$19:$J$26,0,IF('Inputs 2'!$C$12="MFJ",1,IF('Inputs 2'!$C$12="HoH",7,4))))*INDEX('Methodology &amp; Sources'!$B$19:$J$26,0,IF('Inputs 2'!$C$12="MFJ",1,IF('Inputs 2'!$C$12="HoH",7,4))+2)))),'Methodology &amp; Sources'!$C$10*$D55),2)))</f>
      </c>
      <c r="Q55" s="7">
        <f>IF($B55="","",ROUND('Methodology &amp; Sources'!$C$4*MIN($N55,MAX(0,'Methodology &amp; Sources'!$C$3-($AX55+$AB54-$AW55))),2))</f>
      </c>
      <c r="R55" s="7">
        <f>IF($B55="","",ROUND('Methodology &amp; Sources'!$C$5*$N55,2))</f>
      </c>
      <c r="S55" s="7">
        <f>IF($B55="","",ROUND('Methodology &amp; Sources'!$C$6*MAX(0,MIN($N55,$AG54+$N55-'Methodology &amp; Sources'!$C$7)),2))</f>
      </c>
      <c r="T55" s="7">
        <f>IF($B55="","",IF('Inputs 2'!$C$26,0,IF($AN55="CA",ROUND(IF($AI55&lt;=IF(($AS55+$AT55)&gt;=2,VLOOKUP($AN55,StateTables!$A$6:$AB$56,10,FALSE),VLOOKUP($AN55,StateTables!$A$6:$AB$56,9,FALSE)),0,MAX(0,SUMPRODUCT(($AJ55&gt;INDEX('Methodology &amp; Sources'!$B$39:$J$48,0,IF($AU55="Married",4,IF($AU55="Head of household",7,1))))*($AJ55-INDEX('Methodology &amp; Sources'!$B$39:$J$48,0,IF($AU55="Married",4,IF($AU55="Head of household",7,1))))*INDEX('Methodology &amp; Sources'!$B$39:$J$48,0,IF($AU55="Married",4,IF($AU55="Head of household",7,1))+2))-VLOOKUP($AN55,StateTables!$A$6:$AB$56,11,FALSE)*$AS55)/'Inputs 2'!$C$8)+'Inputs 2'!$C$25+VLOOKUP($AN55,StateTables!$A$6:$AB$56,13,FALSE)*$D55,2),IF(VLOOKUP($AN55,StateTables!$A$6:$AB$56,4,FALSE)="None",0,IF(ISNUMBER(SEARCH("MANUAL",VLOOKUP($AN55,StateTables!$A$6:$AB$56,5,FALSE))),'Inputs 2'!$C$28,ROUND(MAX(0,$BA55+$BB55)/'Inputs 2'!$C$8+'Inputs 2'!$C$25+$BC55,2))))))</f>
      </c>
      <c r="U55" s="7">
        <f>IF($B55="","",IF(VLOOKUP($AN55,StateTables!$A$6:$AB$56,24,FALSE)="flatq",IF(OR(MONTH($B55)=1,MONTH($B55)=4,MONTH($B55)=7,MONTH($B55)=10),VLOOKUP($AN55,StateTables!$A$6:$AB$56,25,FALSE),0),IF(VLOOKUP($AN55,StateTables!$A$6:$AB$56,24,FALSE)="dbl",MIN(ROUND(0.005*$N55,2),ROUND(0.6*52/'Inputs 2'!$C$8,2)),IF(OR(VLOOKUP($AN55,StateTables!$A$6:$AB$56,15,FALSE)="",VLOOKUP($AN55,StateTables!$A$6:$AB$56,15,FALSE)=0),0,ROUND(VLOOKUP($AN55,StateTables!$A$6:$AB$56,15,FALSE)*IF(OR(VLOOKUP($AN55,StateTables!$A$6:$AB$56,16,FALSE)="",VLOOKUP($AN55,StateTables!$A$6:$AB$56,16,FALSE)=0),$N55,MIN($N55,MAX(0,VLOOKUP($AN55,StateTables!$A$6:$AB$56,16,FALSE)-($AX55+$AB54-$AW55)))),2))))+IF(VLOOKUP($AN55,StateTables!$A$6:$AB$56,27,FALSE)="flatq",IF(OR(MONTH($B55)=1,MONTH($B55)=4,MONTH($B55)=7,MONTH($B55)=10),VLOOKUP($AN55,StateTables!$A$6:$AB$56,28,FALSE),0),IF(VLOOKUP($AN55,StateTables!$A$6:$AB$56,27,FALSE)="dbl",MIN(ROUND(0.005*$N55,2),ROUND(0.6*52/'Inputs 2'!$C$8,2)),IF(OR(VLOOKUP($AN55,StateTables!$A$6:$AB$56,18,FALSE)="",VLOOKUP($AN55,StateTables!$A$6:$AB$56,18,FALSE)=0),0,ROUND(VLOOKUP($AN55,StateTables!$A$6:$AB$56,18,FALSE)*IF(OR(VLOOKUP($AN55,StateTables!$A$6:$AB$56,19,FALSE)="",VLOOKUP($AN55,StateTables!$A$6:$AB$56,19,FALSE)=0),$N55,MIN($N55,MAX(0,VLOOKUP($AN55,StateTables!$A$6:$AB$56,19,FALSE)-($AX55+$AB54-$AW55)))),2)))))</f>
      </c>
      <c r="V55" s="7">
        <f>IF($B55="","",IF($AN55="NY",IF('Inputs 2'!$C$78,ROUND(SUMPRODUCT((MAX(0,($O55-$D55)*'Inputs 2'!$C$8-(IF($AU55="Married",5500,5000)+1000*$AS55))&gt;INDEX('Methodology &amp; Sources'!$B$184:$J$198,0,4))*(MAX(0,($O55-$D55)*'Inputs 2'!$C$8-(IF($AU55="Married",5500,5000)+1000*$AS55))-INDEX('Methodology &amp; Sources'!$B$184:$J$198,0,4))*INDEX('Methodology &amp; Sources'!$B$184:$J$198,0,4+2))/'Inputs 2'!$C$8+0.0425*$D55,2),0)+IF('Inputs 2'!$C$79="Resident",ROUND(0.1675*$T55,2),IF('Inputs 2'!$C$79="Nonresident",ROUND(0.005*MAX(0,($O55-$D55)-(IF($AU55="Married",7950,7400)+1000*$AS55)/'Inputs 2'!$C$8),2),0)),IF($AN55="PA",IF('Inputs 2'!$C$80="None",'Inputs 2'!$C$27+ROUND('Inputs 2'!$C$81*($C55+$D55),2),ROUND(IF('Inputs 2'!$C$80="Resident",IF($B55&lt;DATE(2027,7,1),0.03735,0.03735),IF($B55&lt;DATE(2027,7,1),0.03425,0.03425))*($C55+$D55),2)),IF($BF55=0,ROUND('Inputs 2'!$C$81*($C55+$D55),2),'Inputs 2'!$C$27+ROUND('Inputs 2'!$C$81*($C55+$D55),2)))))</f>
      </c>
      <c r="W55" s="7">
        <f>IF($B55="","",IF($BF55=0,0,$BP55))</f>
      </c>
      <c r="X55" s="7">
        <f>IF($B55="","",SUM($E55:$K55)+$P55+$Q55+$R55+$S55+$T55+$U55+$V55+$W55)</f>
      </c>
      <c r="Y55" s="22">
        <f>IF($B55="","",$C55+$D55-$X55)</f>
      </c>
      <c r="Z55" s="7">
        <f>IF($B55="","",$Z54+$C55+$D55)</f>
      </c>
      <c r="AA55" s="7">
        <f>IF($B55="","",$AA54+$Y55)</f>
      </c>
      <c r="AB55" s="7">
        <f>IF($B55="","",$AB54+MIN($N55,MAX(0,'Methodology &amp; Sources'!$C$3-($AX55+$AB54-$AW55))))</f>
      </c>
      <c r="AC55" s="7">
        <f>IF($B55="","",$AC54+$E55+$F55)</f>
      </c>
      <c r="AD55" s="3">
        <f>IF($B55="","",IF(AND($AB54&lt;'Methodology &amp; Sources'!$C$3,$AB55&gt;='Methodology &amp; Sources'!$C$3),"★ Social Security maxed on this check — from the next check your net rises by about $"&amp;TEXT(ROUND('Methodology &amp; Sources'!$C$4*$N55,2),"#,##0.00")&amp;". ","")&amp;IF(AND($AC54&lt;'Inputs 2'!$C$34,$AC55&gt;='Inputs 2'!$C$34),"★ 401(k) reaches the $"&amp;TEXT('Inputs 2'!$C$34,"#,##0")&amp;" cap on this check — deferrals stop and net pay rises. ","")&amp;IF(AND($AG54&lt;'Methodology &amp; Sources'!$C$7,$AG55&gt;='Methodology &amp; Sources'!$C$7),"★ Wages pass $200,000 — the 0.9% Additional Medicare Tax starts here. ","")&amp;IF(AND($BJ55&gt;0,$H55&gt;0,$BG54&lt;MIN($BJ55,'Methodology &amp; Sources'!$C$13),$BG54+$H55&gt;=MIN($BJ55,'Methodology &amp; Sources'!$C$13)),"★ Health FSA election is now fully deferred for the year. ",""))</f>
      </c>
      <c r="AE55" s="41" t="n"/>
      <c r="AF55" s="7">
        <f>IF(OR($B55="",$AE55=""),"",$AE55-$Y55)</f>
      </c>
      <c r="AG55" s="7">
        <f>IF($B55="","",$AG54+$N55)</f>
      </c>
      <c r="AH55" s="7">
        <f>IF($B55="","",MAX(0,($M55-$D55)*'Inputs 2'!$C$8+$AP55-$AQ55-IF('Inputs 2'!$C$13,0,IF('Inputs 2'!$C$12="MFJ",'Methodology &amp; Sources'!$C$8,'Methodology &amp; Sources'!$C$9))))</f>
      </c>
      <c r="AI55" s="7">
        <f>IF($B55="","",$O55*'Inputs 2'!$C$8)</f>
      </c>
      <c r="AJ55" s="7">
        <f>IF($B55="","",MAX(0,$AI55-VLOOKUP($AN55,StateTables!$A$6:$AB$56,12,FALSE)*$AT55-IF(($AS55+$AT55)&gt;=2,VLOOKUP($AN55,StateTables!$A$6:$AB$56,8,FALSE),VLOOKUP($AN55,StateTables!$A$6:$AB$56,7,FALSE))))</f>
      </c>
      <c r="AK55" s="7">
        <f>IF($B55="","",IFERROR(LOOKUP(2,1/(('Events 2'!$C$6:$C$17="Salary change")*('Events 2'!$B$6:$B$17&lt;=$B55)*('Events 2'!$B$6:$B$17&lt;&gt;"")),'Events 2'!$D$6:$D$17),IF('Inputs 2'!$C$4="Annual salary",'Inputs 2'!$C$5,'Inputs 2'!$C$6)))</f>
      </c>
      <c r="AL55">
        <f>IF($B55="","",IFERROR(LOOKUP(2,1/(('Events 2'!$C$6:$C$17="401(k) change")*('Events 2'!$B$6:$B$17&lt;=$B55)*('Events 2'!$B$6:$B$17&lt;&gt;"")),'Events 2'!$D$6:$D$17),'Inputs 2'!$C$30))</f>
      </c>
      <c r="AM55" s="7">
        <f>IF($B55="","",IFERROR(LOOKUP(2,1/(('Events 2'!$C$6:$C$17="401(k) change")*('Events 2'!$B$6:$B$17&lt;=$B55)*('Events 2'!$B$6:$B$17&lt;&gt;"")),'Events 2'!$E$6:$E$17),'Inputs 2'!$D$30))</f>
      </c>
      <c r="AN55">
        <f>IF($B55="","",IFERROR(LOOKUP(2,1/(('Events 2'!$C$6:$C$17="State move")*('Events 2'!$B$6:$B$17&lt;=$B55)*('Events 2'!$B$6:$B$17&lt;&gt;"")),'Events 2'!$D$6:$D$17),'Inputs 2'!$C$21))</f>
      </c>
      <c r="AO55" s="7">
        <f>IF($B55="","",IFERROR(LOOKUP(2,1/(('Events 2'!$C$6:$C$17="W-4 change")*('Events 2'!$B$6:$B$17&lt;=$B55)*('Events 2'!$B$6:$B$17&lt;&gt;"")),'Events 2'!$D$6:$D$17),'Inputs 2'!$C$14))</f>
      </c>
      <c r="AP55" s="7">
        <f>IF($B55="","",IFERROR(LOOKUP(2,1/(('Events 2'!$C$6:$C$17="W-4 change")*('Events 2'!$B$6:$B$17&lt;=$B55)*('Events 2'!$B$6:$B$17&lt;&gt;"")),'Events 2'!$E$6:$E$17),'Inputs 2'!$C$15))</f>
      </c>
      <c r="AQ55" s="7">
        <f>IF($B55="","",IFERROR(LOOKUP(2,1/(('Events 2'!$C$6:$C$17="W-4 change")*('Events 2'!$B$6:$B$17&lt;=$B55)*('Events 2'!$B$6:$B$17&lt;&gt;"")),'Events 2'!$F$6:$F$17),'Inputs 2'!$C$16))</f>
      </c>
      <c r="AR55" s="7">
        <f>IF($B55="","",IFERROR(LOOKUP(2,1/(('Events 2'!$C$6:$C$17="W-4 change")*('Events 2'!$B$6:$B$17&lt;=$B55)*('Events 2'!$B$6:$B$17&lt;&gt;"")),'Events 2'!$G$6:$G$17),'Inputs 2'!$C$17))</f>
      </c>
      <c r="AS55" s="6">
        <f>IF($B55="","",IFERROR(LOOKUP(2,1/((('Events 2'!$C$6:$C$17="State move")+('Events 2'!$C$6:$C$17="State cert change"))*('Events 2'!$B$6:$B$17&lt;=$B55)*('Events 2'!$B$6:$B$17&lt;&gt;"")),'Events 2'!$F$6:$F$17),'Inputs 2'!$C$23))</f>
      </c>
      <c r="AT55" s="6">
        <f>IF($B55="","",IFERROR(LOOKUP(2,1/((('Events 2'!$C$6:$C$17="State move")+('Events 2'!$C$6:$C$17="State cert change"))*('Events 2'!$B$6:$B$17&lt;=$B55)*('Events 2'!$B$6:$B$17&lt;&gt;"")),'Events 2'!$G$6:$G$17),'Inputs 2'!$C$24))</f>
      </c>
      <c r="AU55">
        <f>IF($B55="","",IFERROR(LOOKUP(2,1/(('Events 2'!$C$6:$C$17="State move")*('Events 2'!$B$6:$B$17&lt;=$B55)*('Events 2'!$B$6:$B$17&lt;&gt;"")),'Events 2'!$E$6:$E$17),'Inputs 2'!$C$22))</f>
      </c>
      <c r="AV55" s="6">
        <f>IF($B55="","",1+COUNTIFS('Events 2'!$C$6:$C$17,"Employer change",'Events 2'!$B$6:$B$17,"&lt;="&amp;$B55,'Events 2'!$B$6:$B$17,"&lt;&gt;"))</f>
      </c>
      <c r="AW55" s="7">
        <f>IF($B55="","",IF($AV55=1,'Inputs 2'!$C$49,IF(IFERROR(MATCH(IFERROR(LOOKUP(2,1/(('Events 2'!$C$6:$C$17="Employer change")*('Events 2'!$B$6:$B$17&lt;=$B55)*('Events 2'!$B$6:$B$17&lt;&gt;"")),'Events 2'!$B$6:$B$17),""),$B$6:$B$68,1),1)&lt;=1,'Inputs 2'!$C$49,INDEX($AB$6:$AB$68,MATCH(IFERROR(LOOKUP(2,1/(('Events 2'!$C$6:$C$17="Employer change")*('Events 2'!$B$6:$B$17&lt;=$B55)*('Events 2'!$B$6:$B$17&lt;&gt;"")),'Events 2'!$B$6:$B$17),""),$B$6:$B$68,1)-1))))</f>
      </c>
      <c r="AX55" s="7">
        <f>IF($B55="","",IF($AV55=1,'Inputs 2'!$C$49,IFERROR(LOOKUP(2,1/(('Events 2'!$C$6:$C$17="Employer change")*('Events 2'!$B$6:$B$17&lt;=$B55)*('Events 2'!$B$6:$B$17&lt;&gt;"")),'Events 2'!$D$6:$D$17),0)))</f>
      </c>
      <c r="AY55" s="7">
        <f>IF($B55="","",($O55-$D55)*'Inputs 2'!$C$8)</f>
      </c>
      <c r="AZ55" s="7">
        <f>IF($B55="","",IF($AN55="AL",MAX(0,$AY55-IF($AU55="Married",IF($AY55&lt;=25999,8500,MAX(5000,8500-175*CEILING(($AY55-25999)/500,1))),IF($AU55="Head of household",IF($AY55&lt;=25999,5200,MAX(2500,5200-135*CEILING(($AY55-25999)/500,1))),IF($AY55&lt;=25999,3000,MAX(2500,3000-25*CEILING(($AY55-25999)/500,1)))))-($P55-'Methodology &amp; Sources'!$C$10*$D55)*'Inputs 2'!$C$8-IF(OR($AU55="Married",$AU55="Head of household"),3000,1500)-$AT55*IF($AY55&lt;=50000,1000,IF($AY55&lt;=100000,500,300))),IF($AN55="AR",IF(MAX(0,$AY55-2470)&lt;97701,INT(MAX(0,$AY55-2470)/100)*100+50,MAX(0,$AY55-2470)),IF($AN55="DE",MAX(0,$AI55-3250),IF($AN55="HI",MAX(0,$AI55-1144*$AS55-4350),IF($AN55="KS",MAX(0,$AI55-(9160*IF($AU55="Married",2,1)+2320*$AT55+IF($AU55="Head of household",2320,0))),IF($AN55="MD",MAX(0,$AI55-3400-3200*$AS55),IF($AN55="MN",MAX(0,$AY55-5300*$AS55),IF($AN55="MO",MAX(0,$AI55-IF($AU55="Head of household",24150,IF($AU55="Married",IF('Inputs 2'!$C$83,16100,32200),16100))),IF($AN55="MT",$AY55,IF($AN55="ND",($C55+$L55)*'Inputs 2'!$C$8,IF($AN55="NE",MAX(0,$AY55-2440*$AS55),IF($AN55="NJ",MAX(0,$AY55-1000*$AS55),IF($AN55="NY",MAX(0,$AY55-(IF($AU55="Married",7950,7400)+1000*$AS55)),IF($AN55="OH",MAX(0,$AY55-650*$AS55),IF($AN55="OK",MAX(0,$AY55-1000*$AS55),IF($AN55="RI",MAX(0,$AI55-1000*$AS55),IF($AN55="SC",MAX(0,$AI55-5000*$AS55-IF($AS55=0,0,MIN(0.1*$AI55,7500))),IF($AN55="VA",MAX(0,$AI55-IF($AU55="Married",17500,8750)-930*$AS55-800*$AT55),IF($AN55="VT",MAX(0,$AI55-5400*$AS55),IF($AN55="WI",MAX(0,$AI55-MAX(0,IF($AU55="Married",9461-0.2*MAX(0,$AI55-25727),6702-0.12*MAX(0,$AI55-17780)))-400*$AS55),IF($AN55="WV",MAX(0,$AI55-2000*$AS55),$AI55))))))))))))))))))))))</f>
      </c>
      <c r="BA55" s="7">
        <f>IF($B55="","",IF($BW55&lt;&gt;"",$BW55,IF($BX55&lt;&gt;"",$BX55,IF($BY55&lt;&gt;"",$BY55,0))))</f>
      </c>
      <c r="BB55" s="7">
        <f>IF($B55="","",IF($AN55="AR",-29*$AS55,IF($AN55="DE",-110*$AS55,IF($AN55="MD",$AZ55*'Inputs 2'!$C$74,IF($AN55="AZ",'Inputs 2'!$C$82*($M55-$D55)*'Inputs 2'!$C$8,IF($AN55="CO",0.044*MAX(0,$AY55-IF($AU55="Married",10000,5000)),IF($AN55="IA",MAX(0,0.038*MAX(0,$AY55-IF($AU55="Head of household",19500,IF($AU55="Married",26000,13000)))-40*$AS55),IF($AN55="ID",0.053*MAX(0,$AY55-IF($AU55="Married",32000,16094)),IF($AN55="IL",0.0495*MAX(0,$AY55-(2925*$AS55+1000*$AT55)),IF($AN55="IN",(0.0295+'Inputs 2'!$C$76)*MAX(0,$AY55-(1000*$AS55+1500*$AT55+3000*'Inputs 2'!$C$86)),IF($AN55="KY",0.035*MAX(0,$AI55-3360),IF($AN55="LA",IF('Inputs 2'!$C$84="0",0.0309*$AI55,0.0309*MAX(0,$AI55-IF('Inputs 2'!$C$84="2",25750,12875))),IF($AN55="MA",0.05*MIN(MAX(0,$AY55-MIN(($BD54+$Q55+$R55+$S55),2000)-IF($AS55=0,0,IF($AS55=1,4400,1000*$AS55+3400))),1107750)+0.09*MAX(0,MAX(0,$AY55-MIN(($BD54+$Q55+$R55+$S55),2000)-IF($AS55=0,0,IF($AS55=1,4400,1000*$AS55+3400)))-1107750)-IF($AU55="Head of household",120,0)-110*'Inputs 2'!$C$75,IF($AN55="MI",0.0425*MAX(0,$AY55-5900*$AS55),IF($AN55="MS",0.04*MAX(0,$AI55-IF($AU55="Head of household",3400,IF($AU55="Married",4600,2300))-'Inputs 2'!$C$85-10000),IF($AN55="OR",IF(OR($AU55="Married",AND($AU55="Single",$AS55&gt;=3)),SUMPRODUCT((MAX(0,$AY55-MIN(($P55-'Methodology &amp; Sources'!$C$10*$D55)*'Inputs 2'!$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Sources'!$B$211:$J$214,0,4))*(MAX(0,$AY55-MIN(($P55-'Methodology &amp; Sources'!$C$10*$D55)*'Inputs 2'!$C$8,IF(OR($AU55="Married",AND($AU55="Single",$AS55&gt;=3)),IF($AY55&lt;250000,8750,IF($AY55&lt;260000,7000,IF($AY55&lt;270000,5250,IF($AY55&lt;280000,3500,IF($AY55&lt;290000,1750,0))))),IF($AY55&lt;125000,8750,IF($AY55&lt;130000,7000,IF($AY55&lt;135000,5250,IF($AY55&lt;140000,3500,IF($AY55&lt;145000,1750,0)))))))-IF(OR($AU55="Married",AND($AU55="Single",$AS55&gt;=3)),5820,2910))-INDEX('Methodology &amp; Sources'!$B$211:$J$214,0,4))*INDEX('Methodology &amp; Sources'!$B$211:$J$214,0,4+2)),SUMPRODUCT((MAX(0,$AY55-MIN(($P55-'Methodology &amp; Sources'!$C$10*$D55)*'Inputs 2'!$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Sources'!$B$211:$J$214,0,1))*(MAX(0,$AY55-MIN(($P55-'Methodology &amp; Sources'!$C$10*$D55)*'Inputs 2'!$C$8,IF(OR($AU55="Married",AND($AU55="Single",$AS55&gt;=3)),IF($AY55&lt;250000,8750,IF($AY55&lt;260000,7000,IF($AY55&lt;270000,5250,IF($AY55&lt;280000,3500,IF($AY55&lt;290000,1750,0))))),IF($AY55&lt;125000,8750,IF($AY55&lt;130000,7000,IF($AY55&lt;135000,5250,IF($AY55&lt;140000,3500,IF($AY55&lt;145000,1750,0)))))))-IF(OR($AU55="Married",AND($AU55="Single",$AS55&gt;=3)),5820,2910))-INDEX('Methodology &amp; Sources'!$B$211:$J$214,0,1))*INDEX('Methodology &amp; Sources'!$B$211:$J$214,0,1+2)))+263-263*IF(IF($AU55="Married",$AY55&gt;200000,$AY55&gt;100000),0,$AS55),IF($AN55="PA",0.0307*(($O55+$E55+$G55)*'Inputs 2'!$C$8),IF($AN55="NY",IF($AU55="Married",IF($AZ55&gt;=2155350,0,IF($AZ55&gt;=1077550,0.48,IF($AZ55&gt;=373200,1.21,IF($AZ55&gt;=323200,0.21,IF($AZ55&gt;=211550,-0.19,IF($AZ55&gt;=157650,-2.8,IF($AZ55&gt;=107650,-0.8,IF($AZ55&gt;=96800,0.05,IF($AZ55&gt;=80650,-0.1,IF($AZ55&gt;=13900,0.4,IF($AZ55&gt;=11700,-0.3,IF($AZ55&gt;=8500,0.5,0)))))))))))),IF($AZ55&gt;=1077550,0,IF($AZ55&gt;=265400,4.29,IF($AZ55&gt;=215400,2.29,IF($AZ55&gt;=157650,2.29,IF($AZ55&gt;=107650,0.29,IF($AZ55&gt;=96800,0.05,IF($AZ55&gt;=80650,-0.1,IF($AZ55&gt;=13900,0.4,IF($AZ55&gt;=11700,-0.3,IF($AZ55&gt;=8500,0.5,0))))))))))),0))))))))))))))))))</f>
      </c>
      <c r="BC55" s="7">
        <f>IF($B55="","",IF($AN55="AL",0.05*$D55,IF($AN55="AR",0.039*$D55,IF($AN55="ID",0.053*$D55,IF($AN55="IN",(0.0295+'Inputs 2'!$C$76)*$D55,IF($AN55="KS",0.05*$D55,IF($AN55="MA",0.09*MIN($D55,MAX(0,MAX(0,$AY55-MIN(($BD54+$Q55+$R55+$S55),2000)-IF($AS55=0,0,IF($AS55=1,4400,1000*$AS55+3400)))+$D55-1107750))+0.05*($D55-MIN($D55,MAX(0,MAX(0,$AY55-MIN(($BD54+$Q55+$R55+$S55),2000)-IF($AS55=0,0,IF($AS55=1,4400,1000*$AS55+3400)))+$D55-1107750))),IF($AN55="MD",(0.065+'Inputs 2'!$C$74)*$D55,IF($AN55="MI",0.0425*$D55,IF($AN55="MN",0.0625*$D55,IF($AN55="MO",0.047*$D55,IF($AN55="MT",0.05*$D55,IF($AN55="ND",0.015*$D55,IF($AN55="NE",0.035*$D55,IF($AN55="NJ",IF('Inputs 2'!$C$77="B",SUMPRODUCT(($D55*'Inputs 2'!$C$8&gt;INDEX('Methodology &amp; Sources'!$B$155:$J$162,0,4))*($D55*'Inputs 2'!$C$8-INDEX('Methodology &amp; Sources'!$B$155:$J$162,0,4))*INDEX('Methodology &amp; Sources'!$B$155:$J$162,0,4+2)),IF('Inputs 2'!$C$77="C",SUMPRODUCT(($D55*'Inputs 2'!$C$8&gt;INDEX('Methodology &amp; Sources'!$B$155:$J$162,0,7))*($D55*'Inputs 2'!$C$8-INDEX('Methodology &amp; Sources'!$B$155:$J$162,0,7))*INDEX('Methodology &amp; Sources'!$B$155:$J$162,0,7+2)),IF('Inputs 2'!$C$77="D",SUMPRODUCT(($D55*'Inputs 2'!$C$8&gt;INDEX('Methodology &amp; Sources'!$B$167:$J$179,0,1))*($D55*'Inputs 2'!$C$8-INDEX('Methodology &amp; Sources'!$B$167:$J$179,0,1))*INDEX('Methodology &amp; Sources'!$B$167:$J$179,0,1+2)),IF('Inputs 2'!$C$77="E",SUMPRODUCT(($D55*'Inputs 2'!$C$8&gt;INDEX('Methodology &amp; Sources'!$B$167:$J$179,0,4))*($D55*'Inputs 2'!$C$8-INDEX('Methodology &amp; Sources'!$B$167:$J$179,0,4))*INDEX('Methodology &amp; Sources'!$B$167:$J$179,0,4+2)),SUMPRODUCT(($D55*'Inputs 2'!$C$8&gt;INDEX('Methodology &amp; Sources'!$B$155:$J$162,0,1))*($D55*'Inputs 2'!$C$8-INDEX('Methodology &amp; Sources'!$B$155:$J$162,0,1))*INDEX('Methodology &amp; Sources'!$B$155:$J$162,0,1+2))))))/'Inputs 2'!$C$8,IF($AN55="NY",0.117*$D55,IF($AN55="OH",0.0275*$D55,IF($AN55="OK",0.045*$D55,IF($AN55="OR",0.08*$D55,IF($AN55="WI",IF($AY55&lt;12760,0.0354,IF($AY55&lt;25520,0.0465,IF($AY55&lt;280950,0.053,0.0765)))*$D55,0))))))))))))))))))))</f>
      </c>
      <c r="BD55" s="7">
        <f>IF($B55="","",$BD54+$Q55+$R55+$S55)</f>
      </c>
      <c r="BE55" s="6">
        <f>IF($B55="",$BE54,$BE54+$BF55)</f>
      </c>
      <c r="BF55" s="6">
        <f>IF($B55="","",IF(AND(IF(YEAR(IF('Inputs 2'!$C$7="Weekly",'Inputs 2'!$C$9+7*(($BE54+1)-1),IF('Inputs 2'!$C$7="Biweekly",'Inputs 2'!$C$9+14*(($BE54+1)-1),IF('Inputs 2'!$C$7="Semimonthly",DATE(YEAR('Inputs 2'!$C$9),MONTH('Inputs 2'!$C$9)+INT((($BE54+1)-1)/2),MIN(DAY('Inputs 2'!$C$9),DAY(EOMONTH(DATE(YEAR('Inputs 2'!$C$9),MONTH('Inputs 2'!$C$9)+INT((($BE54+1)-1)/2),1),0))))+IF(MOD(($BE54+1)-1,2)=1,15,0),EDATE('Inputs 2'!$C$9,($BE54+1)-1)))))&lt;&gt;'Inputs 2'!$C$10,"",IF('Inputs 2'!$C$7="Weekly",'Inputs 2'!$C$9+7*(($BE54+1)-1),IF('Inputs 2'!$C$7="Biweekly",'Inputs 2'!$C$9+14*(($BE54+1)-1),IF('Inputs 2'!$C$7="Semimonthly",DATE(YEAR('Inputs 2'!$C$9),MONTH('Inputs 2'!$C$9)+INT((($BE54+1)-1)/2),MIN(DAY('Inputs 2'!$C$9),DAY(EOMONTH(DATE(YEAR('Inputs 2'!$C$9),MONTH('Inputs 2'!$C$9)+INT((($BE54+1)-1)/2),1),0))))+IF(MOD(($BE54+1)-1,2)=1,15,0),EDATE('Inputs 2'!$C$9,($BE54+1)-1)))))&lt;&gt;"",$B55=IF(YEAR(IF('Inputs 2'!$C$7="Weekly",'Inputs 2'!$C$9+7*(($BE54+1)-1),IF('Inputs 2'!$C$7="Biweekly",'Inputs 2'!$C$9+14*(($BE54+1)-1),IF('Inputs 2'!$C$7="Semimonthly",DATE(YEAR('Inputs 2'!$C$9),MONTH('Inputs 2'!$C$9)+INT((($BE54+1)-1)/2),MIN(DAY('Inputs 2'!$C$9),DAY(EOMONTH(DATE(YEAR('Inputs 2'!$C$9),MONTH('Inputs 2'!$C$9)+INT((($BE54+1)-1)/2),1),0))))+IF(MOD(($BE54+1)-1,2)=1,15,0),EDATE('Inputs 2'!$C$9,($BE54+1)-1)))))&lt;&gt;'Inputs 2'!$C$10,"",IF('Inputs 2'!$C$7="Weekly",'Inputs 2'!$C$9+7*(($BE54+1)-1),IF('Inputs 2'!$C$7="Biweekly",'Inputs 2'!$C$9+14*(($BE54+1)-1),IF('Inputs 2'!$C$7="Semimonthly",DATE(YEAR('Inputs 2'!$C$9),MONTH('Inputs 2'!$C$9)+INT((($BE54+1)-1)/2),MIN(DAY('Inputs 2'!$C$9),DAY(EOMONTH(DATE(YEAR('Inputs 2'!$C$9),MONTH('Inputs 2'!$C$9)+INT((($BE54+1)-1)/2),1),0))))+IF(MOD(($BE54+1)-1,2)=1,15,0),EDATE('Inputs 2'!$C$9,($BE54+1)-1)))))),1,0))</f>
      </c>
      <c r="BG55" s="7">
        <f>IF($B55="","",$BG54+$H55)</f>
      </c>
      <c r="BH55" s="7">
        <f>IF($B55="","",$BH54+$I55)</f>
      </c>
      <c r="BI55" s="7">
        <f>IF($B55="","",$BI54+$G55)</f>
      </c>
      <c r="BJ55" s="7">
        <f>IF($B55="","",IFERROR(LOOKUP(2,1/(((('Events 2'!$C$6:$C$17="Deduction start"))*('Events 2'!$D$6:$D$17="Health FSA"))*('Events 2'!$B$6:$B$17&lt;=$B55)*('Events 2'!$B$6:$B$17&lt;&gt;"")),'Events 2'!$E$6:$E$17),'Inputs 2'!$D$38))</f>
      </c>
      <c r="BK55" s="7">
        <f>IF($B55="","",IFERROR(LOOKUP(2,1/(((('Events 2'!$C$6:$C$17="Deduction start"))*('Events 2'!$D$6:$D$17="Dependent-care FSA"))*('Events 2'!$B$6:$B$17&lt;=$B55)*('Events 2'!$B$6:$B$17&lt;&gt;"")),'Events 2'!$E$6:$E$17),'Inputs 2'!$D$39))</f>
      </c>
      <c r="BL55" s="7">
        <f>IF($B55="","",IFERROR(LOOKUP(2,1/(((('Events 2'!$C$6:$C$17="Deduction start")+('Events 2'!$C$6:$C$17="Deduction stop"))*('Events 2'!$D$6:$D$17="HSA"))*('Events 2'!$B$6:$B$17&lt;=$B55)*('Events 2'!$B$6:$B$17&lt;&gt;"")),'Events 2'!$I$6:$I$17),'Inputs 2'!$D$35))</f>
      </c>
      <c r="BM55" s="7">
        <f>IF($B55="","",IFERROR(LOOKUP(2,1/(((('Events 2'!$C$6:$C$17="Deduction start")+('Events 2'!$C$6:$C$17="Deduction stop"))*('Events 2'!$D$6:$D$17="Premiums"))*('Events 2'!$B$6:$B$17&lt;=$B55)*('Events 2'!$B$6:$B$17&lt;&gt;"")),'Events 2'!$I$6:$I$17),'Inputs 2'!$D$40+'Inputs 2'!$D$41+'Inputs 2'!$D$42))</f>
      </c>
      <c r="BN55" s="7">
        <f>IF($B55="","",IFERROR(LOOKUP(2,1/(((('Events 2'!$C$6:$C$17="Deduction start")+('Events 2'!$C$6:$C$17="Deduction stop"))*('Events 2'!$D$6:$D$17="Commuter"))*('Events 2'!$B$6:$B$17&lt;=$B55)*('Events 2'!$B$6:$B$17&lt;&gt;"")),'Events 2'!$I$6:$I$17),'Inputs 2'!$D$43))</f>
      </c>
      <c r="BO55" s="7">
        <f>IF($B55="","",IFERROR(LOOKUP(2,1/(((('Events 2'!$C$6:$C$17="Deduction start")+('Events 2'!$C$6:$C$17="Deduction stop"))*('Events 2'!$D$6:$D$17="Other pre-tax"))*('Events 2'!$B$6:$B$17&lt;=$B55)*('Events 2'!$B$6:$B$17&lt;&gt;"")),'Events 2'!$I$6:$I$17),'Inputs 2'!$D$44))</f>
      </c>
      <c r="BP55" s="7">
        <f>IF($B55="","",IFERROR(LOOKUP(2,1/(((('Events 2'!$C$6:$C$17="Deduction start")+('Events 2'!$C$6:$C$17="Deduction stop"))*('Events 2'!$D$6:$D$17="Other post-tax"))*('Events 2'!$B$6:$B$17&lt;=$B55)*('Events 2'!$B$6:$B$17&lt;&gt;"")),'Events 2'!$I$6:$I$17),'Inputs 2'!$D$45))</f>
      </c>
      <c r="BQ55" s="6">
        <f>IF($B55="","",IFERROR(LOOKUP(2,1/(((('Events 2'!$C$6:$C$17="Deduction start")+('Events 2'!$C$6:$C$17="Deduction stop"))*('Events 2'!$D$6:$D$17="Health FSA"))*('Events 2'!$B$6:$B$17&lt;=$B55)*('Events 2'!$B$6:$B$17&lt;&gt;"")),'Events 2'!$J$6:$J$17),0))</f>
      </c>
      <c r="BR55" s="6">
        <f>IF($B55="","",IFERROR(LOOKUP(2,1/(((('Events 2'!$C$6:$C$17="Deduction start")+('Events 2'!$C$6:$C$17="Deduction stop"))*('Events 2'!$D$6:$D$17="Dependent-care FSA"))*('Events 2'!$B$6:$B$17&lt;=$B55)*('Events 2'!$B$6:$B$17&lt;&gt;"")),'Events 2'!$J$6:$J$17),0))</f>
      </c>
      <c r="BS55" s="6">
        <f>IF($B55="","",IF(SUMPRODUCT(('Events 2'!$C$6:$C$17="Deduction start")*('Events 2'!$B$6:$B$17&lt;=$B55)*('Events 2'!$B$6:$B$17&lt;&gt;"")*('Events 2'!$D$6:$D$17="Health FSA"))&gt;0,1,0))</f>
      </c>
      <c r="BT55" s="6">
        <f>IF($B55="","",IF(SUMPRODUCT(('Events 2'!$C$6:$C$17="Deduction start")*('Events 2'!$B$6:$B$17&lt;=$B55)*('Events 2'!$B$6:$B$17&lt;&gt;"")*('Events 2'!$D$6:$D$17="Dependent-care FSA"))&gt;0,1,0))</f>
      </c>
      <c r="BU55" s="24">
        <f>IF($B55="","",IF('Inputs 2'!$C$13,SUMPRODUCT(($AH55&gt;=INDEX('Methodology &amp; Sources'!$B$29:$J$36,0,IF('Inputs 2'!$C$12="MFJ",1,IF('Inputs 2'!$C$12="HoH",7,4))))*INDEX('Methodology &amp; Sources'!$B$29:$J$36,0,IF('Inputs 2'!$C$12="MFJ",1,IF('Inputs 2'!$C$12="HoH",7,4))+2)),SUMPRODUCT(($AH55&gt;=INDEX('Methodology &amp; Sources'!$B$19:$J$26,0,IF('Inputs 2'!$C$12="MFJ",1,IF('Inputs 2'!$C$12="HoH",7,4))))*INDEX('Methodology &amp; Sources'!$B$19:$J$26,0,IF('Inputs 2'!$C$12="MFJ",1,IF('Inputs 2'!$C$12="HoH",7,4))+2))))</f>
      </c>
      <c r="BV55" s="24">
        <f>IF($B55="","",IF($BZ55&lt;&gt;"",$BZ55,IF($CA55&lt;&gt;"",$CA55,IF($CB55&lt;&gt;"",$CB55,IF($CC55&lt;&gt;"",$CC55,0)))))</f>
      </c>
      <c r="BW55" s="7">
        <f>IF($B55="","",IF($AN55="MD",IF(OR($AU55="Married",$AU55="Head of household"),SUMPRODUCT(($AZ55&gt;INDEX('Methodology &amp; Sources'!$B$114:$J$120,0,1))*($AZ55-INDEX('Methodology &amp; Sources'!$B$114:$J$120,0,1))*INDEX('Methodology &amp; Sources'!$B$114:$J$120,0,1+2)),SUMPRODUCT(($AZ55&gt;INDEX('Methodology &amp; Sources'!$B$103:$J$109,0,7))*($AZ55-INDEX('Methodology &amp; Sources'!$B$103:$J$109,0,7))*INDEX('Methodology &amp; Sources'!$B$103:$J$109,0,7+2))),IF($AN55="MO",SUMPRODUCT(($AZ55&gt;INDEX('Methodology &amp; Sources'!$B$125:$J$132,0,1))*($AZ55-INDEX('Methodology &amp; Sources'!$B$125:$J$132,0,1))*INDEX('Methodology &amp; Sources'!$B$125:$J$132,0,1+2)),IF($AN55="MT",IF($AU55="Head of household",SUMPRODUCT(($AZ55&gt;INDEX('Methodology &amp; Sources'!$B$137:$J$139,0,1))*($AZ55-INDEX('Methodology &amp; Sources'!$B$137:$J$139,0,1))*INDEX('Methodology &amp; Sources'!$B$137:$J$139,0,1+2)),IF($AU55="Married",SUMPRODUCT(($AZ55&gt;INDEX('Methodology &amp; Sources'!$B$125:$J$132,0,7))*($AZ55-INDEX('Methodology &amp; Sources'!$B$125:$J$132,0,7))*INDEX('Methodology &amp; Sources'!$B$125:$J$132,0,7+2)),SUMPRODUCT(($AZ55&gt;INDEX('Methodology &amp; Sources'!$B$125:$J$132,0,4))*($AZ55-INDEX('Methodology &amp; Sources'!$B$125:$J$132,0,4))*INDEX('Methodology &amp; Sources'!$B$125:$J$132,0,4+2)))),IF($AN55="ND",IF($AU55="Head of household",SUMPRODUCT(($AZ55&gt;INDEX('Methodology &amp; Sources'!$B$144:$J$150,0,1))*($AZ55-INDEX('Methodology &amp; Sources'!$B$144:$J$150,0,1))*INDEX('Methodology &amp; Sources'!$B$144:$J$150,0,1+2)),IF($AU55="Married",SUMPRODUCT(($AZ55&gt;INDEX('Methodology &amp; Sources'!$B$137:$J$139,0,7))*($AZ55-INDEX('Methodology &amp; Sources'!$B$137:$J$139,0,7))*INDEX('Methodology &amp; Sources'!$B$137:$J$139,0,7+2)),SUMPRODUCT(($AZ55&gt;INDEX('Methodology &amp; Sources'!$B$137:$J$139,0,4))*($AZ55-INDEX('Methodology &amp; Sources'!$B$137:$J$139,0,4))*INDEX('Methodology &amp; Sources'!$B$137:$J$139,0,4+2)))),IF($AN55="NJ",IF('Inputs 2'!$C$77="B",SUMPRODUCT(($AZ55&gt;INDEX('Methodology &amp; Sources'!$B$155:$J$162,0,4))*($AZ55-INDEX('Methodology &amp; Sources'!$B$155:$J$162,0,4))*INDEX('Methodology &amp; Sources'!$B$155:$J$162,0,4+2)),IF('Inputs 2'!$C$77="C",SUMPRODUCT(($AZ55&gt;INDEX('Methodology &amp; Sources'!$B$155:$J$162,0,7))*($AZ55-INDEX('Methodology &amp; Sources'!$B$155:$J$162,0,7))*INDEX('Methodology &amp; Sources'!$B$155:$J$162,0,7+2)),IF('Inputs 2'!$C$77="D",SUMPRODUCT(($AZ55&gt;INDEX('Methodology &amp; Sources'!$B$167:$J$179,0,1))*($AZ55-INDEX('Methodology &amp; Sources'!$B$167:$J$179,0,1))*INDEX('Methodology &amp; Sources'!$B$167:$J$179,0,1+2)),IF('Inputs 2'!$C$77="E",SUMPRODUCT(($AZ55&gt;INDEX('Methodology &amp; Sources'!$B$167:$J$179,0,4))*($AZ55-INDEX('Methodology &amp; Sources'!$B$167:$J$179,0,4))*INDEX('Methodology &amp; Sources'!$B$167:$J$179,0,4+2)),SUMPRODUCT(($AZ55&gt;INDEX('Methodology &amp; Sources'!$B$155:$J$162,0,1))*($AZ55-INDEX('Methodology &amp; Sources'!$B$155:$J$162,0,1))*INDEX('Methodology &amp; Sources'!$B$155:$J$162,0,1+2)))))),IF($AN55="NY",IF($AU55="Married",IF($AZ55&gt;=2155350,$AZ55*IF($AZ55&gt;25000000,0.117,IF($AZ55&gt;5000000,0.111,0.1045)),SUMPRODUCT(($AZ55&gt;INDEX('Methodology &amp; Sources'!$B$184:$J$198,0,1))*($AZ55-INDEX('Methodology &amp; Sources'!$B$184:$J$198,0,1))*INDEX('Methodology &amp; Sources'!$B$184:$J$198,0,1+2))),IF($AZ55&gt;=1077550,$AZ55*IF($AZ55&gt;25000000,0.117,IF($AZ55&gt;5000000,0.111,0.1045)),SUMPRODUCT(($AZ55&gt;INDEX('Methodology &amp; Sources'!$B$167:$J$179,0,7))*($AZ55-INDEX('Methodology &amp; Sources'!$B$167:$J$179,0,7))*INDEX('Methodology &amp; Sources'!$B$167:$J$179,0,7+2)))),"")))))))</f>
      </c>
      <c r="BX55" s="7">
        <f>IF($B55="","",IF($AN55="AL",IF(OR($AU55="Married",$AU55="Head of household"),SUMPRODUCT(($AZ55&gt;INDEX('Methodology &amp; Sources'!$B$82:$J$86,0,4))*($AZ55-INDEX('Methodology &amp; Sources'!$B$82:$J$86,0,4))*INDEX('Methodology &amp; Sources'!$B$82:$J$86,0,4+2)),SUMPRODUCT(($AZ55&gt;INDEX('Methodology &amp; Sources'!$B$82:$J$86,0,1))*($AZ55-INDEX('Methodology &amp; Sources'!$B$82:$J$86,0,1))*INDEX('Methodology &amp; Sources'!$B$82:$J$86,0,1+2))),IF($AN55="KS",IF($AU55="Married",SUMPRODUCT(($AZ55&gt;INDEX('Methodology &amp; Sources'!$B$103:$J$109,0,4))*($AZ55-INDEX('Methodology &amp; Sources'!$B$103:$J$109,0,4))*INDEX('Methodology &amp; Sources'!$B$103:$J$109,0,4+2)),SUMPRODUCT(($AZ55&gt;INDEX('Methodology &amp; Sources'!$B$103:$J$109,0,1))*($AZ55-INDEX('Methodology &amp; Sources'!$B$103:$J$109,0,1))*INDEX('Methodology &amp; Sources'!$B$103:$J$109,0,1+2))),IF($AN55="MN",IF($AU55="Married",SUMPRODUCT(($AZ55&gt;INDEX('Methodology &amp; Sources'!$B$114:$J$120,0,7))*($AZ55-INDEX('Methodology &amp; Sources'!$B$114:$J$120,0,7))*INDEX('Methodology &amp; Sources'!$B$114:$J$120,0,7+2)),SUMPRODUCT(($AZ55&gt;INDEX('Methodology &amp; Sources'!$B$114:$J$120,0,4))*($AZ55-INDEX('Methodology &amp; Sources'!$B$114:$J$120,0,4))*INDEX('Methodology &amp; Sources'!$B$114:$J$120,0,4+2))),IF($AN55="NE",MAX(IF($AU55="Married",SUMPRODUCT(($AZ55&gt;INDEX('Methodology &amp; Sources'!$B$144:$J$150,0,7))*($AZ55-INDEX('Methodology &amp; Sources'!$B$144:$J$150,0,7))*INDEX('Methodology &amp; Sources'!$B$144:$J$150,0,7+2)),SUMPRODUCT(($AZ55&gt;INDEX('Methodology &amp; Sources'!$B$144:$J$150,0,4))*($AZ55-INDEX('Methodology &amp; Sources'!$B$144:$J$150,0,4))*INDEX('Methodology &amp; Sources'!$B$144:$J$150,0,4+2))),0.015*$AZ55),IF($AN55="OH",IF($B55&gt;=DATE(2027,8,1),SUMPRODUCT(($AZ55&gt;INDEX('Methodology &amp; Sources'!$B$203:$J$206,0,1))*($AZ55-INDEX('Methodology &amp; Sources'!$B$203:$J$206,0,1))*INDEX('Methodology &amp; Sources'!$B$203:$J$206,0,1+2)),SUMPRODUCT(($AZ55&gt;INDEX('Methodology &amp; Sources'!$B$184:$J$198,0,7))*($AZ55-INDEX('Methodology &amp; Sources'!$B$184:$J$198,0,7))*INDEX('Methodology &amp; Sources'!$B$184:$J$198,0,7+2))),IF($AN55="OK",IF($AU55="Married",SUMPRODUCT(($AZ55&gt;INDEX('Methodology &amp; Sources'!$B$203:$J$206,0,7))*($AZ55-INDEX('Methodology &amp; Sources'!$B$203:$J$206,0,7))*INDEX('Methodology &amp; Sources'!$B$203:$J$206,0,7+2)),SUMPRODUCT(($AZ55&gt;INDEX('Methodology &amp; Sources'!$B$203:$J$206,0,4))*($AZ55-INDEX('Methodology &amp; Sources'!$B$203:$J$206,0,4))*INDEX('Methodology &amp; Sources'!$B$203:$J$206,0,4+2))),IF($AN55="RI",SUMPRODUCT(($AZ55&gt;INDEX('Methodology &amp; Sources'!$B$211:$J$214,0,7))*($AZ55-INDEX('Methodology &amp; Sources'!$B$211:$J$214,0,7))*INDEX('Methodology &amp; Sources'!$B$211:$J$214,0,7+2)),IF($AN55="VT",IF($AU55="Married",SUMPRODUCT(($AZ55&gt;INDEX('Methodology &amp; Sources'!$B$228:$J$232,0,1))*($AZ55-INDEX('Methodology &amp; Sources'!$B$228:$J$232,0,1))*INDEX('Methodology &amp; Sources'!$B$228:$J$232,0,1+2)),SUMPRODUCT(($AZ55&gt;INDEX('Methodology &amp; Sources'!$B$219:$J$223,0,7))*($AZ55-INDEX('Methodology &amp; Sources'!$B$219:$J$223,0,7))*INDEX('Methodology &amp; Sources'!$B$219:$J$223,0,7+2))),IF($AN55="WV",IF($AU55="Married",SUMPRODUCT(($AZ55&gt;INDEX('Methodology &amp; Sources'!$B$237:$J$241,0,7))*($AZ55-INDEX('Methodology &amp; Sources'!$B$237:$J$241,0,7))*INDEX('Methodology &amp; Sources'!$B$237:$J$241,0,7+2)),SUMPRODUCT(($AZ55&gt;INDEX('Methodology &amp; Sources'!$B$228:$J$232,0,7))*($AZ55-INDEX('Methodology &amp; Sources'!$B$228:$J$232,0,7))*INDEX('Methodology &amp; Sources'!$B$228:$J$232,0,7+2))),""))))))))))</f>
      </c>
      <c r="BY55" s="7">
        <f>IF($B55="","",IF($AN55="AR",SUMPRODUCT(($AZ55&gt;INDEX('Methodology &amp; Sources'!$B$82:$J$86,0,7))*($AZ55-INDEX('Methodology &amp; Sources'!$B$82:$J$86,0,7))*INDEX('Methodology &amp; Sources'!$B$82:$J$86,0,7+2)),IF($AN55="DE",SUMPRODUCT(($AZ55&gt;INDEX('Methodology &amp; Sources'!$B$91:$J$98,0,1))*($AZ55-INDEX('Methodology &amp; Sources'!$B$91:$J$98,0,1))*INDEX('Methodology &amp; Sources'!$B$91:$J$98,0,1+2)),IF($AN55="HI",IF($AU55="Married",SUMPRODUCT(($AZ55&gt;INDEX('Methodology &amp; Sources'!$B$91:$J$98,0,7))*($AZ55-INDEX('Methodology &amp; Sources'!$B$91:$J$98,0,7))*INDEX('Methodology &amp; Sources'!$B$91:$J$98,0,7+2)),SUMPRODUCT(($AZ55&gt;INDEX('Methodology &amp; Sources'!$B$91:$J$98,0,4))*($AZ55-INDEX('Methodology &amp; Sources'!$B$91:$J$98,0,4))*INDEX('Methodology &amp; Sources'!$B$91:$J$98,0,4+2))),IF($AN55="SC",SUMPRODUCT(($AZ55&gt;INDEX('Methodology &amp; Sources'!$B$219:$J$223,0,1))*($AZ55-INDEX('Methodology &amp; Sources'!$B$219:$J$223,0,1))*INDEX('Methodology &amp; Sources'!$B$219:$J$223,0,1+2)),IF($AN55="VA",SUMPRODUCT(($AZ55&gt;INDEX('Methodology &amp; Sources'!$B$219:$J$223,0,4))*($AZ55-INDEX('Methodology &amp; Sources'!$B$219:$J$223,0,4))*INDEX('Methodology &amp; Sources'!$B$219:$J$223,0,4+2)),IF($AN55="WI",SUMPRODUCT(($AZ55&gt;INDEX('Methodology &amp; Sources'!$B$228:$J$232,0,4))*($AZ55-INDEX('Methodology &amp; Sources'!$B$228:$J$232,0,4))*INDEX('Methodology &amp; Sources'!$B$228:$J$232,0,4+2)),"")))))))</f>
      </c>
      <c r="BZ55" s="24">
        <f>IF($B55="","",IF($AN55="NJ",IF('Inputs 2'!$C$77="B",SUMPRODUCT(($AZ55&gt;=INDEX('Methodology &amp; Sources'!$B$155:$J$162,0,4))*INDEX('Methodology &amp; Sources'!$B$155:$J$162,0,4+2)),IF('Inputs 2'!$C$77="C",SUMPRODUCT(($AZ55&gt;=INDEX('Methodology &amp; Sources'!$B$155:$J$162,0,7))*INDEX('Methodology &amp; Sources'!$B$155:$J$162,0,7+2)),IF('Inputs 2'!$C$77="D",SUMPRODUCT(($AZ55&gt;=INDEX('Methodology &amp; Sources'!$B$167:$J$179,0,1))*INDEX('Methodology &amp; Sources'!$B$167:$J$179,0,1+2)),IF('Inputs 2'!$C$77="E",SUMPRODUCT(($AZ55&gt;=INDEX('Methodology &amp; Sources'!$B$167:$J$179,0,4))*INDEX('Methodology &amp; Sources'!$B$167:$J$179,0,4+2)),SUMPRODUCT(($AZ55&gt;=INDEX('Methodology &amp; Sources'!$B$155:$J$162,0,1))*INDEX('Methodology &amp; Sources'!$B$155:$J$162,0,1+2)))))),IF($AN55="OR",IF(OR($AU55="Married",AND($AU55="Single",$AS55&gt;=3)),SUMPRODUCT((MAX(0,$AY55-MIN(($P55-'Methodology &amp; Sources'!$C$10*$D55)*'Inputs 2'!$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Sources'!$B$211:$J$214,0,4))*INDEX('Methodology &amp; Sources'!$B$211:$J$214,0,4+2)),SUMPRODUCT((MAX(0,$AY55-MIN(($P55-'Methodology &amp; Sources'!$C$10*$D55)*'Inputs 2'!$C$8,IF(OR($AU55="Married",AND($AU55="Single",$AS55&gt;=3)),IF($AY55&lt;250000,8750,IF($AY55&lt;260000,7000,IF($AY55&lt;270000,5250,IF($AY55&lt;280000,3500,IF($AY55&lt;290000,1750,0))))),IF($AY55&lt;125000,8750,IF($AY55&lt;130000,7000,IF($AY55&lt;135000,5250,IF($AY55&lt;140000,3500,IF($AY55&lt;145000,1750,0)))))))-IF(OR($AU55="Married",AND($AU55="Single",$AS55&gt;=3)),5820,2910))&gt;=INDEX('Methodology &amp; Sources'!$B$211:$J$214,0,1))*INDEX('Methodology &amp; Sources'!$B$211:$J$214,0,1+2)))*IF(($P55-'Methodology &amp; Sources'!$C$10*$D55)*'Inputs 2'!$C$8&gt;=IF(OR($AU55="Married",AND($AU55="Single",$AS55&gt;=3)),IF($AY55&lt;250000,8750,IF($AY55&lt;260000,7000,IF($AY55&lt;270000,5250,IF($AY55&lt;280000,3500,IF($AY55&lt;290000,1750,0))))),IF($AY55&lt;125000,8750,IF($AY55&lt;130000,7000,IF($AY55&lt;135000,5250,IF($AY55&lt;140000,3500,IF($AY55&lt;145000,1750,0)))))),1,1-IF('Inputs 2'!$C$13,SUMPRODUCT(($AH55&gt;=INDEX('Methodology &amp; Sources'!$B$29:$J$36,0,IF('Inputs 2'!$C$12="MFJ",1,IF('Inputs 2'!$C$12="HoH",7,4))))*INDEX('Methodology &amp; Sources'!$B$29:$J$36,0,IF('Inputs 2'!$C$12="MFJ",1,IF('Inputs 2'!$C$12="HoH",7,4))+2)),SUMPRODUCT(($AH55&gt;=INDEX('Methodology &amp; Sources'!$B$19:$J$26,0,IF('Inputs 2'!$C$12="MFJ",1,IF('Inputs 2'!$C$12="HoH",7,4))))*INDEX('Methodology &amp; Sources'!$B$19:$J$26,0,IF('Inputs 2'!$C$12="MFJ",1,IF('Inputs 2'!$C$12="HoH",7,4))+2)))),IF($AN55="MI",IF($AY55&gt;5900*$AS55,0.0425,0),""))))</f>
      </c>
      <c r="CA55" s="24">
        <f>IF($B55="","",IF($AN55="AL",IF(OR($AU55="Married",$AU55="Head of household"),SUMPRODUCT(($AZ55&gt;=INDEX('Methodology &amp; Sources'!$B$82:$J$86,0,4))*INDEX('Methodology &amp; Sources'!$B$82:$J$86,0,4+2)),SUMPRODUCT(($AZ55&gt;=INDEX('Methodology &amp; Sources'!$B$82:$J$86,0,1))*INDEX('Methodology &amp; Sources'!$B$82:$J$86,0,1+2)))*(1-IF('Inputs 2'!$C$13,SUMPRODUCT(($AH55&gt;=INDEX('Methodology &amp; Sources'!$B$29:$J$36,0,IF('Inputs 2'!$C$12="MFJ",1,IF('Inputs 2'!$C$12="HoH",7,4))))*INDEX('Methodology &amp; Sources'!$B$29:$J$36,0,IF('Inputs 2'!$C$12="MFJ",1,IF('Inputs 2'!$C$12="HoH",7,4))+2)),SUMPRODUCT(($AH55&gt;=INDEX('Methodology &amp; Sources'!$B$19:$J$26,0,IF('Inputs 2'!$C$12="MFJ",1,IF('Inputs 2'!$C$12="HoH",7,4))))*INDEX('Methodology &amp; Sources'!$B$19:$J$26,0,IF('Inputs 2'!$C$12="MFJ",1,IF('Inputs 2'!$C$12="HoH",7,4))+2)))),IF($AN55="KS",IF($AU55="Married",SUMPRODUCT(($AZ55&gt;=INDEX('Methodology &amp; Sources'!$B$103:$J$109,0,4))*INDEX('Methodology &amp; Sources'!$B$103:$J$109,0,4+2)),SUMPRODUCT(($AZ55&gt;=INDEX('Methodology &amp; Sources'!$B$103:$J$109,0,1))*INDEX('Methodology &amp; Sources'!$B$103:$J$109,0,1+2))),IF($AN55="MD",IF(OR($AU55="Married",$AU55="Head of household"),SUMPRODUCT(($AZ55&gt;=INDEX('Methodology &amp; Sources'!$B$114:$J$120,0,1))*INDEX('Methodology &amp; Sources'!$B$114:$J$120,0,1+2)),SUMPRODUCT(($AZ55&gt;=INDEX('Methodology &amp; Sources'!$B$103:$J$109,0,7))*INDEX('Methodology &amp; Sources'!$B$103:$J$109,0,7+2)))+'Inputs 2'!$C$74,IF($AN55="MT",IF($AU55="Head of household",SUMPRODUCT(($AZ55&gt;=INDEX('Methodology &amp; Sources'!$B$137:$J$139,0,1))*INDEX('Methodology &amp; Sources'!$B$137:$J$139,0,1+2)),IF($AU55="Married",SUMPRODUCT(($AZ55&gt;=INDEX('Methodology &amp; Sources'!$B$125:$J$132,0,7))*INDEX('Methodology &amp; Sources'!$B$125:$J$132,0,7+2)),SUMPRODUCT(($AZ55&gt;=INDEX('Methodology &amp; Sources'!$B$125:$J$132,0,4))*INDEX('Methodology &amp; Sources'!$B$125:$J$132,0,4+2)))),IF($AN55="ND",IF($AU55="Head of household",SUMPRODUCT(($AZ55&gt;=INDEX('Methodology &amp; Sources'!$B$144:$J$150,0,1))*INDEX('Methodology &amp; Sources'!$B$144:$J$150,0,1+2)),IF($AU55="Married",SUMPRODUCT(($AZ55&gt;=INDEX('Methodology &amp; Sources'!$B$137:$J$139,0,7))*INDEX('Methodology &amp; Sources'!$B$137:$J$139,0,7+2)),SUMPRODUCT(($AZ55&gt;=INDEX('Methodology &amp; Sources'!$B$137:$J$139,0,4))*INDEX('Methodology &amp; Sources'!$B$137:$J$139,0,4+2)))),IF($AN55="NY",IF($AU55="Married",IF($AZ55&gt;=2155350,IF($AZ55&gt;25000000,0.117,IF($AZ55&gt;5000000,0.111,0.1045)),SUMPRODUCT(($AZ55&gt;=INDEX('Methodology &amp; Sources'!$B$184:$J$198,0,1))*INDEX('Methodology &amp; Sources'!$B$184:$J$198,0,1+2))),IF($AZ55&gt;=1077550,IF($AZ55&gt;25000000,0.117,IF($AZ55&gt;5000000,0.111,0.1045)),SUMPRODUCT(($AZ55&gt;=INDEX('Methodology &amp; Sources'!$B$167:$J$179,0,7))*INDEX('Methodology &amp; Sources'!$B$167:$J$179,0,7+2)))),"")))))))</f>
      </c>
      <c r="CB55" s="24">
        <f>IF($B55="","",IF($AN55="CA",SUMPRODUCT(($AJ55&gt;=INDEX('Methodology &amp; Sources'!$B$39:$J$48,0,IF($AU55="Married",4,IF($AU55="Head of household",7,1))))*INDEX('Methodology &amp; Sources'!$B$39:$J$48,0,IF($AU55="Married",4,IF($AU55="Head of household",7,1))+2)),IF($AN55="HI",IF($AU55="Married",SUMPRODUCT(($AZ55&gt;=INDEX('Methodology &amp; Sources'!$B$91:$J$98,0,7))*INDEX('Methodology &amp; Sources'!$B$91:$J$98,0,7+2)),SUMPRODUCT(($AZ55&gt;=INDEX('Methodology &amp; Sources'!$B$91:$J$98,0,4))*INDEX('Methodology &amp; Sources'!$B$91:$J$98,0,4+2))),IF($AN55="MN",IF($AU55="Married",SUMPRODUCT(($AZ55&gt;=INDEX('Methodology &amp; Sources'!$B$114:$J$120,0,7))*INDEX('Methodology &amp; Sources'!$B$114:$J$120,0,7+2)),SUMPRODUCT(($AZ55&gt;=INDEX('Methodology &amp; Sources'!$B$114:$J$120,0,4))*INDEX('Methodology &amp; Sources'!$B$114:$J$120,0,4+2))),IF($AN55="MO",SUMPRODUCT(($AZ55&gt;=INDEX('Methodology &amp; Sources'!$B$125:$J$132,0,1))*INDEX('Methodology &amp; Sources'!$B$125:$J$132,0,1+2)),IF($AN55="NE",MAX(IF($AU55="Married",SUMPRODUCT(($AZ55&gt;=INDEX('Methodology &amp; Sources'!$B$144:$J$150,0,7))*INDEX('Methodology &amp; Sources'!$B$144:$J$150,0,7+2)),SUMPRODUCT(($AZ55&gt;=INDEX('Methodology &amp; Sources'!$B$144:$J$150,0,4))*INDEX('Methodology &amp; Sources'!$B$144:$J$150,0,4+2))),0.015),IF($AN55="OH",IF($B55&gt;=DATE(2027,8,1),SUMPRODUCT(($AZ55&gt;=INDEX('Methodology &amp; Sources'!$B$203:$J$206,0,1))*INDEX('Methodology &amp; Sources'!$B$203:$J$206,0,1+2)),SUMPRODUCT(($AZ55&gt;=INDEX('Methodology &amp; Sources'!$B$184:$J$198,0,7))*INDEX('Methodology &amp; Sources'!$B$184:$J$198,0,7+2))),IF($AN55="OK",IF($AU55="Married",SUMPRODUCT(($AZ55&gt;=INDEX('Methodology &amp; Sources'!$B$203:$J$206,0,7))*INDEX('Methodology &amp; Sources'!$B$203:$J$206,0,7+2)),SUMPRODUCT(($AZ55&gt;=INDEX('Methodology &amp; Sources'!$B$203:$J$206,0,4))*INDEX('Methodology &amp; Sources'!$B$203:$J$206,0,4+2))),IF($AN55="RI",SUMPRODUCT(($AZ55&gt;=INDEX('Methodology &amp; Sources'!$B$211:$J$214,0,7))*INDEX('Methodology &amp; Sources'!$B$211:$J$214,0,7+2)),IF($AN55="SC",SUMPRODUCT(($AZ55&gt;=INDEX('Methodology &amp; Sources'!$B$219:$J$223,0,1))*INDEX('Methodology &amp; Sources'!$B$219:$J$223,0,1+2)),IF($AN55="VT",IF($AU55="Married",SUMPRODUCT(($AZ55&gt;=INDEX('Methodology &amp; Sources'!$B$228:$J$232,0,1))*INDEX('Methodology &amp; Sources'!$B$228:$J$232,0,1+2)),SUMPRODUCT(($AZ55&gt;=INDEX('Methodology &amp; Sources'!$B$219:$J$223,0,7))*INDEX('Methodology &amp; Sources'!$B$219:$J$223,0,7+2))),IF($AN55="WV",IF($AU55="Married",SUMPRODUCT(($AZ55&gt;=INDEX('Methodology &amp; Sources'!$B$237:$J$241,0,7))*INDEX('Methodology &amp; Sources'!$B$237:$J$241,0,7+2)),SUMPRODUCT(($AZ55&gt;=INDEX('Methodology &amp; Sources'!$B$228:$J$232,0,7))*INDEX('Methodology &amp; Sources'!$B$228:$J$232,0,7+2))),IF($AN55="IN",(0.0295+'Inputs 2'!$C$76),"")))))))))))))</f>
      </c>
      <c r="CC55" s="24">
        <f>IF($B55="","",IF($AN55="AR",SUMPRODUCT(($AZ55&gt;=INDEX('Methodology &amp; Sources'!$B$82:$J$86,0,7))*INDEX('Methodology &amp; Sources'!$B$82:$J$86,0,7+2)),IF($AN55="DE",SUMPRODUCT(($AZ55&gt;=INDEX('Methodology &amp; Sources'!$B$91:$J$98,0,1))*INDEX('Methodology &amp; Sources'!$B$91:$J$98,0,1+2)),IF($AN55="VA",SUMPRODUCT(($AZ55&gt;=INDEX('Methodology &amp; Sources'!$B$219:$J$223,0,4))*INDEX('Methodology &amp; Sources'!$B$219:$J$223,0,4+2)),IF($AN55="WI",SUMPRODUCT(($AZ55&gt;=INDEX('Methodology &amp; Sources'!$B$228:$J$232,0,4))*INDEX('Methodology &amp; Sources'!$B$228:$J$232,0,4+2)),IF($AN55="AZ",'Inputs 2'!$C$82,IF($AN55="CO",IF($AY55&gt;IF($AU55="Married",10000,5000),0.044,0),IF($AN55="IA",IF($AY55&gt;IF($AU55="Head of household",19500,IF($AU55="Married",26000,13000)),0.038,0),IF($AN55="ID",IF($AY55&gt;IF($AU55="Married",32000,16094),0.053,0),IF($AN55="IL",IF($AY55&gt;(2925*$AS55+1000*$AT55),0.0495,0),IF($AN55="KY",IF($AI55&gt;3360,0.035,0),IF($AN55="LA",0.0309,IF($AN55="MA",IF(MAX(0,$AY55-MIN(($BD54+$Q55+$R55+$S55),2000)-IF($AS55=0,0,IF($AS55=1,4400,1000*$AS55+3400)))&gt;=1107750,0.09,0.05),IF($AN55="MS",IF($AI55-IF($AU55="Head of household",3400,IF($AU55="Married",4600,2300))-'Inputs 2'!$C$85&gt;10000,0.04,0),IF($AN55="PA",0.0307,"")))))))))))))))</f>
      </c>
      <c r="CD55" s="21">
        <f>IF(YEAR(IF('Inputs 2'!$C$7="Weekly",'Inputs 2'!$C$9+7*(($BE54+1)-1),IF('Inputs 2'!$C$7="Biweekly",'Inputs 2'!$C$9+14*(($BE54+1)-1),IF('Inputs 2'!$C$7="Semimonthly",DATE(YEAR('Inputs 2'!$C$9),MONTH('Inputs 2'!$C$9)+INT((($BE54+1)-1)/2),MIN(DAY('Inputs 2'!$C$9),DAY(EOMONTH(DATE(YEAR('Inputs 2'!$C$9),MONTH('Inputs 2'!$C$9)+INT((($BE54+1)-1)/2),1),0))))+IF(MOD(($BE54+1)-1,2)=1,15,0),EDATE('Inputs 2'!$C$9,($BE54+1)-1)))))&lt;&gt;'Inputs 2'!$C$10,"",IF('Inputs 2'!$C$7="Weekly",'Inputs 2'!$C$9+7*(($BE54+1)-1),IF('Inputs 2'!$C$7="Biweekly",'Inputs 2'!$C$9+14*(($BE54+1)-1),IF('Inputs 2'!$C$7="Semimonthly",DATE(YEAR('Inputs 2'!$C$9),MONTH('Inputs 2'!$C$9)+INT((($BE54+1)-1)/2),MIN(DAY('Inputs 2'!$C$9),DAY(EOMONTH(DATE(YEAR('Inputs 2'!$C$9),MONTH('Inputs 2'!$C$9)+INT((($BE54+1)-1)/2),1),0))))+IF(MOD(($BE54+1)-1,2)=1,15,0),EDATE('Inputs 2'!$C$9,($BE54+1)-1)))))</f>
      </c>
      <c r="CE55" s="21">
        <f>IF(SUMPRODUCT(MIN(IF(('Inputs 2'!$C$58:$C$67&gt;MAX($B$6:$B54))*('Inputs 2'!$C$58:$C$67&gt;=DATE('Inputs 2'!$C$10,1,1))*('Inputs 2'!$C$58:$C$67&lt;=DATE('Inputs 2'!$C$10,12,31)),'Inputs 2'!$C$58:$C$67,999999)))=999999,"",SUMPRODUCT(MIN(IF(('Inputs 2'!$C$58:$C$67&gt;MAX($B$6:$B54))*('Inputs 2'!$C$58:$C$67&gt;=DATE('Inputs 2'!$C$10,1,1))*('Inputs 2'!$C$58:$C$67&lt;=DATE('Inputs 2'!$C$10,12,31)),'Inputs 2'!$C$58:$C$67,999999))))</f>
      </c>
    </row>
    <row r="56">
      <c r="A56" t="n">
        <v>51</v>
      </c>
      <c r="B56" s="21">
        <f>IF(AND($CD56="",$CE56=""),"",IF($CE56="",$CD56,IF($CD56="",$CE56,MIN($CD56,$CE56))))</f>
      </c>
      <c r="C56" s="7">
        <f>IF($B56="","",IF($BF56=0,0,IF('Inputs 2'!$C$4="Annual salary",ROUND($AK56/IF(AND('Inputs 2'!$C$88="Actual paydays",MONTH('Inputs 2'!$C$9)=1),MAX(1,MAX($BE$6:$BE$68)),'Inputs 2'!$C$8),2),$AK56)))</f>
      </c>
      <c r="D56" s="7">
        <f>IF($B56="","",SUMIF('Inputs 2'!$C$58:$C$67,$B56,'Inputs 2'!$D$58:$D$67))</f>
      </c>
      <c r="E56" s="7">
        <f>IF($B56="","",ROUND(MAX(0,MIN(IF($AL56="Percent",$AM56*($C56+$D56),$AM56),MAX(0,'Inputs 2'!$C$34-$AC55))),2))</f>
      </c>
      <c r="F56" s="7">
        <f>IF($B56="","",ROUND(MAX(0,MIN(IF('Inputs 2'!$C$32="Percent",'Inputs 2'!$D$32*($C56+$D56),'Inputs 2'!$D$32),MAX(0,'Inputs 2'!$C$34-$AC55-$E56))),2))</f>
      </c>
      <c r="G56" s="7">
        <f>IF($B56="","",IF($BF56=0,0,ROUND(MAX(0,MIN($BL56,'Inputs 2'!$C$37-'Inputs 2'!$C$54-$BI55)),2)))</f>
      </c>
      <c r="H56" s="7">
        <f>IF($B56="","",IF(OR($BF56=0,$BQ56=1),0,ROUND(MAX(0,MIN(IF($BS56=1,ROUND(MAX(0,MIN($BJ56,'Methodology &amp; Sources'!$C$13)-$BG55)/MAX(1,MAX($BE$6:$BE$68)-($BE55)),2),ROUND(MIN($BJ56,'Methodology &amp; Sources'!$C$13)/'Inputs 2'!$C$8,2)),MIN($BJ56,'Methodology &amp; Sources'!$C$13)-$BG55)),2)))</f>
      </c>
      <c r="I56" s="7">
        <f>IF($B56="","",IF(OR($BF56=0,$BR56=1),0,ROUND(MAX(0,MIN(IF($BT56=1,ROUND(MAX(0,MIN($BK56,IF('Inputs 2'!$C$12="MFJ",'Methodology &amp; Sources'!$C$14,'Methodology &amp; Sources'!$C$15))-$BH55)/MAX(1,MAX($BE$6:$BE$68)-($BE55)),2),ROUND(MIN($BK56,IF('Inputs 2'!$C$12="MFJ",'Methodology &amp; Sources'!$C$14,'Methodology &amp; Sources'!$C$15))/'Inputs 2'!$C$8,2)),MIN($BK56,IF('Inputs 2'!$C$12="MFJ",'Methodology &amp; Sources'!$C$14,'Methodology &amp; Sources'!$C$15))-$BH55)),2)))</f>
      </c>
      <c r="J56" s="7">
        <f>IF($B56="","",IF($BF56=0,0,$BM56))</f>
      </c>
      <c r="K56" s="7">
        <f>IF($B56="","",IF($BF56=0,0,$BN56+$BO56))</f>
      </c>
      <c r="L56" s="7">
        <f>IF($B56="","",IF($BF56=0,0,'Inputs 2'!$D$46))</f>
      </c>
      <c r="M56" s="7">
        <f>IF($B56="","",$C56+$D56+$L56-$E56-$G56-$H56-$I56-$J56-$K56)</f>
      </c>
      <c r="N56" s="7">
        <f>IF($B56="","",$C56+$D56+$L56-$G56-$H56-$I56-$J56-$K56)</f>
      </c>
      <c r="O56" s="7">
        <f>IF($B56="","",$C56+$D56+$L56-$E56-$H56-$I56-$J56-$K56-IF(OR($AN56="CA",$AN56="NJ"),0,$G56))</f>
      </c>
      <c r="P56" s="7">
        <f>IF($B56="","",IF('Inputs 2'!$C$18,0,ROUND(MAX(0,IF('Inputs 2'!$C$13,SUMPRODUCT(($AH56&gt;INDEX('Methodology &amp; Sources'!$B$29:$J$36,0,IF('Inputs 2'!$C$12="MFJ",1,IF('Inputs 2'!$C$12="HoH",7,4))))*($AH56-INDEX('Methodology &amp; Sources'!$B$29:$J$36,0,IF('Inputs 2'!$C$12="MFJ",1,IF('Inputs 2'!$C$12="HoH",7,4))))*INDEX('Methodology &amp; Sources'!$B$29:$J$36,0,IF('Inputs 2'!$C$12="MFJ",1,IF('Inputs 2'!$C$12="HoH",7,4))+2)),SUMPRODUCT(($AH56&gt;INDEX('Methodology &amp; Sources'!$B$19:$J$26,0,IF('Inputs 2'!$C$12="MFJ",1,IF('Inputs 2'!$C$12="HoH",7,4))))*($AH56-INDEX('Methodology &amp; Sources'!$B$19:$J$26,0,IF('Inputs 2'!$C$12="MFJ",1,IF('Inputs 2'!$C$12="HoH",7,4))))*INDEX('Methodology &amp; Sources'!$B$19:$J$26,0,IF('Inputs 2'!$C$12="MFJ",1,IF('Inputs 2'!$C$12="HoH",7,4))+2)))/'Inputs 2'!$C$8-$AO56/'Inputs 2'!$C$8)+$AR56+IF('Inputs 2'!$C$89="Aggregate",MAX(0,IF('Inputs 2'!$C$13,SUMPRODUCT((($AH56+$D56)&gt;INDEX('Methodology &amp; Sources'!$B$29:$J$36,0,IF('Inputs 2'!$C$12="MFJ",1,IF('Inputs 2'!$C$12="HoH",7,4))))*(($AH56+$D56)-INDEX('Methodology &amp; Sources'!$B$29:$J$36,0,IF('Inputs 2'!$C$12="MFJ",1,IF('Inputs 2'!$C$12="HoH",7,4))))*INDEX('Methodology &amp; Sources'!$B$29:$J$36,0,IF('Inputs 2'!$C$12="MFJ",1,IF('Inputs 2'!$C$12="HoH",7,4))+2)),SUMPRODUCT((($AH56+$D56)&gt;INDEX('Methodology &amp; Sources'!$B$19:$J$26,0,IF('Inputs 2'!$C$12="MFJ",1,IF('Inputs 2'!$C$12="HoH",7,4))))*(($AH56+$D56)-INDEX('Methodology &amp; Sources'!$B$19:$J$26,0,IF('Inputs 2'!$C$12="MFJ",1,IF('Inputs 2'!$C$12="HoH",7,4))))*INDEX('Methodology &amp; Sources'!$B$19:$J$26,0,IF('Inputs 2'!$C$12="MFJ",1,IF('Inputs 2'!$C$12="HoH",7,4))+2)))-IF('Inputs 2'!$C$13,SUMPRODUCT(($AH56&gt;INDEX('Methodology &amp; Sources'!$B$29:$J$36,0,IF('Inputs 2'!$C$12="MFJ",1,IF('Inputs 2'!$C$12="HoH",7,4))))*($AH56-INDEX('Methodology &amp; Sources'!$B$29:$J$36,0,IF('Inputs 2'!$C$12="MFJ",1,IF('Inputs 2'!$C$12="HoH",7,4))))*INDEX('Methodology &amp; Sources'!$B$29:$J$36,0,IF('Inputs 2'!$C$12="MFJ",1,IF('Inputs 2'!$C$12="HoH",7,4))+2)),SUMPRODUCT(($AH56&gt;INDEX('Methodology &amp; Sources'!$B$19:$J$26,0,IF('Inputs 2'!$C$12="MFJ",1,IF('Inputs 2'!$C$12="HoH",7,4))))*($AH56-INDEX('Methodology &amp; Sources'!$B$19:$J$26,0,IF('Inputs 2'!$C$12="MFJ",1,IF('Inputs 2'!$C$12="HoH",7,4))))*INDEX('Methodology &amp; Sources'!$B$19:$J$26,0,IF('Inputs 2'!$C$12="MFJ",1,IF('Inputs 2'!$C$12="HoH",7,4))+2)))),'Methodology &amp; Sources'!$C$10*$D56),2)))</f>
      </c>
      <c r="Q56" s="7">
        <f>IF($B56="","",ROUND('Methodology &amp; Sources'!$C$4*MIN($N56,MAX(0,'Methodology &amp; Sources'!$C$3-($AX56+$AB55-$AW56))),2))</f>
      </c>
      <c r="R56" s="7">
        <f>IF($B56="","",ROUND('Methodology &amp; Sources'!$C$5*$N56,2))</f>
      </c>
      <c r="S56" s="7">
        <f>IF($B56="","",ROUND('Methodology &amp; Sources'!$C$6*MAX(0,MIN($N56,$AG55+$N56-'Methodology &amp; Sources'!$C$7)),2))</f>
      </c>
      <c r="T56" s="7">
        <f>IF($B56="","",IF('Inputs 2'!$C$26,0,IF($AN56="CA",ROUND(IF($AI56&lt;=IF(($AS56+$AT56)&gt;=2,VLOOKUP($AN56,StateTables!$A$6:$AB$56,10,FALSE),VLOOKUP($AN56,StateTables!$A$6:$AB$56,9,FALSE)),0,MAX(0,SUMPRODUCT(($AJ56&gt;INDEX('Methodology &amp; Sources'!$B$39:$J$48,0,IF($AU56="Married",4,IF($AU56="Head of household",7,1))))*($AJ56-INDEX('Methodology &amp; Sources'!$B$39:$J$48,0,IF($AU56="Married",4,IF($AU56="Head of household",7,1))))*INDEX('Methodology &amp; Sources'!$B$39:$J$48,0,IF($AU56="Married",4,IF($AU56="Head of household",7,1))+2))-VLOOKUP($AN56,StateTables!$A$6:$AB$56,11,FALSE)*$AS56)/'Inputs 2'!$C$8)+'Inputs 2'!$C$25+VLOOKUP($AN56,StateTables!$A$6:$AB$56,13,FALSE)*$D56,2),IF(VLOOKUP($AN56,StateTables!$A$6:$AB$56,4,FALSE)="None",0,IF(ISNUMBER(SEARCH("MANUAL",VLOOKUP($AN56,StateTables!$A$6:$AB$56,5,FALSE))),'Inputs 2'!$C$28,ROUND(MAX(0,$BA56+$BB56)/'Inputs 2'!$C$8+'Inputs 2'!$C$25+$BC56,2))))))</f>
      </c>
      <c r="U56" s="7">
        <f>IF($B56="","",IF(VLOOKUP($AN56,StateTables!$A$6:$AB$56,24,FALSE)="flatq",IF(OR(MONTH($B56)=1,MONTH($B56)=4,MONTH($B56)=7,MONTH($B56)=10),VLOOKUP($AN56,StateTables!$A$6:$AB$56,25,FALSE),0),IF(VLOOKUP($AN56,StateTables!$A$6:$AB$56,24,FALSE)="dbl",MIN(ROUND(0.005*$N56,2),ROUND(0.6*52/'Inputs 2'!$C$8,2)),IF(OR(VLOOKUP($AN56,StateTables!$A$6:$AB$56,15,FALSE)="",VLOOKUP($AN56,StateTables!$A$6:$AB$56,15,FALSE)=0),0,ROUND(VLOOKUP($AN56,StateTables!$A$6:$AB$56,15,FALSE)*IF(OR(VLOOKUP($AN56,StateTables!$A$6:$AB$56,16,FALSE)="",VLOOKUP($AN56,StateTables!$A$6:$AB$56,16,FALSE)=0),$N56,MIN($N56,MAX(0,VLOOKUP($AN56,StateTables!$A$6:$AB$56,16,FALSE)-($AX56+$AB55-$AW56)))),2))))+IF(VLOOKUP($AN56,StateTables!$A$6:$AB$56,27,FALSE)="flatq",IF(OR(MONTH($B56)=1,MONTH($B56)=4,MONTH($B56)=7,MONTH($B56)=10),VLOOKUP($AN56,StateTables!$A$6:$AB$56,28,FALSE),0),IF(VLOOKUP($AN56,StateTables!$A$6:$AB$56,27,FALSE)="dbl",MIN(ROUND(0.005*$N56,2),ROUND(0.6*52/'Inputs 2'!$C$8,2)),IF(OR(VLOOKUP($AN56,StateTables!$A$6:$AB$56,18,FALSE)="",VLOOKUP($AN56,StateTables!$A$6:$AB$56,18,FALSE)=0),0,ROUND(VLOOKUP($AN56,StateTables!$A$6:$AB$56,18,FALSE)*IF(OR(VLOOKUP($AN56,StateTables!$A$6:$AB$56,19,FALSE)="",VLOOKUP($AN56,StateTables!$A$6:$AB$56,19,FALSE)=0),$N56,MIN($N56,MAX(0,VLOOKUP($AN56,StateTables!$A$6:$AB$56,19,FALSE)-($AX56+$AB55-$AW56)))),2)))))</f>
      </c>
      <c r="V56" s="7">
        <f>IF($B56="","",IF($AN56="NY",IF('Inputs 2'!$C$78,ROUND(SUMPRODUCT((MAX(0,($O56-$D56)*'Inputs 2'!$C$8-(IF($AU56="Married",5500,5000)+1000*$AS56))&gt;INDEX('Methodology &amp; Sources'!$B$184:$J$198,0,4))*(MAX(0,($O56-$D56)*'Inputs 2'!$C$8-(IF($AU56="Married",5500,5000)+1000*$AS56))-INDEX('Methodology &amp; Sources'!$B$184:$J$198,0,4))*INDEX('Methodology &amp; Sources'!$B$184:$J$198,0,4+2))/'Inputs 2'!$C$8+0.0425*$D56,2),0)+IF('Inputs 2'!$C$79="Resident",ROUND(0.1675*$T56,2),IF('Inputs 2'!$C$79="Nonresident",ROUND(0.005*MAX(0,($O56-$D56)-(IF($AU56="Married",7950,7400)+1000*$AS56)/'Inputs 2'!$C$8),2),0)),IF($AN56="PA",IF('Inputs 2'!$C$80="None",'Inputs 2'!$C$27+ROUND('Inputs 2'!$C$81*($C56+$D56),2),ROUND(IF('Inputs 2'!$C$80="Resident",IF($B56&lt;DATE(2027,7,1),0.03735,0.03735),IF($B56&lt;DATE(2027,7,1),0.03425,0.03425))*($C56+$D56),2)),IF($BF56=0,ROUND('Inputs 2'!$C$81*($C56+$D56),2),'Inputs 2'!$C$27+ROUND('Inputs 2'!$C$81*($C56+$D56),2)))))</f>
      </c>
      <c r="W56" s="7">
        <f>IF($B56="","",IF($BF56=0,0,$BP56))</f>
      </c>
      <c r="X56" s="7">
        <f>IF($B56="","",SUM($E56:$K56)+$P56+$Q56+$R56+$S56+$T56+$U56+$V56+$W56)</f>
      </c>
      <c r="Y56" s="22">
        <f>IF($B56="","",$C56+$D56-$X56)</f>
      </c>
      <c r="Z56" s="7">
        <f>IF($B56="","",$Z55+$C56+$D56)</f>
      </c>
      <c r="AA56" s="7">
        <f>IF($B56="","",$AA55+$Y56)</f>
      </c>
      <c r="AB56" s="7">
        <f>IF($B56="","",$AB55+MIN($N56,MAX(0,'Methodology &amp; Sources'!$C$3-($AX56+$AB55-$AW56))))</f>
      </c>
      <c r="AC56" s="7">
        <f>IF($B56="","",$AC55+$E56+$F56)</f>
      </c>
      <c r="AD56" s="3">
        <f>IF($B56="","",IF(AND($AB55&lt;'Methodology &amp; Sources'!$C$3,$AB56&gt;='Methodology &amp; Sources'!$C$3),"★ Social Security maxed on this check — from the next check your net rises by about $"&amp;TEXT(ROUND('Methodology &amp; Sources'!$C$4*$N56,2),"#,##0.00")&amp;". ","")&amp;IF(AND($AC55&lt;'Inputs 2'!$C$34,$AC56&gt;='Inputs 2'!$C$34),"★ 401(k) reaches the $"&amp;TEXT('Inputs 2'!$C$34,"#,##0")&amp;" cap on this check — deferrals stop and net pay rises. ","")&amp;IF(AND($AG55&lt;'Methodology &amp; Sources'!$C$7,$AG56&gt;='Methodology &amp; Sources'!$C$7),"★ Wages pass $200,000 — the 0.9% Additional Medicare Tax starts here. ","")&amp;IF(AND($BJ56&gt;0,$H56&gt;0,$BG55&lt;MIN($BJ56,'Methodology &amp; Sources'!$C$13),$BG55+$H56&gt;=MIN($BJ56,'Methodology &amp; Sources'!$C$13)),"★ Health FSA election is now fully deferred for the year. ",""))</f>
      </c>
      <c r="AE56" s="41" t="n"/>
      <c r="AF56" s="7">
        <f>IF(OR($B56="",$AE56=""),"",$AE56-$Y56)</f>
      </c>
      <c r="AG56" s="7">
        <f>IF($B56="","",$AG55+$N56)</f>
      </c>
      <c r="AH56" s="7">
        <f>IF($B56="","",MAX(0,($M56-$D56)*'Inputs 2'!$C$8+$AP56-$AQ56-IF('Inputs 2'!$C$13,0,IF('Inputs 2'!$C$12="MFJ",'Methodology &amp; Sources'!$C$8,'Methodology &amp; Sources'!$C$9))))</f>
      </c>
      <c r="AI56" s="7">
        <f>IF($B56="","",$O56*'Inputs 2'!$C$8)</f>
      </c>
      <c r="AJ56" s="7">
        <f>IF($B56="","",MAX(0,$AI56-VLOOKUP($AN56,StateTables!$A$6:$AB$56,12,FALSE)*$AT56-IF(($AS56+$AT56)&gt;=2,VLOOKUP($AN56,StateTables!$A$6:$AB$56,8,FALSE),VLOOKUP($AN56,StateTables!$A$6:$AB$56,7,FALSE))))</f>
      </c>
      <c r="AK56" s="7">
        <f>IF($B56="","",IFERROR(LOOKUP(2,1/(('Events 2'!$C$6:$C$17="Salary change")*('Events 2'!$B$6:$B$17&lt;=$B56)*('Events 2'!$B$6:$B$17&lt;&gt;"")),'Events 2'!$D$6:$D$17),IF('Inputs 2'!$C$4="Annual salary",'Inputs 2'!$C$5,'Inputs 2'!$C$6)))</f>
      </c>
      <c r="AL56">
        <f>IF($B56="","",IFERROR(LOOKUP(2,1/(('Events 2'!$C$6:$C$17="401(k) change")*('Events 2'!$B$6:$B$17&lt;=$B56)*('Events 2'!$B$6:$B$17&lt;&gt;"")),'Events 2'!$D$6:$D$17),'Inputs 2'!$C$30))</f>
      </c>
      <c r="AM56" s="7">
        <f>IF($B56="","",IFERROR(LOOKUP(2,1/(('Events 2'!$C$6:$C$17="401(k) change")*('Events 2'!$B$6:$B$17&lt;=$B56)*('Events 2'!$B$6:$B$17&lt;&gt;"")),'Events 2'!$E$6:$E$17),'Inputs 2'!$D$30))</f>
      </c>
      <c r="AN56">
        <f>IF($B56="","",IFERROR(LOOKUP(2,1/(('Events 2'!$C$6:$C$17="State move")*('Events 2'!$B$6:$B$17&lt;=$B56)*('Events 2'!$B$6:$B$17&lt;&gt;"")),'Events 2'!$D$6:$D$17),'Inputs 2'!$C$21))</f>
      </c>
      <c r="AO56" s="7">
        <f>IF($B56="","",IFERROR(LOOKUP(2,1/(('Events 2'!$C$6:$C$17="W-4 change")*('Events 2'!$B$6:$B$17&lt;=$B56)*('Events 2'!$B$6:$B$17&lt;&gt;"")),'Events 2'!$D$6:$D$17),'Inputs 2'!$C$14))</f>
      </c>
      <c r="AP56" s="7">
        <f>IF($B56="","",IFERROR(LOOKUP(2,1/(('Events 2'!$C$6:$C$17="W-4 change")*('Events 2'!$B$6:$B$17&lt;=$B56)*('Events 2'!$B$6:$B$17&lt;&gt;"")),'Events 2'!$E$6:$E$17),'Inputs 2'!$C$15))</f>
      </c>
      <c r="AQ56" s="7">
        <f>IF($B56="","",IFERROR(LOOKUP(2,1/(('Events 2'!$C$6:$C$17="W-4 change")*('Events 2'!$B$6:$B$17&lt;=$B56)*('Events 2'!$B$6:$B$17&lt;&gt;"")),'Events 2'!$F$6:$F$17),'Inputs 2'!$C$16))</f>
      </c>
      <c r="AR56" s="7">
        <f>IF($B56="","",IFERROR(LOOKUP(2,1/(('Events 2'!$C$6:$C$17="W-4 change")*('Events 2'!$B$6:$B$17&lt;=$B56)*('Events 2'!$B$6:$B$17&lt;&gt;"")),'Events 2'!$G$6:$G$17),'Inputs 2'!$C$17))</f>
      </c>
      <c r="AS56" s="6">
        <f>IF($B56="","",IFERROR(LOOKUP(2,1/((('Events 2'!$C$6:$C$17="State move")+('Events 2'!$C$6:$C$17="State cert change"))*('Events 2'!$B$6:$B$17&lt;=$B56)*('Events 2'!$B$6:$B$17&lt;&gt;"")),'Events 2'!$F$6:$F$17),'Inputs 2'!$C$23))</f>
      </c>
      <c r="AT56" s="6">
        <f>IF($B56="","",IFERROR(LOOKUP(2,1/((('Events 2'!$C$6:$C$17="State move")+('Events 2'!$C$6:$C$17="State cert change"))*('Events 2'!$B$6:$B$17&lt;=$B56)*('Events 2'!$B$6:$B$17&lt;&gt;"")),'Events 2'!$G$6:$G$17),'Inputs 2'!$C$24))</f>
      </c>
      <c r="AU56">
        <f>IF($B56="","",IFERROR(LOOKUP(2,1/(('Events 2'!$C$6:$C$17="State move")*('Events 2'!$B$6:$B$17&lt;=$B56)*('Events 2'!$B$6:$B$17&lt;&gt;"")),'Events 2'!$E$6:$E$17),'Inputs 2'!$C$22))</f>
      </c>
      <c r="AV56" s="6">
        <f>IF($B56="","",1+COUNTIFS('Events 2'!$C$6:$C$17,"Employer change",'Events 2'!$B$6:$B$17,"&lt;="&amp;$B56,'Events 2'!$B$6:$B$17,"&lt;&gt;"))</f>
      </c>
      <c r="AW56" s="7">
        <f>IF($B56="","",IF($AV56=1,'Inputs 2'!$C$49,IF(IFERROR(MATCH(IFERROR(LOOKUP(2,1/(('Events 2'!$C$6:$C$17="Employer change")*('Events 2'!$B$6:$B$17&lt;=$B56)*('Events 2'!$B$6:$B$17&lt;&gt;"")),'Events 2'!$B$6:$B$17),""),$B$6:$B$68,1),1)&lt;=1,'Inputs 2'!$C$49,INDEX($AB$6:$AB$68,MATCH(IFERROR(LOOKUP(2,1/(('Events 2'!$C$6:$C$17="Employer change")*('Events 2'!$B$6:$B$17&lt;=$B56)*('Events 2'!$B$6:$B$17&lt;&gt;"")),'Events 2'!$B$6:$B$17),""),$B$6:$B$68,1)-1))))</f>
      </c>
      <c r="AX56" s="7">
        <f>IF($B56="","",IF($AV56=1,'Inputs 2'!$C$49,IFERROR(LOOKUP(2,1/(('Events 2'!$C$6:$C$17="Employer change")*('Events 2'!$B$6:$B$17&lt;=$B56)*('Events 2'!$B$6:$B$17&lt;&gt;"")),'Events 2'!$D$6:$D$17),0)))</f>
      </c>
      <c r="AY56" s="7">
        <f>IF($B56="","",($O56-$D56)*'Inputs 2'!$C$8)</f>
      </c>
      <c r="AZ56" s="7">
        <f>IF($B56="","",IF($AN56="AL",MAX(0,$AY56-IF($AU56="Married",IF($AY56&lt;=25999,8500,MAX(5000,8500-175*CEILING(($AY56-25999)/500,1))),IF($AU56="Head of household",IF($AY56&lt;=25999,5200,MAX(2500,5200-135*CEILING(($AY56-25999)/500,1))),IF($AY56&lt;=25999,3000,MAX(2500,3000-25*CEILING(($AY56-25999)/500,1)))))-($P56-'Methodology &amp; Sources'!$C$10*$D56)*'Inputs 2'!$C$8-IF(OR($AU56="Married",$AU56="Head of household"),3000,1500)-$AT56*IF($AY56&lt;=50000,1000,IF($AY56&lt;=100000,500,300))),IF($AN56="AR",IF(MAX(0,$AY56-2470)&lt;97701,INT(MAX(0,$AY56-2470)/100)*100+50,MAX(0,$AY56-2470)),IF($AN56="DE",MAX(0,$AI56-3250),IF($AN56="HI",MAX(0,$AI56-1144*$AS56-4350),IF($AN56="KS",MAX(0,$AI56-(9160*IF($AU56="Married",2,1)+2320*$AT56+IF($AU56="Head of household",2320,0))),IF($AN56="MD",MAX(0,$AI56-3400-3200*$AS56),IF($AN56="MN",MAX(0,$AY56-5300*$AS56),IF($AN56="MO",MAX(0,$AI56-IF($AU56="Head of household",24150,IF($AU56="Married",IF('Inputs 2'!$C$83,16100,32200),16100))),IF($AN56="MT",$AY56,IF($AN56="ND",($C56+$L56)*'Inputs 2'!$C$8,IF($AN56="NE",MAX(0,$AY56-2440*$AS56),IF($AN56="NJ",MAX(0,$AY56-1000*$AS56),IF($AN56="NY",MAX(0,$AY56-(IF($AU56="Married",7950,7400)+1000*$AS56)),IF($AN56="OH",MAX(0,$AY56-650*$AS56),IF($AN56="OK",MAX(0,$AY56-1000*$AS56),IF($AN56="RI",MAX(0,$AI56-1000*$AS56),IF($AN56="SC",MAX(0,$AI56-5000*$AS56-IF($AS56=0,0,MIN(0.1*$AI56,7500))),IF($AN56="VA",MAX(0,$AI56-IF($AU56="Married",17500,8750)-930*$AS56-800*$AT56),IF($AN56="VT",MAX(0,$AI56-5400*$AS56),IF($AN56="WI",MAX(0,$AI56-MAX(0,IF($AU56="Married",9461-0.2*MAX(0,$AI56-25727),6702-0.12*MAX(0,$AI56-17780)))-400*$AS56),IF($AN56="WV",MAX(0,$AI56-2000*$AS56),$AI56))))))))))))))))))))))</f>
      </c>
      <c r="BA56" s="7">
        <f>IF($B56="","",IF($BW56&lt;&gt;"",$BW56,IF($BX56&lt;&gt;"",$BX56,IF($BY56&lt;&gt;"",$BY56,0))))</f>
      </c>
      <c r="BB56" s="7">
        <f>IF($B56="","",IF($AN56="AR",-29*$AS56,IF($AN56="DE",-110*$AS56,IF($AN56="MD",$AZ56*'Inputs 2'!$C$74,IF($AN56="AZ",'Inputs 2'!$C$82*($M56-$D56)*'Inputs 2'!$C$8,IF($AN56="CO",0.044*MAX(0,$AY56-IF($AU56="Married",10000,5000)),IF($AN56="IA",MAX(0,0.038*MAX(0,$AY56-IF($AU56="Head of household",19500,IF($AU56="Married",26000,13000)))-40*$AS56),IF($AN56="ID",0.053*MAX(0,$AY56-IF($AU56="Married",32000,16094)),IF($AN56="IL",0.0495*MAX(0,$AY56-(2925*$AS56+1000*$AT56)),IF($AN56="IN",(0.0295+'Inputs 2'!$C$76)*MAX(0,$AY56-(1000*$AS56+1500*$AT56+3000*'Inputs 2'!$C$86)),IF($AN56="KY",0.035*MAX(0,$AI56-3360),IF($AN56="LA",IF('Inputs 2'!$C$84="0",0.0309*$AI56,0.0309*MAX(0,$AI56-IF('Inputs 2'!$C$84="2",25750,12875))),IF($AN56="MA",0.05*MIN(MAX(0,$AY56-MIN(($BD55+$Q56+$R56+$S56),2000)-IF($AS56=0,0,IF($AS56=1,4400,1000*$AS56+3400))),1107750)+0.09*MAX(0,MAX(0,$AY56-MIN(($BD55+$Q56+$R56+$S56),2000)-IF($AS56=0,0,IF($AS56=1,4400,1000*$AS56+3400)))-1107750)-IF($AU56="Head of household",120,0)-110*'Inputs 2'!$C$75,IF($AN56="MI",0.0425*MAX(0,$AY56-5900*$AS56),IF($AN56="MS",0.04*MAX(0,$AI56-IF($AU56="Head of household",3400,IF($AU56="Married",4600,2300))-'Inputs 2'!$C$85-10000),IF($AN56="OR",IF(OR($AU56="Married",AND($AU56="Single",$AS56&gt;=3)),SUMPRODUCT((MAX(0,$AY56-MIN(($P56-'Methodology &amp; Sources'!$C$10*$D56)*'Inputs 2'!$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Sources'!$B$211:$J$214,0,4))*(MAX(0,$AY56-MIN(($P56-'Methodology &amp; Sources'!$C$10*$D56)*'Inputs 2'!$C$8,IF(OR($AU56="Married",AND($AU56="Single",$AS56&gt;=3)),IF($AY56&lt;250000,8750,IF($AY56&lt;260000,7000,IF($AY56&lt;270000,5250,IF($AY56&lt;280000,3500,IF($AY56&lt;290000,1750,0))))),IF($AY56&lt;125000,8750,IF($AY56&lt;130000,7000,IF($AY56&lt;135000,5250,IF($AY56&lt;140000,3500,IF($AY56&lt;145000,1750,0)))))))-IF(OR($AU56="Married",AND($AU56="Single",$AS56&gt;=3)),5820,2910))-INDEX('Methodology &amp; Sources'!$B$211:$J$214,0,4))*INDEX('Methodology &amp; Sources'!$B$211:$J$214,0,4+2)),SUMPRODUCT((MAX(0,$AY56-MIN(($P56-'Methodology &amp; Sources'!$C$10*$D56)*'Inputs 2'!$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Sources'!$B$211:$J$214,0,1))*(MAX(0,$AY56-MIN(($P56-'Methodology &amp; Sources'!$C$10*$D56)*'Inputs 2'!$C$8,IF(OR($AU56="Married",AND($AU56="Single",$AS56&gt;=3)),IF($AY56&lt;250000,8750,IF($AY56&lt;260000,7000,IF($AY56&lt;270000,5250,IF($AY56&lt;280000,3500,IF($AY56&lt;290000,1750,0))))),IF($AY56&lt;125000,8750,IF($AY56&lt;130000,7000,IF($AY56&lt;135000,5250,IF($AY56&lt;140000,3500,IF($AY56&lt;145000,1750,0)))))))-IF(OR($AU56="Married",AND($AU56="Single",$AS56&gt;=3)),5820,2910))-INDEX('Methodology &amp; Sources'!$B$211:$J$214,0,1))*INDEX('Methodology &amp; Sources'!$B$211:$J$214,0,1+2)))+263-263*IF(IF($AU56="Married",$AY56&gt;200000,$AY56&gt;100000),0,$AS56),IF($AN56="PA",0.0307*(($O56+$E56+$G56)*'Inputs 2'!$C$8),IF($AN56="NY",IF($AU56="Married",IF($AZ56&gt;=2155350,0,IF($AZ56&gt;=1077550,0.48,IF($AZ56&gt;=373200,1.21,IF($AZ56&gt;=323200,0.21,IF($AZ56&gt;=211550,-0.19,IF($AZ56&gt;=157650,-2.8,IF($AZ56&gt;=107650,-0.8,IF($AZ56&gt;=96800,0.05,IF($AZ56&gt;=80650,-0.1,IF($AZ56&gt;=13900,0.4,IF($AZ56&gt;=11700,-0.3,IF($AZ56&gt;=8500,0.5,0)))))))))))),IF($AZ56&gt;=1077550,0,IF($AZ56&gt;=265400,4.29,IF($AZ56&gt;=215400,2.29,IF($AZ56&gt;=157650,2.29,IF($AZ56&gt;=107650,0.29,IF($AZ56&gt;=96800,0.05,IF($AZ56&gt;=80650,-0.1,IF($AZ56&gt;=13900,0.4,IF($AZ56&gt;=11700,-0.3,IF($AZ56&gt;=8500,0.5,0))))))))))),0))))))))))))))))))</f>
      </c>
      <c r="BC56" s="7">
        <f>IF($B56="","",IF($AN56="AL",0.05*$D56,IF($AN56="AR",0.039*$D56,IF($AN56="ID",0.053*$D56,IF($AN56="IN",(0.0295+'Inputs 2'!$C$76)*$D56,IF($AN56="KS",0.05*$D56,IF($AN56="MA",0.09*MIN($D56,MAX(0,MAX(0,$AY56-MIN(($BD55+$Q56+$R56+$S56),2000)-IF($AS56=0,0,IF($AS56=1,4400,1000*$AS56+3400)))+$D56-1107750))+0.05*($D56-MIN($D56,MAX(0,MAX(0,$AY56-MIN(($BD55+$Q56+$R56+$S56),2000)-IF($AS56=0,0,IF($AS56=1,4400,1000*$AS56+3400)))+$D56-1107750))),IF($AN56="MD",(0.065+'Inputs 2'!$C$74)*$D56,IF($AN56="MI",0.0425*$D56,IF($AN56="MN",0.0625*$D56,IF($AN56="MO",0.047*$D56,IF($AN56="MT",0.05*$D56,IF($AN56="ND",0.015*$D56,IF($AN56="NE",0.035*$D56,IF($AN56="NJ",IF('Inputs 2'!$C$77="B",SUMPRODUCT(($D56*'Inputs 2'!$C$8&gt;INDEX('Methodology &amp; Sources'!$B$155:$J$162,0,4))*($D56*'Inputs 2'!$C$8-INDEX('Methodology &amp; Sources'!$B$155:$J$162,0,4))*INDEX('Methodology &amp; Sources'!$B$155:$J$162,0,4+2)),IF('Inputs 2'!$C$77="C",SUMPRODUCT(($D56*'Inputs 2'!$C$8&gt;INDEX('Methodology &amp; Sources'!$B$155:$J$162,0,7))*($D56*'Inputs 2'!$C$8-INDEX('Methodology &amp; Sources'!$B$155:$J$162,0,7))*INDEX('Methodology &amp; Sources'!$B$155:$J$162,0,7+2)),IF('Inputs 2'!$C$77="D",SUMPRODUCT(($D56*'Inputs 2'!$C$8&gt;INDEX('Methodology &amp; Sources'!$B$167:$J$179,0,1))*($D56*'Inputs 2'!$C$8-INDEX('Methodology &amp; Sources'!$B$167:$J$179,0,1))*INDEX('Methodology &amp; Sources'!$B$167:$J$179,0,1+2)),IF('Inputs 2'!$C$77="E",SUMPRODUCT(($D56*'Inputs 2'!$C$8&gt;INDEX('Methodology &amp; Sources'!$B$167:$J$179,0,4))*($D56*'Inputs 2'!$C$8-INDEX('Methodology &amp; Sources'!$B$167:$J$179,0,4))*INDEX('Methodology &amp; Sources'!$B$167:$J$179,0,4+2)),SUMPRODUCT(($D56*'Inputs 2'!$C$8&gt;INDEX('Methodology &amp; Sources'!$B$155:$J$162,0,1))*($D56*'Inputs 2'!$C$8-INDEX('Methodology &amp; Sources'!$B$155:$J$162,0,1))*INDEX('Methodology &amp; Sources'!$B$155:$J$162,0,1+2))))))/'Inputs 2'!$C$8,IF($AN56="NY",0.117*$D56,IF($AN56="OH",0.0275*$D56,IF($AN56="OK",0.045*$D56,IF($AN56="OR",0.08*$D56,IF($AN56="WI",IF($AY56&lt;12760,0.0354,IF($AY56&lt;25520,0.0465,IF($AY56&lt;280950,0.053,0.0765)))*$D56,0))))))))))))))))))))</f>
      </c>
      <c r="BD56" s="7">
        <f>IF($B56="","",$BD55+$Q56+$R56+$S56)</f>
      </c>
      <c r="BE56" s="6">
        <f>IF($B56="",$BE55,$BE55+$BF56)</f>
      </c>
      <c r="BF56" s="6">
        <f>IF($B56="","",IF(AND(IF(YEAR(IF('Inputs 2'!$C$7="Weekly",'Inputs 2'!$C$9+7*(($BE55+1)-1),IF('Inputs 2'!$C$7="Biweekly",'Inputs 2'!$C$9+14*(($BE55+1)-1),IF('Inputs 2'!$C$7="Semimonthly",DATE(YEAR('Inputs 2'!$C$9),MONTH('Inputs 2'!$C$9)+INT((($BE55+1)-1)/2),MIN(DAY('Inputs 2'!$C$9),DAY(EOMONTH(DATE(YEAR('Inputs 2'!$C$9),MONTH('Inputs 2'!$C$9)+INT((($BE55+1)-1)/2),1),0))))+IF(MOD(($BE55+1)-1,2)=1,15,0),EDATE('Inputs 2'!$C$9,($BE55+1)-1)))))&lt;&gt;'Inputs 2'!$C$10,"",IF('Inputs 2'!$C$7="Weekly",'Inputs 2'!$C$9+7*(($BE55+1)-1),IF('Inputs 2'!$C$7="Biweekly",'Inputs 2'!$C$9+14*(($BE55+1)-1),IF('Inputs 2'!$C$7="Semimonthly",DATE(YEAR('Inputs 2'!$C$9),MONTH('Inputs 2'!$C$9)+INT((($BE55+1)-1)/2),MIN(DAY('Inputs 2'!$C$9),DAY(EOMONTH(DATE(YEAR('Inputs 2'!$C$9),MONTH('Inputs 2'!$C$9)+INT((($BE55+1)-1)/2),1),0))))+IF(MOD(($BE55+1)-1,2)=1,15,0),EDATE('Inputs 2'!$C$9,($BE55+1)-1)))))&lt;&gt;"",$B56=IF(YEAR(IF('Inputs 2'!$C$7="Weekly",'Inputs 2'!$C$9+7*(($BE55+1)-1),IF('Inputs 2'!$C$7="Biweekly",'Inputs 2'!$C$9+14*(($BE55+1)-1),IF('Inputs 2'!$C$7="Semimonthly",DATE(YEAR('Inputs 2'!$C$9),MONTH('Inputs 2'!$C$9)+INT((($BE55+1)-1)/2),MIN(DAY('Inputs 2'!$C$9),DAY(EOMONTH(DATE(YEAR('Inputs 2'!$C$9),MONTH('Inputs 2'!$C$9)+INT((($BE55+1)-1)/2),1),0))))+IF(MOD(($BE55+1)-1,2)=1,15,0),EDATE('Inputs 2'!$C$9,($BE55+1)-1)))))&lt;&gt;'Inputs 2'!$C$10,"",IF('Inputs 2'!$C$7="Weekly",'Inputs 2'!$C$9+7*(($BE55+1)-1),IF('Inputs 2'!$C$7="Biweekly",'Inputs 2'!$C$9+14*(($BE55+1)-1),IF('Inputs 2'!$C$7="Semimonthly",DATE(YEAR('Inputs 2'!$C$9),MONTH('Inputs 2'!$C$9)+INT((($BE55+1)-1)/2),MIN(DAY('Inputs 2'!$C$9),DAY(EOMONTH(DATE(YEAR('Inputs 2'!$C$9),MONTH('Inputs 2'!$C$9)+INT((($BE55+1)-1)/2),1),0))))+IF(MOD(($BE55+1)-1,2)=1,15,0),EDATE('Inputs 2'!$C$9,($BE55+1)-1)))))),1,0))</f>
      </c>
      <c r="BG56" s="7">
        <f>IF($B56="","",$BG55+$H56)</f>
      </c>
      <c r="BH56" s="7">
        <f>IF($B56="","",$BH55+$I56)</f>
      </c>
      <c r="BI56" s="7">
        <f>IF($B56="","",$BI55+$G56)</f>
      </c>
      <c r="BJ56" s="7">
        <f>IF($B56="","",IFERROR(LOOKUP(2,1/(((('Events 2'!$C$6:$C$17="Deduction start"))*('Events 2'!$D$6:$D$17="Health FSA"))*('Events 2'!$B$6:$B$17&lt;=$B56)*('Events 2'!$B$6:$B$17&lt;&gt;"")),'Events 2'!$E$6:$E$17),'Inputs 2'!$D$38))</f>
      </c>
      <c r="BK56" s="7">
        <f>IF($B56="","",IFERROR(LOOKUP(2,1/(((('Events 2'!$C$6:$C$17="Deduction start"))*('Events 2'!$D$6:$D$17="Dependent-care FSA"))*('Events 2'!$B$6:$B$17&lt;=$B56)*('Events 2'!$B$6:$B$17&lt;&gt;"")),'Events 2'!$E$6:$E$17),'Inputs 2'!$D$39))</f>
      </c>
      <c r="BL56" s="7">
        <f>IF($B56="","",IFERROR(LOOKUP(2,1/(((('Events 2'!$C$6:$C$17="Deduction start")+('Events 2'!$C$6:$C$17="Deduction stop"))*('Events 2'!$D$6:$D$17="HSA"))*('Events 2'!$B$6:$B$17&lt;=$B56)*('Events 2'!$B$6:$B$17&lt;&gt;"")),'Events 2'!$I$6:$I$17),'Inputs 2'!$D$35))</f>
      </c>
      <c r="BM56" s="7">
        <f>IF($B56="","",IFERROR(LOOKUP(2,1/(((('Events 2'!$C$6:$C$17="Deduction start")+('Events 2'!$C$6:$C$17="Deduction stop"))*('Events 2'!$D$6:$D$17="Premiums"))*('Events 2'!$B$6:$B$17&lt;=$B56)*('Events 2'!$B$6:$B$17&lt;&gt;"")),'Events 2'!$I$6:$I$17),'Inputs 2'!$D$40+'Inputs 2'!$D$41+'Inputs 2'!$D$42))</f>
      </c>
      <c r="BN56" s="7">
        <f>IF($B56="","",IFERROR(LOOKUP(2,1/(((('Events 2'!$C$6:$C$17="Deduction start")+('Events 2'!$C$6:$C$17="Deduction stop"))*('Events 2'!$D$6:$D$17="Commuter"))*('Events 2'!$B$6:$B$17&lt;=$B56)*('Events 2'!$B$6:$B$17&lt;&gt;"")),'Events 2'!$I$6:$I$17),'Inputs 2'!$D$43))</f>
      </c>
      <c r="BO56" s="7">
        <f>IF($B56="","",IFERROR(LOOKUP(2,1/(((('Events 2'!$C$6:$C$17="Deduction start")+('Events 2'!$C$6:$C$17="Deduction stop"))*('Events 2'!$D$6:$D$17="Other pre-tax"))*('Events 2'!$B$6:$B$17&lt;=$B56)*('Events 2'!$B$6:$B$17&lt;&gt;"")),'Events 2'!$I$6:$I$17),'Inputs 2'!$D$44))</f>
      </c>
      <c r="BP56" s="7">
        <f>IF($B56="","",IFERROR(LOOKUP(2,1/(((('Events 2'!$C$6:$C$17="Deduction start")+('Events 2'!$C$6:$C$17="Deduction stop"))*('Events 2'!$D$6:$D$17="Other post-tax"))*('Events 2'!$B$6:$B$17&lt;=$B56)*('Events 2'!$B$6:$B$17&lt;&gt;"")),'Events 2'!$I$6:$I$17),'Inputs 2'!$D$45))</f>
      </c>
      <c r="BQ56" s="6">
        <f>IF($B56="","",IFERROR(LOOKUP(2,1/(((('Events 2'!$C$6:$C$17="Deduction start")+('Events 2'!$C$6:$C$17="Deduction stop"))*('Events 2'!$D$6:$D$17="Health FSA"))*('Events 2'!$B$6:$B$17&lt;=$B56)*('Events 2'!$B$6:$B$17&lt;&gt;"")),'Events 2'!$J$6:$J$17),0))</f>
      </c>
      <c r="BR56" s="6">
        <f>IF($B56="","",IFERROR(LOOKUP(2,1/(((('Events 2'!$C$6:$C$17="Deduction start")+('Events 2'!$C$6:$C$17="Deduction stop"))*('Events 2'!$D$6:$D$17="Dependent-care FSA"))*('Events 2'!$B$6:$B$17&lt;=$B56)*('Events 2'!$B$6:$B$17&lt;&gt;"")),'Events 2'!$J$6:$J$17),0))</f>
      </c>
      <c r="BS56" s="6">
        <f>IF($B56="","",IF(SUMPRODUCT(('Events 2'!$C$6:$C$17="Deduction start")*('Events 2'!$B$6:$B$17&lt;=$B56)*('Events 2'!$B$6:$B$17&lt;&gt;"")*('Events 2'!$D$6:$D$17="Health FSA"))&gt;0,1,0))</f>
      </c>
      <c r="BT56" s="6">
        <f>IF($B56="","",IF(SUMPRODUCT(('Events 2'!$C$6:$C$17="Deduction start")*('Events 2'!$B$6:$B$17&lt;=$B56)*('Events 2'!$B$6:$B$17&lt;&gt;"")*('Events 2'!$D$6:$D$17="Dependent-care FSA"))&gt;0,1,0))</f>
      </c>
      <c r="BU56" s="24">
        <f>IF($B56="","",IF('Inputs 2'!$C$13,SUMPRODUCT(($AH56&gt;=INDEX('Methodology &amp; Sources'!$B$29:$J$36,0,IF('Inputs 2'!$C$12="MFJ",1,IF('Inputs 2'!$C$12="HoH",7,4))))*INDEX('Methodology &amp; Sources'!$B$29:$J$36,0,IF('Inputs 2'!$C$12="MFJ",1,IF('Inputs 2'!$C$12="HoH",7,4))+2)),SUMPRODUCT(($AH56&gt;=INDEX('Methodology &amp; Sources'!$B$19:$J$26,0,IF('Inputs 2'!$C$12="MFJ",1,IF('Inputs 2'!$C$12="HoH",7,4))))*INDEX('Methodology &amp; Sources'!$B$19:$J$26,0,IF('Inputs 2'!$C$12="MFJ",1,IF('Inputs 2'!$C$12="HoH",7,4))+2))))</f>
      </c>
      <c r="BV56" s="24">
        <f>IF($B56="","",IF($BZ56&lt;&gt;"",$BZ56,IF($CA56&lt;&gt;"",$CA56,IF($CB56&lt;&gt;"",$CB56,IF($CC56&lt;&gt;"",$CC56,0)))))</f>
      </c>
      <c r="BW56" s="7">
        <f>IF($B56="","",IF($AN56="MD",IF(OR($AU56="Married",$AU56="Head of household"),SUMPRODUCT(($AZ56&gt;INDEX('Methodology &amp; Sources'!$B$114:$J$120,0,1))*($AZ56-INDEX('Methodology &amp; Sources'!$B$114:$J$120,0,1))*INDEX('Methodology &amp; Sources'!$B$114:$J$120,0,1+2)),SUMPRODUCT(($AZ56&gt;INDEX('Methodology &amp; Sources'!$B$103:$J$109,0,7))*($AZ56-INDEX('Methodology &amp; Sources'!$B$103:$J$109,0,7))*INDEX('Methodology &amp; Sources'!$B$103:$J$109,0,7+2))),IF($AN56="MO",SUMPRODUCT(($AZ56&gt;INDEX('Methodology &amp; Sources'!$B$125:$J$132,0,1))*($AZ56-INDEX('Methodology &amp; Sources'!$B$125:$J$132,0,1))*INDEX('Methodology &amp; Sources'!$B$125:$J$132,0,1+2)),IF($AN56="MT",IF($AU56="Head of household",SUMPRODUCT(($AZ56&gt;INDEX('Methodology &amp; Sources'!$B$137:$J$139,0,1))*($AZ56-INDEX('Methodology &amp; Sources'!$B$137:$J$139,0,1))*INDEX('Methodology &amp; Sources'!$B$137:$J$139,0,1+2)),IF($AU56="Married",SUMPRODUCT(($AZ56&gt;INDEX('Methodology &amp; Sources'!$B$125:$J$132,0,7))*($AZ56-INDEX('Methodology &amp; Sources'!$B$125:$J$132,0,7))*INDEX('Methodology &amp; Sources'!$B$125:$J$132,0,7+2)),SUMPRODUCT(($AZ56&gt;INDEX('Methodology &amp; Sources'!$B$125:$J$132,0,4))*($AZ56-INDEX('Methodology &amp; Sources'!$B$125:$J$132,0,4))*INDEX('Methodology &amp; Sources'!$B$125:$J$132,0,4+2)))),IF($AN56="ND",IF($AU56="Head of household",SUMPRODUCT(($AZ56&gt;INDEX('Methodology &amp; Sources'!$B$144:$J$150,0,1))*($AZ56-INDEX('Methodology &amp; Sources'!$B$144:$J$150,0,1))*INDEX('Methodology &amp; Sources'!$B$144:$J$150,0,1+2)),IF($AU56="Married",SUMPRODUCT(($AZ56&gt;INDEX('Methodology &amp; Sources'!$B$137:$J$139,0,7))*($AZ56-INDEX('Methodology &amp; Sources'!$B$137:$J$139,0,7))*INDEX('Methodology &amp; Sources'!$B$137:$J$139,0,7+2)),SUMPRODUCT(($AZ56&gt;INDEX('Methodology &amp; Sources'!$B$137:$J$139,0,4))*($AZ56-INDEX('Methodology &amp; Sources'!$B$137:$J$139,0,4))*INDEX('Methodology &amp; Sources'!$B$137:$J$139,0,4+2)))),IF($AN56="NJ",IF('Inputs 2'!$C$77="B",SUMPRODUCT(($AZ56&gt;INDEX('Methodology &amp; Sources'!$B$155:$J$162,0,4))*($AZ56-INDEX('Methodology &amp; Sources'!$B$155:$J$162,0,4))*INDEX('Methodology &amp; Sources'!$B$155:$J$162,0,4+2)),IF('Inputs 2'!$C$77="C",SUMPRODUCT(($AZ56&gt;INDEX('Methodology &amp; Sources'!$B$155:$J$162,0,7))*($AZ56-INDEX('Methodology &amp; Sources'!$B$155:$J$162,0,7))*INDEX('Methodology &amp; Sources'!$B$155:$J$162,0,7+2)),IF('Inputs 2'!$C$77="D",SUMPRODUCT(($AZ56&gt;INDEX('Methodology &amp; Sources'!$B$167:$J$179,0,1))*($AZ56-INDEX('Methodology &amp; Sources'!$B$167:$J$179,0,1))*INDEX('Methodology &amp; Sources'!$B$167:$J$179,0,1+2)),IF('Inputs 2'!$C$77="E",SUMPRODUCT(($AZ56&gt;INDEX('Methodology &amp; Sources'!$B$167:$J$179,0,4))*($AZ56-INDEX('Methodology &amp; Sources'!$B$167:$J$179,0,4))*INDEX('Methodology &amp; Sources'!$B$167:$J$179,0,4+2)),SUMPRODUCT(($AZ56&gt;INDEX('Methodology &amp; Sources'!$B$155:$J$162,0,1))*($AZ56-INDEX('Methodology &amp; Sources'!$B$155:$J$162,0,1))*INDEX('Methodology &amp; Sources'!$B$155:$J$162,0,1+2)))))),IF($AN56="NY",IF($AU56="Married",IF($AZ56&gt;=2155350,$AZ56*IF($AZ56&gt;25000000,0.117,IF($AZ56&gt;5000000,0.111,0.1045)),SUMPRODUCT(($AZ56&gt;INDEX('Methodology &amp; Sources'!$B$184:$J$198,0,1))*($AZ56-INDEX('Methodology &amp; Sources'!$B$184:$J$198,0,1))*INDEX('Methodology &amp; Sources'!$B$184:$J$198,0,1+2))),IF($AZ56&gt;=1077550,$AZ56*IF($AZ56&gt;25000000,0.117,IF($AZ56&gt;5000000,0.111,0.1045)),SUMPRODUCT(($AZ56&gt;INDEX('Methodology &amp; Sources'!$B$167:$J$179,0,7))*($AZ56-INDEX('Methodology &amp; Sources'!$B$167:$J$179,0,7))*INDEX('Methodology &amp; Sources'!$B$167:$J$179,0,7+2)))),"")))))))</f>
      </c>
      <c r="BX56" s="7">
        <f>IF($B56="","",IF($AN56="AL",IF(OR($AU56="Married",$AU56="Head of household"),SUMPRODUCT(($AZ56&gt;INDEX('Methodology &amp; Sources'!$B$82:$J$86,0,4))*($AZ56-INDEX('Methodology &amp; Sources'!$B$82:$J$86,0,4))*INDEX('Methodology &amp; Sources'!$B$82:$J$86,0,4+2)),SUMPRODUCT(($AZ56&gt;INDEX('Methodology &amp; Sources'!$B$82:$J$86,0,1))*($AZ56-INDEX('Methodology &amp; Sources'!$B$82:$J$86,0,1))*INDEX('Methodology &amp; Sources'!$B$82:$J$86,0,1+2))),IF($AN56="KS",IF($AU56="Married",SUMPRODUCT(($AZ56&gt;INDEX('Methodology &amp; Sources'!$B$103:$J$109,0,4))*($AZ56-INDEX('Methodology &amp; Sources'!$B$103:$J$109,0,4))*INDEX('Methodology &amp; Sources'!$B$103:$J$109,0,4+2)),SUMPRODUCT(($AZ56&gt;INDEX('Methodology &amp; Sources'!$B$103:$J$109,0,1))*($AZ56-INDEX('Methodology &amp; Sources'!$B$103:$J$109,0,1))*INDEX('Methodology &amp; Sources'!$B$103:$J$109,0,1+2))),IF($AN56="MN",IF($AU56="Married",SUMPRODUCT(($AZ56&gt;INDEX('Methodology &amp; Sources'!$B$114:$J$120,0,7))*($AZ56-INDEX('Methodology &amp; Sources'!$B$114:$J$120,0,7))*INDEX('Methodology &amp; Sources'!$B$114:$J$120,0,7+2)),SUMPRODUCT(($AZ56&gt;INDEX('Methodology &amp; Sources'!$B$114:$J$120,0,4))*($AZ56-INDEX('Methodology &amp; Sources'!$B$114:$J$120,0,4))*INDEX('Methodology &amp; Sources'!$B$114:$J$120,0,4+2))),IF($AN56="NE",MAX(IF($AU56="Married",SUMPRODUCT(($AZ56&gt;INDEX('Methodology &amp; Sources'!$B$144:$J$150,0,7))*($AZ56-INDEX('Methodology &amp; Sources'!$B$144:$J$150,0,7))*INDEX('Methodology &amp; Sources'!$B$144:$J$150,0,7+2)),SUMPRODUCT(($AZ56&gt;INDEX('Methodology &amp; Sources'!$B$144:$J$150,0,4))*($AZ56-INDEX('Methodology &amp; Sources'!$B$144:$J$150,0,4))*INDEX('Methodology &amp; Sources'!$B$144:$J$150,0,4+2))),0.015*$AZ56),IF($AN56="OH",IF($B56&gt;=DATE(2027,8,1),SUMPRODUCT(($AZ56&gt;INDEX('Methodology &amp; Sources'!$B$203:$J$206,0,1))*($AZ56-INDEX('Methodology &amp; Sources'!$B$203:$J$206,0,1))*INDEX('Methodology &amp; Sources'!$B$203:$J$206,0,1+2)),SUMPRODUCT(($AZ56&gt;INDEX('Methodology &amp; Sources'!$B$184:$J$198,0,7))*($AZ56-INDEX('Methodology &amp; Sources'!$B$184:$J$198,0,7))*INDEX('Methodology &amp; Sources'!$B$184:$J$198,0,7+2))),IF($AN56="OK",IF($AU56="Married",SUMPRODUCT(($AZ56&gt;INDEX('Methodology &amp; Sources'!$B$203:$J$206,0,7))*($AZ56-INDEX('Methodology &amp; Sources'!$B$203:$J$206,0,7))*INDEX('Methodology &amp; Sources'!$B$203:$J$206,0,7+2)),SUMPRODUCT(($AZ56&gt;INDEX('Methodology &amp; Sources'!$B$203:$J$206,0,4))*($AZ56-INDEX('Methodology &amp; Sources'!$B$203:$J$206,0,4))*INDEX('Methodology &amp; Sources'!$B$203:$J$206,0,4+2))),IF($AN56="RI",SUMPRODUCT(($AZ56&gt;INDEX('Methodology &amp; Sources'!$B$211:$J$214,0,7))*($AZ56-INDEX('Methodology &amp; Sources'!$B$211:$J$214,0,7))*INDEX('Methodology &amp; Sources'!$B$211:$J$214,0,7+2)),IF($AN56="VT",IF($AU56="Married",SUMPRODUCT(($AZ56&gt;INDEX('Methodology &amp; Sources'!$B$228:$J$232,0,1))*($AZ56-INDEX('Methodology &amp; Sources'!$B$228:$J$232,0,1))*INDEX('Methodology &amp; Sources'!$B$228:$J$232,0,1+2)),SUMPRODUCT(($AZ56&gt;INDEX('Methodology &amp; Sources'!$B$219:$J$223,0,7))*($AZ56-INDEX('Methodology &amp; Sources'!$B$219:$J$223,0,7))*INDEX('Methodology &amp; Sources'!$B$219:$J$223,0,7+2))),IF($AN56="WV",IF($AU56="Married",SUMPRODUCT(($AZ56&gt;INDEX('Methodology &amp; Sources'!$B$237:$J$241,0,7))*($AZ56-INDEX('Methodology &amp; Sources'!$B$237:$J$241,0,7))*INDEX('Methodology &amp; Sources'!$B$237:$J$241,0,7+2)),SUMPRODUCT(($AZ56&gt;INDEX('Methodology &amp; Sources'!$B$228:$J$232,0,7))*($AZ56-INDEX('Methodology &amp; Sources'!$B$228:$J$232,0,7))*INDEX('Methodology &amp; Sources'!$B$228:$J$232,0,7+2))),""))))))))))</f>
      </c>
      <c r="BY56" s="7">
        <f>IF($B56="","",IF($AN56="AR",SUMPRODUCT(($AZ56&gt;INDEX('Methodology &amp; Sources'!$B$82:$J$86,0,7))*($AZ56-INDEX('Methodology &amp; Sources'!$B$82:$J$86,0,7))*INDEX('Methodology &amp; Sources'!$B$82:$J$86,0,7+2)),IF($AN56="DE",SUMPRODUCT(($AZ56&gt;INDEX('Methodology &amp; Sources'!$B$91:$J$98,0,1))*($AZ56-INDEX('Methodology &amp; Sources'!$B$91:$J$98,0,1))*INDEX('Methodology &amp; Sources'!$B$91:$J$98,0,1+2)),IF($AN56="HI",IF($AU56="Married",SUMPRODUCT(($AZ56&gt;INDEX('Methodology &amp; Sources'!$B$91:$J$98,0,7))*($AZ56-INDEX('Methodology &amp; Sources'!$B$91:$J$98,0,7))*INDEX('Methodology &amp; Sources'!$B$91:$J$98,0,7+2)),SUMPRODUCT(($AZ56&gt;INDEX('Methodology &amp; Sources'!$B$91:$J$98,0,4))*($AZ56-INDEX('Methodology &amp; Sources'!$B$91:$J$98,0,4))*INDEX('Methodology &amp; Sources'!$B$91:$J$98,0,4+2))),IF($AN56="SC",SUMPRODUCT(($AZ56&gt;INDEX('Methodology &amp; Sources'!$B$219:$J$223,0,1))*($AZ56-INDEX('Methodology &amp; Sources'!$B$219:$J$223,0,1))*INDEX('Methodology &amp; Sources'!$B$219:$J$223,0,1+2)),IF($AN56="VA",SUMPRODUCT(($AZ56&gt;INDEX('Methodology &amp; Sources'!$B$219:$J$223,0,4))*($AZ56-INDEX('Methodology &amp; Sources'!$B$219:$J$223,0,4))*INDEX('Methodology &amp; Sources'!$B$219:$J$223,0,4+2)),IF($AN56="WI",SUMPRODUCT(($AZ56&gt;INDEX('Methodology &amp; Sources'!$B$228:$J$232,0,4))*($AZ56-INDEX('Methodology &amp; Sources'!$B$228:$J$232,0,4))*INDEX('Methodology &amp; Sources'!$B$228:$J$232,0,4+2)),"")))))))</f>
      </c>
      <c r="BZ56" s="24">
        <f>IF($B56="","",IF($AN56="NJ",IF('Inputs 2'!$C$77="B",SUMPRODUCT(($AZ56&gt;=INDEX('Methodology &amp; Sources'!$B$155:$J$162,0,4))*INDEX('Methodology &amp; Sources'!$B$155:$J$162,0,4+2)),IF('Inputs 2'!$C$77="C",SUMPRODUCT(($AZ56&gt;=INDEX('Methodology &amp; Sources'!$B$155:$J$162,0,7))*INDEX('Methodology &amp; Sources'!$B$155:$J$162,0,7+2)),IF('Inputs 2'!$C$77="D",SUMPRODUCT(($AZ56&gt;=INDEX('Methodology &amp; Sources'!$B$167:$J$179,0,1))*INDEX('Methodology &amp; Sources'!$B$167:$J$179,0,1+2)),IF('Inputs 2'!$C$77="E",SUMPRODUCT(($AZ56&gt;=INDEX('Methodology &amp; Sources'!$B$167:$J$179,0,4))*INDEX('Methodology &amp; Sources'!$B$167:$J$179,0,4+2)),SUMPRODUCT(($AZ56&gt;=INDEX('Methodology &amp; Sources'!$B$155:$J$162,0,1))*INDEX('Methodology &amp; Sources'!$B$155:$J$162,0,1+2)))))),IF($AN56="OR",IF(OR($AU56="Married",AND($AU56="Single",$AS56&gt;=3)),SUMPRODUCT((MAX(0,$AY56-MIN(($P56-'Methodology &amp; Sources'!$C$10*$D56)*'Inputs 2'!$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Sources'!$B$211:$J$214,0,4))*INDEX('Methodology &amp; Sources'!$B$211:$J$214,0,4+2)),SUMPRODUCT((MAX(0,$AY56-MIN(($P56-'Methodology &amp; Sources'!$C$10*$D56)*'Inputs 2'!$C$8,IF(OR($AU56="Married",AND($AU56="Single",$AS56&gt;=3)),IF($AY56&lt;250000,8750,IF($AY56&lt;260000,7000,IF($AY56&lt;270000,5250,IF($AY56&lt;280000,3500,IF($AY56&lt;290000,1750,0))))),IF($AY56&lt;125000,8750,IF($AY56&lt;130000,7000,IF($AY56&lt;135000,5250,IF($AY56&lt;140000,3500,IF($AY56&lt;145000,1750,0)))))))-IF(OR($AU56="Married",AND($AU56="Single",$AS56&gt;=3)),5820,2910))&gt;=INDEX('Methodology &amp; Sources'!$B$211:$J$214,0,1))*INDEX('Methodology &amp; Sources'!$B$211:$J$214,0,1+2)))*IF(($P56-'Methodology &amp; Sources'!$C$10*$D56)*'Inputs 2'!$C$8&gt;=IF(OR($AU56="Married",AND($AU56="Single",$AS56&gt;=3)),IF($AY56&lt;250000,8750,IF($AY56&lt;260000,7000,IF($AY56&lt;270000,5250,IF($AY56&lt;280000,3500,IF($AY56&lt;290000,1750,0))))),IF($AY56&lt;125000,8750,IF($AY56&lt;130000,7000,IF($AY56&lt;135000,5250,IF($AY56&lt;140000,3500,IF($AY56&lt;145000,1750,0)))))),1,1-IF('Inputs 2'!$C$13,SUMPRODUCT(($AH56&gt;=INDEX('Methodology &amp; Sources'!$B$29:$J$36,0,IF('Inputs 2'!$C$12="MFJ",1,IF('Inputs 2'!$C$12="HoH",7,4))))*INDEX('Methodology &amp; Sources'!$B$29:$J$36,0,IF('Inputs 2'!$C$12="MFJ",1,IF('Inputs 2'!$C$12="HoH",7,4))+2)),SUMPRODUCT(($AH56&gt;=INDEX('Methodology &amp; Sources'!$B$19:$J$26,0,IF('Inputs 2'!$C$12="MFJ",1,IF('Inputs 2'!$C$12="HoH",7,4))))*INDEX('Methodology &amp; Sources'!$B$19:$J$26,0,IF('Inputs 2'!$C$12="MFJ",1,IF('Inputs 2'!$C$12="HoH",7,4))+2)))),IF($AN56="MI",IF($AY56&gt;5900*$AS56,0.0425,0),""))))</f>
      </c>
      <c r="CA56" s="24">
        <f>IF($B56="","",IF($AN56="AL",IF(OR($AU56="Married",$AU56="Head of household"),SUMPRODUCT(($AZ56&gt;=INDEX('Methodology &amp; Sources'!$B$82:$J$86,0,4))*INDEX('Methodology &amp; Sources'!$B$82:$J$86,0,4+2)),SUMPRODUCT(($AZ56&gt;=INDEX('Methodology &amp; Sources'!$B$82:$J$86,0,1))*INDEX('Methodology &amp; Sources'!$B$82:$J$86,0,1+2)))*(1-IF('Inputs 2'!$C$13,SUMPRODUCT(($AH56&gt;=INDEX('Methodology &amp; Sources'!$B$29:$J$36,0,IF('Inputs 2'!$C$12="MFJ",1,IF('Inputs 2'!$C$12="HoH",7,4))))*INDEX('Methodology &amp; Sources'!$B$29:$J$36,0,IF('Inputs 2'!$C$12="MFJ",1,IF('Inputs 2'!$C$12="HoH",7,4))+2)),SUMPRODUCT(($AH56&gt;=INDEX('Methodology &amp; Sources'!$B$19:$J$26,0,IF('Inputs 2'!$C$12="MFJ",1,IF('Inputs 2'!$C$12="HoH",7,4))))*INDEX('Methodology &amp; Sources'!$B$19:$J$26,0,IF('Inputs 2'!$C$12="MFJ",1,IF('Inputs 2'!$C$12="HoH",7,4))+2)))),IF($AN56="KS",IF($AU56="Married",SUMPRODUCT(($AZ56&gt;=INDEX('Methodology &amp; Sources'!$B$103:$J$109,0,4))*INDEX('Methodology &amp; Sources'!$B$103:$J$109,0,4+2)),SUMPRODUCT(($AZ56&gt;=INDEX('Methodology &amp; Sources'!$B$103:$J$109,0,1))*INDEX('Methodology &amp; Sources'!$B$103:$J$109,0,1+2))),IF($AN56="MD",IF(OR($AU56="Married",$AU56="Head of household"),SUMPRODUCT(($AZ56&gt;=INDEX('Methodology &amp; Sources'!$B$114:$J$120,0,1))*INDEX('Methodology &amp; Sources'!$B$114:$J$120,0,1+2)),SUMPRODUCT(($AZ56&gt;=INDEX('Methodology &amp; Sources'!$B$103:$J$109,0,7))*INDEX('Methodology &amp; Sources'!$B$103:$J$109,0,7+2)))+'Inputs 2'!$C$74,IF($AN56="MT",IF($AU56="Head of household",SUMPRODUCT(($AZ56&gt;=INDEX('Methodology &amp; Sources'!$B$137:$J$139,0,1))*INDEX('Methodology &amp; Sources'!$B$137:$J$139,0,1+2)),IF($AU56="Married",SUMPRODUCT(($AZ56&gt;=INDEX('Methodology &amp; Sources'!$B$125:$J$132,0,7))*INDEX('Methodology &amp; Sources'!$B$125:$J$132,0,7+2)),SUMPRODUCT(($AZ56&gt;=INDEX('Methodology &amp; Sources'!$B$125:$J$132,0,4))*INDEX('Methodology &amp; Sources'!$B$125:$J$132,0,4+2)))),IF($AN56="ND",IF($AU56="Head of household",SUMPRODUCT(($AZ56&gt;=INDEX('Methodology &amp; Sources'!$B$144:$J$150,0,1))*INDEX('Methodology &amp; Sources'!$B$144:$J$150,0,1+2)),IF($AU56="Married",SUMPRODUCT(($AZ56&gt;=INDEX('Methodology &amp; Sources'!$B$137:$J$139,0,7))*INDEX('Methodology &amp; Sources'!$B$137:$J$139,0,7+2)),SUMPRODUCT(($AZ56&gt;=INDEX('Methodology &amp; Sources'!$B$137:$J$139,0,4))*INDEX('Methodology &amp; Sources'!$B$137:$J$139,0,4+2)))),IF($AN56="NY",IF($AU56="Married",IF($AZ56&gt;=2155350,IF($AZ56&gt;25000000,0.117,IF($AZ56&gt;5000000,0.111,0.1045)),SUMPRODUCT(($AZ56&gt;=INDEX('Methodology &amp; Sources'!$B$184:$J$198,0,1))*INDEX('Methodology &amp; Sources'!$B$184:$J$198,0,1+2))),IF($AZ56&gt;=1077550,IF($AZ56&gt;25000000,0.117,IF($AZ56&gt;5000000,0.111,0.1045)),SUMPRODUCT(($AZ56&gt;=INDEX('Methodology &amp; Sources'!$B$167:$J$179,0,7))*INDEX('Methodology &amp; Sources'!$B$167:$J$179,0,7+2)))),"")))))))</f>
      </c>
      <c r="CB56" s="24">
        <f>IF($B56="","",IF($AN56="CA",SUMPRODUCT(($AJ56&gt;=INDEX('Methodology &amp; Sources'!$B$39:$J$48,0,IF($AU56="Married",4,IF($AU56="Head of household",7,1))))*INDEX('Methodology &amp; Sources'!$B$39:$J$48,0,IF($AU56="Married",4,IF($AU56="Head of household",7,1))+2)),IF($AN56="HI",IF($AU56="Married",SUMPRODUCT(($AZ56&gt;=INDEX('Methodology &amp; Sources'!$B$91:$J$98,0,7))*INDEX('Methodology &amp; Sources'!$B$91:$J$98,0,7+2)),SUMPRODUCT(($AZ56&gt;=INDEX('Methodology &amp; Sources'!$B$91:$J$98,0,4))*INDEX('Methodology &amp; Sources'!$B$91:$J$98,0,4+2))),IF($AN56="MN",IF($AU56="Married",SUMPRODUCT(($AZ56&gt;=INDEX('Methodology &amp; Sources'!$B$114:$J$120,0,7))*INDEX('Methodology &amp; Sources'!$B$114:$J$120,0,7+2)),SUMPRODUCT(($AZ56&gt;=INDEX('Methodology &amp; Sources'!$B$114:$J$120,0,4))*INDEX('Methodology &amp; Sources'!$B$114:$J$120,0,4+2))),IF($AN56="MO",SUMPRODUCT(($AZ56&gt;=INDEX('Methodology &amp; Sources'!$B$125:$J$132,0,1))*INDEX('Methodology &amp; Sources'!$B$125:$J$132,0,1+2)),IF($AN56="NE",MAX(IF($AU56="Married",SUMPRODUCT(($AZ56&gt;=INDEX('Methodology &amp; Sources'!$B$144:$J$150,0,7))*INDEX('Methodology &amp; Sources'!$B$144:$J$150,0,7+2)),SUMPRODUCT(($AZ56&gt;=INDEX('Methodology &amp; Sources'!$B$144:$J$150,0,4))*INDEX('Methodology &amp; Sources'!$B$144:$J$150,0,4+2))),0.015),IF($AN56="OH",IF($B56&gt;=DATE(2027,8,1),SUMPRODUCT(($AZ56&gt;=INDEX('Methodology &amp; Sources'!$B$203:$J$206,0,1))*INDEX('Methodology &amp; Sources'!$B$203:$J$206,0,1+2)),SUMPRODUCT(($AZ56&gt;=INDEX('Methodology &amp; Sources'!$B$184:$J$198,0,7))*INDEX('Methodology &amp; Sources'!$B$184:$J$198,0,7+2))),IF($AN56="OK",IF($AU56="Married",SUMPRODUCT(($AZ56&gt;=INDEX('Methodology &amp; Sources'!$B$203:$J$206,0,7))*INDEX('Methodology &amp; Sources'!$B$203:$J$206,0,7+2)),SUMPRODUCT(($AZ56&gt;=INDEX('Methodology &amp; Sources'!$B$203:$J$206,0,4))*INDEX('Methodology &amp; Sources'!$B$203:$J$206,0,4+2))),IF($AN56="RI",SUMPRODUCT(($AZ56&gt;=INDEX('Methodology &amp; Sources'!$B$211:$J$214,0,7))*INDEX('Methodology &amp; Sources'!$B$211:$J$214,0,7+2)),IF($AN56="SC",SUMPRODUCT(($AZ56&gt;=INDEX('Methodology &amp; Sources'!$B$219:$J$223,0,1))*INDEX('Methodology &amp; Sources'!$B$219:$J$223,0,1+2)),IF($AN56="VT",IF($AU56="Married",SUMPRODUCT(($AZ56&gt;=INDEX('Methodology &amp; Sources'!$B$228:$J$232,0,1))*INDEX('Methodology &amp; Sources'!$B$228:$J$232,0,1+2)),SUMPRODUCT(($AZ56&gt;=INDEX('Methodology &amp; Sources'!$B$219:$J$223,0,7))*INDEX('Methodology &amp; Sources'!$B$219:$J$223,0,7+2))),IF($AN56="WV",IF($AU56="Married",SUMPRODUCT(($AZ56&gt;=INDEX('Methodology &amp; Sources'!$B$237:$J$241,0,7))*INDEX('Methodology &amp; Sources'!$B$237:$J$241,0,7+2)),SUMPRODUCT(($AZ56&gt;=INDEX('Methodology &amp; Sources'!$B$228:$J$232,0,7))*INDEX('Methodology &amp; Sources'!$B$228:$J$232,0,7+2))),IF($AN56="IN",(0.0295+'Inputs 2'!$C$76),"")))))))))))))</f>
      </c>
      <c r="CC56" s="24">
        <f>IF($B56="","",IF($AN56="AR",SUMPRODUCT(($AZ56&gt;=INDEX('Methodology &amp; Sources'!$B$82:$J$86,0,7))*INDEX('Methodology &amp; Sources'!$B$82:$J$86,0,7+2)),IF($AN56="DE",SUMPRODUCT(($AZ56&gt;=INDEX('Methodology &amp; Sources'!$B$91:$J$98,0,1))*INDEX('Methodology &amp; Sources'!$B$91:$J$98,0,1+2)),IF($AN56="VA",SUMPRODUCT(($AZ56&gt;=INDEX('Methodology &amp; Sources'!$B$219:$J$223,0,4))*INDEX('Methodology &amp; Sources'!$B$219:$J$223,0,4+2)),IF($AN56="WI",SUMPRODUCT(($AZ56&gt;=INDEX('Methodology &amp; Sources'!$B$228:$J$232,0,4))*INDEX('Methodology &amp; Sources'!$B$228:$J$232,0,4+2)),IF($AN56="AZ",'Inputs 2'!$C$82,IF($AN56="CO",IF($AY56&gt;IF($AU56="Married",10000,5000),0.044,0),IF($AN56="IA",IF($AY56&gt;IF($AU56="Head of household",19500,IF($AU56="Married",26000,13000)),0.038,0),IF($AN56="ID",IF($AY56&gt;IF($AU56="Married",32000,16094),0.053,0),IF($AN56="IL",IF($AY56&gt;(2925*$AS56+1000*$AT56),0.0495,0),IF($AN56="KY",IF($AI56&gt;3360,0.035,0),IF($AN56="LA",0.0309,IF($AN56="MA",IF(MAX(0,$AY56-MIN(($BD55+$Q56+$R56+$S56),2000)-IF($AS56=0,0,IF($AS56=1,4400,1000*$AS56+3400)))&gt;=1107750,0.09,0.05),IF($AN56="MS",IF($AI56-IF($AU56="Head of household",3400,IF($AU56="Married",4600,2300))-'Inputs 2'!$C$85&gt;10000,0.04,0),IF($AN56="PA",0.0307,"")))))))))))))))</f>
      </c>
      <c r="CD56" s="21">
        <f>IF(YEAR(IF('Inputs 2'!$C$7="Weekly",'Inputs 2'!$C$9+7*(($BE55+1)-1),IF('Inputs 2'!$C$7="Biweekly",'Inputs 2'!$C$9+14*(($BE55+1)-1),IF('Inputs 2'!$C$7="Semimonthly",DATE(YEAR('Inputs 2'!$C$9),MONTH('Inputs 2'!$C$9)+INT((($BE55+1)-1)/2),MIN(DAY('Inputs 2'!$C$9),DAY(EOMONTH(DATE(YEAR('Inputs 2'!$C$9),MONTH('Inputs 2'!$C$9)+INT((($BE55+1)-1)/2),1),0))))+IF(MOD(($BE55+1)-1,2)=1,15,0),EDATE('Inputs 2'!$C$9,($BE55+1)-1)))))&lt;&gt;'Inputs 2'!$C$10,"",IF('Inputs 2'!$C$7="Weekly",'Inputs 2'!$C$9+7*(($BE55+1)-1),IF('Inputs 2'!$C$7="Biweekly",'Inputs 2'!$C$9+14*(($BE55+1)-1),IF('Inputs 2'!$C$7="Semimonthly",DATE(YEAR('Inputs 2'!$C$9),MONTH('Inputs 2'!$C$9)+INT((($BE55+1)-1)/2),MIN(DAY('Inputs 2'!$C$9),DAY(EOMONTH(DATE(YEAR('Inputs 2'!$C$9),MONTH('Inputs 2'!$C$9)+INT((($BE55+1)-1)/2),1),0))))+IF(MOD(($BE55+1)-1,2)=1,15,0),EDATE('Inputs 2'!$C$9,($BE55+1)-1)))))</f>
      </c>
      <c r="CE56" s="21">
        <f>IF(SUMPRODUCT(MIN(IF(('Inputs 2'!$C$58:$C$67&gt;MAX($B$6:$B55))*('Inputs 2'!$C$58:$C$67&gt;=DATE('Inputs 2'!$C$10,1,1))*('Inputs 2'!$C$58:$C$67&lt;=DATE('Inputs 2'!$C$10,12,31)),'Inputs 2'!$C$58:$C$67,999999)))=999999,"",SUMPRODUCT(MIN(IF(('Inputs 2'!$C$58:$C$67&gt;MAX($B$6:$B55))*('Inputs 2'!$C$58:$C$67&gt;=DATE('Inputs 2'!$C$10,1,1))*('Inputs 2'!$C$58:$C$67&lt;=DATE('Inputs 2'!$C$10,12,31)),'Inputs 2'!$C$58:$C$67,999999))))</f>
      </c>
    </row>
    <row r="57">
      <c r="A57" t="n">
        <v>52</v>
      </c>
      <c r="B57" s="21">
        <f>IF(AND($CD57="",$CE57=""),"",IF($CE57="",$CD57,IF($CD57="",$CE57,MIN($CD57,$CE57))))</f>
      </c>
      <c r="C57" s="7">
        <f>IF($B57="","",IF($BF57=0,0,IF('Inputs 2'!$C$4="Annual salary",ROUND($AK57/IF(AND('Inputs 2'!$C$88="Actual paydays",MONTH('Inputs 2'!$C$9)=1),MAX(1,MAX($BE$6:$BE$68)),'Inputs 2'!$C$8),2),$AK57)))</f>
      </c>
      <c r="D57" s="7">
        <f>IF($B57="","",SUMIF('Inputs 2'!$C$58:$C$67,$B57,'Inputs 2'!$D$58:$D$67))</f>
      </c>
      <c r="E57" s="7">
        <f>IF($B57="","",ROUND(MAX(0,MIN(IF($AL57="Percent",$AM57*($C57+$D57),$AM57),MAX(0,'Inputs 2'!$C$34-$AC56))),2))</f>
      </c>
      <c r="F57" s="7">
        <f>IF($B57="","",ROUND(MAX(0,MIN(IF('Inputs 2'!$C$32="Percent",'Inputs 2'!$D$32*($C57+$D57),'Inputs 2'!$D$32),MAX(0,'Inputs 2'!$C$34-$AC56-$E57))),2))</f>
      </c>
      <c r="G57" s="7">
        <f>IF($B57="","",IF($BF57=0,0,ROUND(MAX(0,MIN($BL57,'Inputs 2'!$C$37-'Inputs 2'!$C$54-$BI56)),2)))</f>
      </c>
      <c r="H57" s="7">
        <f>IF($B57="","",IF(OR($BF57=0,$BQ57=1),0,ROUND(MAX(0,MIN(IF($BS57=1,ROUND(MAX(0,MIN($BJ57,'Methodology &amp; Sources'!$C$13)-$BG56)/MAX(1,MAX($BE$6:$BE$68)-($BE56)),2),ROUND(MIN($BJ57,'Methodology &amp; Sources'!$C$13)/'Inputs 2'!$C$8,2)),MIN($BJ57,'Methodology &amp; Sources'!$C$13)-$BG56)),2)))</f>
      </c>
      <c r="I57" s="7">
        <f>IF($B57="","",IF(OR($BF57=0,$BR57=1),0,ROUND(MAX(0,MIN(IF($BT57=1,ROUND(MAX(0,MIN($BK57,IF('Inputs 2'!$C$12="MFJ",'Methodology &amp; Sources'!$C$14,'Methodology &amp; Sources'!$C$15))-$BH56)/MAX(1,MAX($BE$6:$BE$68)-($BE56)),2),ROUND(MIN($BK57,IF('Inputs 2'!$C$12="MFJ",'Methodology &amp; Sources'!$C$14,'Methodology &amp; Sources'!$C$15))/'Inputs 2'!$C$8,2)),MIN($BK57,IF('Inputs 2'!$C$12="MFJ",'Methodology &amp; Sources'!$C$14,'Methodology &amp; Sources'!$C$15))-$BH56)),2)))</f>
      </c>
      <c r="J57" s="7">
        <f>IF($B57="","",IF($BF57=0,0,$BM57))</f>
      </c>
      <c r="K57" s="7">
        <f>IF($B57="","",IF($BF57=0,0,$BN57+$BO57))</f>
      </c>
      <c r="L57" s="7">
        <f>IF($B57="","",IF($BF57=0,0,'Inputs 2'!$D$46))</f>
      </c>
      <c r="M57" s="7">
        <f>IF($B57="","",$C57+$D57+$L57-$E57-$G57-$H57-$I57-$J57-$K57)</f>
      </c>
      <c r="N57" s="7">
        <f>IF($B57="","",$C57+$D57+$L57-$G57-$H57-$I57-$J57-$K57)</f>
      </c>
      <c r="O57" s="7">
        <f>IF($B57="","",$C57+$D57+$L57-$E57-$H57-$I57-$J57-$K57-IF(OR($AN57="CA",$AN57="NJ"),0,$G57))</f>
      </c>
      <c r="P57" s="7">
        <f>IF($B57="","",IF('Inputs 2'!$C$18,0,ROUND(MAX(0,IF('Inputs 2'!$C$13,SUMPRODUCT(($AH57&gt;INDEX('Methodology &amp; Sources'!$B$29:$J$36,0,IF('Inputs 2'!$C$12="MFJ",1,IF('Inputs 2'!$C$12="HoH",7,4))))*($AH57-INDEX('Methodology &amp; Sources'!$B$29:$J$36,0,IF('Inputs 2'!$C$12="MFJ",1,IF('Inputs 2'!$C$12="HoH",7,4))))*INDEX('Methodology &amp; Sources'!$B$29:$J$36,0,IF('Inputs 2'!$C$12="MFJ",1,IF('Inputs 2'!$C$12="HoH",7,4))+2)),SUMPRODUCT(($AH57&gt;INDEX('Methodology &amp; Sources'!$B$19:$J$26,0,IF('Inputs 2'!$C$12="MFJ",1,IF('Inputs 2'!$C$12="HoH",7,4))))*($AH57-INDEX('Methodology &amp; Sources'!$B$19:$J$26,0,IF('Inputs 2'!$C$12="MFJ",1,IF('Inputs 2'!$C$12="HoH",7,4))))*INDEX('Methodology &amp; Sources'!$B$19:$J$26,0,IF('Inputs 2'!$C$12="MFJ",1,IF('Inputs 2'!$C$12="HoH",7,4))+2)))/'Inputs 2'!$C$8-$AO57/'Inputs 2'!$C$8)+$AR57+IF('Inputs 2'!$C$89="Aggregate",MAX(0,IF('Inputs 2'!$C$13,SUMPRODUCT((($AH57+$D57)&gt;INDEX('Methodology &amp; Sources'!$B$29:$J$36,0,IF('Inputs 2'!$C$12="MFJ",1,IF('Inputs 2'!$C$12="HoH",7,4))))*(($AH57+$D57)-INDEX('Methodology &amp; Sources'!$B$29:$J$36,0,IF('Inputs 2'!$C$12="MFJ",1,IF('Inputs 2'!$C$12="HoH",7,4))))*INDEX('Methodology &amp; Sources'!$B$29:$J$36,0,IF('Inputs 2'!$C$12="MFJ",1,IF('Inputs 2'!$C$12="HoH",7,4))+2)),SUMPRODUCT((($AH57+$D57)&gt;INDEX('Methodology &amp; Sources'!$B$19:$J$26,0,IF('Inputs 2'!$C$12="MFJ",1,IF('Inputs 2'!$C$12="HoH",7,4))))*(($AH57+$D57)-INDEX('Methodology &amp; Sources'!$B$19:$J$26,0,IF('Inputs 2'!$C$12="MFJ",1,IF('Inputs 2'!$C$12="HoH",7,4))))*INDEX('Methodology &amp; Sources'!$B$19:$J$26,0,IF('Inputs 2'!$C$12="MFJ",1,IF('Inputs 2'!$C$12="HoH",7,4))+2)))-IF('Inputs 2'!$C$13,SUMPRODUCT(($AH57&gt;INDEX('Methodology &amp; Sources'!$B$29:$J$36,0,IF('Inputs 2'!$C$12="MFJ",1,IF('Inputs 2'!$C$12="HoH",7,4))))*($AH57-INDEX('Methodology &amp; Sources'!$B$29:$J$36,0,IF('Inputs 2'!$C$12="MFJ",1,IF('Inputs 2'!$C$12="HoH",7,4))))*INDEX('Methodology &amp; Sources'!$B$29:$J$36,0,IF('Inputs 2'!$C$12="MFJ",1,IF('Inputs 2'!$C$12="HoH",7,4))+2)),SUMPRODUCT(($AH57&gt;INDEX('Methodology &amp; Sources'!$B$19:$J$26,0,IF('Inputs 2'!$C$12="MFJ",1,IF('Inputs 2'!$C$12="HoH",7,4))))*($AH57-INDEX('Methodology &amp; Sources'!$B$19:$J$26,0,IF('Inputs 2'!$C$12="MFJ",1,IF('Inputs 2'!$C$12="HoH",7,4))))*INDEX('Methodology &amp; Sources'!$B$19:$J$26,0,IF('Inputs 2'!$C$12="MFJ",1,IF('Inputs 2'!$C$12="HoH",7,4))+2)))),'Methodology &amp; Sources'!$C$10*$D57),2)))</f>
      </c>
      <c r="Q57" s="7">
        <f>IF($B57="","",ROUND('Methodology &amp; Sources'!$C$4*MIN($N57,MAX(0,'Methodology &amp; Sources'!$C$3-($AX57+$AB56-$AW57))),2))</f>
      </c>
      <c r="R57" s="7">
        <f>IF($B57="","",ROUND('Methodology &amp; Sources'!$C$5*$N57,2))</f>
      </c>
      <c r="S57" s="7">
        <f>IF($B57="","",ROUND('Methodology &amp; Sources'!$C$6*MAX(0,MIN($N57,$AG56+$N57-'Methodology &amp; Sources'!$C$7)),2))</f>
      </c>
      <c r="T57" s="7">
        <f>IF($B57="","",IF('Inputs 2'!$C$26,0,IF($AN57="CA",ROUND(IF($AI57&lt;=IF(($AS57+$AT57)&gt;=2,VLOOKUP($AN57,StateTables!$A$6:$AB$56,10,FALSE),VLOOKUP($AN57,StateTables!$A$6:$AB$56,9,FALSE)),0,MAX(0,SUMPRODUCT(($AJ57&gt;INDEX('Methodology &amp; Sources'!$B$39:$J$48,0,IF($AU57="Married",4,IF($AU57="Head of household",7,1))))*($AJ57-INDEX('Methodology &amp; Sources'!$B$39:$J$48,0,IF($AU57="Married",4,IF($AU57="Head of household",7,1))))*INDEX('Methodology &amp; Sources'!$B$39:$J$48,0,IF($AU57="Married",4,IF($AU57="Head of household",7,1))+2))-VLOOKUP($AN57,StateTables!$A$6:$AB$56,11,FALSE)*$AS57)/'Inputs 2'!$C$8)+'Inputs 2'!$C$25+VLOOKUP($AN57,StateTables!$A$6:$AB$56,13,FALSE)*$D57,2),IF(VLOOKUP($AN57,StateTables!$A$6:$AB$56,4,FALSE)="None",0,IF(ISNUMBER(SEARCH("MANUAL",VLOOKUP($AN57,StateTables!$A$6:$AB$56,5,FALSE))),'Inputs 2'!$C$28,ROUND(MAX(0,$BA57+$BB57)/'Inputs 2'!$C$8+'Inputs 2'!$C$25+$BC57,2))))))</f>
      </c>
      <c r="U57" s="7">
        <f>IF($B57="","",IF(VLOOKUP($AN57,StateTables!$A$6:$AB$56,24,FALSE)="flatq",IF(OR(MONTH($B57)=1,MONTH($B57)=4,MONTH($B57)=7,MONTH($B57)=10),VLOOKUP($AN57,StateTables!$A$6:$AB$56,25,FALSE),0),IF(VLOOKUP($AN57,StateTables!$A$6:$AB$56,24,FALSE)="dbl",MIN(ROUND(0.005*$N57,2),ROUND(0.6*52/'Inputs 2'!$C$8,2)),IF(OR(VLOOKUP($AN57,StateTables!$A$6:$AB$56,15,FALSE)="",VLOOKUP($AN57,StateTables!$A$6:$AB$56,15,FALSE)=0),0,ROUND(VLOOKUP($AN57,StateTables!$A$6:$AB$56,15,FALSE)*IF(OR(VLOOKUP($AN57,StateTables!$A$6:$AB$56,16,FALSE)="",VLOOKUP($AN57,StateTables!$A$6:$AB$56,16,FALSE)=0),$N57,MIN($N57,MAX(0,VLOOKUP($AN57,StateTables!$A$6:$AB$56,16,FALSE)-($AX57+$AB56-$AW57)))),2))))+IF(VLOOKUP($AN57,StateTables!$A$6:$AB$56,27,FALSE)="flatq",IF(OR(MONTH($B57)=1,MONTH($B57)=4,MONTH($B57)=7,MONTH($B57)=10),VLOOKUP($AN57,StateTables!$A$6:$AB$56,28,FALSE),0),IF(VLOOKUP($AN57,StateTables!$A$6:$AB$56,27,FALSE)="dbl",MIN(ROUND(0.005*$N57,2),ROUND(0.6*52/'Inputs 2'!$C$8,2)),IF(OR(VLOOKUP($AN57,StateTables!$A$6:$AB$56,18,FALSE)="",VLOOKUP($AN57,StateTables!$A$6:$AB$56,18,FALSE)=0),0,ROUND(VLOOKUP($AN57,StateTables!$A$6:$AB$56,18,FALSE)*IF(OR(VLOOKUP($AN57,StateTables!$A$6:$AB$56,19,FALSE)="",VLOOKUP($AN57,StateTables!$A$6:$AB$56,19,FALSE)=0),$N57,MIN($N57,MAX(0,VLOOKUP($AN57,StateTables!$A$6:$AB$56,19,FALSE)-($AX57+$AB56-$AW57)))),2)))))</f>
      </c>
      <c r="V57" s="7">
        <f>IF($B57="","",IF($AN57="NY",IF('Inputs 2'!$C$78,ROUND(SUMPRODUCT((MAX(0,($O57-$D57)*'Inputs 2'!$C$8-(IF($AU57="Married",5500,5000)+1000*$AS57))&gt;INDEX('Methodology &amp; Sources'!$B$184:$J$198,0,4))*(MAX(0,($O57-$D57)*'Inputs 2'!$C$8-(IF($AU57="Married",5500,5000)+1000*$AS57))-INDEX('Methodology &amp; Sources'!$B$184:$J$198,0,4))*INDEX('Methodology &amp; Sources'!$B$184:$J$198,0,4+2))/'Inputs 2'!$C$8+0.0425*$D57,2),0)+IF('Inputs 2'!$C$79="Resident",ROUND(0.1675*$T57,2),IF('Inputs 2'!$C$79="Nonresident",ROUND(0.005*MAX(0,($O57-$D57)-(IF($AU57="Married",7950,7400)+1000*$AS57)/'Inputs 2'!$C$8),2),0)),IF($AN57="PA",IF('Inputs 2'!$C$80="None",'Inputs 2'!$C$27+ROUND('Inputs 2'!$C$81*($C57+$D57),2),ROUND(IF('Inputs 2'!$C$80="Resident",IF($B57&lt;DATE(2027,7,1),0.03735,0.03735),IF($B57&lt;DATE(2027,7,1),0.03425,0.03425))*($C57+$D57),2)),IF($BF57=0,ROUND('Inputs 2'!$C$81*($C57+$D57),2),'Inputs 2'!$C$27+ROUND('Inputs 2'!$C$81*($C57+$D57),2)))))</f>
      </c>
      <c r="W57" s="7">
        <f>IF($B57="","",IF($BF57=0,0,$BP57))</f>
      </c>
      <c r="X57" s="7">
        <f>IF($B57="","",SUM($E57:$K57)+$P57+$Q57+$R57+$S57+$T57+$U57+$V57+$W57)</f>
      </c>
      <c r="Y57" s="22">
        <f>IF($B57="","",$C57+$D57-$X57)</f>
      </c>
      <c r="Z57" s="7">
        <f>IF($B57="","",$Z56+$C57+$D57)</f>
      </c>
      <c r="AA57" s="7">
        <f>IF($B57="","",$AA56+$Y57)</f>
      </c>
      <c r="AB57" s="7">
        <f>IF($B57="","",$AB56+MIN($N57,MAX(0,'Methodology &amp; Sources'!$C$3-($AX57+$AB56-$AW57))))</f>
      </c>
      <c r="AC57" s="7">
        <f>IF($B57="","",$AC56+$E57+$F57)</f>
      </c>
      <c r="AD57" s="3">
        <f>IF($B57="","",IF(AND($AB56&lt;'Methodology &amp; Sources'!$C$3,$AB57&gt;='Methodology &amp; Sources'!$C$3),"★ Social Security maxed on this check — from the next check your net rises by about $"&amp;TEXT(ROUND('Methodology &amp; Sources'!$C$4*$N57,2),"#,##0.00")&amp;". ","")&amp;IF(AND($AC56&lt;'Inputs 2'!$C$34,$AC57&gt;='Inputs 2'!$C$34),"★ 401(k) reaches the $"&amp;TEXT('Inputs 2'!$C$34,"#,##0")&amp;" cap on this check — deferrals stop and net pay rises. ","")&amp;IF(AND($AG56&lt;'Methodology &amp; Sources'!$C$7,$AG57&gt;='Methodology &amp; Sources'!$C$7),"★ Wages pass $200,000 — the 0.9% Additional Medicare Tax starts here. ","")&amp;IF(AND($BJ57&gt;0,$H57&gt;0,$BG56&lt;MIN($BJ57,'Methodology &amp; Sources'!$C$13),$BG56+$H57&gt;=MIN($BJ57,'Methodology &amp; Sources'!$C$13)),"★ Health FSA election is now fully deferred for the year. ",""))</f>
      </c>
      <c r="AE57" s="41" t="n"/>
      <c r="AF57" s="7">
        <f>IF(OR($B57="",$AE57=""),"",$AE57-$Y57)</f>
      </c>
      <c r="AG57" s="7">
        <f>IF($B57="","",$AG56+$N57)</f>
      </c>
      <c r="AH57" s="7">
        <f>IF($B57="","",MAX(0,($M57-$D57)*'Inputs 2'!$C$8+$AP57-$AQ57-IF('Inputs 2'!$C$13,0,IF('Inputs 2'!$C$12="MFJ",'Methodology &amp; Sources'!$C$8,'Methodology &amp; Sources'!$C$9))))</f>
      </c>
      <c r="AI57" s="7">
        <f>IF($B57="","",$O57*'Inputs 2'!$C$8)</f>
      </c>
      <c r="AJ57" s="7">
        <f>IF($B57="","",MAX(0,$AI57-VLOOKUP($AN57,StateTables!$A$6:$AB$56,12,FALSE)*$AT57-IF(($AS57+$AT57)&gt;=2,VLOOKUP($AN57,StateTables!$A$6:$AB$56,8,FALSE),VLOOKUP($AN57,StateTables!$A$6:$AB$56,7,FALSE))))</f>
      </c>
      <c r="AK57" s="7">
        <f>IF($B57="","",IFERROR(LOOKUP(2,1/(('Events 2'!$C$6:$C$17="Salary change")*('Events 2'!$B$6:$B$17&lt;=$B57)*('Events 2'!$B$6:$B$17&lt;&gt;"")),'Events 2'!$D$6:$D$17),IF('Inputs 2'!$C$4="Annual salary",'Inputs 2'!$C$5,'Inputs 2'!$C$6)))</f>
      </c>
      <c r="AL57">
        <f>IF($B57="","",IFERROR(LOOKUP(2,1/(('Events 2'!$C$6:$C$17="401(k) change")*('Events 2'!$B$6:$B$17&lt;=$B57)*('Events 2'!$B$6:$B$17&lt;&gt;"")),'Events 2'!$D$6:$D$17),'Inputs 2'!$C$30))</f>
      </c>
      <c r="AM57" s="7">
        <f>IF($B57="","",IFERROR(LOOKUP(2,1/(('Events 2'!$C$6:$C$17="401(k) change")*('Events 2'!$B$6:$B$17&lt;=$B57)*('Events 2'!$B$6:$B$17&lt;&gt;"")),'Events 2'!$E$6:$E$17),'Inputs 2'!$D$30))</f>
      </c>
      <c r="AN57">
        <f>IF($B57="","",IFERROR(LOOKUP(2,1/(('Events 2'!$C$6:$C$17="State move")*('Events 2'!$B$6:$B$17&lt;=$B57)*('Events 2'!$B$6:$B$17&lt;&gt;"")),'Events 2'!$D$6:$D$17),'Inputs 2'!$C$21))</f>
      </c>
      <c r="AO57" s="7">
        <f>IF($B57="","",IFERROR(LOOKUP(2,1/(('Events 2'!$C$6:$C$17="W-4 change")*('Events 2'!$B$6:$B$17&lt;=$B57)*('Events 2'!$B$6:$B$17&lt;&gt;"")),'Events 2'!$D$6:$D$17),'Inputs 2'!$C$14))</f>
      </c>
      <c r="AP57" s="7">
        <f>IF($B57="","",IFERROR(LOOKUP(2,1/(('Events 2'!$C$6:$C$17="W-4 change")*('Events 2'!$B$6:$B$17&lt;=$B57)*('Events 2'!$B$6:$B$17&lt;&gt;"")),'Events 2'!$E$6:$E$17),'Inputs 2'!$C$15))</f>
      </c>
      <c r="AQ57" s="7">
        <f>IF($B57="","",IFERROR(LOOKUP(2,1/(('Events 2'!$C$6:$C$17="W-4 change")*('Events 2'!$B$6:$B$17&lt;=$B57)*('Events 2'!$B$6:$B$17&lt;&gt;"")),'Events 2'!$F$6:$F$17),'Inputs 2'!$C$16))</f>
      </c>
      <c r="AR57" s="7">
        <f>IF($B57="","",IFERROR(LOOKUP(2,1/(('Events 2'!$C$6:$C$17="W-4 change")*('Events 2'!$B$6:$B$17&lt;=$B57)*('Events 2'!$B$6:$B$17&lt;&gt;"")),'Events 2'!$G$6:$G$17),'Inputs 2'!$C$17))</f>
      </c>
      <c r="AS57" s="6">
        <f>IF($B57="","",IFERROR(LOOKUP(2,1/((('Events 2'!$C$6:$C$17="State move")+('Events 2'!$C$6:$C$17="State cert change"))*('Events 2'!$B$6:$B$17&lt;=$B57)*('Events 2'!$B$6:$B$17&lt;&gt;"")),'Events 2'!$F$6:$F$17),'Inputs 2'!$C$23))</f>
      </c>
      <c r="AT57" s="6">
        <f>IF($B57="","",IFERROR(LOOKUP(2,1/((('Events 2'!$C$6:$C$17="State move")+('Events 2'!$C$6:$C$17="State cert change"))*('Events 2'!$B$6:$B$17&lt;=$B57)*('Events 2'!$B$6:$B$17&lt;&gt;"")),'Events 2'!$G$6:$G$17),'Inputs 2'!$C$24))</f>
      </c>
      <c r="AU57">
        <f>IF($B57="","",IFERROR(LOOKUP(2,1/(('Events 2'!$C$6:$C$17="State move")*('Events 2'!$B$6:$B$17&lt;=$B57)*('Events 2'!$B$6:$B$17&lt;&gt;"")),'Events 2'!$E$6:$E$17),'Inputs 2'!$C$22))</f>
      </c>
      <c r="AV57" s="6">
        <f>IF($B57="","",1+COUNTIFS('Events 2'!$C$6:$C$17,"Employer change",'Events 2'!$B$6:$B$17,"&lt;="&amp;$B57,'Events 2'!$B$6:$B$17,"&lt;&gt;"))</f>
      </c>
      <c r="AW57" s="7">
        <f>IF($B57="","",IF($AV57=1,'Inputs 2'!$C$49,IF(IFERROR(MATCH(IFERROR(LOOKUP(2,1/(('Events 2'!$C$6:$C$17="Employer change")*('Events 2'!$B$6:$B$17&lt;=$B57)*('Events 2'!$B$6:$B$17&lt;&gt;"")),'Events 2'!$B$6:$B$17),""),$B$6:$B$68,1),1)&lt;=1,'Inputs 2'!$C$49,INDEX($AB$6:$AB$68,MATCH(IFERROR(LOOKUP(2,1/(('Events 2'!$C$6:$C$17="Employer change")*('Events 2'!$B$6:$B$17&lt;=$B57)*('Events 2'!$B$6:$B$17&lt;&gt;"")),'Events 2'!$B$6:$B$17),""),$B$6:$B$68,1)-1))))</f>
      </c>
      <c r="AX57" s="7">
        <f>IF($B57="","",IF($AV57=1,'Inputs 2'!$C$49,IFERROR(LOOKUP(2,1/(('Events 2'!$C$6:$C$17="Employer change")*('Events 2'!$B$6:$B$17&lt;=$B57)*('Events 2'!$B$6:$B$17&lt;&gt;"")),'Events 2'!$D$6:$D$17),0)))</f>
      </c>
      <c r="AY57" s="7">
        <f>IF($B57="","",($O57-$D57)*'Inputs 2'!$C$8)</f>
      </c>
      <c r="AZ57" s="7">
        <f>IF($B57="","",IF($AN57="AL",MAX(0,$AY57-IF($AU57="Married",IF($AY57&lt;=25999,8500,MAX(5000,8500-175*CEILING(($AY57-25999)/500,1))),IF($AU57="Head of household",IF($AY57&lt;=25999,5200,MAX(2500,5200-135*CEILING(($AY57-25999)/500,1))),IF($AY57&lt;=25999,3000,MAX(2500,3000-25*CEILING(($AY57-25999)/500,1)))))-($P57-'Methodology &amp; Sources'!$C$10*$D57)*'Inputs 2'!$C$8-IF(OR($AU57="Married",$AU57="Head of household"),3000,1500)-$AT57*IF($AY57&lt;=50000,1000,IF($AY57&lt;=100000,500,300))),IF($AN57="AR",IF(MAX(0,$AY57-2470)&lt;97701,INT(MAX(0,$AY57-2470)/100)*100+50,MAX(0,$AY57-2470)),IF($AN57="DE",MAX(0,$AI57-3250),IF($AN57="HI",MAX(0,$AI57-1144*$AS57-4350),IF($AN57="KS",MAX(0,$AI57-(9160*IF($AU57="Married",2,1)+2320*$AT57+IF($AU57="Head of household",2320,0))),IF($AN57="MD",MAX(0,$AI57-3400-3200*$AS57),IF($AN57="MN",MAX(0,$AY57-5300*$AS57),IF($AN57="MO",MAX(0,$AI57-IF($AU57="Head of household",24150,IF($AU57="Married",IF('Inputs 2'!$C$83,16100,32200),16100))),IF($AN57="MT",$AY57,IF($AN57="ND",($C57+$L57)*'Inputs 2'!$C$8,IF($AN57="NE",MAX(0,$AY57-2440*$AS57),IF($AN57="NJ",MAX(0,$AY57-1000*$AS57),IF($AN57="NY",MAX(0,$AY57-(IF($AU57="Married",7950,7400)+1000*$AS57)),IF($AN57="OH",MAX(0,$AY57-650*$AS57),IF($AN57="OK",MAX(0,$AY57-1000*$AS57),IF($AN57="RI",MAX(0,$AI57-1000*$AS57),IF($AN57="SC",MAX(0,$AI57-5000*$AS57-IF($AS57=0,0,MIN(0.1*$AI57,7500))),IF($AN57="VA",MAX(0,$AI57-IF($AU57="Married",17500,8750)-930*$AS57-800*$AT57),IF($AN57="VT",MAX(0,$AI57-5400*$AS57),IF($AN57="WI",MAX(0,$AI57-MAX(0,IF($AU57="Married",9461-0.2*MAX(0,$AI57-25727),6702-0.12*MAX(0,$AI57-17780)))-400*$AS57),IF($AN57="WV",MAX(0,$AI57-2000*$AS57),$AI57))))))))))))))))))))))</f>
      </c>
      <c r="BA57" s="7">
        <f>IF($B57="","",IF($BW57&lt;&gt;"",$BW57,IF($BX57&lt;&gt;"",$BX57,IF($BY57&lt;&gt;"",$BY57,0))))</f>
      </c>
      <c r="BB57" s="7">
        <f>IF($B57="","",IF($AN57="AR",-29*$AS57,IF($AN57="DE",-110*$AS57,IF($AN57="MD",$AZ57*'Inputs 2'!$C$74,IF($AN57="AZ",'Inputs 2'!$C$82*($M57-$D57)*'Inputs 2'!$C$8,IF($AN57="CO",0.044*MAX(0,$AY57-IF($AU57="Married",10000,5000)),IF($AN57="IA",MAX(0,0.038*MAX(0,$AY57-IF($AU57="Head of household",19500,IF($AU57="Married",26000,13000)))-40*$AS57),IF($AN57="ID",0.053*MAX(0,$AY57-IF($AU57="Married",32000,16094)),IF($AN57="IL",0.0495*MAX(0,$AY57-(2925*$AS57+1000*$AT57)),IF($AN57="IN",(0.0295+'Inputs 2'!$C$76)*MAX(0,$AY57-(1000*$AS57+1500*$AT57+3000*'Inputs 2'!$C$86)),IF($AN57="KY",0.035*MAX(0,$AI57-3360),IF($AN57="LA",IF('Inputs 2'!$C$84="0",0.0309*$AI57,0.0309*MAX(0,$AI57-IF('Inputs 2'!$C$84="2",25750,12875))),IF($AN57="MA",0.05*MIN(MAX(0,$AY57-MIN(($BD56+$Q57+$R57+$S57),2000)-IF($AS57=0,0,IF($AS57=1,4400,1000*$AS57+3400))),1107750)+0.09*MAX(0,MAX(0,$AY57-MIN(($BD56+$Q57+$R57+$S57),2000)-IF($AS57=0,0,IF($AS57=1,4400,1000*$AS57+3400)))-1107750)-IF($AU57="Head of household",120,0)-110*'Inputs 2'!$C$75,IF($AN57="MI",0.0425*MAX(0,$AY57-5900*$AS57),IF($AN57="MS",0.04*MAX(0,$AI57-IF($AU57="Head of household",3400,IF($AU57="Married",4600,2300))-'Inputs 2'!$C$85-10000),IF($AN57="OR",IF(OR($AU57="Married",AND($AU57="Single",$AS57&gt;=3)),SUMPRODUCT((MAX(0,$AY57-MIN(($P57-'Methodology &amp; Sources'!$C$10*$D57)*'Inputs 2'!$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Sources'!$B$211:$J$214,0,4))*(MAX(0,$AY57-MIN(($P57-'Methodology &amp; Sources'!$C$10*$D57)*'Inputs 2'!$C$8,IF(OR($AU57="Married",AND($AU57="Single",$AS57&gt;=3)),IF($AY57&lt;250000,8750,IF($AY57&lt;260000,7000,IF($AY57&lt;270000,5250,IF($AY57&lt;280000,3500,IF($AY57&lt;290000,1750,0))))),IF($AY57&lt;125000,8750,IF($AY57&lt;130000,7000,IF($AY57&lt;135000,5250,IF($AY57&lt;140000,3500,IF($AY57&lt;145000,1750,0)))))))-IF(OR($AU57="Married",AND($AU57="Single",$AS57&gt;=3)),5820,2910))-INDEX('Methodology &amp; Sources'!$B$211:$J$214,0,4))*INDEX('Methodology &amp; Sources'!$B$211:$J$214,0,4+2)),SUMPRODUCT((MAX(0,$AY57-MIN(($P57-'Methodology &amp; Sources'!$C$10*$D57)*'Inputs 2'!$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Sources'!$B$211:$J$214,0,1))*(MAX(0,$AY57-MIN(($P57-'Methodology &amp; Sources'!$C$10*$D57)*'Inputs 2'!$C$8,IF(OR($AU57="Married",AND($AU57="Single",$AS57&gt;=3)),IF($AY57&lt;250000,8750,IF($AY57&lt;260000,7000,IF($AY57&lt;270000,5250,IF($AY57&lt;280000,3500,IF($AY57&lt;290000,1750,0))))),IF($AY57&lt;125000,8750,IF($AY57&lt;130000,7000,IF($AY57&lt;135000,5250,IF($AY57&lt;140000,3500,IF($AY57&lt;145000,1750,0)))))))-IF(OR($AU57="Married",AND($AU57="Single",$AS57&gt;=3)),5820,2910))-INDEX('Methodology &amp; Sources'!$B$211:$J$214,0,1))*INDEX('Methodology &amp; Sources'!$B$211:$J$214,0,1+2)))+263-263*IF(IF($AU57="Married",$AY57&gt;200000,$AY57&gt;100000),0,$AS57),IF($AN57="PA",0.0307*(($O57+$E57+$G57)*'Inputs 2'!$C$8),IF($AN57="NY",IF($AU57="Married",IF($AZ57&gt;=2155350,0,IF($AZ57&gt;=1077550,0.48,IF($AZ57&gt;=373200,1.21,IF($AZ57&gt;=323200,0.21,IF($AZ57&gt;=211550,-0.19,IF($AZ57&gt;=157650,-2.8,IF($AZ57&gt;=107650,-0.8,IF($AZ57&gt;=96800,0.05,IF($AZ57&gt;=80650,-0.1,IF($AZ57&gt;=13900,0.4,IF($AZ57&gt;=11700,-0.3,IF($AZ57&gt;=8500,0.5,0)))))))))))),IF($AZ57&gt;=1077550,0,IF($AZ57&gt;=265400,4.29,IF($AZ57&gt;=215400,2.29,IF($AZ57&gt;=157650,2.29,IF($AZ57&gt;=107650,0.29,IF($AZ57&gt;=96800,0.05,IF($AZ57&gt;=80650,-0.1,IF($AZ57&gt;=13900,0.4,IF($AZ57&gt;=11700,-0.3,IF($AZ57&gt;=8500,0.5,0))))))))))),0))))))))))))))))))</f>
      </c>
      <c r="BC57" s="7">
        <f>IF($B57="","",IF($AN57="AL",0.05*$D57,IF($AN57="AR",0.039*$D57,IF($AN57="ID",0.053*$D57,IF($AN57="IN",(0.0295+'Inputs 2'!$C$76)*$D57,IF($AN57="KS",0.05*$D57,IF($AN57="MA",0.09*MIN($D57,MAX(0,MAX(0,$AY57-MIN(($BD56+$Q57+$R57+$S57),2000)-IF($AS57=0,0,IF($AS57=1,4400,1000*$AS57+3400)))+$D57-1107750))+0.05*($D57-MIN($D57,MAX(0,MAX(0,$AY57-MIN(($BD56+$Q57+$R57+$S57),2000)-IF($AS57=0,0,IF($AS57=1,4400,1000*$AS57+3400)))+$D57-1107750))),IF($AN57="MD",(0.065+'Inputs 2'!$C$74)*$D57,IF($AN57="MI",0.0425*$D57,IF($AN57="MN",0.0625*$D57,IF($AN57="MO",0.047*$D57,IF($AN57="MT",0.05*$D57,IF($AN57="ND",0.015*$D57,IF($AN57="NE",0.035*$D57,IF($AN57="NJ",IF('Inputs 2'!$C$77="B",SUMPRODUCT(($D57*'Inputs 2'!$C$8&gt;INDEX('Methodology &amp; Sources'!$B$155:$J$162,0,4))*($D57*'Inputs 2'!$C$8-INDEX('Methodology &amp; Sources'!$B$155:$J$162,0,4))*INDEX('Methodology &amp; Sources'!$B$155:$J$162,0,4+2)),IF('Inputs 2'!$C$77="C",SUMPRODUCT(($D57*'Inputs 2'!$C$8&gt;INDEX('Methodology &amp; Sources'!$B$155:$J$162,0,7))*($D57*'Inputs 2'!$C$8-INDEX('Methodology &amp; Sources'!$B$155:$J$162,0,7))*INDEX('Methodology &amp; Sources'!$B$155:$J$162,0,7+2)),IF('Inputs 2'!$C$77="D",SUMPRODUCT(($D57*'Inputs 2'!$C$8&gt;INDEX('Methodology &amp; Sources'!$B$167:$J$179,0,1))*($D57*'Inputs 2'!$C$8-INDEX('Methodology &amp; Sources'!$B$167:$J$179,0,1))*INDEX('Methodology &amp; Sources'!$B$167:$J$179,0,1+2)),IF('Inputs 2'!$C$77="E",SUMPRODUCT(($D57*'Inputs 2'!$C$8&gt;INDEX('Methodology &amp; Sources'!$B$167:$J$179,0,4))*($D57*'Inputs 2'!$C$8-INDEX('Methodology &amp; Sources'!$B$167:$J$179,0,4))*INDEX('Methodology &amp; Sources'!$B$167:$J$179,0,4+2)),SUMPRODUCT(($D57*'Inputs 2'!$C$8&gt;INDEX('Methodology &amp; Sources'!$B$155:$J$162,0,1))*($D57*'Inputs 2'!$C$8-INDEX('Methodology &amp; Sources'!$B$155:$J$162,0,1))*INDEX('Methodology &amp; Sources'!$B$155:$J$162,0,1+2))))))/'Inputs 2'!$C$8,IF($AN57="NY",0.117*$D57,IF($AN57="OH",0.0275*$D57,IF($AN57="OK",0.045*$D57,IF($AN57="OR",0.08*$D57,IF($AN57="WI",IF($AY57&lt;12760,0.0354,IF($AY57&lt;25520,0.0465,IF($AY57&lt;280950,0.053,0.0765)))*$D57,0))))))))))))))))))))</f>
      </c>
      <c r="BD57" s="7">
        <f>IF($B57="","",$BD56+$Q57+$R57+$S57)</f>
      </c>
      <c r="BE57" s="6">
        <f>IF($B57="",$BE56,$BE56+$BF57)</f>
      </c>
      <c r="BF57" s="6">
        <f>IF($B57="","",IF(AND(IF(YEAR(IF('Inputs 2'!$C$7="Weekly",'Inputs 2'!$C$9+7*(($BE56+1)-1),IF('Inputs 2'!$C$7="Biweekly",'Inputs 2'!$C$9+14*(($BE56+1)-1),IF('Inputs 2'!$C$7="Semimonthly",DATE(YEAR('Inputs 2'!$C$9),MONTH('Inputs 2'!$C$9)+INT((($BE56+1)-1)/2),MIN(DAY('Inputs 2'!$C$9),DAY(EOMONTH(DATE(YEAR('Inputs 2'!$C$9),MONTH('Inputs 2'!$C$9)+INT((($BE56+1)-1)/2),1),0))))+IF(MOD(($BE56+1)-1,2)=1,15,0),EDATE('Inputs 2'!$C$9,($BE56+1)-1)))))&lt;&gt;'Inputs 2'!$C$10,"",IF('Inputs 2'!$C$7="Weekly",'Inputs 2'!$C$9+7*(($BE56+1)-1),IF('Inputs 2'!$C$7="Biweekly",'Inputs 2'!$C$9+14*(($BE56+1)-1),IF('Inputs 2'!$C$7="Semimonthly",DATE(YEAR('Inputs 2'!$C$9),MONTH('Inputs 2'!$C$9)+INT((($BE56+1)-1)/2),MIN(DAY('Inputs 2'!$C$9),DAY(EOMONTH(DATE(YEAR('Inputs 2'!$C$9),MONTH('Inputs 2'!$C$9)+INT((($BE56+1)-1)/2),1),0))))+IF(MOD(($BE56+1)-1,2)=1,15,0),EDATE('Inputs 2'!$C$9,($BE56+1)-1)))))&lt;&gt;"",$B57=IF(YEAR(IF('Inputs 2'!$C$7="Weekly",'Inputs 2'!$C$9+7*(($BE56+1)-1),IF('Inputs 2'!$C$7="Biweekly",'Inputs 2'!$C$9+14*(($BE56+1)-1),IF('Inputs 2'!$C$7="Semimonthly",DATE(YEAR('Inputs 2'!$C$9),MONTH('Inputs 2'!$C$9)+INT((($BE56+1)-1)/2),MIN(DAY('Inputs 2'!$C$9),DAY(EOMONTH(DATE(YEAR('Inputs 2'!$C$9),MONTH('Inputs 2'!$C$9)+INT((($BE56+1)-1)/2),1),0))))+IF(MOD(($BE56+1)-1,2)=1,15,0),EDATE('Inputs 2'!$C$9,($BE56+1)-1)))))&lt;&gt;'Inputs 2'!$C$10,"",IF('Inputs 2'!$C$7="Weekly",'Inputs 2'!$C$9+7*(($BE56+1)-1),IF('Inputs 2'!$C$7="Biweekly",'Inputs 2'!$C$9+14*(($BE56+1)-1),IF('Inputs 2'!$C$7="Semimonthly",DATE(YEAR('Inputs 2'!$C$9),MONTH('Inputs 2'!$C$9)+INT((($BE56+1)-1)/2),MIN(DAY('Inputs 2'!$C$9),DAY(EOMONTH(DATE(YEAR('Inputs 2'!$C$9),MONTH('Inputs 2'!$C$9)+INT((($BE56+1)-1)/2),1),0))))+IF(MOD(($BE56+1)-1,2)=1,15,0),EDATE('Inputs 2'!$C$9,($BE56+1)-1)))))),1,0))</f>
      </c>
      <c r="BG57" s="7">
        <f>IF($B57="","",$BG56+$H57)</f>
      </c>
      <c r="BH57" s="7">
        <f>IF($B57="","",$BH56+$I57)</f>
      </c>
      <c r="BI57" s="7">
        <f>IF($B57="","",$BI56+$G57)</f>
      </c>
      <c r="BJ57" s="7">
        <f>IF($B57="","",IFERROR(LOOKUP(2,1/(((('Events 2'!$C$6:$C$17="Deduction start"))*('Events 2'!$D$6:$D$17="Health FSA"))*('Events 2'!$B$6:$B$17&lt;=$B57)*('Events 2'!$B$6:$B$17&lt;&gt;"")),'Events 2'!$E$6:$E$17),'Inputs 2'!$D$38))</f>
      </c>
      <c r="BK57" s="7">
        <f>IF($B57="","",IFERROR(LOOKUP(2,1/(((('Events 2'!$C$6:$C$17="Deduction start"))*('Events 2'!$D$6:$D$17="Dependent-care FSA"))*('Events 2'!$B$6:$B$17&lt;=$B57)*('Events 2'!$B$6:$B$17&lt;&gt;"")),'Events 2'!$E$6:$E$17),'Inputs 2'!$D$39))</f>
      </c>
      <c r="BL57" s="7">
        <f>IF($B57="","",IFERROR(LOOKUP(2,1/(((('Events 2'!$C$6:$C$17="Deduction start")+('Events 2'!$C$6:$C$17="Deduction stop"))*('Events 2'!$D$6:$D$17="HSA"))*('Events 2'!$B$6:$B$17&lt;=$B57)*('Events 2'!$B$6:$B$17&lt;&gt;"")),'Events 2'!$I$6:$I$17),'Inputs 2'!$D$35))</f>
      </c>
      <c r="BM57" s="7">
        <f>IF($B57="","",IFERROR(LOOKUP(2,1/(((('Events 2'!$C$6:$C$17="Deduction start")+('Events 2'!$C$6:$C$17="Deduction stop"))*('Events 2'!$D$6:$D$17="Premiums"))*('Events 2'!$B$6:$B$17&lt;=$B57)*('Events 2'!$B$6:$B$17&lt;&gt;"")),'Events 2'!$I$6:$I$17),'Inputs 2'!$D$40+'Inputs 2'!$D$41+'Inputs 2'!$D$42))</f>
      </c>
      <c r="BN57" s="7">
        <f>IF($B57="","",IFERROR(LOOKUP(2,1/(((('Events 2'!$C$6:$C$17="Deduction start")+('Events 2'!$C$6:$C$17="Deduction stop"))*('Events 2'!$D$6:$D$17="Commuter"))*('Events 2'!$B$6:$B$17&lt;=$B57)*('Events 2'!$B$6:$B$17&lt;&gt;"")),'Events 2'!$I$6:$I$17),'Inputs 2'!$D$43))</f>
      </c>
      <c r="BO57" s="7">
        <f>IF($B57="","",IFERROR(LOOKUP(2,1/(((('Events 2'!$C$6:$C$17="Deduction start")+('Events 2'!$C$6:$C$17="Deduction stop"))*('Events 2'!$D$6:$D$17="Other pre-tax"))*('Events 2'!$B$6:$B$17&lt;=$B57)*('Events 2'!$B$6:$B$17&lt;&gt;"")),'Events 2'!$I$6:$I$17),'Inputs 2'!$D$44))</f>
      </c>
      <c r="BP57" s="7">
        <f>IF($B57="","",IFERROR(LOOKUP(2,1/(((('Events 2'!$C$6:$C$17="Deduction start")+('Events 2'!$C$6:$C$17="Deduction stop"))*('Events 2'!$D$6:$D$17="Other post-tax"))*('Events 2'!$B$6:$B$17&lt;=$B57)*('Events 2'!$B$6:$B$17&lt;&gt;"")),'Events 2'!$I$6:$I$17),'Inputs 2'!$D$45))</f>
      </c>
      <c r="BQ57" s="6">
        <f>IF($B57="","",IFERROR(LOOKUP(2,1/(((('Events 2'!$C$6:$C$17="Deduction start")+('Events 2'!$C$6:$C$17="Deduction stop"))*('Events 2'!$D$6:$D$17="Health FSA"))*('Events 2'!$B$6:$B$17&lt;=$B57)*('Events 2'!$B$6:$B$17&lt;&gt;"")),'Events 2'!$J$6:$J$17),0))</f>
      </c>
      <c r="BR57" s="6">
        <f>IF($B57="","",IFERROR(LOOKUP(2,1/(((('Events 2'!$C$6:$C$17="Deduction start")+('Events 2'!$C$6:$C$17="Deduction stop"))*('Events 2'!$D$6:$D$17="Dependent-care FSA"))*('Events 2'!$B$6:$B$17&lt;=$B57)*('Events 2'!$B$6:$B$17&lt;&gt;"")),'Events 2'!$J$6:$J$17),0))</f>
      </c>
      <c r="BS57" s="6">
        <f>IF($B57="","",IF(SUMPRODUCT(('Events 2'!$C$6:$C$17="Deduction start")*('Events 2'!$B$6:$B$17&lt;=$B57)*('Events 2'!$B$6:$B$17&lt;&gt;"")*('Events 2'!$D$6:$D$17="Health FSA"))&gt;0,1,0))</f>
      </c>
      <c r="BT57" s="6">
        <f>IF($B57="","",IF(SUMPRODUCT(('Events 2'!$C$6:$C$17="Deduction start")*('Events 2'!$B$6:$B$17&lt;=$B57)*('Events 2'!$B$6:$B$17&lt;&gt;"")*('Events 2'!$D$6:$D$17="Dependent-care FSA"))&gt;0,1,0))</f>
      </c>
      <c r="BU57" s="24">
        <f>IF($B57="","",IF('Inputs 2'!$C$13,SUMPRODUCT(($AH57&gt;=INDEX('Methodology &amp; Sources'!$B$29:$J$36,0,IF('Inputs 2'!$C$12="MFJ",1,IF('Inputs 2'!$C$12="HoH",7,4))))*INDEX('Methodology &amp; Sources'!$B$29:$J$36,0,IF('Inputs 2'!$C$12="MFJ",1,IF('Inputs 2'!$C$12="HoH",7,4))+2)),SUMPRODUCT(($AH57&gt;=INDEX('Methodology &amp; Sources'!$B$19:$J$26,0,IF('Inputs 2'!$C$12="MFJ",1,IF('Inputs 2'!$C$12="HoH",7,4))))*INDEX('Methodology &amp; Sources'!$B$19:$J$26,0,IF('Inputs 2'!$C$12="MFJ",1,IF('Inputs 2'!$C$12="HoH",7,4))+2))))</f>
      </c>
      <c r="BV57" s="24">
        <f>IF($B57="","",IF($BZ57&lt;&gt;"",$BZ57,IF($CA57&lt;&gt;"",$CA57,IF($CB57&lt;&gt;"",$CB57,IF($CC57&lt;&gt;"",$CC57,0)))))</f>
      </c>
      <c r="BW57" s="7">
        <f>IF($B57="","",IF($AN57="MD",IF(OR($AU57="Married",$AU57="Head of household"),SUMPRODUCT(($AZ57&gt;INDEX('Methodology &amp; Sources'!$B$114:$J$120,0,1))*($AZ57-INDEX('Methodology &amp; Sources'!$B$114:$J$120,0,1))*INDEX('Methodology &amp; Sources'!$B$114:$J$120,0,1+2)),SUMPRODUCT(($AZ57&gt;INDEX('Methodology &amp; Sources'!$B$103:$J$109,0,7))*($AZ57-INDEX('Methodology &amp; Sources'!$B$103:$J$109,0,7))*INDEX('Methodology &amp; Sources'!$B$103:$J$109,0,7+2))),IF($AN57="MO",SUMPRODUCT(($AZ57&gt;INDEX('Methodology &amp; Sources'!$B$125:$J$132,0,1))*($AZ57-INDEX('Methodology &amp; Sources'!$B$125:$J$132,0,1))*INDEX('Methodology &amp; Sources'!$B$125:$J$132,0,1+2)),IF($AN57="MT",IF($AU57="Head of household",SUMPRODUCT(($AZ57&gt;INDEX('Methodology &amp; Sources'!$B$137:$J$139,0,1))*($AZ57-INDEX('Methodology &amp; Sources'!$B$137:$J$139,0,1))*INDEX('Methodology &amp; Sources'!$B$137:$J$139,0,1+2)),IF($AU57="Married",SUMPRODUCT(($AZ57&gt;INDEX('Methodology &amp; Sources'!$B$125:$J$132,0,7))*($AZ57-INDEX('Methodology &amp; Sources'!$B$125:$J$132,0,7))*INDEX('Methodology &amp; Sources'!$B$125:$J$132,0,7+2)),SUMPRODUCT(($AZ57&gt;INDEX('Methodology &amp; Sources'!$B$125:$J$132,0,4))*($AZ57-INDEX('Methodology &amp; Sources'!$B$125:$J$132,0,4))*INDEX('Methodology &amp; Sources'!$B$125:$J$132,0,4+2)))),IF($AN57="ND",IF($AU57="Head of household",SUMPRODUCT(($AZ57&gt;INDEX('Methodology &amp; Sources'!$B$144:$J$150,0,1))*($AZ57-INDEX('Methodology &amp; Sources'!$B$144:$J$150,0,1))*INDEX('Methodology &amp; Sources'!$B$144:$J$150,0,1+2)),IF($AU57="Married",SUMPRODUCT(($AZ57&gt;INDEX('Methodology &amp; Sources'!$B$137:$J$139,0,7))*($AZ57-INDEX('Methodology &amp; Sources'!$B$137:$J$139,0,7))*INDEX('Methodology &amp; Sources'!$B$137:$J$139,0,7+2)),SUMPRODUCT(($AZ57&gt;INDEX('Methodology &amp; Sources'!$B$137:$J$139,0,4))*($AZ57-INDEX('Methodology &amp; Sources'!$B$137:$J$139,0,4))*INDEX('Methodology &amp; Sources'!$B$137:$J$139,0,4+2)))),IF($AN57="NJ",IF('Inputs 2'!$C$77="B",SUMPRODUCT(($AZ57&gt;INDEX('Methodology &amp; Sources'!$B$155:$J$162,0,4))*($AZ57-INDEX('Methodology &amp; Sources'!$B$155:$J$162,0,4))*INDEX('Methodology &amp; Sources'!$B$155:$J$162,0,4+2)),IF('Inputs 2'!$C$77="C",SUMPRODUCT(($AZ57&gt;INDEX('Methodology &amp; Sources'!$B$155:$J$162,0,7))*($AZ57-INDEX('Methodology &amp; Sources'!$B$155:$J$162,0,7))*INDEX('Methodology &amp; Sources'!$B$155:$J$162,0,7+2)),IF('Inputs 2'!$C$77="D",SUMPRODUCT(($AZ57&gt;INDEX('Methodology &amp; Sources'!$B$167:$J$179,0,1))*($AZ57-INDEX('Methodology &amp; Sources'!$B$167:$J$179,0,1))*INDEX('Methodology &amp; Sources'!$B$167:$J$179,0,1+2)),IF('Inputs 2'!$C$77="E",SUMPRODUCT(($AZ57&gt;INDEX('Methodology &amp; Sources'!$B$167:$J$179,0,4))*($AZ57-INDEX('Methodology &amp; Sources'!$B$167:$J$179,0,4))*INDEX('Methodology &amp; Sources'!$B$167:$J$179,0,4+2)),SUMPRODUCT(($AZ57&gt;INDEX('Methodology &amp; Sources'!$B$155:$J$162,0,1))*($AZ57-INDEX('Methodology &amp; Sources'!$B$155:$J$162,0,1))*INDEX('Methodology &amp; Sources'!$B$155:$J$162,0,1+2)))))),IF($AN57="NY",IF($AU57="Married",IF($AZ57&gt;=2155350,$AZ57*IF($AZ57&gt;25000000,0.117,IF($AZ57&gt;5000000,0.111,0.1045)),SUMPRODUCT(($AZ57&gt;INDEX('Methodology &amp; Sources'!$B$184:$J$198,0,1))*($AZ57-INDEX('Methodology &amp; Sources'!$B$184:$J$198,0,1))*INDEX('Methodology &amp; Sources'!$B$184:$J$198,0,1+2))),IF($AZ57&gt;=1077550,$AZ57*IF($AZ57&gt;25000000,0.117,IF($AZ57&gt;5000000,0.111,0.1045)),SUMPRODUCT(($AZ57&gt;INDEX('Methodology &amp; Sources'!$B$167:$J$179,0,7))*($AZ57-INDEX('Methodology &amp; Sources'!$B$167:$J$179,0,7))*INDEX('Methodology &amp; Sources'!$B$167:$J$179,0,7+2)))),"")))))))</f>
      </c>
      <c r="BX57" s="7">
        <f>IF($B57="","",IF($AN57="AL",IF(OR($AU57="Married",$AU57="Head of household"),SUMPRODUCT(($AZ57&gt;INDEX('Methodology &amp; Sources'!$B$82:$J$86,0,4))*($AZ57-INDEX('Methodology &amp; Sources'!$B$82:$J$86,0,4))*INDEX('Methodology &amp; Sources'!$B$82:$J$86,0,4+2)),SUMPRODUCT(($AZ57&gt;INDEX('Methodology &amp; Sources'!$B$82:$J$86,0,1))*($AZ57-INDEX('Methodology &amp; Sources'!$B$82:$J$86,0,1))*INDEX('Methodology &amp; Sources'!$B$82:$J$86,0,1+2))),IF($AN57="KS",IF($AU57="Married",SUMPRODUCT(($AZ57&gt;INDEX('Methodology &amp; Sources'!$B$103:$J$109,0,4))*($AZ57-INDEX('Methodology &amp; Sources'!$B$103:$J$109,0,4))*INDEX('Methodology &amp; Sources'!$B$103:$J$109,0,4+2)),SUMPRODUCT(($AZ57&gt;INDEX('Methodology &amp; Sources'!$B$103:$J$109,0,1))*($AZ57-INDEX('Methodology &amp; Sources'!$B$103:$J$109,0,1))*INDEX('Methodology &amp; Sources'!$B$103:$J$109,0,1+2))),IF($AN57="MN",IF($AU57="Married",SUMPRODUCT(($AZ57&gt;INDEX('Methodology &amp; Sources'!$B$114:$J$120,0,7))*($AZ57-INDEX('Methodology &amp; Sources'!$B$114:$J$120,0,7))*INDEX('Methodology &amp; Sources'!$B$114:$J$120,0,7+2)),SUMPRODUCT(($AZ57&gt;INDEX('Methodology &amp; Sources'!$B$114:$J$120,0,4))*($AZ57-INDEX('Methodology &amp; Sources'!$B$114:$J$120,0,4))*INDEX('Methodology &amp; Sources'!$B$114:$J$120,0,4+2))),IF($AN57="NE",MAX(IF($AU57="Married",SUMPRODUCT(($AZ57&gt;INDEX('Methodology &amp; Sources'!$B$144:$J$150,0,7))*($AZ57-INDEX('Methodology &amp; Sources'!$B$144:$J$150,0,7))*INDEX('Methodology &amp; Sources'!$B$144:$J$150,0,7+2)),SUMPRODUCT(($AZ57&gt;INDEX('Methodology &amp; Sources'!$B$144:$J$150,0,4))*($AZ57-INDEX('Methodology &amp; Sources'!$B$144:$J$150,0,4))*INDEX('Methodology &amp; Sources'!$B$144:$J$150,0,4+2))),0.015*$AZ57),IF($AN57="OH",IF($B57&gt;=DATE(2027,8,1),SUMPRODUCT(($AZ57&gt;INDEX('Methodology &amp; Sources'!$B$203:$J$206,0,1))*($AZ57-INDEX('Methodology &amp; Sources'!$B$203:$J$206,0,1))*INDEX('Methodology &amp; Sources'!$B$203:$J$206,0,1+2)),SUMPRODUCT(($AZ57&gt;INDEX('Methodology &amp; Sources'!$B$184:$J$198,0,7))*($AZ57-INDEX('Methodology &amp; Sources'!$B$184:$J$198,0,7))*INDEX('Methodology &amp; Sources'!$B$184:$J$198,0,7+2))),IF($AN57="OK",IF($AU57="Married",SUMPRODUCT(($AZ57&gt;INDEX('Methodology &amp; Sources'!$B$203:$J$206,0,7))*($AZ57-INDEX('Methodology &amp; Sources'!$B$203:$J$206,0,7))*INDEX('Methodology &amp; Sources'!$B$203:$J$206,0,7+2)),SUMPRODUCT(($AZ57&gt;INDEX('Methodology &amp; Sources'!$B$203:$J$206,0,4))*($AZ57-INDEX('Methodology &amp; Sources'!$B$203:$J$206,0,4))*INDEX('Methodology &amp; Sources'!$B$203:$J$206,0,4+2))),IF($AN57="RI",SUMPRODUCT(($AZ57&gt;INDEX('Methodology &amp; Sources'!$B$211:$J$214,0,7))*($AZ57-INDEX('Methodology &amp; Sources'!$B$211:$J$214,0,7))*INDEX('Methodology &amp; Sources'!$B$211:$J$214,0,7+2)),IF($AN57="VT",IF($AU57="Married",SUMPRODUCT(($AZ57&gt;INDEX('Methodology &amp; Sources'!$B$228:$J$232,0,1))*($AZ57-INDEX('Methodology &amp; Sources'!$B$228:$J$232,0,1))*INDEX('Methodology &amp; Sources'!$B$228:$J$232,0,1+2)),SUMPRODUCT(($AZ57&gt;INDEX('Methodology &amp; Sources'!$B$219:$J$223,0,7))*($AZ57-INDEX('Methodology &amp; Sources'!$B$219:$J$223,0,7))*INDEX('Methodology &amp; Sources'!$B$219:$J$223,0,7+2))),IF($AN57="WV",IF($AU57="Married",SUMPRODUCT(($AZ57&gt;INDEX('Methodology &amp; Sources'!$B$237:$J$241,0,7))*($AZ57-INDEX('Methodology &amp; Sources'!$B$237:$J$241,0,7))*INDEX('Methodology &amp; Sources'!$B$237:$J$241,0,7+2)),SUMPRODUCT(($AZ57&gt;INDEX('Methodology &amp; Sources'!$B$228:$J$232,0,7))*($AZ57-INDEX('Methodology &amp; Sources'!$B$228:$J$232,0,7))*INDEX('Methodology &amp; Sources'!$B$228:$J$232,0,7+2))),""))))))))))</f>
      </c>
      <c r="BY57" s="7">
        <f>IF($B57="","",IF($AN57="AR",SUMPRODUCT(($AZ57&gt;INDEX('Methodology &amp; Sources'!$B$82:$J$86,0,7))*($AZ57-INDEX('Methodology &amp; Sources'!$B$82:$J$86,0,7))*INDEX('Methodology &amp; Sources'!$B$82:$J$86,0,7+2)),IF($AN57="DE",SUMPRODUCT(($AZ57&gt;INDEX('Methodology &amp; Sources'!$B$91:$J$98,0,1))*($AZ57-INDEX('Methodology &amp; Sources'!$B$91:$J$98,0,1))*INDEX('Methodology &amp; Sources'!$B$91:$J$98,0,1+2)),IF($AN57="HI",IF($AU57="Married",SUMPRODUCT(($AZ57&gt;INDEX('Methodology &amp; Sources'!$B$91:$J$98,0,7))*($AZ57-INDEX('Methodology &amp; Sources'!$B$91:$J$98,0,7))*INDEX('Methodology &amp; Sources'!$B$91:$J$98,0,7+2)),SUMPRODUCT(($AZ57&gt;INDEX('Methodology &amp; Sources'!$B$91:$J$98,0,4))*($AZ57-INDEX('Methodology &amp; Sources'!$B$91:$J$98,0,4))*INDEX('Methodology &amp; Sources'!$B$91:$J$98,0,4+2))),IF($AN57="SC",SUMPRODUCT(($AZ57&gt;INDEX('Methodology &amp; Sources'!$B$219:$J$223,0,1))*($AZ57-INDEX('Methodology &amp; Sources'!$B$219:$J$223,0,1))*INDEX('Methodology &amp; Sources'!$B$219:$J$223,0,1+2)),IF($AN57="VA",SUMPRODUCT(($AZ57&gt;INDEX('Methodology &amp; Sources'!$B$219:$J$223,0,4))*($AZ57-INDEX('Methodology &amp; Sources'!$B$219:$J$223,0,4))*INDEX('Methodology &amp; Sources'!$B$219:$J$223,0,4+2)),IF($AN57="WI",SUMPRODUCT(($AZ57&gt;INDEX('Methodology &amp; Sources'!$B$228:$J$232,0,4))*($AZ57-INDEX('Methodology &amp; Sources'!$B$228:$J$232,0,4))*INDEX('Methodology &amp; Sources'!$B$228:$J$232,0,4+2)),"")))))))</f>
      </c>
      <c r="BZ57" s="24">
        <f>IF($B57="","",IF($AN57="NJ",IF('Inputs 2'!$C$77="B",SUMPRODUCT(($AZ57&gt;=INDEX('Methodology &amp; Sources'!$B$155:$J$162,0,4))*INDEX('Methodology &amp; Sources'!$B$155:$J$162,0,4+2)),IF('Inputs 2'!$C$77="C",SUMPRODUCT(($AZ57&gt;=INDEX('Methodology &amp; Sources'!$B$155:$J$162,0,7))*INDEX('Methodology &amp; Sources'!$B$155:$J$162,0,7+2)),IF('Inputs 2'!$C$77="D",SUMPRODUCT(($AZ57&gt;=INDEX('Methodology &amp; Sources'!$B$167:$J$179,0,1))*INDEX('Methodology &amp; Sources'!$B$167:$J$179,0,1+2)),IF('Inputs 2'!$C$77="E",SUMPRODUCT(($AZ57&gt;=INDEX('Methodology &amp; Sources'!$B$167:$J$179,0,4))*INDEX('Methodology &amp; Sources'!$B$167:$J$179,0,4+2)),SUMPRODUCT(($AZ57&gt;=INDEX('Methodology &amp; Sources'!$B$155:$J$162,0,1))*INDEX('Methodology &amp; Sources'!$B$155:$J$162,0,1+2)))))),IF($AN57="OR",IF(OR($AU57="Married",AND($AU57="Single",$AS57&gt;=3)),SUMPRODUCT((MAX(0,$AY57-MIN(($P57-'Methodology &amp; Sources'!$C$10*$D57)*'Inputs 2'!$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Sources'!$B$211:$J$214,0,4))*INDEX('Methodology &amp; Sources'!$B$211:$J$214,0,4+2)),SUMPRODUCT((MAX(0,$AY57-MIN(($P57-'Methodology &amp; Sources'!$C$10*$D57)*'Inputs 2'!$C$8,IF(OR($AU57="Married",AND($AU57="Single",$AS57&gt;=3)),IF($AY57&lt;250000,8750,IF($AY57&lt;260000,7000,IF($AY57&lt;270000,5250,IF($AY57&lt;280000,3500,IF($AY57&lt;290000,1750,0))))),IF($AY57&lt;125000,8750,IF($AY57&lt;130000,7000,IF($AY57&lt;135000,5250,IF($AY57&lt;140000,3500,IF($AY57&lt;145000,1750,0)))))))-IF(OR($AU57="Married",AND($AU57="Single",$AS57&gt;=3)),5820,2910))&gt;=INDEX('Methodology &amp; Sources'!$B$211:$J$214,0,1))*INDEX('Methodology &amp; Sources'!$B$211:$J$214,0,1+2)))*IF(($P57-'Methodology &amp; Sources'!$C$10*$D57)*'Inputs 2'!$C$8&gt;=IF(OR($AU57="Married",AND($AU57="Single",$AS57&gt;=3)),IF($AY57&lt;250000,8750,IF($AY57&lt;260000,7000,IF($AY57&lt;270000,5250,IF($AY57&lt;280000,3500,IF($AY57&lt;290000,1750,0))))),IF($AY57&lt;125000,8750,IF($AY57&lt;130000,7000,IF($AY57&lt;135000,5250,IF($AY57&lt;140000,3500,IF($AY57&lt;145000,1750,0)))))),1,1-IF('Inputs 2'!$C$13,SUMPRODUCT(($AH57&gt;=INDEX('Methodology &amp; Sources'!$B$29:$J$36,0,IF('Inputs 2'!$C$12="MFJ",1,IF('Inputs 2'!$C$12="HoH",7,4))))*INDEX('Methodology &amp; Sources'!$B$29:$J$36,0,IF('Inputs 2'!$C$12="MFJ",1,IF('Inputs 2'!$C$12="HoH",7,4))+2)),SUMPRODUCT(($AH57&gt;=INDEX('Methodology &amp; Sources'!$B$19:$J$26,0,IF('Inputs 2'!$C$12="MFJ",1,IF('Inputs 2'!$C$12="HoH",7,4))))*INDEX('Methodology &amp; Sources'!$B$19:$J$26,0,IF('Inputs 2'!$C$12="MFJ",1,IF('Inputs 2'!$C$12="HoH",7,4))+2)))),IF($AN57="MI",IF($AY57&gt;5900*$AS57,0.0425,0),""))))</f>
      </c>
      <c r="CA57" s="24">
        <f>IF($B57="","",IF($AN57="AL",IF(OR($AU57="Married",$AU57="Head of household"),SUMPRODUCT(($AZ57&gt;=INDEX('Methodology &amp; Sources'!$B$82:$J$86,0,4))*INDEX('Methodology &amp; Sources'!$B$82:$J$86,0,4+2)),SUMPRODUCT(($AZ57&gt;=INDEX('Methodology &amp; Sources'!$B$82:$J$86,0,1))*INDEX('Methodology &amp; Sources'!$B$82:$J$86,0,1+2)))*(1-IF('Inputs 2'!$C$13,SUMPRODUCT(($AH57&gt;=INDEX('Methodology &amp; Sources'!$B$29:$J$36,0,IF('Inputs 2'!$C$12="MFJ",1,IF('Inputs 2'!$C$12="HoH",7,4))))*INDEX('Methodology &amp; Sources'!$B$29:$J$36,0,IF('Inputs 2'!$C$12="MFJ",1,IF('Inputs 2'!$C$12="HoH",7,4))+2)),SUMPRODUCT(($AH57&gt;=INDEX('Methodology &amp; Sources'!$B$19:$J$26,0,IF('Inputs 2'!$C$12="MFJ",1,IF('Inputs 2'!$C$12="HoH",7,4))))*INDEX('Methodology &amp; Sources'!$B$19:$J$26,0,IF('Inputs 2'!$C$12="MFJ",1,IF('Inputs 2'!$C$12="HoH",7,4))+2)))),IF($AN57="KS",IF($AU57="Married",SUMPRODUCT(($AZ57&gt;=INDEX('Methodology &amp; Sources'!$B$103:$J$109,0,4))*INDEX('Methodology &amp; Sources'!$B$103:$J$109,0,4+2)),SUMPRODUCT(($AZ57&gt;=INDEX('Methodology &amp; Sources'!$B$103:$J$109,0,1))*INDEX('Methodology &amp; Sources'!$B$103:$J$109,0,1+2))),IF($AN57="MD",IF(OR($AU57="Married",$AU57="Head of household"),SUMPRODUCT(($AZ57&gt;=INDEX('Methodology &amp; Sources'!$B$114:$J$120,0,1))*INDEX('Methodology &amp; Sources'!$B$114:$J$120,0,1+2)),SUMPRODUCT(($AZ57&gt;=INDEX('Methodology &amp; Sources'!$B$103:$J$109,0,7))*INDEX('Methodology &amp; Sources'!$B$103:$J$109,0,7+2)))+'Inputs 2'!$C$74,IF($AN57="MT",IF($AU57="Head of household",SUMPRODUCT(($AZ57&gt;=INDEX('Methodology &amp; Sources'!$B$137:$J$139,0,1))*INDEX('Methodology &amp; Sources'!$B$137:$J$139,0,1+2)),IF($AU57="Married",SUMPRODUCT(($AZ57&gt;=INDEX('Methodology &amp; Sources'!$B$125:$J$132,0,7))*INDEX('Methodology &amp; Sources'!$B$125:$J$132,0,7+2)),SUMPRODUCT(($AZ57&gt;=INDEX('Methodology &amp; Sources'!$B$125:$J$132,0,4))*INDEX('Methodology &amp; Sources'!$B$125:$J$132,0,4+2)))),IF($AN57="ND",IF($AU57="Head of household",SUMPRODUCT(($AZ57&gt;=INDEX('Methodology &amp; Sources'!$B$144:$J$150,0,1))*INDEX('Methodology &amp; Sources'!$B$144:$J$150,0,1+2)),IF($AU57="Married",SUMPRODUCT(($AZ57&gt;=INDEX('Methodology &amp; Sources'!$B$137:$J$139,0,7))*INDEX('Methodology &amp; Sources'!$B$137:$J$139,0,7+2)),SUMPRODUCT(($AZ57&gt;=INDEX('Methodology &amp; Sources'!$B$137:$J$139,0,4))*INDEX('Methodology &amp; Sources'!$B$137:$J$139,0,4+2)))),IF($AN57="NY",IF($AU57="Married",IF($AZ57&gt;=2155350,IF($AZ57&gt;25000000,0.117,IF($AZ57&gt;5000000,0.111,0.1045)),SUMPRODUCT(($AZ57&gt;=INDEX('Methodology &amp; Sources'!$B$184:$J$198,0,1))*INDEX('Methodology &amp; Sources'!$B$184:$J$198,0,1+2))),IF($AZ57&gt;=1077550,IF($AZ57&gt;25000000,0.117,IF($AZ57&gt;5000000,0.111,0.1045)),SUMPRODUCT(($AZ57&gt;=INDEX('Methodology &amp; Sources'!$B$167:$J$179,0,7))*INDEX('Methodology &amp; Sources'!$B$167:$J$179,0,7+2)))),"")))))))</f>
      </c>
      <c r="CB57" s="24">
        <f>IF($B57="","",IF($AN57="CA",SUMPRODUCT(($AJ57&gt;=INDEX('Methodology &amp; Sources'!$B$39:$J$48,0,IF($AU57="Married",4,IF($AU57="Head of household",7,1))))*INDEX('Methodology &amp; Sources'!$B$39:$J$48,0,IF($AU57="Married",4,IF($AU57="Head of household",7,1))+2)),IF($AN57="HI",IF($AU57="Married",SUMPRODUCT(($AZ57&gt;=INDEX('Methodology &amp; Sources'!$B$91:$J$98,0,7))*INDEX('Methodology &amp; Sources'!$B$91:$J$98,0,7+2)),SUMPRODUCT(($AZ57&gt;=INDEX('Methodology &amp; Sources'!$B$91:$J$98,0,4))*INDEX('Methodology &amp; Sources'!$B$91:$J$98,0,4+2))),IF($AN57="MN",IF($AU57="Married",SUMPRODUCT(($AZ57&gt;=INDEX('Methodology &amp; Sources'!$B$114:$J$120,0,7))*INDEX('Methodology &amp; Sources'!$B$114:$J$120,0,7+2)),SUMPRODUCT(($AZ57&gt;=INDEX('Methodology &amp; Sources'!$B$114:$J$120,0,4))*INDEX('Methodology &amp; Sources'!$B$114:$J$120,0,4+2))),IF($AN57="MO",SUMPRODUCT(($AZ57&gt;=INDEX('Methodology &amp; Sources'!$B$125:$J$132,0,1))*INDEX('Methodology &amp; Sources'!$B$125:$J$132,0,1+2)),IF($AN57="NE",MAX(IF($AU57="Married",SUMPRODUCT(($AZ57&gt;=INDEX('Methodology &amp; Sources'!$B$144:$J$150,0,7))*INDEX('Methodology &amp; Sources'!$B$144:$J$150,0,7+2)),SUMPRODUCT(($AZ57&gt;=INDEX('Methodology &amp; Sources'!$B$144:$J$150,0,4))*INDEX('Methodology &amp; Sources'!$B$144:$J$150,0,4+2))),0.015),IF($AN57="OH",IF($B57&gt;=DATE(2027,8,1),SUMPRODUCT(($AZ57&gt;=INDEX('Methodology &amp; Sources'!$B$203:$J$206,0,1))*INDEX('Methodology &amp; Sources'!$B$203:$J$206,0,1+2)),SUMPRODUCT(($AZ57&gt;=INDEX('Methodology &amp; Sources'!$B$184:$J$198,0,7))*INDEX('Methodology &amp; Sources'!$B$184:$J$198,0,7+2))),IF($AN57="OK",IF($AU57="Married",SUMPRODUCT(($AZ57&gt;=INDEX('Methodology &amp; Sources'!$B$203:$J$206,0,7))*INDEX('Methodology &amp; Sources'!$B$203:$J$206,0,7+2)),SUMPRODUCT(($AZ57&gt;=INDEX('Methodology &amp; Sources'!$B$203:$J$206,0,4))*INDEX('Methodology &amp; Sources'!$B$203:$J$206,0,4+2))),IF($AN57="RI",SUMPRODUCT(($AZ57&gt;=INDEX('Methodology &amp; Sources'!$B$211:$J$214,0,7))*INDEX('Methodology &amp; Sources'!$B$211:$J$214,0,7+2)),IF($AN57="SC",SUMPRODUCT(($AZ57&gt;=INDEX('Methodology &amp; Sources'!$B$219:$J$223,0,1))*INDEX('Methodology &amp; Sources'!$B$219:$J$223,0,1+2)),IF($AN57="VT",IF($AU57="Married",SUMPRODUCT(($AZ57&gt;=INDEX('Methodology &amp; Sources'!$B$228:$J$232,0,1))*INDEX('Methodology &amp; Sources'!$B$228:$J$232,0,1+2)),SUMPRODUCT(($AZ57&gt;=INDEX('Methodology &amp; Sources'!$B$219:$J$223,0,7))*INDEX('Methodology &amp; Sources'!$B$219:$J$223,0,7+2))),IF($AN57="WV",IF($AU57="Married",SUMPRODUCT(($AZ57&gt;=INDEX('Methodology &amp; Sources'!$B$237:$J$241,0,7))*INDEX('Methodology &amp; Sources'!$B$237:$J$241,0,7+2)),SUMPRODUCT(($AZ57&gt;=INDEX('Methodology &amp; Sources'!$B$228:$J$232,0,7))*INDEX('Methodology &amp; Sources'!$B$228:$J$232,0,7+2))),IF($AN57="IN",(0.0295+'Inputs 2'!$C$76),"")))))))))))))</f>
      </c>
      <c r="CC57" s="24">
        <f>IF($B57="","",IF($AN57="AR",SUMPRODUCT(($AZ57&gt;=INDEX('Methodology &amp; Sources'!$B$82:$J$86,0,7))*INDEX('Methodology &amp; Sources'!$B$82:$J$86,0,7+2)),IF($AN57="DE",SUMPRODUCT(($AZ57&gt;=INDEX('Methodology &amp; Sources'!$B$91:$J$98,0,1))*INDEX('Methodology &amp; Sources'!$B$91:$J$98,0,1+2)),IF($AN57="VA",SUMPRODUCT(($AZ57&gt;=INDEX('Methodology &amp; Sources'!$B$219:$J$223,0,4))*INDEX('Methodology &amp; Sources'!$B$219:$J$223,0,4+2)),IF($AN57="WI",SUMPRODUCT(($AZ57&gt;=INDEX('Methodology &amp; Sources'!$B$228:$J$232,0,4))*INDEX('Methodology &amp; Sources'!$B$228:$J$232,0,4+2)),IF($AN57="AZ",'Inputs 2'!$C$82,IF($AN57="CO",IF($AY57&gt;IF($AU57="Married",10000,5000),0.044,0),IF($AN57="IA",IF($AY57&gt;IF($AU57="Head of household",19500,IF($AU57="Married",26000,13000)),0.038,0),IF($AN57="ID",IF($AY57&gt;IF($AU57="Married",32000,16094),0.053,0),IF($AN57="IL",IF($AY57&gt;(2925*$AS57+1000*$AT57),0.0495,0),IF($AN57="KY",IF($AI57&gt;3360,0.035,0),IF($AN57="LA",0.0309,IF($AN57="MA",IF(MAX(0,$AY57-MIN(($BD56+$Q57+$R57+$S57),2000)-IF($AS57=0,0,IF($AS57=1,4400,1000*$AS57+3400)))&gt;=1107750,0.09,0.05),IF($AN57="MS",IF($AI57-IF($AU57="Head of household",3400,IF($AU57="Married",4600,2300))-'Inputs 2'!$C$85&gt;10000,0.04,0),IF($AN57="PA",0.0307,"")))))))))))))))</f>
      </c>
      <c r="CD57" s="21">
        <f>IF(YEAR(IF('Inputs 2'!$C$7="Weekly",'Inputs 2'!$C$9+7*(($BE56+1)-1),IF('Inputs 2'!$C$7="Biweekly",'Inputs 2'!$C$9+14*(($BE56+1)-1),IF('Inputs 2'!$C$7="Semimonthly",DATE(YEAR('Inputs 2'!$C$9),MONTH('Inputs 2'!$C$9)+INT((($BE56+1)-1)/2),MIN(DAY('Inputs 2'!$C$9),DAY(EOMONTH(DATE(YEAR('Inputs 2'!$C$9),MONTH('Inputs 2'!$C$9)+INT((($BE56+1)-1)/2),1),0))))+IF(MOD(($BE56+1)-1,2)=1,15,0),EDATE('Inputs 2'!$C$9,($BE56+1)-1)))))&lt;&gt;'Inputs 2'!$C$10,"",IF('Inputs 2'!$C$7="Weekly",'Inputs 2'!$C$9+7*(($BE56+1)-1),IF('Inputs 2'!$C$7="Biweekly",'Inputs 2'!$C$9+14*(($BE56+1)-1),IF('Inputs 2'!$C$7="Semimonthly",DATE(YEAR('Inputs 2'!$C$9),MONTH('Inputs 2'!$C$9)+INT((($BE56+1)-1)/2),MIN(DAY('Inputs 2'!$C$9),DAY(EOMONTH(DATE(YEAR('Inputs 2'!$C$9),MONTH('Inputs 2'!$C$9)+INT((($BE56+1)-1)/2),1),0))))+IF(MOD(($BE56+1)-1,2)=1,15,0),EDATE('Inputs 2'!$C$9,($BE56+1)-1)))))</f>
      </c>
      <c r="CE57" s="21">
        <f>IF(SUMPRODUCT(MIN(IF(('Inputs 2'!$C$58:$C$67&gt;MAX($B$6:$B56))*('Inputs 2'!$C$58:$C$67&gt;=DATE('Inputs 2'!$C$10,1,1))*('Inputs 2'!$C$58:$C$67&lt;=DATE('Inputs 2'!$C$10,12,31)),'Inputs 2'!$C$58:$C$67,999999)))=999999,"",SUMPRODUCT(MIN(IF(('Inputs 2'!$C$58:$C$67&gt;MAX($B$6:$B56))*('Inputs 2'!$C$58:$C$67&gt;=DATE('Inputs 2'!$C$10,1,1))*('Inputs 2'!$C$58:$C$67&lt;=DATE('Inputs 2'!$C$10,12,31)),'Inputs 2'!$C$58:$C$67,999999))))</f>
      </c>
    </row>
    <row r="58">
      <c r="A58" t="n">
        <v>53</v>
      </c>
      <c r="B58" s="21">
        <f>IF(AND($CD58="",$CE58=""),"",IF($CE58="",$CD58,IF($CD58="",$CE58,MIN($CD58,$CE58))))</f>
      </c>
      <c r="C58" s="7">
        <f>IF($B58="","",IF($BF58=0,0,IF('Inputs 2'!$C$4="Annual salary",ROUND($AK58/IF(AND('Inputs 2'!$C$88="Actual paydays",MONTH('Inputs 2'!$C$9)=1),MAX(1,MAX($BE$6:$BE$68)),'Inputs 2'!$C$8),2),$AK58)))</f>
      </c>
      <c r="D58" s="7">
        <f>IF($B58="","",SUMIF('Inputs 2'!$C$58:$C$67,$B58,'Inputs 2'!$D$58:$D$67))</f>
      </c>
      <c r="E58" s="7">
        <f>IF($B58="","",ROUND(MAX(0,MIN(IF($AL58="Percent",$AM58*($C58+$D58),$AM58),MAX(0,'Inputs 2'!$C$34-$AC57))),2))</f>
      </c>
      <c r="F58" s="7">
        <f>IF($B58="","",ROUND(MAX(0,MIN(IF('Inputs 2'!$C$32="Percent",'Inputs 2'!$D$32*($C58+$D58),'Inputs 2'!$D$32),MAX(0,'Inputs 2'!$C$34-$AC57-$E58))),2))</f>
      </c>
      <c r="G58" s="7">
        <f>IF($B58="","",IF($BF58=0,0,ROUND(MAX(0,MIN($BL58,'Inputs 2'!$C$37-'Inputs 2'!$C$54-$BI57)),2)))</f>
      </c>
      <c r="H58" s="7">
        <f>IF($B58="","",IF(OR($BF58=0,$BQ58=1),0,ROUND(MAX(0,MIN(IF($BS58=1,ROUND(MAX(0,MIN($BJ58,'Methodology &amp; Sources'!$C$13)-$BG57)/MAX(1,MAX($BE$6:$BE$68)-($BE57)),2),ROUND(MIN($BJ58,'Methodology &amp; Sources'!$C$13)/'Inputs 2'!$C$8,2)),MIN($BJ58,'Methodology &amp; Sources'!$C$13)-$BG57)),2)))</f>
      </c>
      <c r="I58" s="7">
        <f>IF($B58="","",IF(OR($BF58=0,$BR58=1),0,ROUND(MAX(0,MIN(IF($BT58=1,ROUND(MAX(0,MIN($BK58,IF('Inputs 2'!$C$12="MFJ",'Methodology &amp; Sources'!$C$14,'Methodology &amp; Sources'!$C$15))-$BH57)/MAX(1,MAX($BE$6:$BE$68)-($BE57)),2),ROUND(MIN($BK58,IF('Inputs 2'!$C$12="MFJ",'Methodology &amp; Sources'!$C$14,'Methodology &amp; Sources'!$C$15))/'Inputs 2'!$C$8,2)),MIN($BK58,IF('Inputs 2'!$C$12="MFJ",'Methodology &amp; Sources'!$C$14,'Methodology &amp; Sources'!$C$15))-$BH57)),2)))</f>
      </c>
      <c r="J58" s="7">
        <f>IF($B58="","",IF($BF58=0,0,$BM58))</f>
      </c>
      <c r="K58" s="7">
        <f>IF($B58="","",IF($BF58=0,0,$BN58+$BO58))</f>
      </c>
      <c r="L58" s="7">
        <f>IF($B58="","",IF($BF58=0,0,'Inputs 2'!$D$46))</f>
      </c>
      <c r="M58" s="7">
        <f>IF($B58="","",$C58+$D58+$L58-$E58-$G58-$H58-$I58-$J58-$K58)</f>
      </c>
      <c r="N58" s="7">
        <f>IF($B58="","",$C58+$D58+$L58-$G58-$H58-$I58-$J58-$K58)</f>
      </c>
      <c r="O58" s="7">
        <f>IF($B58="","",$C58+$D58+$L58-$E58-$H58-$I58-$J58-$K58-IF(OR($AN58="CA",$AN58="NJ"),0,$G58))</f>
      </c>
      <c r="P58" s="7">
        <f>IF($B58="","",IF('Inputs 2'!$C$18,0,ROUND(MAX(0,IF('Inputs 2'!$C$13,SUMPRODUCT(($AH58&gt;INDEX('Methodology &amp; Sources'!$B$29:$J$36,0,IF('Inputs 2'!$C$12="MFJ",1,IF('Inputs 2'!$C$12="HoH",7,4))))*($AH58-INDEX('Methodology &amp; Sources'!$B$29:$J$36,0,IF('Inputs 2'!$C$12="MFJ",1,IF('Inputs 2'!$C$12="HoH",7,4))))*INDEX('Methodology &amp; Sources'!$B$29:$J$36,0,IF('Inputs 2'!$C$12="MFJ",1,IF('Inputs 2'!$C$12="HoH",7,4))+2)),SUMPRODUCT(($AH58&gt;INDEX('Methodology &amp; Sources'!$B$19:$J$26,0,IF('Inputs 2'!$C$12="MFJ",1,IF('Inputs 2'!$C$12="HoH",7,4))))*($AH58-INDEX('Methodology &amp; Sources'!$B$19:$J$26,0,IF('Inputs 2'!$C$12="MFJ",1,IF('Inputs 2'!$C$12="HoH",7,4))))*INDEX('Methodology &amp; Sources'!$B$19:$J$26,0,IF('Inputs 2'!$C$12="MFJ",1,IF('Inputs 2'!$C$12="HoH",7,4))+2)))/'Inputs 2'!$C$8-$AO58/'Inputs 2'!$C$8)+$AR58+IF('Inputs 2'!$C$89="Aggregate",MAX(0,IF('Inputs 2'!$C$13,SUMPRODUCT((($AH58+$D58)&gt;INDEX('Methodology &amp; Sources'!$B$29:$J$36,0,IF('Inputs 2'!$C$12="MFJ",1,IF('Inputs 2'!$C$12="HoH",7,4))))*(($AH58+$D58)-INDEX('Methodology &amp; Sources'!$B$29:$J$36,0,IF('Inputs 2'!$C$12="MFJ",1,IF('Inputs 2'!$C$12="HoH",7,4))))*INDEX('Methodology &amp; Sources'!$B$29:$J$36,0,IF('Inputs 2'!$C$12="MFJ",1,IF('Inputs 2'!$C$12="HoH",7,4))+2)),SUMPRODUCT((($AH58+$D58)&gt;INDEX('Methodology &amp; Sources'!$B$19:$J$26,0,IF('Inputs 2'!$C$12="MFJ",1,IF('Inputs 2'!$C$12="HoH",7,4))))*(($AH58+$D58)-INDEX('Methodology &amp; Sources'!$B$19:$J$26,0,IF('Inputs 2'!$C$12="MFJ",1,IF('Inputs 2'!$C$12="HoH",7,4))))*INDEX('Methodology &amp; Sources'!$B$19:$J$26,0,IF('Inputs 2'!$C$12="MFJ",1,IF('Inputs 2'!$C$12="HoH",7,4))+2)))-IF('Inputs 2'!$C$13,SUMPRODUCT(($AH58&gt;INDEX('Methodology &amp; Sources'!$B$29:$J$36,0,IF('Inputs 2'!$C$12="MFJ",1,IF('Inputs 2'!$C$12="HoH",7,4))))*($AH58-INDEX('Methodology &amp; Sources'!$B$29:$J$36,0,IF('Inputs 2'!$C$12="MFJ",1,IF('Inputs 2'!$C$12="HoH",7,4))))*INDEX('Methodology &amp; Sources'!$B$29:$J$36,0,IF('Inputs 2'!$C$12="MFJ",1,IF('Inputs 2'!$C$12="HoH",7,4))+2)),SUMPRODUCT(($AH58&gt;INDEX('Methodology &amp; Sources'!$B$19:$J$26,0,IF('Inputs 2'!$C$12="MFJ",1,IF('Inputs 2'!$C$12="HoH",7,4))))*($AH58-INDEX('Methodology &amp; Sources'!$B$19:$J$26,0,IF('Inputs 2'!$C$12="MFJ",1,IF('Inputs 2'!$C$12="HoH",7,4))))*INDEX('Methodology &amp; Sources'!$B$19:$J$26,0,IF('Inputs 2'!$C$12="MFJ",1,IF('Inputs 2'!$C$12="HoH",7,4))+2)))),'Methodology &amp; Sources'!$C$10*$D58),2)))</f>
      </c>
      <c r="Q58" s="7">
        <f>IF($B58="","",ROUND('Methodology &amp; Sources'!$C$4*MIN($N58,MAX(0,'Methodology &amp; Sources'!$C$3-($AX58+$AB57-$AW58))),2))</f>
      </c>
      <c r="R58" s="7">
        <f>IF($B58="","",ROUND('Methodology &amp; Sources'!$C$5*$N58,2))</f>
      </c>
      <c r="S58" s="7">
        <f>IF($B58="","",ROUND('Methodology &amp; Sources'!$C$6*MAX(0,MIN($N58,$AG57+$N58-'Methodology &amp; Sources'!$C$7)),2))</f>
      </c>
      <c r="T58" s="7">
        <f>IF($B58="","",IF('Inputs 2'!$C$26,0,IF($AN58="CA",ROUND(IF($AI58&lt;=IF(($AS58+$AT58)&gt;=2,VLOOKUP($AN58,StateTables!$A$6:$AB$56,10,FALSE),VLOOKUP($AN58,StateTables!$A$6:$AB$56,9,FALSE)),0,MAX(0,SUMPRODUCT(($AJ58&gt;INDEX('Methodology &amp; Sources'!$B$39:$J$48,0,IF($AU58="Married",4,IF($AU58="Head of household",7,1))))*($AJ58-INDEX('Methodology &amp; Sources'!$B$39:$J$48,0,IF($AU58="Married",4,IF($AU58="Head of household",7,1))))*INDEX('Methodology &amp; Sources'!$B$39:$J$48,0,IF($AU58="Married",4,IF($AU58="Head of household",7,1))+2))-VLOOKUP($AN58,StateTables!$A$6:$AB$56,11,FALSE)*$AS58)/'Inputs 2'!$C$8)+'Inputs 2'!$C$25+VLOOKUP($AN58,StateTables!$A$6:$AB$56,13,FALSE)*$D58,2),IF(VLOOKUP($AN58,StateTables!$A$6:$AB$56,4,FALSE)="None",0,IF(ISNUMBER(SEARCH("MANUAL",VLOOKUP($AN58,StateTables!$A$6:$AB$56,5,FALSE))),'Inputs 2'!$C$28,ROUND(MAX(0,$BA58+$BB58)/'Inputs 2'!$C$8+'Inputs 2'!$C$25+$BC58,2))))))</f>
      </c>
      <c r="U58" s="7">
        <f>IF($B58="","",IF(VLOOKUP($AN58,StateTables!$A$6:$AB$56,24,FALSE)="flatq",IF(OR(MONTH($B58)=1,MONTH($B58)=4,MONTH($B58)=7,MONTH($B58)=10),VLOOKUP($AN58,StateTables!$A$6:$AB$56,25,FALSE),0),IF(VLOOKUP($AN58,StateTables!$A$6:$AB$56,24,FALSE)="dbl",MIN(ROUND(0.005*$N58,2),ROUND(0.6*52/'Inputs 2'!$C$8,2)),IF(OR(VLOOKUP($AN58,StateTables!$A$6:$AB$56,15,FALSE)="",VLOOKUP($AN58,StateTables!$A$6:$AB$56,15,FALSE)=0),0,ROUND(VLOOKUP($AN58,StateTables!$A$6:$AB$56,15,FALSE)*IF(OR(VLOOKUP($AN58,StateTables!$A$6:$AB$56,16,FALSE)="",VLOOKUP($AN58,StateTables!$A$6:$AB$56,16,FALSE)=0),$N58,MIN($N58,MAX(0,VLOOKUP($AN58,StateTables!$A$6:$AB$56,16,FALSE)-($AX58+$AB57-$AW58)))),2))))+IF(VLOOKUP($AN58,StateTables!$A$6:$AB$56,27,FALSE)="flatq",IF(OR(MONTH($B58)=1,MONTH($B58)=4,MONTH($B58)=7,MONTH($B58)=10),VLOOKUP($AN58,StateTables!$A$6:$AB$56,28,FALSE),0),IF(VLOOKUP($AN58,StateTables!$A$6:$AB$56,27,FALSE)="dbl",MIN(ROUND(0.005*$N58,2),ROUND(0.6*52/'Inputs 2'!$C$8,2)),IF(OR(VLOOKUP($AN58,StateTables!$A$6:$AB$56,18,FALSE)="",VLOOKUP($AN58,StateTables!$A$6:$AB$56,18,FALSE)=0),0,ROUND(VLOOKUP($AN58,StateTables!$A$6:$AB$56,18,FALSE)*IF(OR(VLOOKUP($AN58,StateTables!$A$6:$AB$56,19,FALSE)="",VLOOKUP($AN58,StateTables!$A$6:$AB$56,19,FALSE)=0),$N58,MIN($N58,MAX(0,VLOOKUP($AN58,StateTables!$A$6:$AB$56,19,FALSE)-($AX58+$AB57-$AW58)))),2)))))</f>
      </c>
      <c r="V58" s="7">
        <f>IF($B58="","",IF($AN58="NY",IF('Inputs 2'!$C$78,ROUND(SUMPRODUCT((MAX(0,($O58-$D58)*'Inputs 2'!$C$8-(IF($AU58="Married",5500,5000)+1000*$AS58))&gt;INDEX('Methodology &amp; Sources'!$B$184:$J$198,0,4))*(MAX(0,($O58-$D58)*'Inputs 2'!$C$8-(IF($AU58="Married",5500,5000)+1000*$AS58))-INDEX('Methodology &amp; Sources'!$B$184:$J$198,0,4))*INDEX('Methodology &amp; Sources'!$B$184:$J$198,0,4+2))/'Inputs 2'!$C$8+0.0425*$D58,2),0)+IF('Inputs 2'!$C$79="Resident",ROUND(0.1675*$T58,2),IF('Inputs 2'!$C$79="Nonresident",ROUND(0.005*MAX(0,($O58-$D58)-(IF($AU58="Married",7950,7400)+1000*$AS58)/'Inputs 2'!$C$8),2),0)),IF($AN58="PA",IF('Inputs 2'!$C$80="None",'Inputs 2'!$C$27+ROUND('Inputs 2'!$C$81*($C58+$D58),2),ROUND(IF('Inputs 2'!$C$80="Resident",IF($B58&lt;DATE(2027,7,1),0.03735,0.03735),IF($B58&lt;DATE(2027,7,1),0.03425,0.03425))*($C58+$D58),2)),IF($BF58=0,ROUND('Inputs 2'!$C$81*($C58+$D58),2),'Inputs 2'!$C$27+ROUND('Inputs 2'!$C$81*($C58+$D58),2)))))</f>
      </c>
      <c r="W58" s="7">
        <f>IF($B58="","",IF($BF58=0,0,$BP58))</f>
      </c>
      <c r="X58" s="7">
        <f>IF($B58="","",SUM($E58:$K58)+$P58+$Q58+$R58+$S58+$T58+$U58+$V58+$W58)</f>
      </c>
      <c r="Y58" s="22">
        <f>IF($B58="","",$C58+$D58-$X58)</f>
      </c>
      <c r="Z58" s="7">
        <f>IF($B58="","",$Z57+$C58+$D58)</f>
      </c>
      <c r="AA58" s="7">
        <f>IF($B58="","",$AA57+$Y58)</f>
      </c>
      <c r="AB58" s="7">
        <f>IF($B58="","",$AB57+MIN($N58,MAX(0,'Methodology &amp; Sources'!$C$3-($AX58+$AB57-$AW58))))</f>
      </c>
      <c r="AC58" s="7">
        <f>IF($B58="","",$AC57+$E58+$F58)</f>
      </c>
      <c r="AD58" s="3">
        <f>IF($B58="","",IF(AND($AB57&lt;'Methodology &amp; Sources'!$C$3,$AB58&gt;='Methodology &amp; Sources'!$C$3),"★ Social Security maxed on this check — from the next check your net rises by about $"&amp;TEXT(ROUND('Methodology &amp; Sources'!$C$4*$N58,2),"#,##0.00")&amp;". ","")&amp;IF(AND($AC57&lt;'Inputs 2'!$C$34,$AC58&gt;='Inputs 2'!$C$34),"★ 401(k) reaches the $"&amp;TEXT('Inputs 2'!$C$34,"#,##0")&amp;" cap on this check — deferrals stop and net pay rises. ","")&amp;IF(AND($AG57&lt;'Methodology &amp; Sources'!$C$7,$AG58&gt;='Methodology &amp; Sources'!$C$7),"★ Wages pass $200,000 — the 0.9% Additional Medicare Tax starts here. ","")&amp;IF(AND($BJ58&gt;0,$H58&gt;0,$BG57&lt;MIN($BJ58,'Methodology &amp; Sources'!$C$13),$BG57+$H58&gt;=MIN($BJ58,'Methodology &amp; Sources'!$C$13)),"★ Health FSA election is now fully deferred for the year. ",""))</f>
      </c>
      <c r="AE58" s="41" t="n"/>
      <c r="AF58" s="7">
        <f>IF(OR($B58="",$AE58=""),"",$AE58-$Y58)</f>
      </c>
      <c r="AG58" s="7">
        <f>IF($B58="","",$AG57+$N58)</f>
      </c>
      <c r="AH58" s="7">
        <f>IF($B58="","",MAX(0,($M58-$D58)*'Inputs 2'!$C$8+$AP58-$AQ58-IF('Inputs 2'!$C$13,0,IF('Inputs 2'!$C$12="MFJ",'Methodology &amp; Sources'!$C$8,'Methodology &amp; Sources'!$C$9))))</f>
      </c>
      <c r="AI58" s="7">
        <f>IF($B58="","",$O58*'Inputs 2'!$C$8)</f>
      </c>
      <c r="AJ58" s="7">
        <f>IF($B58="","",MAX(0,$AI58-VLOOKUP($AN58,StateTables!$A$6:$AB$56,12,FALSE)*$AT58-IF(($AS58+$AT58)&gt;=2,VLOOKUP($AN58,StateTables!$A$6:$AB$56,8,FALSE),VLOOKUP($AN58,StateTables!$A$6:$AB$56,7,FALSE))))</f>
      </c>
      <c r="AK58" s="7">
        <f>IF($B58="","",IFERROR(LOOKUP(2,1/(('Events 2'!$C$6:$C$17="Salary change")*('Events 2'!$B$6:$B$17&lt;=$B58)*('Events 2'!$B$6:$B$17&lt;&gt;"")),'Events 2'!$D$6:$D$17),IF('Inputs 2'!$C$4="Annual salary",'Inputs 2'!$C$5,'Inputs 2'!$C$6)))</f>
      </c>
      <c r="AL58">
        <f>IF($B58="","",IFERROR(LOOKUP(2,1/(('Events 2'!$C$6:$C$17="401(k) change")*('Events 2'!$B$6:$B$17&lt;=$B58)*('Events 2'!$B$6:$B$17&lt;&gt;"")),'Events 2'!$D$6:$D$17),'Inputs 2'!$C$30))</f>
      </c>
      <c r="AM58" s="7">
        <f>IF($B58="","",IFERROR(LOOKUP(2,1/(('Events 2'!$C$6:$C$17="401(k) change")*('Events 2'!$B$6:$B$17&lt;=$B58)*('Events 2'!$B$6:$B$17&lt;&gt;"")),'Events 2'!$E$6:$E$17),'Inputs 2'!$D$30))</f>
      </c>
      <c r="AN58">
        <f>IF($B58="","",IFERROR(LOOKUP(2,1/(('Events 2'!$C$6:$C$17="State move")*('Events 2'!$B$6:$B$17&lt;=$B58)*('Events 2'!$B$6:$B$17&lt;&gt;"")),'Events 2'!$D$6:$D$17),'Inputs 2'!$C$21))</f>
      </c>
      <c r="AO58" s="7">
        <f>IF($B58="","",IFERROR(LOOKUP(2,1/(('Events 2'!$C$6:$C$17="W-4 change")*('Events 2'!$B$6:$B$17&lt;=$B58)*('Events 2'!$B$6:$B$17&lt;&gt;"")),'Events 2'!$D$6:$D$17),'Inputs 2'!$C$14))</f>
      </c>
      <c r="AP58" s="7">
        <f>IF($B58="","",IFERROR(LOOKUP(2,1/(('Events 2'!$C$6:$C$17="W-4 change")*('Events 2'!$B$6:$B$17&lt;=$B58)*('Events 2'!$B$6:$B$17&lt;&gt;"")),'Events 2'!$E$6:$E$17),'Inputs 2'!$C$15))</f>
      </c>
      <c r="AQ58" s="7">
        <f>IF($B58="","",IFERROR(LOOKUP(2,1/(('Events 2'!$C$6:$C$17="W-4 change")*('Events 2'!$B$6:$B$17&lt;=$B58)*('Events 2'!$B$6:$B$17&lt;&gt;"")),'Events 2'!$F$6:$F$17),'Inputs 2'!$C$16))</f>
      </c>
      <c r="AR58" s="7">
        <f>IF($B58="","",IFERROR(LOOKUP(2,1/(('Events 2'!$C$6:$C$17="W-4 change")*('Events 2'!$B$6:$B$17&lt;=$B58)*('Events 2'!$B$6:$B$17&lt;&gt;"")),'Events 2'!$G$6:$G$17),'Inputs 2'!$C$17))</f>
      </c>
      <c r="AS58" s="6">
        <f>IF($B58="","",IFERROR(LOOKUP(2,1/((('Events 2'!$C$6:$C$17="State move")+('Events 2'!$C$6:$C$17="State cert change"))*('Events 2'!$B$6:$B$17&lt;=$B58)*('Events 2'!$B$6:$B$17&lt;&gt;"")),'Events 2'!$F$6:$F$17),'Inputs 2'!$C$23))</f>
      </c>
      <c r="AT58" s="6">
        <f>IF($B58="","",IFERROR(LOOKUP(2,1/((('Events 2'!$C$6:$C$17="State move")+('Events 2'!$C$6:$C$17="State cert change"))*('Events 2'!$B$6:$B$17&lt;=$B58)*('Events 2'!$B$6:$B$17&lt;&gt;"")),'Events 2'!$G$6:$G$17),'Inputs 2'!$C$24))</f>
      </c>
      <c r="AU58">
        <f>IF($B58="","",IFERROR(LOOKUP(2,1/(('Events 2'!$C$6:$C$17="State move")*('Events 2'!$B$6:$B$17&lt;=$B58)*('Events 2'!$B$6:$B$17&lt;&gt;"")),'Events 2'!$E$6:$E$17),'Inputs 2'!$C$22))</f>
      </c>
      <c r="AV58" s="6">
        <f>IF($B58="","",1+COUNTIFS('Events 2'!$C$6:$C$17,"Employer change",'Events 2'!$B$6:$B$17,"&lt;="&amp;$B58,'Events 2'!$B$6:$B$17,"&lt;&gt;"))</f>
      </c>
      <c r="AW58" s="7">
        <f>IF($B58="","",IF($AV58=1,'Inputs 2'!$C$49,IF(IFERROR(MATCH(IFERROR(LOOKUP(2,1/(('Events 2'!$C$6:$C$17="Employer change")*('Events 2'!$B$6:$B$17&lt;=$B58)*('Events 2'!$B$6:$B$17&lt;&gt;"")),'Events 2'!$B$6:$B$17),""),$B$6:$B$68,1),1)&lt;=1,'Inputs 2'!$C$49,INDEX($AB$6:$AB$68,MATCH(IFERROR(LOOKUP(2,1/(('Events 2'!$C$6:$C$17="Employer change")*('Events 2'!$B$6:$B$17&lt;=$B58)*('Events 2'!$B$6:$B$17&lt;&gt;"")),'Events 2'!$B$6:$B$17),""),$B$6:$B$68,1)-1))))</f>
      </c>
      <c r="AX58" s="7">
        <f>IF($B58="","",IF($AV58=1,'Inputs 2'!$C$49,IFERROR(LOOKUP(2,1/(('Events 2'!$C$6:$C$17="Employer change")*('Events 2'!$B$6:$B$17&lt;=$B58)*('Events 2'!$B$6:$B$17&lt;&gt;"")),'Events 2'!$D$6:$D$17),0)))</f>
      </c>
      <c r="AY58" s="7">
        <f>IF($B58="","",($O58-$D58)*'Inputs 2'!$C$8)</f>
      </c>
      <c r="AZ58" s="7">
        <f>IF($B58="","",IF($AN58="AL",MAX(0,$AY58-IF($AU58="Married",IF($AY58&lt;=25999,8500,MAX(5000,8500-175*CEILING(($AY58-25999)/500,1))),IF($AU58="Head of household",IF($AY58&lt;=25999,5200,MAX(2500,5200-135*CEILING(($AY58-25999)/500,1))),IF($AY58&lt;=25999,3000,MAX(2500,3000-25*CEILING(($AY58-25999)/500,1)))))-($P58-'Methodology &amp; Sources'!$C$10*$D58)*'Inputs 2'!$C$8-IF(OR($AU58="Married",$AU58="Head of household"),3000,1500)-$AT58*IF($AY58&lt;=50000,1000,IF($AY58&lt;=100000,500,300))),IF($AN58="AR",IF(MAX(0,$AY58-2470)&lt;97701,INT(MAX(0,$AY58-2470)/100)*100+50,MAX(0,$AY58-2470)),IF($AN58="DE",MAX(0,$AI58-3250),IF($AN58="HI",MAX(0,$AI58-1144*$AS58-4350),IF($AN58="KS",MAX(0,$AI58-(9160*IF($AU58="Married",2,1)+2320*$AT58+IF($AU58="Head of household",2320,0))),IF($AN58="MD",MAX(0,$AI58-3400-3200*$AS58),IF($AN58="MN",MAX(0,$AY58-5300*$AS58),IF($AN58="MO",MAX(0,$AI58-IF($AU58="Head of household",24150,IF($AU58="Married",IF('Inputs 2'!$C$83,16100,32200),16100))),IF($AN58="MT",$AY58,IF($AN58="ND",($C58+$L58)*'Inputs 2'!$C$8,IF($AN58="NE",MAX(0,$AY58-2440*$AS58),IF($AN58="NJ",MAX(0,$AY58-1000*$AS58),IF($AN58="NY",MAX(0,$AY58-(IF($AU58="Married",7950,7400)+1000*$AS58)),IF($AN58="OH",MAX(0,$AY58-650*$AS58),IF($AN58="OK",MAX(0,$AY58-1000*$AS58),IF($AN58="RI",MAX(0,$AI58-1000*$AS58),IF($AN58="SC",MAX(0,$AI58-5000*$AS58-IF($AS58=0,0,MIN(0.1*$AI58,7500))),IF($AN58="VA",MAX(0,$AI58-IF($AU58="Married",17500,8750)-930*$AS58-800*$AT58),IF($AN58="VT",MAX(0,$AI58-5400*$AS58),IF($AN58="WI",MAX(0,$AI58-MAX(0,IF($AU58="Married",9461-0.2*MAX(0,$AI58-25727),6702-0.12*MAX(0,$AI58-17780)))-400*$AS58),IF($AN58="WV",MAX(0,$AI58-2000*$AS58),$AI58))))))))))))))))))))))</f>
      </c>
      <c r="BA58" s="7">
        <f>IF($B58="","",IF($BW58&lt;&gt;"",$BW58,IF($BX58&lt;&gt;"",$BX58,IF($BY58&lt;&gt;"",$BY58,0))))</f>
      </c>
      <c r="BB58" s="7">
        <f>IF($B58="","",IF($AN58="AR",-29*$AS58,IF($AN58="DE",-110*$AS58,IF($AN58="MD",$AZ58*'Inputs 2'!$C$74,IF($AN58="AZ",'Inputs 2'!$C$82*($M58-$D58)*'Inputs 2'!$C$8,IF($AN58="CO",0.044*MAX(0,$AY58-IF($AU58="Married",10000,5000)),IF($AN58="IA",MAX(0,0.038*MAX(0,$AY58-IF($AU58="Head of household",19500,IF($AU58="Married",26000,13000)))-40*$AS58),IF($AN58="ID",0.053*MAX(0,$AY58-IF($AU58="Married",32000,16094)),IF($AN58="IL",0.0495*MAX(0,$AY58-(2925*$AS58+1000*$AT58)),IF($AN58="IN",(0.0295+'Inputs 2'!$C$76)*MAX(0,$AY58-(1000*$AS58+1500*$AT58+3000*'Inputs 2'!$C$86)),IF($AN58="KY",0.035*MAX(0,$AI58-3360),IF($AN58="LA",IF('Inputs 2'!$C$84="0",0.0309*$AI58,0.0309*MAX(0,$AI58-IF('Inputs 2'!$C$84="2",25750,12875))),IF($AN58="MA",0.05*MIN(MAX(0,$AY58-MIN(($BD57+$Q58+$R58+$S58),2000)-IF($AS58=0,0,IF($AS58=1,4400,1000*$AS58+3400))),1107750)+0.09*MAX(0,MAX(0,$AY58-MIN(($BD57+$Q58+$R58+$S58),2000)-IF($AS58=0,0,IF($AS58=1,4400,1000*$AS58+3400)))-1107750)-IF($AU58="Head of household",120,0)-110*'Inputs 2'!$C$75,IF($AN58="MI",0.0425*MAX(0,$AY58-5900*$AS58),IF($AN58="MS",0.04*MAX(0,$AI58-IF($AU58="Head of household",3400,IF($AU58="Married",4600,2300))-'Inputs 2'!$C$85-10000),IF($AN58="OR",IF(OR($AU58="Married",AND($AU58="Single",$AS58&gt;=3)),SUMPRODUCT((MAX(0,$AY58-MIN(($P58-'Methodology &amp; Sources'!$C$10*$D58)*'Inputs 2'!$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Sources'!$B$211:$J$214,0,4))*(MAX(0,$AY58-MIN(($P58-'Methodology &amp; Sources'!$C$10*$D58)*'Inputs 2'!$C$8,IF(OR($AU58="Married",AND($AU58="Single",$AS58&gt;=3)),IF($AY58&lt;250000,8750,IF($AY58&lt;260000,7000,IF($AY58&lt;270000,5250,IF($AY58&lt;280000,3500,IF($AY58&lt;290000,1750,0))))),IF($AY58&lt;125000,8750,IF($AY58&lt;130000,7000,IF($AY58&lt;135000,5250,IF($AY58&lt;140000,3500,IF($AY58&lt;145000,1750,0)))))))-IF(OR($AU58="Married",AND($AU58="Single",$AS58&gt;=3)),5820,2910))-INDEX('Methodology &amp; Sources'!$B$211:$J$214,0,4))*INDEX('Methodology &amp; Sources'!$B$211:$J$214,0,4+2)),SUMPRODUCT((MAX(0,$AY58-MIN(($P58-'Methodology &amp; Sources'!$C$10*$D58)*'Inputs 2'!$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Sources'!$B$211:$J$214,0,1))*(MAX(0,$AY58-MIN(($P58-'Methodology &amp; Sources'!$C$10*$D58)*'Inputs 2'!$C$8,IF(OR($AU58="Married",AND($AU58="Single",$AS58&gt;=3)),IF($AY58&lt;250000,8750,IF($AY58&lt;260000,7000,IF($AY58&lt;270000,5250,IF($AY58&lt;280000,3500,IF($AY58&lt;290000,1750,0))))),IF($AY58&lt;125000,8750,IF($AY58&lt;130000,7000,IF($AY58&lt;135000,5250,IF($AY58&lt;140000,3500,IF($AY58&lt;145000,1750,0)))))))-IF(OR($AU58="Married",AND($AU58="Single",$AS58&gt;=3)),5820,2910))-INDEX('Methodology &amp; Sources'!$B$211:$J$214,0,1))*INDEX('Methodology &amp; Sources'!$B$211:$J$214,0,1+2)))+263-263*IF(IF($AU58="Married",$AY58&gt;200000,$AY58&gt;100000),0,$AS58),IF($AN58="PA",0.0307*(($O58+$E58+$G58)*'Inputs 2'!$C$8),IF($AN58="NY",IF($AU58="Married",IF($AZ58&gt;=2155350,0,IF($AZ58&gt;=1077550,0.48,IF($AZ58&gt;=373200,1.21,IF($AZ58&gt;=323200,0.21,IF($AZ58&gt;=211550,-0.19,IF($AZ58&gt;=157650,-2.8,IF($AZ58&gt;=107650,-0.8,IF($AZ58&gt;=96800,0.05,IF($AZ58&gt;=80650,-0.1,IF($AZ58&gt;=13900,0.4,IF($AZ58&gt;=11700,-0.3,IF($AZ58&gt;=8500,0.5,0)))))))))))),IF($AZ58&gt;=1077550,0,IF($AZ58&gt;=265400,4.29,IF($AZ58&gt;=215400,2.29,IF($AZ58&gt;=157650,2.29,IF($AZ58&gt;=107650,0.29,IF($AZ58&gt;=96800,0.05,IF($AZ58&gt;=80650,-0.1,IF($AZ58&gt;=13900,0.4,IF($AZ58&gt;=11700,-0.3,IF($AZ58&gt;=8500,0.5,0))))))))))),0))))))))))))))))))</f>
      </c>
      <c r="BC58" s="7">
        <f>IF($B58="","",IF($AN58="AL",0.05*$D58,IF($AN58="AR",0.039*$D58,IF($AN58="ID",0.053*$D58,IF($AN58="IN",(0.0295+'Inputs 2'!$C$76)*$D58,IF($AN58="KS",0.05*$D58,IF($AN58="MA",0.09*MIN($D58,MAX(0,MAX(0,$AY58-MIN(($BD57+$Q58+$R58+$S58),2000)-IF($AS58=0,0,IF($AS58=1,4400,1000*$AS58+3400)))+$D58-1107750))+0.05*($D58-MIN($D58,MAX(0,MAX(0,$AY58-MIN(($BD57+$Q58+$R58+$S58),2000)-IF($AS58=0,0,IF($AS58=1,4400,1000*$AS58+3400)))+$D58-1107750))),IF($AN58="MD",(0.065+'Inputs 2'!$C$74)*$D58,IF($AN58="MI",0.0425*$D58,IF($AN58="MN",0.0625*$D58,IF($AN58="MO",0.047*$D58,IF($AN58="MT",0.05*$D58,IF($AN58="ND",0.015*$D58,IF($AN58="NE",0.035*$D58,IF($AN58="NJ",IF('Inputs 2'!$C$77="B",SUMPRODUCT(($D58*'Inputs 2'!$C$8&gt;INDEX('Methodology &amp; Sources'!$B$155:$J$162,0,4))*($D58*'Inputs 2'!$C$8-INDEX('Methodology &amp; Sources'!$B$155:$J$162,0,4))*INDEX('Methodology &amp; Sources'!$B$155:$J$162,0,4+2)),IF('Inputs 2'!$C$77="C",SUMPRODUCT(($D58*'Inputs 2'!$C$8&gt;INDEX('Methodology &amp; Sources'!$B$155:$J$162,0,7))*($D58*'Inputs 2'!$C$8-INDEX('Methodology &amp; Sources'!$B$155:$J$162,0,7))*INDEX('Methodology &amp; Sources'!$B$155:$J$162,0,7+2)),IF('Inputs 2'!$C$77="D",SUMPRODUCT(($D58*'Inputs 2'!$C$8&gt;INDEX('Methodology &amp; Sources'!$B$167:$J$179,0,1))*($D58*'Inputs 2'!$C$8-INDEX('Methodology &amp; Sources'!$B$167:$J$179,0,1))*INDEX('Methodology &amp; Sources'!$B$167:$J$179,0,1+2)),IF('Inputs 2'!$C$77="E",SUMPRODUCT(($D58*'Inputs 2'!$C$8&gt;INDEX('Methodology &amp; Sources'!$B$167:$J$179,0,4))*($D58*'Inputs 2'!$C$8-INDEX('Methodology &amp; Sources'!$B$167:$J$179,0,4))*INDEX('Methodology &amp; Sources'!$B$167:$J$179,0,4+2)),SUMPRODUCT(($D58*'Inputs 2'!$C$8&gt;INDEX('Methodology &amp; Sources'!$B$155:$J$162,0,1))*($D58*'Inputs 2'!$C$8-INDEX('Methodology &amp; Sources'!$B$155:$J$162,0,1))*INDEX('Methodology &amp; Sources'!$B$155:$J$162,0,1+2))))))/'Inputs 2'!$C$8,IF($AN58="NY",0.117*$D58,IF($AN58="OH",0.0275*$D58,IF($AN58="OK",0.045*$D58,IF($AN58="OR",0.08*$D58,IF($AN58="WI",IF($AY58&lt;12760,0.0354,IF($AY58&lt;25520,0.0465,IF($AY58&lt;280950,0.053,0.0765)))*$D58,0))))))))))))))))))))</f>
      </c>
      <c r="BD58" s="7">
        <f>IF($B58="","",$BD57+$Q58+$R58+$S58)</f>
      </c>
      <c r="BE58" s="6">
        <f>IF($B58="",$BE57,$BE57+$BF58)</f>
      </c>
      <c r="BF58" s="6">
        <f>IF($B58="","",IF(AND(IF(YEAR(IF('Inputs 2'!$C$7="Weekly",'Inputs 2'!$C$9+7*(($BE57+1)-1),IF('Inputs 2'!$C$7="Biweekly",'Inputs 2'!$C$9+14*(($BE57+1)-1),IF('Inputs 2'!$C$7="Semimonthly",DATE(YEAR('Inputs 2'!$C$9),MONTH('Inputs 2'!$C$9)+INT((($BE57+1)-1)/2),MIN(DAY('Inputs 2'!$C$9),DAY(EOMONTH(DATE(YEAR('Inputs 2'!$C$9),MONTH('Inputs 2'!$C$9)+INT((($BE57+1)-1)/2),1),0))))+IF(MOD(($BE57+1)-1,2)=1,15,0),EDATE('Inputs 2'!$C$9,($BE57+1)-1)))))&lt;&gt;'Inputs 2'!$C$10,"",IF('Inputs 2'!$C$7="Weekly",'Inputs 2'!$C$9+7*(($BE57+1)-1),IF('Inputs 2'!$C$7="Biweekly",'Inputs 2'!$C$9+14*(($BE57+1)-1),IF('Inputs 2'!$C$7="Semimonthly",DATE(YEAR('Inputs 2'!$C$9),MONTH('Inputs 2'!$C$9)+INT((($BE57+1)-1)/2),MIN(DAY('Inputs 2'!$C$9),DAY(EOMONTH(DATE(YEAR('Inputs 2'!$C$9),MONTH('Inputs 2'!$C$9)+INT((($BE57+1)-1)/2),1),0))))+IF(MOD(($BE57+1)-1,2)=1,15,0),EDATE('Inputs 2'!$C$9,($BE57+1)-1)))))&lt;&gt;"",$B58=IF(YEAR(IF('Inputs 2'!$C$7="Weekly",'Inputs 2'!$C$9+7*(($BE57+1)-1),IF('Inputs 2'!$C$7="Biweekly",'Inputs 2'!$C$9+14*(($BE57+1)-1),IF('Inputs 2'!$C$7="Semimonthly",DATE(YEAR('Inputs 2'!$C$9),MONTH('Inputs 2'!$C$9)+INT((($BE57+1)-1)/2),MIN(DAY('Inputs 2'!$C$9),DAY(EOMONTH(DATE(YEAR('Inputs 2'!$C$9),MONTH('Inputs 2'!$C$9)+INT((($BE57+1)-1)/2),1),0))))+IF(MOD(($BE57+1)-1,2)=1,15,0),EDATE('Inputs 2'!$C$9,($BE57+1)-1)))))&lt;&gt;'Inputs 2'!$C$10,"",IF('Inputs 2'!$C$7="Weekly",'Inputs 2'!$C$9+7*(($BE57+1)-1),IF('Inputs 2'!$C$7="Biweekly",'Inputs 2'!$C$9+14*(($BE57+1)-1),IF('Inputs 2'!$C$7="Semimonthly",DATE(YEAR('Inputs 2'!$C$9),MONTH('Inputs 2'!$C$9)+INT((($BE57+1)-1)/2),MIN(DAY('Inputs 2'!$C$9),DAY(EOMONTH(DATE(YEAR('Inputs 2'!$C$9),MONTH('Inputs 2'!$C$9)+INT((($BE57+1)-1)/2),1),0))))+IF(MOD(($BE57+1)-1,2)=1,15,0),EDATE('Inputs 2'!$C$9,($BE57+1)-1)))))),1,0))</f>
      </c>
      <c r="BG58" s="7">
        <f>IF($B58="","",$BG57+$H58)</f>
      </c>
      <c r="BH58" s="7">
        <f>IF($B58="","",$BH57+$I58)</f>
      </c>
      <c r="BI58" s="7">
        <f>IF($B58="","",$BI57+$G58)</f>
      </c>
      <c r="BJ58" s="7">
        <f>IF($B58="","",IFERROR(LOOKUP(2,1/(((('Events 2'!$C$6:$C$17="Deduction start"))*('Events 2'!$D$6:$D$17="Health FSA"))*('Events 2'!$B$6:$B$17&lt;=$B58)*('Events 2'!$B$6:$B$17&lt;&gt;"")),'Events 2'!$E$6:$E$17),'Inputs 2'!$D$38))</f>
      </c>
      <c r="BK58" s="7">
        <f>IF($B58="","",IFERROR(LOOKUP(2,1/(((('Events 2'!$C$6:$C$17="Deduction start"))*('Events 2'!$D$6:$D$17="Dependent-care FSA"))*('Events 2'!$B$6:$B$17&lt;=$B58)*('Events 2'!$B$6:$B$17&lt;&gt;"")),'Events 2'!$E$6:$E$17),'Inputs 2'!$D$39))</f>
      </c>
      <c r="BL58" s="7">
        <f>IF($B58="","",IFERROR(LOOKUP(2,1/(((('Events 2'!$C$6:$C$17="Deduction start")+('Events 2'!$C$6:$C$17="Deduction stop"))*('Events 2'!$D$6:$D$17="HSA"))*('Events 2'!$B$6:$B$17&lt;=$B58)*('Events 2'!$B$6:$B$17&lt;&gt;"")),'Events 2'!$I$6:$I$17),'Inputs 2'!$D$35))</f>
      </c>
      <c r="BM58" s="7">
        <f>IF($B58="","",IFERROR(LOOKUP(2,1/(((('Events 2'!$C$6:$C$17="Deduction start")+('Events 2'!$C$6:$C$17="Deduction stop"))*('Events 2'!$D$6:$D$17="Premiums"))*('Events 2'!$B$6:$B$17&lt;=$B58)*('Events 2'!$B$6:$B$17&lt;&gt;"")),'Events 2'!$I$6:$I$17),'Inputs 2'!$D$40+'Inputs 2'!$D$41+'Inputs 2'!$D$42))</f>
      </c>
      <c r="BN58" s="7">
        <f>IF($B58="","",IFERROR(LOOKUP(2,1/(((('Events 2'!$C$6:$C$17="Deduction start")+('Events 2'!$C$6:$C$17="Deduction stop"))*('Events 2'!$D$6:$D$17="Commuter"))*('Events 2'!$B$6:$B$17&lt;=$B58)*('Events 2'!$B$6:$B$17&lt;&gt;"")),'Events 2'!$I$6:$I$17),'Inputs 2'!$D$43))</f>
      </c>
      <c r="BO58" s="7">
        <f>IF($B58="","",IFERROR(LOOKUP(2,1/(((('Events 2'!$C$6:$C$17="Deduction start")+('Events 2'!$C$6:$C$17="Deduction stop"))*('Events 2'!$D$6:$D$17="Other pre-tax"))*('Events 2'!$B$6:$B$17&lt;=$B58)*('Events 2'!$B$6:$B$17&lt;&gt;"")),'Events 2'!$I$6:$I$17),'Inputs 2'!$D$44))</f>
      </c>
      <c r="BP58" s="7">
        <f>IF($B58="","",IFERROR(LOOKUP(2,1/(((('Events 2'!$C$6:$C$17="Deduction start")+('Events 2'!$C$6:$C$17="Deduction stop"))*('Events 2'!$D$6:$D$17="Other post-tax"))*('Events 2'!$B$6:$B$17&lt;=$B58)*('Events 2'!$B$6:$B$17&lt;&gt;"")),'Events 2'!$I$6:$I$17),'Inputs 2'!$D$45))</f>
      </c>
      <c r="BQ58" s="6">
        <f>IF($B58="","",IFERROR(LOOKUP(2,1/(((('Events 2'!$C$6:$C$17="Deduction start")+('Events 2'!$C$6:$C$17="Deduction stop"))*('Events 2'!$D$6:$D$17="Health FSA"))*('Events 2'!$B$6:$B$17&lt;=$B58)*('Events 2'!$B$6:$B$17&lt;&gt;"")),'Events 2'!$J$6:$J$17),0))</f>
      </c>
      <c r="BR58" s="6">
        <f>IF($B58="","",IFERROR(LOOKUP(2,1/(((('Events 2'!$C$6:$C$17="Deduction start")+('Events 2'!$C$6:$C$17="Deduction stop"))*('Events 2'!$D$6:$D$17="Dependent-care FSA"))*('Events 2'!$B$6:$B$17&lt;=$B58)*('Events 2'!$B$6:$B$17&lt;&gt;"")),'Events 2'!$J$6:$J$17),0))</f>
      </c>
      <c r="BS58" s="6">
        <f>IF($B58="","",IF(SUMPRODUCT(('Events 2'!$C$6:$C$17="Deduction start")*('Events 2'!$B$6:$B$17&lt;=$B58)*('Events 2'!$B$6:$B$17&lt;&gt;"")*('Events 2'!$D$6:$D$17="Health FSA"))&gt;0,1,0))</f>
      </c>
      <c r="BT58" s="6">
        <f>IF($B58="","",IF(SUMPRODUCT(('Events 2'!$C$6:$C$17="Deduction start")*('Events 2'!$B$6:$B$17&lt;=$B58)*('Events 2'!$B$6:$B$17&lt;&gt;"")*('Events 2'!$D$6:$D$17="Dependent-care FSA"))&gt;0,1,0))</f>
      </c>
      <c r="BU58" s="24">
        <f>IF($B58="","",IF('Inputs 2'!$C$13,SUMPRODUCT(($AH58&gt;=INDEX('Methodology &amp; Sources'!$B$29:$J$36,0,IF('Inputs 2'!$C$12="MFJ",1,IF('Inputs 2'!$C$12="HoH",7,4))))*INDEX('Methodology &amp; Sources'!$B$29:$J$36,0,IF('Inputs 2'!$C$12="MFJ",1,IF('Inputs 2'!$C$12="HoH",7,4))+2)),SUMPRODUCT(($AH58&gt;=INDEX('Methodology &amp; Sources'!$B$19:$J$26,0,IF('Inputs 2'!$C$12="MFJ",1,IF('Inputs 2'!$C$12="HoH",7,4))))*INDEX('Methodology &amp; Sources'!$B$19:$J$26,0,IF('Inputs 2'!$C$12="MFJ",1,IF('Inputs 2'!$C$12="HoH",7,4))+2))))</f>
      </c>
      <c r="BV58" s="24">
        <f>IF($B58="","",IF($BZ58&lt;&gt;"",$BZ58,IF($CA58&lt;&gt;"",$CA58,IF($CB58&lt;&gt;"",$CB58,IF($CC58&lt;&gt;"",$CC58,0)))))</f>
      </c>
      <c r="BW58" s="7">
        <f>IF($B58="","",IF($AN58="MD",IF(OR($AU58="Married",$AU58="Head of household"),SUMPRODUCT(($AZ58&gt;INDEX('Methodology &amp; Sources'!$B$114:$J$120,0,1))*($AZ58-INDEX('Methodology &amp; Sources'!$B$114:$J$120,0,1))*INDEX('Methodology &amp; Sources'!$B$114:$J$120,0,1+2)),SUMPRODUCT(($AZ58&gt;INDEX('Methodology &amp; Sources'!$B$103:$J$109,0,7))*($AZ58-INDEX('Methodology &amp; Sources'!$B$103:$J$109,0,7))*INDEX('Methodology &amp; Sources'!$B$103:$J$109,0,7+2))),IF($AN58="MO",SUMPRODUCT(($AZ58&gt;INDEX('Methodology &amp; Sources'!$B$125:$J$132,0,1))*($AZ58-INDEX('Methodology &amp; Sources'!$B$125:$J$132,0,1))*INDEX('Methodology &amp; Sources'!$B$125:$J$132,0,1+2)),IF($AN58="MT",IF($AU58="Head of household",SUMPRODUCT(($AZ58&gt;INDEX('Methodology &amp; Sources'!$B$137:$J$139,0,1))*($AZ58-INDEX('Methodology &amp; Sources'!$B$137:$J$139,0,1))*INDEX('Methodology &amp; Sources'!$B$137:$J$139,0,1+2)),IF($AU58="Married",SUMPRODUCT(($AZ58&gt;INDEX('Methodology &amp; Sources'!$B$125:$J$132,0,7))*($AZ58-INDEX('Methodology &amp; Sources'!$B$125:$J$132,0,7))*INDEX('Methodology &amp; Sources'!$B$125:$J$132,0,7+2)),SUMPRODUCT(($AZ58&gt;INDEX('Methodology &amp; Sources'!$B$125:$J$132,0,4))*($AZ58-INDEX('Methodology &amp; Sources'!$B$125:$J$132,0,4))*INDEX('Methodology &amp; Sources'!$B$125:$J$132,0,4+2)))),IF($AN58="ND",IF($AU58="Head of household",SUMPRODUCT(($AZ58&gt;INDEX('Methodology &amp; Sources'!$B$144:$J$150,0,1))*($AZ58-INDEX('Methodology &amp; Sources'!$B$144:$J$150,0,1))*INDEX('Methodology &amp; Sources'!$B$144:$J$150,0,1+2)),IF($AU58="Married",SUMPRODUCT(($AZ58&gt;INDEX('Methodology &amp; Sources'!$B$137:$J$139,0,7))*($AZ58-INDEX('Methodology &amp; Sources'!$B$137:$J$139,0,7))*INDEX('Methodology &amp; Sources'!$B$137:$J$139,0,7+2)),SUMPRODUCT(($AZ58&gt;INDEX('Methodology &amp; Sources'!$B$137:$J$139,0,4))*($AZ58-INDEX('Methodology &amp; Sources'!$B$137:$J$139,0,4))*INDEX('Methodology &amp; Sources'!$B$137:$J$139,0,4+2)))),IF($AN58="NJ",IF('Inputs 2'!$C$77="B",SUMPRODUCT(($AZ58&gt;INDEX('Methodology &amp; Sources'!$B$155:$J$162,0,4))*($AZ58-INDEX('Methodology &amp; Sources'!$B$155:$J$162,0,4))*INDEX('Methodology &amp; Sources'!$B$155:$J$162,0,4+2)),IF('Inputs 2'!$C$77="C",SUMPRODUCT(($AZ58&gt;INDEX('Methodology &amp; Sources'!$B$155:$J$162,0,7))*($AZ58-INDEX('Methodology &amp; Sources'!$B$155:$J$162,0,7))*INDEX('Methodology &amp; Sources'!$B$155:$J$162,0,7+2)),IF('Inputs 2'!$C$77="D",SUMPRODUCT(($AZ58&gt;INDEX('Methodology &amp; Sources'!$B$167:$J$179,0,1))*($AZ58-INDEX('Methodology &amp; Sources'!$B$167:$J$179,0,1))*INDEX('Methodology &amp; Sources'!$B$167:$J$179,0,1+2)),IF('Inputs 2'!$C$77="E",SUMPRODUCT(($AZ58&gt;INDEX('Methodology &amp; Sources'!$B$167:$J$179,0,4))*($AZ58-INDEX('Methodology &amp; Sources'!$B$167:$J$179,0,4))*INDEX('Methodology &amp; Sources'!$B$167:$J$179,0,4+2)),SUMPRODUCT(($AZ58&gt;INDEX('Methodology &amp; Sources'!$B$155:$J$162,0,1))*($AZ58-INDEX('Methodology &amp; Sources'!$B$155:$J$162,0,1))*INDEX('Methodology &amp; Sources'!$B$155:$J$162,0,1+2)))))),IF($AN58="NY",IF($AU58="Married",IF($AZ58&gt;=2155350,$AZ58*IF($AZ58&gt;25000000,0.117,IF($AZ58&gt;5000000,0.111,0.1045)),SUMPRODUCT(($AZ58&gt;INDEX('Methodology &amp; Sources'!$B$184:$J$198,0,1))*($AZ58-INDEX('Methodology &amp; Sources'!$B$184:$J$198,0,1))*INDEX('Methodology &amp; Sources'!$B$184:$J$198,0,1+2))),IF($AZ58&gt;=1077550,$AZ58*IF($AZ58&gt;25000000,0.117,IF($AZ58&gt;5000000,0.111,0.1045)),SUMPRODUCT(($AZ58&gt;INDEX('Methodology &amp; Sources'!$B$167:$J$179,0,7))*($AZ58-INDEX('Methodology &amp; Sources'!$B$167:$J$179,0,7))*INDEX('Methodology &amp; Sources'!$B$167:$J$179,0,7+2)))),"")))))))</f>
      </c>
      <c r="BX58" s="7">
        <f>IF($B58="","",IF($AN58="AL",IF(OR($AU58="Married",$AU58="Head of household"),SUMPRODUCT(($AZ58&gt;INDEX('Methodology &amp; Sources'!$B$82:$J$86,0,4))*($AZ58-INDEX('Methodology &amp; Sources'!$B$82:$J$86,0,4))*INDEX('Methodology &amp; Sources'!$B$82:$J$86,0,4+2)),SUMPRODUCT(($AZ58&gt;INDEX('Methodology &amp; Sources'!$B$82:$J$86,0,1))*($AZ58-INDEX('Methodology &amp; Sources'!$B$82:$J$86,0,1))*INDEX('Methodology &amp; Sources'!$B$82:$J$86,0,1+2))),IF($AN58="KS",IF($AU58="Married",SUMPRODUCT(($AZ58&gt;INDEX('Methodology &amp; Sources'!$B$103:$J$109,0,4))*($AZ58-INDEX('Methodology &amp; Sources'!$B$103:$J$109,0,4))*INDEX('Methodology &amp; Sources'!$B$103:$J$109,0,4+2)),SUMPRODUCT(($AZ58&gt;INDEX('Methodology &amp; Sources'!$B$103:$J$109,0,1))*($AZ58-INDEX('Methodology &amp; Sources'!$B$103:$J$109,0,1))*INDEX('Methodology &amp; Sources'!$B$103:$J$109,0,1+2))),IF($AN58="MN",IF($AU58="Married",SUMPRODUCT(($AZ58&gt;INDEX('Methodology &amp; Sources'!$B$114:$J$120,0,7))*($AZ58-INDEX('Methodology &amp; Sources'!$B$114:$J$120,0,7))*INDEX('Methodology &amp; Sources'!$B$114:$J$120,0,7+2)),SUMPRODUCT(($AZ58&gt;INDEX('Methodology &amp; Sources'!$B$114:$J$120,0,4))*($AZ58-INDEX('Methodology &amp; Sources'!$B$114:$J$120,0,4))*INDEX('Methodology &amp; Sources'!$B$114:$J$120,0,4+2))),IF($AN58="NE",MAX(IF($AU58="Married",SUMPRODUCT(($AZ58&gt;INDEX('Methodology &amp; Sources'!$B$144:$J$150,0,7))*($AZ58-INDEX('Methodology &amp; Sources'!$B$144:$J$150,0,7))*INDEX('Methodology &amp; Sources'!$B$144:$J$150,0,7+2)),SUMPRODUCT(($AZ58&gt;INDEX('Methodology &amp; Sources'!$B$144:$J$150,0,4))*($AZ58-INDEX('Methodology &amp; Sources'!$B$144:$J$150,0,4))*INDEX('Methodology &amp; Sources'!$B$144:$J$150,0,4+2))),0.015*$AZ58),IF($AN58="OH",IF($B58&gt;=DATE(2027,8,1),SUMPRODUCT(($AZ58&gt;INDEX('Methodology &amp; Sources'!$B$203:$J$206,0,1))*($AZ58-INDEX('Methodology &amp; Sources'!$B$203:$J$206,0,1))*INDEX('Methodology &amp; Sources'!$B$203:$J$206,0,1+2)),SUMPRODUCT(($AZ58&gt;INDEX('Methodology &amp; Sources'!$B$184:$J$198,0,7))*($AZ58-INDEX('Methodology &amp; Sources'!$B$184:$J$198,0,7))*INDEX('Methodology &amp; Sources'!$B$184:$J$198,0,7+2))),IF($AN58="OK",IF($AU58="Married",SUMPRODUCT(($AZ58&gt;INDEX('Methodology &amp; Sources'!$B$203:$J$206,0,7))*($AZ58-INDEX('Methodology &amp; Sources'!$B$203:$J$206,0,7))*INDEX('Methodology &amp; Sources'!$B$203:$J$206,0,7+2)),SUMPRODUCT(($AZ58&gt;INDEX('Methodology &amp; Sources'!$B$203:$J$206,0,4))*($AZ58-INDEX('Methodology &amp; Sources'!$B$203:$J$206,0,4))*INDEX('Methodology &amp; Sources'!$B$203:$J$206,0,4+2))),IF($AN58="RI",SUMPRODUCT(($AZ58&gt;INDEX('Methodology &amp; Sources'!$B$211:$J$214,0,7))*($AZ58-INDEX('Methodology &amp; Sources'!$B$211:$J$214,0,7))*INDEX('Methodology &amp; Sources'!$B$211:$J$214,0,7+2)),IF($AN58="VT",IF($AU58="Married",SUMPRODUCT(($AZ58&gt;INDEX('Methodology &amp; Sources'!$B$228:$J$232,0,1))*($AZ58-INDEX('Methodology &amp; Sources'!$B$228:$J$232,0,1))*INDEX('Methodology &amp; Sources'!$B$228:$J$232,0,1+2)),SUMPRODUCT(($AZ58&gt;INDEX('Methodology &amp; Sources'!$B$219:$J$223,0,7))*($AZ58-INDEX('Methodology &amp; Sources'!$B$219:$J$223,0,7))*INDEX('Methodology &amp; Sources'!$B$219:$J$223,0,7+2))),IF($AN58="WV",IF($AU58="Married",SUMPRODUCT(($AZ58&gt;INDEX('Methodology &amp; Sources'!$B$237:$J$241,0,7))*($AZ58-INDEX('Methodology &amp; Sources'!$B$237:$J$241,0,7))*INDEX('Methodology &amp; Sources'!$B$237:$J$241,0,7+2)),SUMPRODUCT(($AZ58&gt;INDEX('Methodology &amp; Sources'!$B$228:$J$232,0,7))*($AZ58-INDEX('Methodology &amp; Sources'!$B$228:$J$232,0,7))*INDEX('Methodology &amp; Sources'!$B$228:$J$232,0,7+2))),""))))))))))</f>
      </c>
      <c r="BY58" s="7">
        <f>IF($B58="","",IF($AN58="AR",SUMPRODUCT(($AZ58&gt;INDEX('Methodology &amp; Sources'!$B$82:$J$86,0,7))*($AZ58-INDEX('Methodology &amp; Sources'!$B$82:$J$86,0,7))*INDEX('Methodology &amp; Sources'!$B$82:$J$86,0,7+2)),IF($AN58="DE",SUMPRODUCT(($AZ58&gt;INDEX('Methodology &amp; Sources'!$B$91:$J$98,0,1))*($AZ58-INDEX('Methodology &amp; Sources'!$B$91:$J$98,0,1))*INDEX('Methodology &amp; Sources'!$B$91:$J$98,0,1+2)),IF($AN58="HI",IF($AU58="Married",SUMPRODUCT(($AZ58&gt;INDEX('Methodology &amp; Sources'!$B$91:$J$98,0,7))*($AZ58-INDEX('Methodology &amp; Sources'!$B$91:$J$98,0,7))*INDEX('Methodology &amp; Sources'!$B$91:$J$98,0,7+2)),SUMPRODUCT(($AZ58&gt;INDEX('Methodology &amp; Sources'!$B$91:$J$98,0,4))*($AZ58-INDEX('Methodology &amp; Sources'!$B$91:$J$98,0,4))*INDEX('Methodology &amp; Sources'!$B$91:$J$98,0,4+2))),IF($AN58="SC",SUMPRODUCT(($AZ58&gt;INDEX('Methodology &amp; Sources'!$B$219:$J$223,0,1))*($AZ58-INDEX('Methodology &amp; Sources'!$B$219:$J$223,0,1))*INDEX('Methodology &amp; Sources'!$B$219:$J$223,0,1+2)),IF($AN58="VA",SUMPRODUCT(($AZ58&gt;INDEX('Methodology &amp; Sources'!$B$219:$J$223,0,4))*($AZ58-INDEX('Methodology &amp; Sources'!$B$219:$J$223,0,4))*INDEX('Methodology &amp; Sources'!$B$219:$J$223,0,4+2)),IF($AN58="WI",SUMPRODUCT(($AZ58&gt;INDEX('Methodology &amp; Sources'!$B$228:$J$232,0,4))*($AZ58-INDEX('Methodology &amp; Sources'!$B$228:$J$232,0,4))*INDEX('Methodology &amp; Sources'!$B$228:$J$232,0,4+2)),"")))))))</f>
      </c>
      <c r="BZ58" s="24">
        <f>IF($B58="","",IF($AN58="NJ",IF('Inputs 2'!$C$77="B",SUMPRODUCT(($AZ58&gt;=INDEX('Methodology &amp; Sources'!$B$155:$J$162,0,4))*INDEX('Methodology &amp; Sources'!$B$155:$J$162,0,4+2)),IF('Inputs 2'!$C$77="C",SUMPRODUCT(($AZ58&gt;=INDEX('Methodology &amp; Sources'!$B$155:$J$162,0,7))*INDEX('Methodology &amp; Sources'!$B$155:$J$162,0,7+2)),IF('Inputs 2'!$C$77="D",SUMPRODUCT(($AZ58&gt;=INDEX('Methodology &amp; Sources'!$B$167:$J$179,0,1))*INDEX('Methodology &amp; Sources'!$B$167:$J$179,0,1+2)),IF('Inputs 2'!$C$77="E",SUMPRODUCT(($AZ58&gt;=INDEX('Methodology &amp; Sources'!$B$167:$J$179,0,4))*INDEX('Methodology &amp; Sources'!$B$167:$J$179,0,4+2)),SUMPRODUCT(($AZ58&gt;=INDEX('Methodology &amp; Sources'!$B$155:$J$162,0,1))*INDEX('Methodology &amp; Sources'!$B$155:$J$162,0,1+2)))))),IF($AN58="OR",IF(OR($AU58="Married",AND($AU58="Single",$AS58&gt;=3)),SUMPRODUCT((MAX(0,$AY58-MIN(($P58-'Methodology &amp; Sources'!$C$10*$D58)*'Inputs 2'!$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Sources'!$B$211:$J$214,0,4))*INDEX('Methodology &amp; Sources'!$B$211:$J$214,0,4+2)),SUMPRODUCT((MAX(0,$AY58-MIN(($P58-'Methodology &amp; Sources'!$C$10*$D58)*'Inputs 2'!$C$8,IF(OR($AU58="Married",AND($AU58="Single",$AS58&gt;=3)),IF($AY58&lt;250000,8750,IF($AY58&lt;260000,7000,IF($AY58&lt;270000,5250,IF($AY58&lt;280000,3500,IF($AY58&lt;290000,1750,0))))),IF($AY58&lt;125000,8750,IF($AY58&lt;130000,7000,IF($AY58&lt;135000,5250,IF($AY58&lt;140000,3500,IF($AY58&lt;145000,1750,0)))))))-IF(OR($AU58="Married",AND($AU58="Single",$AS58&gt;=3)),5820,2910))&gt;=INDEX('Methodology &amp; Sources'!$B$211:$J$214,0,1))*INDEX('Methodology &amp; Sources'!$B$211:$J$214,0,1+2)))*IF(($P58-'Methodology &amp; Sources'!$C$10*$D58)*'Inputs 2'!$C$8&gt;=IF(OR($AU58="Married",AND($AU58="Single",$AS58&gt;=3)),IF($AY58&lt;250000,8750,IF($AY58&lt;260000,7000,IF($AY58&lt;270000,5250,IF($AY58&lt;280000,3500,IF($AY58&lt;290000,1750,0))))),IF($AY58&lt;125000,8750,IF($AY58&lt;130000,7000,IF($AY58&lt;135000,5250,IF($AY58&lt;140000,3500,IF($AY58&lt;145000,1750,0)))))),1,1-IF('Inputs 2'!$C$13,SUMPRODUCT(($AH58&gt;=INDEX('Methodology &amp; Sources'!$B$29:$J$36,0,IF('Inputs 2'!$C$12="MFJ",1,IF('Inputs 2'!$C$12="HoH",7,4))))*INDEX('Methodology &amp; Sources'!$B$29:$J$36,0,IF('Inputs 2'!$C$12="MFJ",1,IF('Inputs 2'!$C$12="HoH",7,4))+2)),SUMPRODUCT(($AH58&gt;=INDEX('Methodology &amp; Sources'!$B$19:$J$26,0,IF('Inputs 2'!$C$12="MFJ",1,IF('Inputs 2'!$C$12="HoH",7,4))))*INDEX('Methodology &amp; Sources'!$B$19:$J$26,0,IF('Inputs 2'!$C$12="MFJ",1,IF('Inputs 2'!$C$12="HoH",7,4))+2)))),IF($AN58="MI",IF($AY58&gt;5900*$AS58,0.0425,0),""))))</f>
      </c>
      <c r="CA58" s="24">
        <f>IF($B58="","",IF($AN58="AL",IF(OR($AU58="Married",$AU58="Head of household"),SUMPRODUCT(($AZ58&gt;=INDEX('Methodology &amp; Sources'!$B$82:$J$86,0,4))*INDEX('Methodology &amp; Sources'!$B$82:$J$86,0,4+2)),SUMPRODUCT(($AZ58&gt;=INDEX('Methodology &amp; Sources'!$B$82:$J$86,0,1))*INDEX('Methodology &amp; Sources'!$B$82:$J$86,0,1+2)))*(1-IF('Inputs 2'!$C$13,SUMPRODUCT(($AH58&gt;=INDEX('Methodology &amp; Sources'!$B$29:$J$36,0,IF('Inputs 2'!$C$12="MFJ",1,IF('Inputs 2'!$C$12="HoH",7,4))))*INDEX('Methodology &amp; Sources'!$B$29:$J$36,0,IF('Inputs 2'!$C$12="MFJ",1,IF('Inputs 2'!$C$12="HoH",7,4))+2)),SUMPRODUCT(($AH58&gt;=INDEX('Methodology &amp; Sources'!$B$19:$J$26,0,IF('Inputs 2'!$C$12="MFJ",1,IF('Inputs 2'!$C$12="HoH",7,4))))*INDEX('Methodology &amp; Sources'!$B$19:$J$26,0,IF('Inputs 2'!$C$12="MFJ",1,IF('Inputs 2'!$C$12="HoH",7,4))+2)))),IF($AN58="KS",IF($AU58="Married",SUMPRODUCT(($AZ58&gt;=INDEX('Methodology &amp; Sources'!$B$103:$J$109,0,4))*INDEX('Methodology &amp; Sources'!$B$103:$J$109,0,4+2)),SUMPRODUCT(($AZ58&gt;=INDEX('Methodology &amp; Sources'!$B$103:$J$109,0,1))*INDEX('Methodology &amp; Sources'!$B$103:$J$109,0,1+2))),IF($AN58="MD",IF(OR($AU58="Married",$AU58="Head of household"),SUMPRODUCT(($AZ58&gt;=INDEX('Methodology &amp; Sources'!$B$114:$J$120,0,1))*INDEX('Methodology &amp; Sources'!$B$114:$J$120,0,1+2)),SUMPRODUCT(($AZ58&gt;=INDEX('Methodology &amp; Sources'!$B$103:$J$109,0,7))*INDEX('Methodology &amp; Sources'!$B$103:$J$109,0,7+2)))+'Inputs 2'!$C$74,IF($AN58="MT",IF($AU58="Head of household",SUMPRODUCT(($AZ58&gt;=INDEX('Methodology &amp; Sources'!$B$137:$J$139,0,1))*INDEX('Methodology &amp; Sources'!$B$137:$J$139,0,1+2)),IF($AU58="Married",SUMPRODUCT(($AZ58&gt;=INDEX('Methodology &amp; Sources'!$B$125:$J$132,0,7))*INDEX('Methodology &amp; Sources'!$B$125:$J$132,0,7+2)),SUMPRODUCT(($AZ58&gt;=INDEX('Methodology &amp; Sources'!$B$125:$J$132,0,4))*INDEX('Methodology &amp; Sources'!$B$125:$J$132,0,4+2)))),IF($AN58="ND",IF($AU58="Head of household",SUMPRODUCT(($AZ58&gt;=INDEX('Methodology &amp; Sources'!$B$144:$J$150,0,1))*INDEX('Methodology &amp; Sources'!$B$144:$J$150,0,1+2)),IF($AU58="Married",SUMPRODUCT(($AZ58&gt;=INDEX('Methodology &amp; Sources'!$B$137:$J$139,0,7))*INDEX('Methodology &amp; Sources'!$B$137:$J$139,0,7+2)),SUMPRODUCT(($AZ58&gt;=INDEX('Methodology &amp; Sources'!$B$137:$J$139,0,4))*INDEX('Methodology &amp; Sources'!$B$137:$J$139,0,4+2)))),IF($AN58="NY",IF($AU58="Married",IF($AZ58&gt;=2155350,IF($AZ58&gt;25000000,0.117,IF($AZ58&gt;5000000,0.111,0.1045)),SUMPRODUCT(($AZ58&gt;=INDEX('Methodology &amp; Sources'!$B$184:$J$198,0,1))*INDEX('Methodology &amp; Sources'!$B$184:$J$198,0,1+2))),IF($AZ58&gt;=1077550,IF($AZ58&gt;25000000,0.117,IF($AZ58&gt;5000000,0.111,0.1045)),SUMPRODUCT(($AZ58&gt;=INDEX('Methodology &amp; Sources'!$B$167:$J$179,0,7))*INDEX('Methodology &amp; Sources'!$B$167:$J$179,0,7+2)))),"")))))))</f>
      </c>
      <c r="CB58" s="24">
        <f>IF($B58="","",IF($AN58="CA",SUMPRODUCT(($AJ58&gt;=INDEX('Methodology &amp; Sources'!$B$39:$J$48,0,IF($AU58="Married",4,IF($AU58="Head of household",7,1))))*INDEX('Methodology &amp; Sources'!$B$39:$J$48,0,IF($AU58="Married",4,IF($AU58="Head of household",7,1))+2)),IF($AN58="HI",IF($AU58="Married",SUMPRODUCT(($AZ58&gt;=INDEX('Methodology &amp; Sources'!$B$91:$J$98,0,7))*INDEX('Methodology &amp; Sources'!$B$91:$J$98,0,7+2)),SUMPRODUCT(($AZ58&gt;=INDEX('Methodology &amp; Sources'!$B$91:$J$98,0,4))*INDEX('Methodology &amp; Sources'!$B$91:$J$98,0,4+2))),IF($AN58="MN",IF($AU58="Married",SUMPRODUCT(($AZ58&gt;=INDEX('Methodology &amp; Sources'!$B$114:$J$120,0,7))*INDEX('Methodology &amp; Sources'!$B$114:$J$120,0,7+2)),SUMPRODUCT(($AZ58&gt;=INDEX('Methodology &amp; Sources'!$B$114:$J$120,0,4))*INDEX('Methodology &amp; Sources'!$B$114:$J$120,0,4+2))),IF($AN58="MO",SUMPRODUCT(($AZ58&gt;=INDEX('Methodology &amp; Sources'!$B$125:$J$132,0,1))*INDEX('Methodology &amp; Sources'!$B$125:$J$132,0,1+2)),IF($AN58="NE",MAX(IF($AU58="Married",SUMPRODUCT(($AZ58&gt;=INDEX('Methodology &amp; Sources'!$B$144:$J$150,0,7))*INDEX('Methodology &amp; Sources'!$B$144:$J$150,0,7+2)),SUMPRODUCT(($AZ58&gt;=INDEX('Methodology &amp; Sources'!$B$144:$J$150,0,4))*INDEX('Methodology &amp; Sources'!$B$144:$J$150,0,4+2))),0.015),IF($AN58="OH",IF($B58&gt;=DATE(2027,8,1),SUMPRODUCT(($AZ58&gt;=INDEX('Methodology &amp; Sources'!$B$203:$J$206,0,1))*INDEX('Methodology &amp; Sources'!$B$203:$J$206,0,1+2)),SUMPRODUCT(($AZ58&gt;=INDEX('Methodology &amp; Sources'!$B$184:$J$198,0,7))*INDEX('Methodology &amp; Sources'!$B$184:$J$198,0,7+2))),IF($AN58="OK",IF($AU58="Married",SUMPRODUCT(($AZ58&gt;=INDEX('Methodology &amp; Sources'!$B$203:$J$206,0,7))*INDEX('Methodology &amp; Sources'!$B$203:$J$206,0,7+2)),SUMPRODUCT(($AZ58&gt;=INDEX('Methodology &amp; Sources'!$B$203:$J$206,0,4))*INDEX('Methodology &amp; Sources'!$B$203:$J$206,0,4+2))),IF($AN58="RI",SUMPRODUCT(($AZ58&gt;=INDEX('Methodology &amp; Sources'!$B$211:$J$214,0,7))*INDEX('Methodology &amp; Sources'!$B$211:$J$214,0,7+2)),IF($AN58="SC",SUMPRODUCT(($AZ58&gt;=INDEX('Methodology &amp; Sources'!$B$219:$J$223,0,1))*INDEX('Methodology &amp; Sources'!$B$219:$J$223,0,1+2)),IF($AN58="VT",IF($AU58="Married",SUMPRODUCT(($AZ58&gt;=INDEX('Methodology &amp; Sources'!$B$228:$J$232,0,1))*INDEX('Methodology &amp; Sources'!$B$228:$J$232,0,1+2)),SUMPRODUCT(($AZ58&gt;=INDEX('Methodology &amp; Sources'!$B$219:$J$223,0,7))*INDEX('Methodology &amp; Sources'!$B$219:$J$223,0,7+2))),IF($AN58="WV",IF($AU58="Married",SUMPRODUCT(($AZ58&gt;=INDEX('Methodology &amp; Sources'!$B$237:$J$241,0,7))*INDEX('Methodology &amp; Sources'!$B$237:$J$241,0,7+2)),SUMPRODUCT(($AZ58&gt;=INDEX('Methodology &amp; Sources'!$B$228:$J$232,0,7))*INDEX('Methodology &amp; Sources'!$B$228:$J$232,0,7+2))),IF($AN58="IN",(0.0295+'Inputs 2'!$C$76),"")))))))))))))</f>
      </c>
      <c r="CC58" s="24">
        <f>IF($B58="","",IF($AN58="AR",SUMPRODUCT(($AZ58&gt;=INDEX('Methodology &amp; Sources'!$B$82:$J$86,0,7))*INDEX('Methodology &amp; Sources'!$B$82:$J$86,0,7+2)),IF($AN58="DE",SUMPRODUCT(($AZ58&gt;=INDEX('Methodology &amp; Sources'!$B$91:$J$98,0,1))*INDEX('Methodology &amp; Sources'!$B$91:$J$98,0,1+2)),IF($AN58="VA",SUMPRODUCT(($AZ58&gt;=INDEX('Methodology &amp; Sources'!$B$219:$J$223,0,4))*INDEX('Methodology &amp; Sources'!$B$219:$J$223,0,4+2)),IF($AN58="WI",SUMPRODUCT(($AZ58&gt;=INDEX('Methodology &amp; Sources'!$B$228:$J$232,0,4))*INDEX('Methodology &amp; Sources'!$B$228:$J$232,0,4+2)),IF($AN58="AZ",'Inputs 2'!$C$82,IF($AN58="CO",IF($AY58&gt;IF($AU58="Married",10000,5000),0.044,0),IF($AN58="IA",IF($AY58&gt;IF($AU58="Head of household",19500,IF($AU58="Married",26000,13000)),0.038,0),IF($AN58="ID",IF($AY58&gt;IF($AU58="Married",32000,16094),0.053,0),IF($AN58="IL",IF($AY58&gt;(2925*$AS58+1000*$AT58),0.0495,0),IF($AN58="KY",IF($AI58&gt;3360,0.035,0),IF($AN58="LA",0.0309,IF($AN58="MA",IF(MAX(0,$AY58-MIN(($BD57+$Q58+$R58+$S58),2000)-IF($AS58=0,0,IF($AS58=1,4400,1000*$AS58+3400)))&gt;=1107750,0.09,0.05),IF($AN58="MS",IF($AI58-IF($AU58="Head of household",3400,IF($AU58="Married",4600,2300))-'Inputs 2'!$C$85&gt;10000,0.04,0),IF($AN58="PA",0.0307,"")))))))))))))))</f>
      </c>
      <c r="CD58" s="21">
        <f>IF(YEAR(IF('Inputs 2'!$C$7="Weekly",'Inputs 2'!$C$9+7*(($BE57+1)-1),IF('Inputs 2'!$C$7="Biweekly",'Inputs 2'!$C$9+14*(($BE57+1)-1),IF('Inputs 2'!$C$7="Semimonthly",DATE(YEAR('Inputs 2'!$C$9),MONTH('Inputs 2'!$C$9)+INT((($BE57+1)-1)/2),MIN(DAY('Inputs 2'!$C$9),DAY(EOMONTH(DATE(YEAR('Inputs 2'!$C$9),MONTH('Inputs 2'!$C$9)+INT((($BE57+1)-1)/2),1),0))))+IF(MOD(($BE57+1)-1,2)=1,15,0),EDATE('Inputs 2'!$C$9,($BE57+1)-1)))))&lt;&gt;'Inputs 2'!$C$10,"",IF('Inputs 2'!$C$7="Weekly",'Inputs 2'!$C$9+7*(($BE57+1)-1),IF('Inputs 2'!$C$7="Biweekly",'Inputs 2'!$C$9+14*(($BE57+1)-1),IF('Inputs 2'!$C$7="Semimonthly",DATE(YEAR('Inputs 2'!$C$9),MONTH('Inputs 2'!$C$9)+INT((($BE57+1)-1)/2),MIN(DAY('Inputs 2'!$C$9),DAY(EOMONTH(DATE(YEAR('Inputs 2'!$C$9),MONTH('Inputs 2'!$C$9)+INT((($BE57+1)-1)/2),1),0))))+IF(MOD(($BE57+1)-1,2)=1,15,0),EDATE('Inputs 2'!$C$9,($BE57+1)-1)))))</f>
      </c>
      <c r="CE58" s="21">
        <f>IF(SUMPRODUCT(MIN(IF(('Inputs 2'!$C$58:$C$67&gt;MAX($B$6:$B57))*('Inputs 2'!$C$58:$C$67&gt;=DATE('Inputs 2'!$C$10,1,1))*('Inputs 2'!$C$58:$C$67&lt;=DATE('Inputs 2'!$C$10,12,31)),'Inputs 2'!$C$58:$C$67,999999)))=999999,"",SUMPRODUCT(MIN(IF(('Inputs 2'!$C$58:$C$67&gt;MAX($B$6:$B57))*('Inputs 2'!$C$58:$C$67&gt;=DATE('Inputs 2'!$C$10,1,1))*('Inputs 2'!$C$58:$C$67&lt;=DATE('Inputs 2'!$C$10,12,31)),'Inputs 2'!$C$58:$C$67,999999))))</f>
      </c>
    </row>
    <row r="59">
      <c r="A59" t="n">
        <v>54</v>
      </c>
      <c r="B59" s="21">
        <f>IF(AND($CD59="",$CE59=""),"",IF($CE59="",$CD59,IF($CD59="",$CE59,MIN($CD59,$CE59))))</f>
      </c>
      <c r="C59" s="7">
        <f>IF($B59="","",IF($BF59=0,0,IF('Inputs 2'!$C$4="Annual salary",ROUND($AK59/IF(AND('Inputs 2'!$C$88="Actual paydays",MONTH('Inputs 2'!$C$9)=1),MAX(1,MAX($BE$6:$BE$68)),'Inputs 2'!$C$8),2),$AK59)))</f>
      </c>
      <c r="D59" s="7">
        <f>IF($B59="","",SUMIF('Inputs 2'!$C$58:$C$67,$B59,'Inputs 2'!$D$58:$D$67))</f>
      </c>
      <c r="E59" s="7">
        <f>IF($B59="","",ROUND(MAX(0,MIN(IF($AL59="Percent",$AM59*($C59+$D59),$AM59),MAX(0,'Inputs 2'!$C$34-$AC58))),2))</f>
      </c>
      <c r="F59" s="7">
        <f>IF($B59="","",ROUND(MAX(0,MIN(IF('Inputs 2'!$C$32="Percent",'Inputs 2'!$D$32*($C59+$D59),'Inputs 2'!$D$32),MAX(0,'Inputs 2'!$C$34-$AC58-$E59))),2))</f>
      </c>
      <c r="G59" s="7">
        <f>IF($B59="","",IF($BF59=0,0,ROUND(MAX(0,MIN($BL59,'Inputs 2'!$C$37-'Inputs 2'!$C$54-$BI58)),2)))</f>
      </c>
      <c r="H59" s="7">
        <f>IF($B59="","",IF(OR($BF59=0,$BQ59=1),0,ROUND(MAX(0,MIN(IF($BS59=1,ROUND(MAX(0,MIN($BJ59,'Methodology &amp; Sources'!$C$13)-$BG58)/MAX(1,MAX($BE$6:$BE$68)-($BE58)),2),ROUND(MIN($BJ59,'Methodology &amp; Sources'!$C$13)/'Inputs 2'!$C$8,2)),MIN($BJ59,'Methodology &amp; Sources'!$C$13)-$BG58)),2)))</f>
      </c>
      <c r="I59" s="7">
        <f>IF($B59="","",IF(OR($BF59=0,$BR59=1),0,ROUND(MAX(0,MIN(IF($BT59=1,ROUND(MAX(0,MIN($BK59,IF('Inputs 2'!$C$12="MFJ",'Methodology &amp; Sources'!$C$14,'Methodology &amp; Sources'!$C$15))-$BH58)/MAX(1,MAX($BE$6:$BE$68)-($BE58)),2),ROUND(MIN($BK59,IF('Inputs 2'!$C$12="MFJ",'Methodology &amp; Sources'!$C$14,'Methodology &amp; Sources'!$C$15))/'Inputs 2'!$C$8,2)),MIN($BK59,IF('Inputs 2'!$C$12="MFJ",'Methodology &amp; Sources'!$C$14,'Methodology &amp; Sources'!$C$15))-$BH58)),2)))</f>
      </c>
      <c r="J59" s="7">
        <f>IF($B59="","",IF($BF59=0,0,$BM59))</f>
      </c>
      <c r="K59" s="7">
        <f>IF($B59="","",IF($BF59=0,0,$BN59+$BO59))</f>
      </c>
      <c r="L59" s="7">
        <f>IF($B59="","",IF($BF59=0,0,'Inputs 2'!$D$46))</f>
      </c>
      <c r="M59" s="7">
        <f>IF($B59="","",$C59+$D59+$L59-$E59-$G59-$H59-$I59-$J59-$K59)</f>
      </c>
      <c r="N59" s="7">
        <f>IF($B59="","",$C59+$D59+$L59-$G59-$H59-$I59-$J59-$K59)</f>
      </c>
      <c r="O59" s="7">
        <f>IF($B59="","",$C59+$D59+$L59-$E59-$H59-$I59-$J59-$K59-IF(OR($AN59="CA",$AN59="NJ"),0,$G59))</f>
      </c>
      <c r="P59" s="7">
        <f>IF($B59="","",IF('Inputs 2'!$C$18,0,ROUND(MAX(0,IF('Inputs 2'!$C$13,SUMPRODUCT(($AH59&gt;INDEX('Methodology &amp; Sources'!$B$29:$J$36,0,IF('Inputs 2'!$C$12="MFJ",1,IF('Inputs 2'!$C$12="HoH",7,4))))*($AH59-INDEX('Methodology &amp; Sources'!$B$29:$J$36,0,IF('Inputs 2'!$C$12="MFJ",1,IF('Inputs 2'!$C$12="HoH",7,4))))*INDEX('Methodology &amp; Sources'!$B$29:$J$36,0,IF('Inputs 2'!$C$12="MFJ",1,IF('Inputs 2'!$C$12="HoH",7,4))+2)),SUMPRODUCT(($AH59&gt;INDEX('Methodology &amp; Sources'!$B$19:$J$26,0,IF('Inputs 2'!$C$12="MFJ",1,IF('Inputs 2'!$C$12="HoH",7,4))))*($AH59-INDEX('Methodology &amp; Sources'!$B$19:$J$26,0,IF('Inputs 2'!$C$12="MFJ",1,IF('Inputs 2'!$C$12="HoH",7,4))))*INDEX('Methodology &amp; Sources'!$B$19:$J$26,0,IF('Inputs 2'!$C$12="MFJ",1,IF('Inputs 2'!$C$12="HoH",7,4))+2)))/'Inputs 2'!$C$8-$AO59/'Inputs 2'!$C$8)+$AR59+IF('Inputs 2'!$C$89="Aggregate",MAX(0,IF('Inputs 2'!$C$13,SUMPRODUCT((($AH59+$D59)&gt;INDEX('Methodology &amp; Sources'!$B$29:$J$36,0,IF('Inputs 2'!$C$12="MFJ",1,IF('Inputs 2'!$C$12="HoH",7,4))))*(($AH59+$D59)-INDEX('Methodology &amp; Sources'!$B$29:$J$36,0,IF('Inputs 2'!$C$12="MFJ",1,IF('Inputs 2'!$C$12="HoH",7,4))))*INDEX('Methodology &amp; Sources'!$B$29:$J$36,0,IF('Inputs 2'!$C$12="MFJ",1,IF('Inputs 2'!$C$12="HoH",7,4))+2)),SUMPRODUCT((($AH59+$D59)&gt;INDEX('Methodology &amp; Sources'!$B$19:$J$26,0,IF('Inputs 2'!$C$12="MFJ",1,IF('Inputs 2'!$C$12="HoH",7,4))))*(($AH59+$D59)-INDEX('Methodology &amp; Sources'!$B$19:$J$26,0,IF('Inputs 2'!$C$12="MFJ",1,IF('Inputs 2'!$C$12="HoH",7,4))))*INDEX('Methodology &amp; Sources'!$B$19:$J$26,0,IF('Inputs 2'!$C$12="MFJ",1,IF('Inputs 2'!$C$12="HoH",7,4))+2)))-IF('Inputs 2'!$C$13,SUMPRODUCT(($AH59&gt;INDEX('Methodology &amp; Sources'!$B$29:$J$36,0,IF('Inputs 2'!$C$12="MFJ",1,IF('Inputs 2'!$C$12="HoH",7,4))))*($AH59-INDEX('Methodology &amp; Sources'!$B$29:$J$36,0,IF('Inputs 2'!$C$12="MFJ",1,IF('Inputs 2'!$C$12="HoH",7,4))))*INDEX('Methodology &amp; Sources'!$B$29:$J$36,0,IF('Inputs 2'!$C$12="MFJ",1,IF('Inputs 2'!$C$12="HoH",7,4))+2)),SUMPRODUCT(($AH59&gt;INDEX('Methodology &amp; Sources'!$B$19:$J$26,0,IF('Inputs 2'!$C$12="MFJ",1,IF('Inputs 2'!$C$12="HoH",7,4))))*($AH59-INDEX('Methodology &amp; Sources'!$B$19:$J$26,0,IF('Inputs 2'!$C$12="MFJ",1,IF('Inputs 2'!$C$12="HoH",7,4))))*INDEX('Methodology &amp; Sources'!$B$19:$J$26,0,IF('Inputs 2'!$C$12="MFJ",1,IF('Inputs 2'!$C$12="HoH",7,4))+2)))),'Methodology &amp; Sources'!$C$10*$D59),2)))</f>
      </c>
      <c r="Q59" s="7">
        <f>IF($B59="","",ROUND('Methodology &amp; Sources'!$C$4*MIN($N59,MAX(0,'Methodology &amp; Sources'!$C$3-($AX59+$AB58-$AW59))),2))</f>
      </c>
      <c r="R59" s="7">
        <f>IF($B59="","",ROUND('Methodology &amp; Sources'!$C$5*$N59,2))</f>
      </c>
      <c r="S59" s="7">
        <f>IF($B59="","",ROUND('Methodology &amp; Sources'!$C$6*MAX(0,MIN($N59,$AG58+$N59-'Methodology &amp; Sources'!$C$7)),2))</f>
      </c>
      <c r="T59" s="7">
        <f>IF($B59="","",IF('Inputs 2'!$C$26,0,IF($AN59="CA",ROUND(IF($AI59&lt;=IF(($AS59+$AT59)&gt;=2,VLOOKUP($AN59,StateTables!$A$6:$AB$56,10,FALSE),VLOOKUP($AN59,StateTables!$A$6:$AB$56,9,FALSE)),0,MAX(0,SUMPRODUCT(($AJ59&gt;INDEX('Methodology &amp; Sources'!$B$39:$J$48,0,IF($AU59="Married",4,IF($AU59="Head of household",7,1))))*($AJ59-INDEX('Methodology &amp; Sources'!$B$39:$J$48,0,IF($AU59="Married",4,IF($AU59="Head of household",7,1))))*INDEX('Methodology &amp; Sources'!$B$39:$J$48,0,IF($AU59="Married",4,IF($AU59="Head of household",7,1))+2))-VLOOKUP($AN59,StateTables!$A$6:$AB$56,11,FALSE)*$AS59)/'Inputs 2'!$C$8)+'Inputs 2'!$C$25+VLOOKUP($AN59,StateTables!$A$6:$AB$56,13,FALSE)*$D59,2),IF(VLOOKUP($AN59,StateTables!$A$6:$AB$56,4,FALSE)="None",0,IF(ISNUMBER(SEARCH("MANUAL",VLOOKUP($AN59,StateTables!$A$6:$AB$56,5,FALSE))),'Inputs 2'!$C$28,ROUND(MAX(0,$BA59+$BB59)/'Inputs 2'!$C$8+'Inputs 2'!$C$25+$BC59,2))))))</f>
      </c>
      <c r="U59" s="7">
        <f>IF($B59="","",IF(VLOOKUP($AN59,StateTables!$A$6:$AB$56,24,FALSE)="flatq",IF(OR(MONTH($B59)=1,MONTH($B59)=4,MONTH($B59)=7,MONTH($B59)=10),VLOOKUP($AN59,StateTables!$A$6:$AB$56,25,FALSE),0),IF(VLOOKUP($AN59,StateTables!$A$6:$AB$56,24,FALSE)="dbl",MIN(ROUND(0.005*$N59,2),ROUND(0.6*52/'Inputs 2'!$C$8,2)),IF(OR(VLOOKUP($AN59,StateTables!$A$6:$AB$56,15,FALSE)="",VLOOKUP($AN59,StateTables!$A$6:$AB$56,15,FALSE)=0),0,ROUND(VLOOKUP($AN59,StateTables!$A$6:$AB$56,15,FALSE)*IF(OR(VLOOKUP($AN59,StateTables!$A$6:$AB$56,16,FALSE)="",VLOOKUP($AN59,StateTables!$A$6:$AB$56,16,FALSE)=0),$N59,MIN($N59,MAX(0,VLOOKUP($AN59,StateTables!$A$6:$AB$56,16,FALSE)-($AX59+$AB58-$AW59)))),2))))+IF(VLOOKUP($AN59,StateTables!$A$6:$AB$56,27,FALSE)="flatq",IF(OR(MONTH($B59)=1,MONTH($B59)=4,MONTH($B59)=7,MONTH($B59)=10),VLOOKUP($AN59,StateTables!$A$6:$AB$56,28,FALSE),0),IF(VLOOKUP($AN59,StateTables!$A$6:$AB$56,27,FALSE)="dbl",MIN(ROUND(0.005*$N59,2),ROUND(0.6*52/'Inputs 2'!$C$8,2)),IF(OR(VLOOKUP($AN59,StateTables!$A$6:$AB$56,18,FALSE)="",VLOOKUP($AN59,StateTables!$A$6:$AB$56,18,FALSE)=0),0,ROUND(VLOOKUP($AN59,StateTables!$A$6:$AB$56,18,FALSE)*IF(OR(VLOOKUP($AN59,StateTables!$A$6:$AB$56,19,FALSE)="",VLOOKUP($AN59,StateTables!$A$6:$AB$56,19,FALSE)=0),$N59,MIN($N59,MAX(0,VLOOKUP($AN59,StateTables!$A$6:$AB$56,19,FALSE)-($AX59+$AB58-$AW59)))),2)))))</f>
      </c>
      <c r="V59" s="7">
        <f>IF($B59="","",IF($AN59="NY",IF('Inputs 2'!$C$78,ROUND(SUMPRODUCT((MAX(0,($O59-$D59)*'Inputs 2'!$C$8-(IF($AU59="Married",5500,5000)+1000*$AS59))&gt;INDEX('Methodology &amp; Sources'!$B$184:$J$198,0,4))*(MAX(0,($O59-$D59)*'Inputs 2'!$C$8-(IF($AU59="Married",5500,5000)+1000*$AS59))-INDEX('Methodology &amp; Sources'!$B$184:$J$198,0,4))*INDEX('Methodology &amp; Sources'!$B$184:$J$198,0,4+2))/'Inputs 2'!$C$8+0.0425*$D59,2),0)+IF('Inputs 2'!$C$79="Resident",ROUND(0.1675*$T59,2),IF('Inputs 2'!$C$79="Nonresident",ROUND(0.005*MAX(0,($O59-$D59)-(IF($AU59="Married",7950,7400)+1000*$AS59)/'Inputs 2'!$C$8),2),0)),IF($AN59="PA",IF('Inputs 2'!$C$80="None",'Inputs 2'!$C$27+ROUND('Inputs 2'!$C$81*($C59+$D59),2),ROUND(IF('Inputs 2'!$C$80="Resident",IF($B59&lt;DATE(2027,7,1),0.03735,0.03735),IF($B59&lt;DATE(2027,7,1),0.03425,0.03425))*($C59+$D59),2)),IF($BF59=0,ROUND('Inputs 2'!$C$81*($C59+$D59),2),'Inputs 2'!$C$27+ROUND('Inputs 2'!$C$81*($C59+$D59),2)))))</f>
      </c>
      <c r="W59" s="7">
        <f>IF($B59="","",IF($BF59=0,0,$BP59))</f>
      </c>
      <c r="X59" s="7">
        <f>IF($B59="","",SUM($E59:$K59)+$P59+$Q59+$R59+$S59+$T59+$U59+$V59+$W59)</f>
      </c>
      <c r="Y59" s="22">
        <f>IF($B59="","",$C59+$D59-$X59)</f>
      </c>
      <c r="Z59" s="7">
        <f>IF($B59="","",$Z58+$C59+$D59)</f>
      </c>
      <c r="AA59" s="7">
        <f>IF($B59="","",$AA58+$Y59)</f>
      </c>
      <c r="AB59" s="7">
        <f>IF($B59="","",$AB58+MIN($N59,MAX(0,'Methodology &amp; Sources'!$C$3-($AX59+$AB58-$AW59))))</f>
      </c>
      <c r="AC59" s="7">
        <f>IF($B59="","",$AC58+$E59+$F59)</f>
      </c>
      <c r="AD59" s="3">
        <f>IF($B59="","",IF(AND($AB58&lt;'Methodology &amp; Sources'!$C$3,$AB59&gt;='Methodology &amp; Sources'!$C$3),"★ Social Security maxed on this check — from the next check your net rises by about $"&amp;TEXT(ROUND('Methodology &amp; Sources'!$C$4*$N59,2),"#,##0.00")&amp;". ","")&amp;IF(AND($AC58&lt;'Inputs 2'!$C$34,$AC59&gt;='Inputs 2'!$C$34),"★ 401(k) reaches the $"&amp;TEXT('Inputs 2'!$C$34,"#,##0")&amp;" cap on this check — deferrals stop and net pay rises. ","")&amp;IF(AND($AG58&lt;'Methodology &amp; Sources'!$C$7,$AG59&gt;='Methodology &amp; Sources'!$C$7),"★ Wages pass $200,000 — the 0.9% Additional Medicare Tax starts here. ","")&amp;IF(AND($BJ59&gt;0,$H59&gt;0,$BG58&lt;MIN($BJ59,'Methodology &amp; Sources'!$C$13),$BG58+$H59&gt;=MIN($BJ59,'Methodology &amp; Sources'!$C$13)),"★ Health FSA election is now fully deferred for the year. ",""))</f>
      </c>
      <c r="AE59" s="41" t="n"/>
      <c r="AF59" s="7">
        <f>IF(OR($B59="",$AE59=""),"",$AE59-$Y59)</f>
      </c>
      <c r="AG59" s="7">
        <f>IF($B59="","",$AG58+$N59)</f>
      </c>
      <c r="AH59" s="7">
        <f>IF($B59="","",MAX(0,($M59-$D59)*'Inputs 2'!$C$8+$AP59-$AQ59-IF('Inputs 2'!$C$13,0,IF('Inputs 2'!$C$12="MFJ",'Methodology &amp; Sources'!$C$8,'Methodology &amp; Sources'!$C$9))))</f>
      </c>
      <c r="AI59" s="7">
        <f>IF($B59="","",$O59*'Inputs 2'!$C$8)</f>
      </c>
      <c r="AJ59" s="7">
        <f>IF($B59="","",MAX(0,$AI59-VLOOKUP($AN59,StateTables!$A$6:$AB$56,12,FALSE)*$AT59-IF(($AS59+$AT59)&gt;=2,VLOOKUP($AN59,StateTables!$A$6:$AB$56,8,FALSE),VLOOKUP($AN59,StateTables!$A$6:$AB$56,7,FALSE))))</f>
      </c>
      <c r="AK59" s="7">
        <f>IF($B59="","",IFERROR(LOOKUP(2,1/(('Events 2'!$C$6:$C$17="Salary change")*('Events 2'!$B$6:$B$17&lt;=$B59)*('Events 2'!$B$6:$B$17&lt;&gt;"")),'Events 2'!$D$6:$D$17),IF('Inputs 2'!$C$4="Annual salary",'Inputs 2'!$C$5,'Inputs 2'!$C$6)))</f>
      </c>
      <c r="AL59">
        <f>IF($B59="","",IFERROR(LOOKUP(2,1/(('Events 2'!$C$6:$C$17="401(k) change")*('Events 2'!$B$6:$B$17&lt;=$B59)*('Events 2'!$B$6:$B$17&lt;&gt;"")),'Events 2'!$D$6:$D$17),'Inputs 2'!$C$30))</f>
      </c>
      <c r="AM59" s="7">
        <f>IF($B59="","",IFERROR(LOOKUP(2,1/(('Events 2'!$C$6:$C$17="401(k) change")*('Events 2'!$B$6:$B$17&lt;=$B59)*('Events 2'!$B$6:$B$17&lt;&gt;"")),'Events 2'!$E$6:$E$17),'Inputs 2'!$D$30))</f>
      </c>
      <c r="AN59">
        <f>IF($B59="","",IFERROR(LOOKUP(2,1/(('Events 2'!$C$6:$C$17="State move")*('Events 2'!$B$6:$B$17&lt;=$B59)*('Events 2'!$B$6:$B$17&lt;&gt;"")),'Events 2'!$D$6:$D$17),'Inputs 2'!$C$21))</f>
      </c>
      <c r="AO59" s="7">
        <f>IF($B59="","",IFERROR(LOOKUP(2,1/(('Events 2'!$C$6:$C$17="W-4 change")*('Events 2'!$B$6:$B$17&lt;=$B59)*('Events 2'!$B$6:$B$17&lt;&gt;"")),'Events 2'!$D$6:$D$17),'Inputs 2'!$C$14))</f>
      </c>
      <c r="AP59" s="7">
        <f>IF($B59="","",IFERROR(LOOKUP(2,1/(('Events 2'!$C$6:$C$17="W-4 change")*('Events 2'!$B$6:$B$17&lt;=$B59)*('Events 2'!$B$6:$B$17&lt;&gt;"")),'Events 2'!$E$6:$E$17),'Inputs 2'!$C$15))</f>
      </c>
      <c r="AQ59" s="7">
        <f>IF($B59="","",IFERROR(LOOKUP(2,1/(('Events 2'!$C$6:$C$17="W-4 change")*('Events 2'!$B$6:$B$17&lt;=$B59)*('Events 2'!$B$6:$B$17&lt;&gt;"")),'Events 2'!$F$6:$F$17),'Inputs 2'!$C$16))</f>
      </c>
      <c r="AR59" s="7">
        <f>IF($B59="","",IFERROR(LOOKUP(2,1/(('Events 2'!$C$6:$C$17="W-4 change")*('Events 2'!$B$6:$B$17&lt;=$B59)*('Events 2'!$B$6:$B$17&lt;&gt;"")),'Events 2'!$G$6:$G$17),'Inputs 2'!$C$17))</f>
      </c>
      <c r="AS59" s="6">
        <f>IF($B59="","",IFERROR(LOOKUP(2,1/((('Events 2'!$C$6:$C$17="State move")+('Events 2'!$C$6:$C$17="State cert change"))*('Events 2'!$B$6:$B$17&lt;=$B59)*('Events 2'!$B$6:$B$17&lt;&gt;"")),'Events 2'!$F$6:$F$17),'Inputs 2'!$C$23))</f>
      </c>
      <c r="AT59" s="6">
        <f>IF($B59="","",IFERROR(LOOKUP(2,1/((('Events 2'!$C$6:$C$17="State move")+('Events 2'!$C$6:$C$17="State cert change"))*('Events 2'!$B$6:$B$17&lt;=$B59)*('Events 2'!$B$6:$B$17&lt;&gt;"")),'Events 2'!$G$6:$G$17),'Inputs 2'!$C$24))</f>
      </c>
      <c r="AU59">
        <f>IF($B59="","",IFERROR(LOOKUP(2,1/(('Events 2'!$C$6:$C$17="State move")*('Events 2'!$B$6:$B$17&lt;=$B59)*('Events 2'!$B$6:$B$17&lt;&gt;"")),'Events 2'!$E$6:$E$17),'Inputs 2'!$C$22))</f>
      </c>
      <c r="AV59" s="6">
        <f>IF($B59="","",1+COUNTIFS('Events 2'!$C$6:$C$17,"Employer change",'Events 2'!$B$6:$B$17,"&lt;="&amp;$B59,'Events 2'!$B$6:$B$17,"&lt;&gt;"))</f>
      </c>
      <c r="AW59" s="7">
        <f>IF($B59="","",IF($AV59=1,'Inputs 2'!$C$49,IF(IFERROR(MATCH(IFERROR(LOOKUP(2,1/(('Events 2'!$C$6:$C$17="Employer change")*('Events 2'!$B$6:$B$17&lt;=$B59)*('Events 2'!$B$6:$B$17&lt;&gt;"")),'Events 2'!$B$6:$B$17),""),$B$6:$B$68,1),1)&lt;=1,'Inputs 2'!$C$49,INDEX($AB$6:$AB$68,MATCH(IFERROR(LOOKUP(2,1/(('Events 2'!$C$6:$C$17="Employer change")*('Events 2'!$B$6:$B$17&lt;=$B59)*('Events 2'!$B$6:$B$17&lt;&gt;"")),'Events 2'!$B$6:$B$17),""),$B$6:$B$68,1)-1))))</f>
      </c>
      <c r="AX59" s="7">
        <f>IF($B59="","",IF($AV59=1,'Inputs 2'!$C$49,IFERROR(LOOKUP(2,1/(('Events 2'!$C$6:$C$17="Employer change")*('Events 2'!$B$6:$B$17&lt;=$B59)*('Events 2'!$B$6:$B$17&lt;&gt;"")),'Events 2'!$D$6:$D$17),0)))</f>
      </c>
      <c r="AY59" s="7">
        <f>IF($B59="","",($O59-$D59)*'Inputs 2'!$C$8)</f>
      </c>
      <c r="AZ59" s="7">
        <f>IF($B59="","",IF($AN59="AL",MAX(0,$AY59-IF($AU59="Married",IF($AY59&lt;=25999,8500,MAX(5000,8500-175*CEILING(($AY59-25999)/500,1))),IF($AU59="Head of household",IF($AY59&lt;=25999,5200,MAX(2500,5200-135*CEILING(($AY59-25999)/500,1))),IF($AY59&lt;=25999,3000,MAX(2500,3000-25*CEILING(($AY59-25999)/500,1)))))-($P59-'Methodology &amp; Sources'!$C$10*$D59)*'Inputs 2'!$C$8-IF(OR($AU59="Married",$AU59="Head of household"),3000,1500)-$AT59*IF($AY59&lt;=50000,1000,IF($AY59&lt;=100000,500,300))),IF($AN59="AR",IF(MAX(0,$AY59-2470)&lt;97701,INT(MAX(0,$AY59-2470)/100)*100+50,MAX(0,$AY59-2470)),IF($AN59="DE",MAX(0,$AI59-3250),IF($AN59="HI",MAX(0,$AI59-1144*$AS59-4350),IF($AN59="KS",MAX(0,$AI59-(9160*IF($AU59="Married",2,1)+2320*$AT59+IF($AU59="Head of household",2320,0))),IF($AN59="MD",MAX(0,$AI59-3400-3200*$AS59),IF($AN59="MN",MAX(0,$AY59-5300*$AS59),IF($AN59="MO",MAX(0,$AI59-IF($AU59="Head of household",24150,IF($AU59="Married",IF('Inputs 2'!$C$83,16100,32200),16100))),IF($AN59="MT",$AY59,IF($AN59="ND",($C59+$L59)*'Inputs 2'!$C$8,IF($AN59="NE",MAX(0,$AY59-2440*$AS59),IF($AN59="NJ",MAX(0,$AY59-1000*$AS59),IF($AN59="NY",MAX(0,$AY59-(IF($AU59="Married",7950,7400)+1000*$AS59)),IF($AN59="OH",MAX(0,$AY59-650*$AS59),IF($AN59="OK",MAX(0,$AY59-1000*$AS59),IF($AN59="RI",MAX(0,$AI59-1000*$AS59),IF($AN59="SC",MAX(0,$AI59-5000*$AS59-IF($AS59=0,0,MIN(0.1*$AI59,7500))),IF($AN59="VA",MAX(0,$AI59-IF($AU59="Married",17500,8750)-930*$AS59-800*$AT59),IF($AN59="VT",MAX(0,$AI59-5400*$AS59),IF($AN59="WI",MAX(0,$AI59-MAX(0,IF($AU59="Married",9461-0.2*MAX(0,$AI59-25727),6702-0.12*MAX(0,$AI59-17780)))-400*$AS59),IF($AN59="WV",MAX(0,$AI59-2000*$AS59),$AI59))))))))))))))))))))))</f>
      </c>
      <c r="BA59" s="7">
        <f>IF($B59="","",IF($BW59&lt;&gt;"",$BW59,IF($BX59&lt;&gt;"",$BX59,IF($BY59&lt;&gt;"",$BY59,0))))</f>
      </c>
      <c r="BB59" s="7">
        <f>IF($B59="","",IF($AN59="AR",-29*$AS59,IF($AN59="DE",-110*$AS59,IF($AN59="MD",$AZ59*'Inputs 2'!$C$74,IF($AN59="AZ",'Inputs 2'!$C$82*($M59-$D59)*'Inputs 2'!$C$8,IF($AN59="CO",0.044*MAX(0,$AY59-IF($AU59="Married",10000,5000)),IF($AN59="IA",MAX(0,0.038*MAX(0,$AY59-IF($AU59="Head of household",19500,IF($AU59="Married",26000,13000)))-40*$AS59),IF($AN59="ID",0.053*MAX(0,$AY59-IF($AU59="Married",32000,16094)),IF($AN59="IL",0.0495*MAX(0,$AY59-(2925*$AS59+1000*$AT59)),IF($AN59="IN",(0.0295+'Inputs 2'!$C$76)*MAX(0,$AY59-(1000*$AS59+1500*$AT59+3000*'Inputs 2'!$C$86)),IF($AN59="KY",0.035*MAX(0,$AI59-3360),IF($AN59="LA",IF('Inputs 2'!$C$84="0",0.0309*$AI59,0.0309*MAX(0,$AI59-IF('Inputs 2'!$C$84="2",25750,12875))),IF($AN59="MA",0.05*MIN(MAX(0,$AY59-MIN(($BD58+$Q59+$R59+$S59),2000)-IF($AS59=0,0,IF($AS59=1,4400,1000*$AS59+3400))),1107750)+0.09*MAX(0,MAX(0,$AY59-MIN(($BD58+$Q59+$R59+$S59),2000)-IF($AS59=0,0,IF($AS59=1,4400,1000*$AS59+3400)))-1107750)-IF($AU59="Head of household",120,0)-110*'Inputs 2'!$C$75,IF($AN59="MI",0.0425*MAX(0,$AY59-5900*$AS59),IF($AN59="MS",0.04*MAX(0,$AI59-IF($AU59="Head of household",3400,IF($AU59="Married",4600,2300))-'Inputs 2'!$C$85-10000),IF($AN59="OR",IF(OR($AU59="Married",AND($AU59="Single",$AS59&gt;=3)),SUMPRODUCT((MAX(0,$AY59-MIN(($P59-'Methodology &amp; Sources'!$C$10*$D59)*'Inputs 2'!$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Sources'!$B$211:$J$214,0,4))*(MAX(0,$AY59-MIN(($P59-'Methodology &amp; Sources'!$C$10*$D59)*'Inputs 2'!$C$8,IF(OR($AU59="Married",AND($AU59="Single",$AS59&gt;=3)),IF($AY59&lt;250000,8750,IF($AY59&lt;260000,7000,IF($AY59&lt;270000,5250,IF($AY59&lt;280000,3500,IF($AY59&lt;290000,1750,0))))),IF($AY59&lt;125000,8750,IF($AY59&lt;130000,7000,IF($AY59&lt;135000,5250,IF($AY59&lt;140000,3500,IF($AY59&lt;145000,1750,0)))))))-IF(OR($AU59="Married",AND($AU59="Single",$AS59&gt;=3)),5820,2910))-INDEX('Methodology &amp; Sources'!$B$211:$J$214,0,4))*INDEX('Methodology &amp; Sources'!$B$211:$J$214,0,4+2)),SUMPRODUCT((MAX(0,$AY59-MIN(($P59-'Methodology &amp; Sources'!$C$10*$D59)*'Inputs 2'!$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Sources'!$B$211:$J$214,0,1))*(MAX(0,$AY59-MIN(($P59-'Methodology &amp; Sources'!$C$10*$D59)*'Inputs 2'!$C$8,IF(OR($AU59="Married",AND($AU59="Single",$AS59&gt;=3)),IF($AY59&lt;250000,8750,IF($AY59&lt;260000,7000,IF($AY59&lt;270000,5250,IF($AY59&lt;280000,3500,IF($AY59&lt;290000,1750,0))))),IF($AY59&lt;125000,8750,IF($AY59&lt;130000,7000,IF($AY59&lt;135000,5250,IF($AY59&lt;140000,3500,IF($AY59&lt;145000,1750,0)))))))-IF(OR($AU59="Married",AND($AU59="Single",$AS59&gt;=3)),5820,2910))-INDEX('Methodology &amp; Sources'!$B$211:$J$214,0,1))*INDEX('Methodology &amp; Sources'!$B$211:$J$214,0,1+2)))+263-263*IF(IF($AU59="Married",$AY59&gt;200000,$AY59&gt;100000),0,$AS59),IF($AN59="PA",0.0307*(($O59+$E59+$G59)*'Inputs 2'!$C$8),IF($AN59="NY",IF($AU59="Married",IF($AZ59&gt;=2155350,0,IF($AZ59&gt;=1077550,0.48,IF($AZ59&gt;=373200,1.21,IF($AZ59&gt;=323200,0.21,IF($AZ59&gt;=211550,-0.19,IF($AZ59&gt;=157650,-2.8,IF($AZ59&gt;=107650,-0.8,IF($AZ59&gt;=96800,0.05,IF($AZ59&gt;=80650,-0.1,IF($AZ59&gt;=13900,0.4,IF($AZ59&gt;=11700,-0.3,IF($AZ59&gt;=8500,0.5,0)))))))))))),IF($AZ59&gt;=1077550,0,IF($AZ59&gt;=265400,4.29,IF($AZ59&gt;=215400,2.29,IF($AZ59&gt;=157650,2.29,IF($AZ59&gt;=107650,0.29,IF($AZ59&gt;=96800,0.05,IF($AZ59&gt;=80650,-0.1,IF($AZ59&gt;=13900,0.4,IF($AZ59&gt;=11700,-0.3,IF($AZ59&gt;=8500,0.5,0))))))))))),0))))))))))))))))))</f>
      </c>
      <c r="BC59" s="7">
        <f>IF($B59="","",IF($AN59="AL",0.05*$D59,IF($AN59="AR",0.039*$D59,IF($AN59="ID",0.053*$D59,IF($AN59="IN",(0.0295+'Inputs 2'!$C$76)*$D59,IF($AN59="KS",0.05*$D59,IF($AN59="MA",0.09*MIN($D59,MAX(0,MAX(0,$AY59-MIN(($BD58+$Q59+$R59+$S59),2000)-IF($AS59=0,0,IF($AS59=1,4400,1000*$AS59+3400)))+$D59-1107750))+0.05*($D59-MIN($D59,MAX(0,MAX(0,$AY59-MIN(($BD58+$Q59+$R59+$S59),2000)-IF($AS59=0,0,IF($AS59=1,4400,1000*$AS59+3400)))+$D59-1107750))),IF($AN59="MD",(0.065+'Inputs 2'!$C$74)*$D59,IF($AN59="MI",0.0425*$D59,IF($AN59="MN",0.0625*$D59,IF($AN59="MO",0.047*$D59,IF($AN59="MT",0.05*$D59,IF($AN59="ND",0.015*$D59,IF($AN59="NE",0.035*$D59,IF($AN59="NJ",IF('Inputs 2'!$C$77="B",SUMPRODUCT(($D59*'Inputs 2'!$C$8&gt;INDEX('Methodology &amp; Sources'!$B$155:$J$162,0,4))*($D59*'Inputs 2'!$C$8-INDEX('Methodology &amp; Sources'!$B$155:$J$162,0,4))*INDEX('Methodology &amp; Sources'!$B$155:$J$162,0,4+2)),IF('Inputs 2'!$C$77="C",SUMPRODUCT(($D59*'Inputs 2'!$C$8&gt;INDEX('Methodology &amp; Sources'!$B$155:$J$162,0,7))*($D59*'Inputs 2'!$C$8-INDEX('Methodology &amp; Sources'!$B$155:$J$162,0,7))*INDEX('Methodology &amp; Sources'!$B$155:$J$162,0,7+2)),IF('Inputs 2'!$C$77="D",SUMPRODUCT(($D59*'Inputs 2'!$C$8&gt;INDEX('Methodology &amp; Sources'!$B$167:$J$179,0,1))*($D59*'Inputs 2'!$C$8-INDEX('Methodology &amp; Sources'!$B$167:$J$179,0,1))*INDEX('Methodology &amp; Sources'!$B$167:$J$179,0,1+2)),IF('Inputs 2'!$C$77="E",SUMPRODUCT(($D59*'Inputs 2'!$C$8&gt;INDEX('Methodology &amp; Sources'!$B$167:$J$179,0,4))*($D59*'Inputs 2'!$C$8-INDEX('Methodology &amp; Sources'!$B$167:$J$179,0,4))*INDEX('Methodology &amp; Sources'!$B$167:$J$179,0,4+2)),SUMPRODUCT(($D59*'Inputs 2'!$C$8&gt;INDEX('Methodology &amp; Sources'!$B$155:$J$162,0,1))*($D59*'Inputs 2'!$C$8-INDEX('Methodology &amp; Sources'!$B$155:$J$162,0,1))*INDEX('Methodology &amp; Sources'!$B$155:$J$162,0,1+2))))))/'Inputs 2'!$C$8,IF($AN59="NY",0.117*$D59,IF($AN59="OH",0.0275*$D59,IF($AN59="OK",0.045*$D59,IF($AN59="OR",0.08*$D59,IF($AN59="WI",IF($AY59&lt;12760,0.0354,IF($AY59&lt;25520,0.0465,IF($AY59&lt;280950,0.053,0.0765)))*$D59,0))))))))))))))))))))</f>
      </c>
      <c r="BD59" s="7">
        <f>IF($B59="","",$BD58+$Q59+$R59+$S59)</f>
      </c>
      <c r="BE59" s="6">
        <f>IF($B59="",$BE58,$BE58+$BF59)</f>
      </c>
      <c r="BF59" s="6">
        <f>IF($B59="","",IF(AND(IF(YEAR(IF('Inputs 2'!$C$7="Weekly",'Inputs 2'!$C$9+7*(($BE58+1)-1),IF('Inputs 2'!$C$7="Biweekly",'Inputs 2'!$C$9+14*(($BE58+1)-1),IF('Inputs 2'!$C$7="Semimonthly",DATE(YEAR('Inputs 2'!$C$9),MONTH('Inputs 2'!$C$9)+INT((($BE58+1)-1)/2),MIN(DAY('Inputs 2'!$C$9),DAY(EOMONTH(DATE(YEAR('Inputs 2'!$C$9),MONTH('Inputs 2'!$C$9)+INT((($BE58+1)-1)/2),1),0))))+IF(MOD(($BE58+1)-1,2)=1,15,0),EDATE('Inputs 2'!$C$9,($BE58+1)-1)))))&lt;&gt;'Inputs 2'!$C$10,"",IF('Inputs 2'!$C$7="Weekly",'Inputs 2'!$C$9+7*(($BE58+1)-1),IF('Inputs 2'!$C$7="Biweekly",'Inputs 2'!$C$9+14*(($BE58+1)-1),IF('Inputs 2'!$C$7="Semimonthly",DATE(YEAR('Inputs 2'!$C$9),MONTH('Inputs 2'!$C$9)+INT((($BE58+1)-1)/2),MIN(DAY('Inputs 2'!$C$9),DAY(EOMONTH(DATE(YEAR('Inputs 2'!$C$9),MONTH('Inputs 2'!$C$9)+INT((($BE58+1)-1)/2),1),0))))+IF(MOD(($BE58+1)-1,2)=1,15,0),EDATE('Inputs 2'!$C$9,($BE58+1)-1)))))&lt;&gt;"",$B59=IF(YEAR(IF('Inputs 2'!$C$7="Weekly",'Inputs 2'!$C$9+7*(($BE58+1)-1),IF('Inputs 2'!$C$7="Biweekly",'Inputs 2'!$C$9+14*(($BE58+1)-1),IF('Inputs 2'!$C$7="Semimonthly",DATE(YEAR('Inputs 2'!$C$9),MONTH('Inputs 2'!$C$9)+INT((($BE58+1)-1)/2),MIN(DAY('Inputs 2'!$C$9),DAY(EOMONTH(DATE(YEAR('Inputs 2'!$C$9),MONTH('Inputs 2'!$C$9)+INT((($BE58+1)-1)/2),1),0))))+IF(MOD(($BE58+1)-1,2)=1,15,0),EDATE('Inputs 2'!$C$9,($BE58+1)-1)))))&lt;&gt;'Inputs 2'!$C$10,"",IF('Inputs 2'!$C$7="Weekly",'Inputs 2'!$C$9+7*(($BE58+1)-1),IF('Inputs 2'!$C$7="Biweekly",'Inputs 2'!$C$9+14*(($BE58+1)-1),IF('Inputs 2'!$C$7="Semimonthly",DATE(YEAR('Inputs 2'!$C$9),MONTH('Inputs 2'!$C$9)+INT((($BE58+1)-1)/2),MIN(DAY('Inputs 2'!$C$9),DAY(EOMONTH(DATE(YEAR('Inputs 2'!$C$9),MONTH('Inputs 2'!$C$9)+INT((($BE58+1)-1)/2),1),0))))+IF(MOD(($BE58+1)-1,2)=1,15,0),EDATE('Inputs 2'!$C$9,($BE58+1)-1)))))),1,0))</f>
      </c>
      <c r="BG59" s="7">
        <f>IF($B59="","",$BG58+$H59)</f>
      </c>
      <c r="BH59" s="7">
        <f>IF($B59="","",$BH58+$I59)</f>
      </c>
      <c r="BI59" s="7">
        <f>IF($B59="","",$BI58+$G59)</f>
      </c>
      <c r="BJ59" s="7">
        <f>IF($B59="","",IFERROR(LOOKUP(2,1/(((('Events 2'!$C$6:$C$17="Deduction start"))*('Events 2'!$D$6:$D$17="Health FSA"))*('Events 2'!$B$6:$B$17&lt;=$B59)*('Events 2'!$B$6:$B$17&lt;&gt;"")),'Events 2'!$E$6:$E$17),'Inputs 2'!$D$38))</f>
      </c>
      <c r="BK59" s="7">
        <f>IF($B59="","",IFERROR(LOOKUP(2,1/(((('Events 2'!$C$6:$C$17="Deduction start"))*('Events 2'!$D$6:$D$17="Dependent-care FSA"))*('Events 2'!$B$6:$B$17&lt;=$B59)*('Events 2'!$B$6:$B$17&lt;&gt;"")),'Events 2'!$E$6:$E$17),'Inputs 2'!$D$39))</f>
      </c>
      <c r="BL59" s="7">
        <f>IF($B59="","",IFERROR(LOOKUP(2,1/(((('Events 2'!$C$6:$C$17="Deduction start")+('Events 2'!$C$6:$C$17="Deduction stop"))*('Events 2'!$D$6:$D$17="HSA"))*('Events 2'!$B$6:$B$17&lt;=$B59)*('Events 2'!$B$6:$B$17&lt;&gt;"")),'Events 2'!$I$6:$I$17),'Inputs 2'!$D$35))</f>
      </c>
      <c r="BM59" s="7">
        <f>IF($B59="","",IFERROR(LOOKUP(2,1/(((('Events 2'!$C$6:$C$17="Deduction start")+('Events 2'!$C$6:$C$17="Deduction stop"))*('Events 2'!$D$6:$D$17="Premiums"))*('Events 2'!$B$6:$B$17&lt;=$B59)*('Events 2'!$B$6:$B$17&lt;&gt;"")),'Events 2'!$I$6:$I$17),'Inputs 2'!$D$40+'Inputs 2'!$D$41+'Inputs 2'!$D$42))</f>
      </c>
      <c r="BN59" s="7">
        <f>IF($B59="","",IFERROR(LOOKUP(2,1/(((('Events 2'!$C$6:$C$17="Deduction start")+('Events 2'!$C$6:$C$17="Deduction stop"))*('Events 2'!$D$6:$D$17="Commuter"))*('Events 2'!$B$6:$B$17&lt;=$B59)*('Events 2'!$B$6:$B$17&lt;&gt;"")),'Events 2'!$I$6:$I$17),'Inputs 2'!$D$43))</f>
      </c>
      <c r="BO59" s="7">
        <f>IF($B59="","",IFERROR(LOOKUP(2,1/(((('Events 2'!$C$6:$C$17="Deduction start")+('Events 2'!$C$6:$C$17="Deduction stop"))*('Events 2'!$D$6:$D$17="Other pre-tax"))*('Events 2'!$B$6:$B$17&lt;=$B59)*('Events 2'!$B$6:$B$17&lt;&gt;"")),'Events 2'!$I$6:$I$17),'Inputs 2'!$D$44))</f>
      </c>
      <c r="BP59" s="7">
        <f>IF($B59="","",IFERROR(LOOKUP(2,1/(((('Events 2'!$C$6:$C$17="Deduction start")+('Events 2'!$C$6:$C$17="Deduction stop"))*('Events 2'!$D$6:$D$17="Other post-tax"))*('Events 2'!$B$6:$B$17&lt;=$B59)*('Events 2'!$B$6:$B$17&lt;&gt;"")),'Events 2'!$I$6:$I$17),'Inputs 2'!$D$45))</f>
      </c>
      <c r="BQ59" s="6">
        <f>IF($B59="","",IFERROR(LOOKUP(2,1/(((('Events 2'!$C$6:$C$17="Deduction start")+('Events 2'!$C$6:$C$17="Deduction stop"))*('Events 2'!$D$6:$D$17="Health FSA"))*('Events 2'!$B$6:$B$17&lt;=$B59)*('Events 2'!$B$6:$B$17&lt;&gt;"")),'Events 2'!$J$6:$J$17),0))</f>
      </c>
      <c r="BR59" s="6">
        <f>IF($B59="","",IFERROR(LOOKUP(2,1/(((('Events 2'!$C$6:$C$17="Deduction start")+('Events 2'!$C$6:$C$17="Deduction stop"))*('Events 2'!$D$6:$D$17="Dependent-care FSA"))*('Events 2'!$B$6:$B$17&lt;=$B59)*('Events 2'!$B$6:$B$17&lt;&gt;"")),'Events 2'!$J$6:$J$17),0))</f>
      </c>
      <c r="BS59" s="6">
        <f>IF($B59="","",IF(SUMPRODUCT(('Events 2'!$C$6:$C$17="Deduction start")*('Events 2'!$B$6:$B$17&lt;=$B59)*('Events 2'!$B$6:$B$17&lt;&gt;"")*('Events 2'!$D$6:$D$17="Health FSA"))&gt;0,1,0))</f>
      </c>
      <c r="BT59" s="6">
        <f>IF($B59="","",IF(SUMPRODUCT(('Events 2'!$C$6:$C$17="Deduction start")*('Events 2'!$B$6:$B$17&lt;=$B59)*('Events 2'!$B$6:$B$17&lt;&gt;"")*('Events 2'!$D$6:$D$17="Dependent-care FSA"))&gt;0,1,0))</f>
      </c>
      <c r="BU59" s="24">
        <f>IF($B59="","",IF('Inputs 2'!$C$13,SUMPRODUCT(($AH59&gt;=INDEX('Methodology &amp; Sources'!$B$29:$J$36,0,IF('Inputs 2'!$C$12="MFJ",1,IF('Inputs 2'!$C$12="HoH",7,4))))*INDEX('Methodology &amp; Sources'!$B$29:$J$36,0,IF('Inputs 2'!$C$12="MFJ",1,IF('Inputs 2'!$C$12="HoH",7,4))+2)),SUMPRODUCT(($AH59&gt;=INDEX('Methodology &amp; Sources'!$B$19:$J$26,0,IF('Inputs 2'!$C$12="MFJ",1,IF('Inputs 2'!$C$12="HoH",7,4))))*INDEX('Methodology &amp; Sources'!$B$19:$J$26,0,IF('Inputs 2'!$C$12="MFJ",1,IF('Inputs 2'!$C$12="HoH",7,4))+2))))</f>
      </c>
      <c r="BV59" s="24">
        <f>IF($B59="","",IF($BZ59&lt;&gt;"",$BZ59,IF($CA59&lt;&gt;"",$CA59,IF($CB59&lt;&gt;"",$CB59,IF($CC59&lt;&gt;"",$CC59,0)))))</f>
      </c>
      <c r="BW59" s="7">
        <f>IF($B59="","",IF($AN59="MD",IF(OR($AU59="Married",$AU59="Head of household"),SUMPRODUCT(($AZ59&gt;INDEX('Methodology &amp; Sources'!$B$114:$J$120,0,1))*($AZ59-INDEX('Methodology &amp; Sources'!$B$114:$J$120,0,1))*INDEX('Methodology &amp; Sources'!$B$114:$J$120,0,1+2)),SUMPRODUCT(($AZ59&gt;INDEX('Methodology &amp; Sources'!$B$103:$J$109,0,7))*($AZ59-INDEX('Methodology &amp; Sources'!$B$103:$J$109,0,7))*INDEX('Methodology &amp; Sources'!$B$103:$J$109,0,7+2))),IF($AN59="MO",SUMPRODUCT(($AZ59&gt;INDEX('Methodology &amp; Sources'!$B$125:$J$132,0,1))*($AZ59-INDEX('Methodology &amp; Sources'!$B$125:$J$132,0,1))*INDEX('Methodology &amp; Sources'!$B$125:$J$132,0,1+2)),IF($AN59="MT",IF($AU59="Head of household",SUMPRODUCT(($AZ59&gt;INDEX('Methodology &amp; Sources'!$B$137:$J$139,0,1))*($AZ59-INDEX('Methodology &amp; Sources'!$B$137:$J$139,0,1))*INDEX('Methodology &amp; Sources'!$B$137:$J$139,0,1+2)),IF($AU59="Married",SUMPRODUCT(($AZ59&gt;INDEX('Methodology &amp; Sources'!$B$125:$J$132,0,7))*($AZ59-INDEX('Methodology &amp; Sources'!$B$125:$J$132,0,7))*INDEX('Methodology &amp; Sources'!$B$125:$J$132,0,7+2)),SUMPRODUCT(($AZ59&gt;INDEX('Methodology &amp; Sources'!$B$125:$J$132,0,4))*($AZ59-INDEX('Methodology &amp; Sources'!$B$125:$J$132,0,4))*INDEX('Methodology &amp; Sources'!$B$125:$J$132,0,4+2)))),IF($AN59="ND",IF($AU59="Head of household",SUMPRODUCT(($AZ59&gt;INDEX('Methodology &amp; Sources'!$B$144:$J$150,0,1))*($AZ59-INDEX('Methodology &amp; Sources'!$B$144:$J$150,0,1))*INDEX('Methodology &amp; Sources'!$B$144:$J$150,0,1+2)),IF($AU59="Married",SUMPRODUCT(($AZ59&gt;INDEX('Methodology &amp; Sources'!$B$137:$J$139,0,7))*($AZ59-INDEX('Methodology &amp; Sources'!$B$137:$J$139,0,7))*INDEX('Methodology &amp; Sources'!$B$137:$J$139,0,7+2)),SUMPRODUCT(($AZ59&gt;INDEX('Methodology &amp; Sources'!$B$137:$J$139,0,4))*($AZ59-INDEX('Methodology &amp; Sources'!$B$137:$J$139,0,4))*INDEX('Methodology &amp; Sources'!$B$137:$J$139,0,4+2)))),IF($AN59="NJ",IF('Inputs 2'!$C$77="B",SUMPRODUCT(($AZ59&gt;INDEX('Methodology &amp; Sources'!$B$155:$J$162,0,4))*($AZ59-INDEX('Methodology &amp; Sources'!$B$155:$J$162,0,4))*INDEX('Methodology &amp; Sources'!$B$155:$J$162,0,4+2)),IF('Inputs 2'!$C$77="C",SUMPRODUCT(($AZ59&gt;INDEX('Methodology &amp; Sources'!$B$155:$J$162,0,7))*($AZ59-INDEX('Methodology &amp; Sources'!$B$155:$J$162,0,7))*INDEX('Methodology &amp; Sources'!$B$155:$J$162,0,7+2)),IF('Inputs 2'!$C$77="D",SUMPRODUCT(($AZ59&gt;INDEX('Methodology &amp; Sources'!$B$167:$J$179,0,1))*($AZ59-INDEX('Methodology &amp; Sources'!$B$167:$J$179,0,1))*INDEX('Methodology &amp; Sources'!$B$167:$J$179,0,1+2)),IF('Inputs 2'!$C$77="E",SUMPRODUCT(($AZ59&gt;INDEX('Methodology &amp; Sources'!$B$167:$J$179,0,4))*($AZ59-INDEX('Methodology &amp; Sources'!$B$167:$J$179,0,4))*INDEX('Methodology &amp; Sources'!$B$167:$J$179,0,4+2)),SUMPRODUCT(($AZ59&gt;INDEX('Methodology &amp; Sources'!$B$155:$J$162,0,1))*($AZ59-INDEX('Methodology &amp; Sources'!$B$155:$J$162,0,1))*INDEX('Methodology &amp; Sources'!$B$155:$J$162,0,1+2)))))),IF($AN59="NY",IF($AU59="Married",IF($AZ59&gt;=2155350,$AZ59*IF($AZ59&gt;25000000,0.117,IF($AZ59&gt;5000000,0.111,0.1045)),SUMPRODUCT(($AZ59&gt;INDEX('Methodology &amp; Sources'!$B$184:$J$198,0,1))*($AZ59-INDEX('Methodology &amp; Sources'!$B$184:$J$198,0,1))*INDEX('Methodology &amp; Sources'!$B$184:$J$198,0,1+2))),IF($AZ59&gt;=1077550,$AZ59*IF($AZ59&gt;25000000,0.117,IF($AZ59&gt;5000000,0.111,0.1045)),SUMPRODUCT(($AZ59&gt;INDEX('Methodology &amp; Sources'!$B$167:$J$179,0,7))*($AZ59-INDEX('Methodology &amp; Sources'!$B$167:$J$179,0,7))*INDEX('Methodology &amp; Sources'!$B$167:$J$179,0,7+2)))),"")))))))</f>
      </c>
      <c r="BX59" s="7">
        <f>IF($B59="","",IF($AN59="AL",IF(OR($AU59="Married",$AU59="Head of household"),SUMPRODUCT(($AZ59&gt;INDEX('Methodology &amp; Sources'!$B$82:$J$86,0,4))*($AZ59-INDEX('Methodology &amp; Sources'!$B$82:$J$86,0,4))*INDEX('Methodology &amp; Sources'!$B$82:$J$86,0,4+2)),SUMPRODUCT(($AZ59&gt;INDEX('Methodology &amp; Sources'!$B$82:$J$86,0,1))*($AZ59-INDEX('Methodology &amp; Sources'!$B$82:$J$86,0,1))*INDEX('Methodology &amp; Sources'!$B$82:$J$86,0,1+2))),IF($AN59="KS",IF($AU59="Married",SUMPRODUCT(($AZ59&gt;INDEX('Methodology &amp; Sources'!$B$103:$J$109,0,4))*($AZ59-INDEX('Methodology &amp; Sources'!$B$103:$J$109,0,4))*INDEX('Methodology &amp; Sources'!$B$103:$J$109,0,4+2)),SUMPRODUCT(($AZ59&gt;INDEX('Methodology &amp; Sources'!$B$103:$J$109,0,1))*($AZ59-INDEX('Methodology &amp; Sources'!$B$103:$J$109,0,1))*INDEX('Methodology &amp; Sources'!$B$103:$J$109,0,1+2))),IF($AN59="MN",IF($AU59="Married",SUMPRODUCT(($AZ59&gt;INDEX('Methodology &amp; Sources'!$B$114:$J$120,0,7))*($AZ59-INDEX('Methodology &amp; Sources'!$B$114:$J$120,0,7))*INDEX('Methodology &amp; Sources'!$B$114:$J$120,0,7+2)),SUMPRODUCT(($AZ59&gt;INDEX('Methodology &amp; Sources'!$B$114:$J$120,0,4))*($AZ59-INDEX('Methodology &amp; Sources'!$B$114:$J$120,0,4))*INDEX('Methodology &amp; Sources'!$B$114:$J$120,0,4+2))),IF($AN59="NE",MAX(IF($AU59="Married",SUMPRODUCT(($AZ59&gt;INDEX('Methodology &amp; Sources'!$B$144:$J$150,0,7))*($AZ59-INDEX('Methodology &amp; Sources'!$B$144:$J$150,0,7))*INDEX('Methodology &amp; Sources'!$B$144:$J$150,0,7+2)),SUMPRODUCT(($AZ59&gt;INDEX('Methodology &amp; Sources'!$B$144:$J$150,0,4))*($AZ59-INDEX('Methodology &amp; Sources'!$B$144:$J$150,0,4))*INDEX('Methodology &amp; Sources'!$B$144:$J$150,0,4+2))),0.015*$AZ59),IF($AN59="OH",IF($B59&gt;=DATE(2027,8,1),SUMPRODUCT(($AZ59&gt;INDEX('Methodology &amp; Sources'!$B$203:$J$206,0,1))*($AZ59-INDEX('Methodology &amp; Sources'!$B$203:$J$206,0,1))*INDEX('Methodology &amp; Sources'!$B$203:$J$206,0,1+2)),SUMPRODUCT(($AZ59&gt;INDEX('Methodology &amp; Sources'!$B$184:$J$198,0,7))*($AZ59-INDEX('Methodology &amp; Sources'!$B$184:$J$198,0,7))*INDEX('Methodology &amp; Sources'!$B$184:$J$198,0,7+2))),IF($AN59="OK",IF($AU59="Married",SUMPRODUCT(($AZ59&gt;INDEX('Methodology &amp; Sources'!$B$203:$J$206,0,7))*($AZ59-INDEX('Methodology &amp; Sources'!$B$203:$J$206,0,7))*INDEX('Methodology &amp; Sources'!$B$203:$J$206,0,7+2)),SUMPRODUCT(($AZ59&gt;INDEX('Methodology &amp; Sources'!$B$203:$J$206,0,4))*($AZ59-INDEX('Methodology &amp; Sources'!$B$203:$J$206,0,4))*INDEX('Methodology &amp; Sources'!$B$203:$J$206,0,4+2))),IF($AN59="RI",SUMPRODUCT(($AZ59&gt;INDEX('Methodology &amp; Sources'!$B$211:$J$214,0,7))*($AZ59-INDEX('Methodology &amp; Sources'!$B$211:$J$214,0,7))*INDEX('Methodology &amp; Sources'!$B$211:$J$214,0,7+2)),IF($AN59="VT",IF($AU59="Married",SUMPRODUCT(($AZ59&gt;INDEX('Methodology &amp; Sources'!$B$228:$J$232,0,1))*($AZ59-INDEX('Methodology &amp; Sources'!$B$228:$J$232,0,1))*INDEX('Methodology &amp; Sources'!$B$228:$J$232,0,1+2)),SUMPRODUCT(($AZ59&gt;INDEX('Methodology &amp; Sources'!$B$219:$J$223,0,7))*($AZ59-INDEX('Methodology &amp; Sources'!$B$219:$J$223,0,7))*INDEX('Methodology &amp; Sources'!$B$219:$J$223,0,7+2))),IF($AN59="WV",IF($AU59="Married",SUMPRODUCT(($AZ59&gt;INDEX('Methodology &amp; Sources'!$B$237:$J$241,0,7))*($AZ59-INDEX('Methodology &amp; Sources'!$B$237:$J$241,0,7))*INDEX('Methodology &amp; Sources'!$B$237:$J$241,0,7+2)),SUMPRODUCT(($AZ59&gt;INDEX('Methodology &amp; Sources'!$B$228:$J$232,0,7))*($AZ59-INDEX('Methodology &amp; Sources'!$B$228:$J$232,0,7))*INDEX('Methodology &amp; Sources'!$B$228:$J$232,0,7+2))),""))))))))))</f>
      </c>
      <c r="BY59" s="7">
        <f>IF($B59="","",IF($AN59="AR",SUMPRODUCT(($AZ59&gt;INDEX('Methodology &amp; Sources'!$B$82:$J$86,0,7))*($AZ59-INDEX('Methodology &amp; Sources'!$B$82:$J$86,0,7))*INDEX('Methodology &amp; Sources'!$B$82:$J$86,0,7+2)),IF($AN59="DE",SUMPRODUCT(($AZ59&gt;INDEX('Methodology &amp; Sources'!$B$91:$J$98,0,1))*($AZ59-INDEX('Methodology &amp; Sources'!$B$91:$J$98,0,1))*INDEX('Methodology &amp; Sources'!$B$91:$J$98,0,1+2)),IF($AN59="HI",IF($AU59="Married",SUMPRODUCT(($AZ59&gt;INDEX('Methodology &amp; Sources'!$B$91:$J$98,0,7))*($AZ59-INDEX('Methodology &amp; Sources'!$B$91:$J$98,0,7))*INDEX('Methodology &amp; Sources'!$B$91:$J$98,0,7+2)),SUMPRODUCT(($AZ59&gt;INDEX('Methodology &amp; Sources'!$B$91:$J$98,0,4))*($AZ59-INDEX('Methodology &amp; Sources'!$B$91:$J$98,0,4))*INDEX('Methodology &amp; Sources'!$B$91:$J$98,0,4+2))),IF($AN59="SC",SUMPRODUCT(($AZ59&gt;INDEX('Methodology &amp; Sources'!$B$219:$J$223,0,1))*($AZ59-INDEX('Methodology &amp; Sources'!$B$219:$J$223,0,1))*INDEX('Methodology &amp; Sources'!$B$219:$J$223,0,1+2)),IF($AN59="VA",SUMPRODUCT(($AZ59&gt;INDEX('Methodology &amp; Sources'!$B$219:$J$223,0,4))*($AZ59-INDEX('Methodology &amp; Sources'!$B$219:$J$223,0,4))*INDEX('Methodology &amp; Sources'!$B$219:$J$223,0,4+2)),IF($AN59="WI",SUMPRODUCT(($AZ59&gt;INDEX('Methodology &amp; Sources'!$B$228:$J$232,0,4))*($AZ59-INDEX('Methodology &amp; Sources'!$B$228:$J$232,0,4))*INDEX('Methodology &amp; Sources'!$B$228:$J$232,0,4+2)),"")))))))</f>
      </c>
      <c r="BZ59" s="24">
        <f>IF($B59="","",IF($AN59="NJ",IF('Inputs 2'!$C$77="B",SUMPRODUCT(($AZ59&gt;=INDEX('Methodology &amp; Sources'!$B$155:$J$162,0,4))*INDEX('Methodology &amp; Sources'!$B$155:$J$162,0,4+2)),IF('Inputs 2'!$C$77="C",SUMPRODUCT(($AZ59&gt;=INDEX('Methodology &amp; Sources'!$B$155:$J$162,0,7))*INDEX('Methodology &amp; Sources'!$B$155:$J$162,0,7+2)),IF('Inputs 2'!$C$77="D",SUMPRODUCT(($AZ59&gt;=INDEX('Methodology &amp; Sources'!$B$167:$J$179,0,1))*INDEX('Methodology &amp; Sources'!$B$167:$J$179,0,1+2)),IF('Inputs 2'!$C$77="E",SUMPRODUCT(($AZ59&gt;=INDEX('Methodology &amp; Sources'!$B$167:$J$179,0,4))*INDEX('Methodology &amp; Sources'!$B$167:$J$179,0,4+2)),SUMPRODUCT(($AZ59&gt;=INDEX('Methodology &amp; Sources'!$B$155:$J$162,0,1))*INDEX('Methodology &amp; Sources'!$B$155:$J$162,0,1+2)))))),IF($AN59="OR",IF(OR($AU59="Married",AND($AU59="Single",$AS59&gt;=3)),SUMPRODUCT((MAX(0,$AY59-MIN(($P59-'Methodology &amp; Sources'!$C$10*$D59)*'Inputs 2'!$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Sources'!$B$211:$J$214,0,4))*INDEX('Methodology &amp; Sources'!$B$211:$J$214,0,4+2)),SUMPRODUCT((MAX(0,$AY59-MIN(($P59-'Methodology &amp; Sources'!$C$10*$D59)*'Inputs 2'!$C$8,IF(OR($AU59="Married",AND($AU59="Single",$AS59&gt;=3)),IF($AY59&lt;250000,8750,IF($AY59&lt;260000,7000,IF($AY59&lt;270000,5250,IF($AY59&lt;280000,3500,IF($AY59&lt;290000,1750,0))))),IF($AY59&lt;125000,8750,IF($AY59&lt;130000,7000,IF($AY59&lt;135000,5250,IF($AY59&lt;140000,3500,IF($AY59&lt;145000,1750,0)))))))-IF(OR($AU59="Married",AND($AU59="Single",$AS59&gt;=3)),5820,2910))&gt;=INDEX('Methodology &amp; Sources'!$B$211:$J$214,0,1))*INDEX('Methodology &amp; Sources'!$B$211:$J$214,0,1+2)))*IF(($P59-'Methodology &amp; Sources'!$C$10*$D59)*'Inputs 2'!$C$8&gt;=IF(OR($AU59="Married",AND($AU59="Single",$AS59&gt;=3)),IF($AY59&lt;250000,8750,IF($AY59&lt;260000,7000,IF($AY59&lt;270000,5250,IF($AY59&lt;280000,3500,IF($AY59&lt;290000,1750,0))))),IF($AY59&lt;125000,8750,IF($AY59&lt;130000,7000,IF($AY59&lt;135000,5250,IF($AY59&lt;140000,3500,IF($AY59&lt;145000,1750,0)))))),1,1-IF('Inputs 2'!$C$13,SUMPRODUCT(($AH59&gt;=INDEX('Methodology &amp; Sources'!$B$29:$J$36,0,IF('Inputs 2'!$C$12="MFJ",1,IF('Inputs 2'!$C$12="HoH",7,4))))*INDEX('Methodology &amp; Sources'!$B$29:$J$36,0,IF('Inputs 2'!$C$12="MFJ",1,IF('Inputs 2'!$C$12="HoH",7,4))+2)),SUMPRODUCT(($AH59&gt;=INDEX('Methodology &amp; Sources'!$B$19:$J$26,0,IF('Inputs 2'!$C$12="MFJ",1,IF('Inputs 2'!$C$12="HoH",7,4))))*INDEX('Methodology &amp; Sources'!$B$19:$J$26,0,IF('Inputs 2'!$C$12="MFJ",1,IF('Inputs 2'!$C$12="HoH",7,4))+2)))),IF($AN59="MI",IF($AY59&gt;5900*$AS59,0.0425,0),""))))</f>
      </c>
      <c r="CA59" s="24">
        <f>IF($B59="","",IF($AN59="AL",IF(OR($AU59="Married",$AU59="Head of household"),SUMPRODUCT(($AZ59&gt;=INDEX('Methodology &amp; Sources'!$B$82:$J$86,0,4))*INDEX('Methodology &amp; Sources'!$B$82:$J$86,0,4+2)),SUMPRODUCT(($AZ59&gt;=INDEX('Methodology &amp; Sources'!$B$82:$J$86,0,1))*INDEX('Methodology &amp; Sources'!$B$82:$J$86,0,1+2)))*(1-IF('Inputs 2'!$C$13,SUMPRODUCT(($AH59&gt;=INDEX('Methodology &amp; Sources'!$B$29:$J$36,0,IF('Inputs 2'!$C$12="MFJ",1,IF('Inputs 2'!$C$12="HoH",7,4))))*INDEX('Methodology &amp; Sources'!$B$29:$J$36,0,IF('Inputs 2'!$C$12="MFJ",1,IF('Inputs 2'!$C$12="HoH",7,4))+2)),SUMPRODUCT(($AH59&gt;=INDEX('Methodology &amp; Sources'!$B$19:$J$26,0,IF('Inputs 2'!$C$12="MFJ",1,IF('Inputs 2'!$C$12="HoH",7,4))))*INDEX('Methodology &amp; Sources'!$B$19:$J$26,0,IF('Inputs 2'!$C$12="MFJ",1,IF('Inputs 2'!$C$12="HoH",7,4))+2)))),IF($AN59="KS",IF($AU59="Married",SUMPRODUCT(($AZ59&gt;=INDEX('Methodology &amp; Sources'!$B$103:$J$109,0,4))*INDEX('Methodology &amp; Sources'!$B$103:$J$109,0,4+2)),SUMPRODUCT(($AZ59&gt;=INDEX('Methodology &amp; Sources'!$B$103:$J$109,0,1))*INDEX('Methodology &amp; Sources'!$B$103:$J$109,0,1+2))),IF($AN59="MD",IF(OR($AU59="Married",$AU59="Head of household"),SUMPRODUCT(($AZ59&gt;=INDEX('Methodology &amp; Sources'!$B$114:$J$120,0,1))*INDEX('Methodology &amp; Sources'!$B$114:$J$120,0,1+2)),SUMPRODUCT(($AZ59&gt;=INDEX('Methodology &amp; Sources'!$B$103:$J$109,0,7))*INDEX('Methodology &amp; Sources'!$B$103:$J$109,0,7+2)))+'Inputs 2'!$C$74,IF($AN59="MT",IF($AU59="Head of household",SUMPRODUCT(($AZ59&gt;=INDEX('Methodology &amp; Sources'!$B$137:$J$139,0,1))*INDEX('Methodology &amp; Sources'!$B$137:$J$139,0,1+2)),IF($AU59="Married",SUMPRODUCT(($AZ59&gt;=INDEX('Methodology &amp; Sources'!$B$125:$J$132,0,7))*INDEX('Methodology &amp; Sources'!$B$125:$J$132,0,7+2)),SUMPRODUCT(($AZ59&gt;=INDEX('Methodology &amp; Sources'!$B$125:$J$132,0,4))*INDEX('Methodology &amp; Sources'!$B$125:$J$132,0,4+2)))),IF($AN59="ND",IF($AU59="Head of household",SUMPRODUCT(($AZ59&gt;=INDEX('Methodology &amp; Sources'!$B$144:$J$150,0,1))*INDEX('Methodology &amp; Sources'!$B$144:$J$150,0,1+2)),IF($AU59="Married",SUMPRODUCT(($AZ59&gt;=INDEX('Methodology &amp; Sources'!$B$137:$J$139,0,7))*INDEX('Methodology &amp; Sources'!$B$137:$J$139,0,7+2)),SUMPRODUCT(($AZ59&gt;=INDEX('Methodology &amp; Sources'!$B$137:$J$139,0,4))*INDEX('Methodology &amp; Sources'!$B$137:$J$139,0,4+2)))),IF($AN59="NY",IF($AU59="Married",IF($AZ59&gt;=2155350,IF($AZ59&gt;25000000,0.117,IF($AZ59&gt;5000000,0.111,0.1045)),SUMPRODUCT(($AZ59&gt;=INDEX('Methodology &amp; Sources'!$B$184:$J$198,0,1))*INDEX('Methodology &amp; Sources'!$B$184:$J$198,0,1+2))),IF($AZ59&gt;=1077550,IF($AZ59&gt;25000000,0.117,IF($AZ59&gt;5000000,0.111,0.1045)),SUMPRODUCT(($AZ59&gt;=INDEX('Methodology &amp; Sources'!$B$167:$J$179,0,7))*INDEX('Methodology &amp; Sources'!$B$167:$J$179,0,7+2)))),"")))))))</f>
      </c>
      <c r="CB59" s="24">
        <f>IF($B59="","",IF($AN59="CA",SUMPRODUCT(($AJ59&gt;=INDEX('Methodology &amp; Sources'!$B$39:$J$48,0,IF($AU59="Married",4,IF($AU59="Head of household",7,1))))*INDEX('Methodology &amp; Sources'!$B$39:$J$48,0,IF($AU59="Married",4,IF($AU59="Head of household",7,1))+2)),IF($AN59="HI",IF($AU59="Married",SUMPRODUCT(($AZ59&gt;=INDEX('Methodology &amp; Sources'!$B$91:$J$98,0,7))*INDEX('Methodology &amp; Sources'!$B$91:$J$98,0,7+2)),SUMPRODUCT(($AZ59&gt;=INDEX('Methodology &amp; Sources'!$B$91:$J$98,0,4))*INDEX('Methodology &amp; Sources'!$B$91:$J$98,0,4+2))),IF($AN59="MN",IF($AU59="Married",SUMPRODUCT(($AZ59&gt;=INDEX('Methodology &amp; Sources'!$B$114:$J$120,0,7))*INDEX('Methodology &amp; Sources'!$B$114:$J$120,0,7+2)),SUMPRODUCT(($AZ59&gt;=INDEX('Methodology &amp; Sources'!$B$114:$J$120,0,4))*INDEX('Methodology &amp; Sources'!$B$114:$J$120,0,4+2))),IF($AN59="MO",SUMPRODUCT(($AZ59&gt;=INDEX('Methodology &amp; Sources'!$B$125:$J$132,0,1))*INDEX('Methodology &amp; Sources'!$B$125:$J$132,0,1+2)),IF($AN59="NE",MAX(IF($AU59="Married",SUMPRODUCT(($AZ59&gt;=INDEX('Methodology &amp; Sources'!$B$144:$J$150,0,7))*INDEX('Methodology &amp; Sources'!$B$144:$J$150,0,7+2)),SUMPRODUCT(($AZ59&gt;=INDEX('Methodology &amp; Sources'!$B$144:$J$150,0,4))*INDEX('Methodology &amp; Sources'!$B$144:$J$150,0,4+2))),0.015),IF($AN59="OH",IF($B59&gt;=DATE(2027,8,1),SUMPRODUCT(($AZ59&gt;=INDEX('Methodology &amp; Sources'!$B$203:$J$206,0,1))*INDEX('Methodology &amp; Sources'!$B$203:$J$206,0,1+2)),SUMPRODUCT(($AZ59&gt;=INDEX('Methodology &amp; Sources'!$B$184:$J$198,0,7))*INDEX('Methodology &amp; Sources'!$B$184:$J$198,0,7+2))),IF($AN59="OK",IF($AU59="Married",SUMPRODUCT(($AZ59&gt;=INDEX('Methodology &amp; Sources'!$B$203:$J$206,0,7))*INDEX('Methodology &amp; Sources'!$B$203:$J$206,0,7+2)),SUMPRODUCT(($AZ59&gt;=INDEX('Methodology &amp; Sources'!$B$203:$J$206,0,4))*INDEX('Methodology &amp; Sources'!$B$203:$J$206,0,4+2))),IF($AN59="RI",SUMPRODUCT(($AZ59&gt;=INDEX('Methodology &amp; Sources'!$B$211:$J$214,0,7))*INDEX('Methodology &amp; Sources'!$B$211:$J$214,0,7+2)),IF($AN59="SC",SUMPRODUCT(($AZ59&gt;=INDEX('Methodology &amp; Sources'!$B$219:$J$223,0,1))*INDEX('Methodology &amp; Sources'!$B$219:$J$223,0,1+2)),IF($AN59="VT",IF($AU59="Married",SUMPRODUCT(($AZ59&gt;=INDEX('Methodology &amp; Sources'!$B$228:$J$232,0,1))*INDEX('Methodology &amp; Sources'!$B$228:$J$232,0,1+2)),SUMPRODUCT(($AZ59&gt;=INDEX('Methodology &amp; Sources'!$B$219:$J$223,0,7))*INDEX('Methodology &amp; Sources'!$B$219:$J$223,0,7+2))),IF($AN59="WV",IF($AU59="Married",SUMPRODUCT(($AZ59&gt;=INDEX('Methodology &amp; Sources'!$B$237:$J$241,0,7))*INDEX('Methodology &amp; Sources'!$B$237:$J$241,0,7+2)),SUMPRODUCT(($AZ59&gt;=INDEX('Methodology &amp; Sources'!$B$228:$J$232,0,7))*INDEX('Methodology &amp; Sources'!$B$228:$J$232,0,7+2))),IF($AN59="IN",(0.0295+'Inputs 2'!$C$76),"")))))))))))))</f>
      </c>
      <c r="CC59" s="24">
        <f>IF($B59="","",IF($AN59="AR",SUMPRODUCT(($AZ59&gt;=INDEX('Methodology &amp; Sources'!$B$82:$J$86,0,7))*INDEX('Methodology &amp; Sources'!$B$82:$J$86,0,7+2)),IF($AN59="DE",SUMPRODUCT(($AZ59&gt;=INDEX('Methodology &amp; Sources'!$B$91:$J$98,0,1))*INDEX('Methodology &amp; Sources'!$B$91:$J$98,0,1+2)),IF($AN59="VA",SUMPRODUCT(($AZ59&gt;=INDEX('Methodology &amp; Sources'!$B$219:$J$223,0,4))*INDEX('Methodology &amp; Sources'!$B$219:$J$223,0,4+2)),IF($AN59="WI",SUMPRODUCT(($AZ59&gt;=INDEX('Methodology &amp; Sources'!$B$228:$J$232,0,4))*INDEX('Methodology &amp; Sources'!$B$228:$J$232,0,4+2)),IF($AN59="AZ",'Inputs 2'!$C$82,IF($AN59="CO",IF($AY59&gt;IF($AU59="Married",10000,5000),0.044,0),IF($AN59="IA",IF($AY59&gt;IF($AU59="Head of household",19500,IF($AU59="Married",26000,13000)),0.038,0),IF($AN59="ID",IF($AY59&gt;IF($AU59="Married",32000,16094),0.053,0),IF($AN59="IL",IF($AY59&gt;(2925*$AS59+1000*$AT59),0.0495,0),IF($AN59="KY",IF($AI59&gt;3360,0.035,0),IF($AN59="LA",0.0309,IF($AN59="MA",IF(MAX(0,$AY59-MIN(($BD58+$Q59+$R59+$S59),2000)-IF($AS59=0,0,IF($AS59=1,4400,1000*$AS59+3400)))&gt;=1107750,0.09,0.05),IF($AN59="MS",IF($AI59-IF($AU59="Head of household",3400,IF($AU59="Married",4600,2300))-'Inputs 2'!$C$85&gt;10000,0.04,0),IF($AN59="PA",0.0307,"")))))))))))))))</f>
      </c>
      <c r="CD59" s="21">
        <f>IF(YEAR(IF('Inputs 2'!$C$7="Weekly",'Inputs 2'!$C$9+7*(($BE58+1)-1),IF('Inputs 2'!$C$7="Biweekly",'Inputs 2'!$C$9+14*(($BE58+1)-1),IF('Inputs 2'!$C$7="Semimonthly",DATE(YEAR('Inputs 2'!$C$9),MONTH('Inputs 2'!$C$9)+INT((($BE58+1)-1)/2),MIN(DAY('Inputs 2'!$C$9),DAY(EOMONTH(DATE(YEAR('Inputs 2'!$C$9),MONTH('Inputs 2'!$C$9)+INT((($BE58+1)-1)/2),1),0))))+IF(MOD(($BE58+1)-1,2)=1,15,0),EDATE('Inputs 2'!$C$9,($BE58+1)-1)))))&lt;&gt;'Inputs 2'!$C$10,"",IF('Inputs 2'!$C$7="Weekly",'Inputs 2'!$C$9+7*(($BE58+1)-1),IF('Inputs 2'!$C$7="Biweekly",'Inputs 2'!$C$9+14*(($BE58+1)-1),IF('Inputs 2'!$C$7="Semimonthly",DATE(YEAR('Inputs 2'!$C$9),MONTH('Inputs 2'!$C$9)+INT((($BE58+1)-1)/2),MIN(DAY('Inputs 2'!$C$9),DAY(EOMONTH(DATE(YEAR('Inputs 2'!$C$9),MONTH('Inputs 2'!$C$9)+INT((($BE58+1)-1)/2),1),0))))+IF(MOD(($BE58+1)-1,2)=1,15,0),EDATE('Inputs 2'!$C$9,($BE58+1)-1)))))</f>
      </c>
      <c r="CE59" s="21">
        <f>IF(SUMPRODUCT(MIN(IF(('Inputs 2'!$C$58:$C$67&gt;MAX($B$6:$B58))*('Inputs 2'!$C$58:$C$67&gt;=DATE('Inputs 2'!$C$10,1,1))*('Inputs 2'!$C$58:$C$67&lt;=DATE('Inputs 2'!$C$10,12,31)),'Inputs 2'!$C$58:$C$67,999999)))=999999,"",SUMPRODUCT(MIN(IF(('Inputs 2'!$C$58:$C$67&gt;MAX($B$6:$B58))*('Inputs 2'!$C$58:$C$67&gt;=DATE('Inputs 2'!$C$10,1,1))*('Inputs 2'!$C$58:$C$67&lt;=DATE('Inputs 2'!$C$10,12,31)),'Inputs 2'!$C$58:$C$67,999999))))</f>
      </c>
    </row>
    <row r="60">
      <c r="A60" t="n">
        <v>55</v>
      </c>
      <c r="B60" s="21">
        <f>IF(AND($CD60="",$CE60=""),"",IF($CE60="",$CD60,IF($CD60="",$CE60,MIN($CD60,$CE60))))</f>
      </c>
      <c r="C60" s="7">
        <f>IF($B60="","",IF($BF60=0,0,IF('Inputs 2'!$C$4="Annual salary",ROUND($AK60/IF(AND('Inputs 2'!$C$88="Actual paydays",MONTH('Inputs 2'!$C$9)=1),MAX(1,MAX($BE$6:$BE$68)),'Inputs 2'!$C$8),2),$AK60)))</f>
      </c>
      <c r="D60" s="7">
        <f>IF($B60="","",SUMIF('Inputs 2'!$C$58:$C$67,$B60,'Inputs 2'!$D$58:$D$67))</f>
      </c>
      <c r="E60" s="7">
        <f>IF($B60="","",ROUND(MAX(0,MIN(IF($AL60="Percent",$AM60*($C60+$D60),$AM60),MAX(0,'Inputs 2'!$C$34-$AC59))),2))</f>
      </c>
      <c r="F60" s="7">
        <f>IF($B60="","",ROUND(MAX(0,MIN(IF('Inputs 2'!$C$32="Percent",'Inputs 2'!$D$32*($C60+$D60),'Inputs 2'!$D$32),MAX(0,'Inputs 2'!$C$34-$AC59-$E60))),2))</f>
      </c>
      <c r="G60" s="7">
        <f>IF($B60="","",IF($BF60=0,0,ROUND(MAX(0,MIN($BL60,'Inputs 2'!$C$37-'Inputs 2'!$C$54-$BI59)),2)))</f>
      </c>
      <c r="H60" s="7">
        <f>IF($B60="","",IF(OR($BF60=0,$BQ60=1),0,ROUND(MAX(0,MIN(IF($BS60=1,ROUND(MAX(0,MIN($BJ60,'Methodology &amp; Sources'!$C$13)-$BG59)/MAX(1,MAX($BE$6:$BE$68)-($BE59)),2),ROUND(MIN($BJ60,'Methodology &amp; Sources'!$C$13)/'Inputs 2'!$C$8,2)),MIN($BJ60,'Methodology &amp; Sources'!$C$13)-$BG59)),2)))</f>
      </c>
      <c r="I60" s="7">
        <f>IF($B60="","",IF(OR($BF60=0,$BR60=1),0,ROUND(MAX(0,MIN(IF($BT60=1,ROUND(MAX(0,MIN($BK60,IF('Inputs 2'!$C$12="MFJ",'Methodology &amp; Sources'!$C$14,'Methodology &amp; Sources'!$C$15))-$BH59)/MAX(1,MAX($BE$6:$BE$68)-($BE59)),2),ROUND(MIN($BK60,IF('Inputs 2'!$C$12="MFJ",'Methodology &amp; Sources'!$C$14,'Methodology &amp; Sources'!$C$15))/'Inputs 2'!$C$8,2)),MIN($BK60,IF('Inputs 2'!$C$12="MFJ",'Methodology &amp; Sources'!$C$14,'Methodology &amp; Sources'!$C$15))-$BH59)),2)))</f>
      </c>
      <c r="J60" s="7">
        <f>IF($B60="","",IF($BF60=0,0,$BM60))</f>
      </c>
      <c r="K60" s="7">
        <f>IF($B60="","",IF($BF60=0,0,$BN60+$BO60))</f>
      </c>
      <c r="L60" s="7">
        <f>IF($B60="","",IF($BF60=0,0,'Inputs 2'!$D$46))</f>
      </c>
      <c r="M60" s="7">
        <f>IF($B60="","",$C60+$D60+$L60-$E60-$G60-$H60-$I60-$J60-$K60)</f>
      </c>
      <c r="N60" s="7">
        <f>IF($B60="","",$C60+$D60+$L60-$G60-$H60-$I60-$J60-$K60)</f>
      </c>
      <c r="O60" s="7">
        <f>IF($B60="","",$C60+$D60+$L60-$E60-$H60-$I60-$J60-$K60-IF(OR($AN60="CA",$AN60="NJ"),0,$G60))</f>
      </c>
      <c r="P60" s="7">
        <f>IF($B60="","",IF('Inputs 2'!$C$18,0,ROUND(MAX(0,IF('Inputs 2'!$C$13,SUMPRODUCT(($AH60&gt;INDEX('Methodology &amp; Sources'!$B$29:$J$36,0,IF('Inputs 2'!$C$12="MFJ",1,IF('Inputs 2'!$C$12="HoH",7,4))))*($AH60-INDEX('Methodology &amp; Sources'!$B$29:$J$36,0,IF('Inputs 2'!$C$12="MFJ",1,IF('Inputs 2'!$C$12="HoH",7,4))))*INDEX('Methodology &amp; Sources'!$B$29:$J$36,0,IF('Inputs 2'!$C$12="MFJ",1,IF('Inputs 2'!$C$12="HoH",7,4))+2)),SUMPRODUCT(($AH60&gt;INDEX('Methodology &amp; Sources'!$B$19:$J$26,0,IF('Inputs 2'!$C$12="MFJ",1,IF('Inputs 2'!$C$12="HoH",7,4))))*($AH60-INDEX('Methodology &amp; Sources'!$B$19:$J$26,0,IF('Inputs 2'!$C$12="MFJ",1,IF('Inputs 2'!$C$12="HoH",7,4))))*INDEX('Methodology &amp; Sources'!$B$19:$J$26,0,IF('Inputs 2'!$C$12="MFJ",1,IF('Inputs 2'!$C$12="HoH",7,4))+2)))/'Inputs 2'!$C$8-$AO60/'Inputs 2'!$C$8)+$AR60+IF('Inputs 2'!$C$89="Aggregate",MAX(0,IF('Inputs 2'!$C$13,SUMPRODUCT((($AH60+$D60)&gt;INDEX('Methodology &amp; Sources'!$B$29:$J$36,0,IF('Inputs 2'!$C$12="MFJ",1,IF('Inputs 2'!$C$12="HoH",7,4))))*(($AH60+$D60)-INDEX('Methodology &amp; Sources'!$B$29:$J$36,0,IF('Inputs 2'!$C$12="MFJ",1,IF('Inputs 2'!$C$12="HoH",7,4))))*INDEX('Methodology &amp; Sources'!$B$29:$J$36,0,IF('Inputs 2'!$C$12="MFJ",1,IF('Inputs 2'!$C$12="HoH",7,4))+2)),SUMPRODUCT((($AH60+$D60)&gt;INDEX('Methodology &amp; Sources'!$B$19:$J$26,0,IF('Inputs 2'!$C$12="MFJ",1,IF('Inputs 2'!$C$12="HoH",7,4))))*(($AH60+$D60)-INDEX('Methodology &amp; Sources'!$B$19:$J$26,0,IF('Inputs 2'!$C$12="MFJ",1,IF('Inputs 2'!$C$12="HoH",7,4))))*INDEX('Methodology &amp; Sources'!$B$19:$J$26,0,IF('Inputs 2'!$C$12="MFJ",1,IF('Inputs 2'!$C$12="HoH",7,4))+2)))-IF('Inputs 2'!$C$13,SUMPRODUCT(($AH60&gt;INDEX('Methodology &amp; Sources'!$B$29:$J$36,0,IF('Inputs 2'!$C$12="MFJ",1,IF('Inputs 2'!$C$12="HoH",7,4))))*($AH60-INDEX('Methodology &amp; Sources'!$B$29:$J$36,0,IF('Inputs 2'!$C$12="MFJ",1,IF('Inputs 2'!$C$12="HoH",7,4))))*INDEX('Methodology &amp; Sources'!$B$29:$J$36,0,IF('Inputs 2'!$C$12="MFJ",1,IF('Inputs 2'!$C$12="HoH",7,4))+2)),SUMPRODUCT(($AH60&gt;INDEX('Methodology &amp; Sources'!$B$19:$J$26,0,IF('Inputs 2'!$C$12="MFJ",1,IF('Inputs 2'!$C$12="HoH",7,4))))*($AH60-INDEX('Methodology &amp; Sources'!$B$19:$J$26,0,IF('Inputs 2'!$C$12="MFJ",1,IF('Inputs 2'!$C$12="HoH",7,4))))*INDEX('Methodology &amp; Sources'!$B$19:$J$26,0,IF('Inputs 2'!$C$12="MFJ",1,IF('Inputs 2'!$C$12="HoH",7,4))+2)))),'Methodology &amp; Sources'!$C$10*$D60),2)))</f>
      </c>
      <c r="Q60" s="7">
        <f>IF($B60="","",ROUND('Methodology &amp; Sources'!$C$4*MIN($N60,MAX(0,'Methodology &amp; Sources'!$C$3-($AX60+$AB59-$AW60))),2))</f>
      </c>
      <c r="R60" s="7">
        <f>IF($B60="","",ROUND('Methodology &amp; Sources'!$C$5*$N60,2))</f>
      </c>
      <c r="S60" s="7">
        <f>IF($B60="","",ROUND('Methodology &amp; Sources'!$C$6*MAX(0,MIN($N60,$AG59+$N60-'Methodology &amp; Sources'!$C$7)),2))</f>
      </c>
      <c r="T60" s="7">
        <f>IF($B60="","",IF('Inputs 2'!$C$26,0,IF($AN60="CA",ROUND(IF($AI60&lt;=IF(($AS60+$AT60)&gt;=2,VLOOKUP($AN60,StateTables!$A$6:$AB$56,10,FALSE),VLOOKUP($AN60,StateTables!$A$6:$AB$56,9,FALSE)),0,MAX(0,SUMPRODUCT(($AJ60&gt;INDEX('Methodology &amp; Sources'!$B$39:$J$48,0,IF($AU60="Married",4,IF($AU60="Head of household",7,1))))*($AJ60-INDEX('Methodology &amp; Sources'!$B$39:$J$48,0,IF($AU60="Married",4,IF($AU60="Head of household",7,1))))*INDEX('Methodology &amp; Sources'!$B$39:$J$48,0,IF($AU60="Married",4,IF($AU60="Head of household",7,1))+2))-VLOOKUP($AN60,StateTables!$A$6:$AB$56,11,FALSE)*$AS60)/'Inputs 2'!$C$8)+'Inputs 2'!$C$25+VLOOKUP($AN60,StateTables!$A$6:$AB$56,13,FALSE)*$D60,2),IF(VLOOKUP($AN60,StateTables!$A$6:$AB$56,4,FALSE)="None",0,IF(ISNUMBER(SEARCH("MANUAL",VLOOKUP($AN60,StateTables!$A$6:$AB$56,5,FALSE))),'Inputs 2'!$C$28,ROUND(MAX(0,$BA60+$BB60)/'Inputs 2'!$C$8+'Inputs 2'!$C$25+$BC60,2))))))</f>
      </c>
      <c r="U60" s="7">
        <f>IF($B60="","",IF(VLOOKUP($AN60,StateTables!$A$6:$AB$56,24,FALSE)="flatq",IF(OR(MONTH($B60)=1,MONTH($B60)=4,MONTH($B60)=7,MONTH($B60)=10),VLOOKUP($AN60,StateTables!$A$6:$AB$56,25,FALSE),0),IF(VLOOKUP($AN60,StateTables!$A$6:$AB$56,24,FALSE)="dbl",MIN(ROUND(0.005*$N60,2),ROUND(0.6*52/'Inputs 2'!$C$8,2)),IF(OR(VLOOKUP($AN60,StateTables!$A$6:$AB$56,15,FALSE)="",VLOOKUP($AN60,StateTables!$A$6:$AB$56,15,FALSE)=0),0,ROUND(VLOOKUP($AN60,StateTables!$A$6:$AB$56,15,FALSE)*IF(OR(VLOOKUP($AN60,StateTables!$A$6:$AB$56,16,FALSE)="",VLOOKUP($AN60,StateTables!$A$6:$AB$56,16,FALSE)=0),$N60,MIN($N60,MAX(0,VLOOKUP($AN60,StateTables!$A$6:$AB$56,16,FALSE)-($AX60+$AB59-$AW60)))),2))))+IF(VLOOKUP($AN60,StateTables!$A$6:$AB$56,27,FALSE)="flatq",IF(OR(MONTH($B60)=1,MONTH($B60)=4,MONTH($B60)=7,MONTH($B60)=10),VLOOKUP($AN60,StateTables!$A$6:$AB$56,28,FALSE),0),IF(VLOOKUP($AN60,StateTables!$A$6:$AB$56,27,FALSE)="dbl",MIN(ROUND(0.005*$N60,2),ROUND(0.6*52/'Inputs 2'!$C$8,2)),IF(OR(VLOOKUP($AN60,StateTables!$A$6:$AB$56,18,FALSE)="",VLOOKUP($AN60,StateTables!$A$6:$AB$56,18,FALSE)=0),0,ROUND(VLOOKUP($AN60,StateTables!$A$6:$AB$56,18,FALSE)*IF(OR(VLOOKUP($AN60,StateTables!$A$6:$AB$56,19,FALSE)="",VLOOKUP($AN60,StateTables!$A$6:$AB$56,19,FALSE)=0),$N60,MIN($N60,MAX(0,VLOOKUP($AN60,StateTables!$A$6:$AB$56,19,FALSE)-($AX60+$AB59-$AW60)))),2)))))</f>
      </c>
      <c r="V60" s="7">
        <f>IF($B60="","",IF($AN60="NY",IF('Inputs 2'!$C$78,ROUND(SUMPRODUCT((MAX(0,($O60-$D60)*'Inputs 2'!$C$8-(IF($AU60="Married",5500,5000)+1000*$AS60))&gt;INDEX('Methodology &amp; Sources'!$B$184:$J$198,0,4))*(MAX(0,($O60-$D60)*'Inputs 2'!$C$8-(IF($AU60="Married",5500,5000)+1000*$AS60))-INDEX('Methodology &amp; Sources'!$B$184:$J$198,0,4))*INDEX('Methodology &amp; Sources'!$B$184:$J$198,0,4+2))/'Inputs 2'!$C$8+0.0425*$D60,2),0)+IF('Inputs 2'!$C$79="Resident",ROUND(0.1675*$T60,2),IF('Inputs 2'!$C$79="Nonresident",ROUND(0.005*MAX(0,($O60-$D60)-(IF($AU60="Married",7950,7400)+1000*$AS60)/'Inputs 2'!$C$8),2),0)),IF($AN60="PA",IF('Inputs 2'!$C$80="None",'Inputs 2'!$C$27+ROUND('Inputs 2'!$C$81*($C60+$D60),2),ROUND(IF('Inputs 2'!$C$80="Resident",IF($B60&lt;DATE(2027,7,1),0.03735,0.03735),IF($B60&lt;DATE(2027,7,1),0.03425,0.03425))*($C60+$D60),2)),IF($BF60=0,ROUND('Inputs 2'!$C$81*($C60+$D60),2),'Inputs 2'!$C$27+ROUND('Inputs 2'!$C$81*($C60+$D60),2)))))</f>
      </c>
      <c r="W60" s="7">
        <f>IF($B60="","",IF($BF60=0,0,$BP60))</f>
      </c>
      <c r="X60" s="7">
        <f>IF($B60="","",SUM($E60:$K60)+$P60+$Q60+$R60+$S60+$T60+$U60+$V60+$W60)</f>
      </c>
      <c r="Y60" s="22">
        <f>IF($B60="","",$C60+$D60-$X60)</f>
      </c>
      <c r="Z60" s="7">
        <f>IF($B60="","",$Z59+$C60+$D60)</f>
      </c>
      <c r="AA60" s="7">
        <f>IF($B60="","",$AA59+$Y60)</f>
      </c>
      <c r="AB60" s="7">
        <f>IF($B60="","",$AB59+MIN($N60,MAX(0,'Methodology &amp; Sources'!$C$3-($AX60+$AB59-$AW60))))</f>
      </c>
      <c r="AC60" s="7">
        <f>IF($B60="","",$AC59+$E60+$F60)</f>
      </c>
      <c r="AD60" s="3">
        <f>IF($B60="","",IF(AND($AB59&lt;'Methodology &amp; Sources'!$C$3,$AB60&gt;='Methodology &amp; Sources'!$C$3),"★ Social Security maxed on this check — from the next check your net rises by about $"&amp;TEXT(ROUND('Methodology &amp; Sources'!$C$4*$N60,2),"#,##0.00")&amp;". ","")&amp;IF(AND($AC59&lt;'Inputs 2'!$C$34,$AC60&gt;='Inputs 2'!$C$34),"★ 401(k) reaches the $"&amp;TEXT('Inputs 2'!$C$34,"#,##0")&amp;" cap on this check — deferrals stop and net pay rises. ","")&amp;IF(AND($AG59&lt;'Methodology &amp; Sources'!$C$7,$AG60&gt;='Methodology &amp; Sources'!$C$7),"★ Wages pass $200,000 — the 0.9% Additional Medicare Tax starts here. ","")&amp;IF(AND($BJ60&gt;0,$H60&gt;0,$BG59&lt;MIN($BJ60,'Methodology &amp; Sources'!$C$13),$BG59+$H60&gt;=MIN($BJ60,'Methodology &amp; Sources'!$C$13)),"★ Health FSA election is now fully deferred for the year. ",""))</f>
      </c>
      <c r="AE60" s="41" t="n"/>
      <c r="AF60" s="7">
        <f>IF(OR($B60="",$AE60=""),"",$AE60-$Y60)</f>
      </c>
      <c r="AG60" s="7">
        <f>IF($B60="","",$AG59+$N60)</f>
      </c>
      <c r="AH60" s="7">
        <f>IF($B60="","",MAX(0,($M60-$D60)*'Inputs 2'!$C$8+$AP60-$AQ60-IF('Inputs 2'!$C$13,0,IF('Inputs 2'!$C$12="MFJ",'Methodology &amp; Sources'!$C$8,'Methodology &amp; Sources'!$C$9))))</f>
      </c>
      <c r="AI60" s="7">
        <f>IF($B60="","",$O60*'Inputs 2'!$C$8)</f>
      </c>
      <c r="AJ60" s="7">
        <f>IF($B60="","",MAX(0,$AI60-VLOOKUP($AN60,StateTables!$A$6:$AB$56,12,FALSE)*$AT60-IF(($AS60+$AT60)&gt;=2,VLOOKUP($AN60,StateTables!$A$6:$AB$56,8,FALSE),VLOOKUP($AN60,StateTables!$A$6:$AB$56,7,FALSE))))</f>
      </c>
      <c r="AK60" s="7">
        <f>IF($B60="","",IFERROR(LOOKUP(2,1/(('Events 2'!$C$6:$C$17="Salary change")*('Events 2'!$B$6:$B$17&lt;=$B60)*('Events 2'!$B$6:$B$17&lt;&gt;"")),'Events 2'!$D$6:$D$17),IF('Inputs 2'!$C$4="Annual salary",'Inputs 2'!$C$5,'Inputs 2'!$C$6)))</f>
      </c>
      <c r="AL60">
        <f>IF($B60="","",IFERROR(LOOKUP(2,1/(('Events 2'!$C$6:$C$17="401(k) change")*('Events 2'!$B$6:$B$17&lt;=$B60)*('Events 2'!$B$6:$B$17&lt;&gt;"")),'Events 2'!$D$6:$D$17),'Inputs 2'!$C$30))</f>
      </c>
      <c r="AM60" s="7">
        <f>IF($B60="","",IFERROR(LOOKUP(2,1/(('Events 2'!$C$6:$C$17="401(k) change")*('Events 2'!$B$6:$B$17&lt;=$B60)*('Events 2'!$B$6:$B$17&lt;&gt;"")),'Events 2'!$E$6:$E$17),'Inputs 2'!$D$30))</f>
      </c>
      <c r="AN60">
        <f>IF($B60="","",IFERROR(LOOKUP(2,1/(('Events 2'!$C$6:$C$17="State move")*('Events 2'!$B$6:$B$17&lt;=$B60)*('Events 2'!$B$6:$B$17&lt;&gt;"")),'Events 2'!$D$6:$D$17),'Inputs 2'!$C$21))</f>
      </c>
      <c r="AO60" s="7">
        <f>IF($B60="","",IFERROR(LOOKUP(2,1/(('Events 2'!$C$6:$C$17="W-4 change")*('Events 2'!$B$6:$B$17&lt;=$B60)*('Events 2'!$B$6:$B$17&lt;&gt;"")),'Events 2'!$D$6:$D$17),'Inputs 2'!$C$14))</f>
      </c>
      <c r="AP60" s="7">
        <f>IF($B60="","",IFERROR(LOOKUP(2,1/(('Events 2'!$C$6:$C$17="W-4 change")*('Events 2'!$B$6:$B$17&lt;=$B60)*('Events 2'!$B$6:$B$17&lt;&gt;"")),'Events 2'!$E$6:$E$17),'Inputs 2'!$C$15))</f>
      </c>
      <c r="AQ60" s="7">
        <f>IF($B60="","",IFERROR(LOOKUP(2,1/(('Events 2'!$C$6:$C$17="W-4 change")*('Events 2'!$B$6:$B$17&lt;=$B60)*('Events 2'!$B$6:$B$17&lt;&gt;"")),'Events 2'!$F$6:$F$17),'Inputs 2'!$C$16))</f>
      </c>
      <c r="AR60" s="7">
        <f>IF($B60="","",IFERROR(LOOKUP(2,1/(('Events 2'!$C$6:$C$17="W-4 change")*('Events 2'!$B$6:$B$17&lt;=$B60)*('Events 2'!$B$6:$B$17&lt;&gt;"")),'Events 2'!$G$6:$G$17),'Inputs 2'!$C$17))</f>
      </c>
      <c r="AS60" s="6">
        <f>IF($B60="","",IFERROR(LOOKUP(2,1/((('Events 2'!$C$6:$C$17="State move")+('Events 2'!$C$6:$C$17="State cert change"))*('Events 2'!$B$6:$B$17&lt;=$B60)*('Events 2'!$B$6:$B$17&lt;&gt;"")),'Events 2'!$F$6:$F$17),'Inputs 2'!$C$23))</f>
      </c>
      <c r="AT60" s="6">
        <f>IF($B60="","",IFERROR(LOOKUP(2,1/((('Events 2'!$C$6:$C$17="State move")+('Events 2'!$C$6:$C$17="State cert change"))*('Events 2'!$B$6:$B$17&lt;=$B60)*('Events 2'!$B$6:$B$17&lt;&gt;"")),'Events 2'!$G$6:$G$17),'Inputs 2'!$C$24))</f>
      </c>
      <c r="AU60">
        <f>IF($B60="","",IFERROR(LOOKUP(2,1/(('Events 2'!$C$6:$C$17="State move")*('Events 2'!$B$6:$B$17&lt;=$B60)*('Events 2'!$B$6:$B$17&lt;&gt;"")),'Events 2'!$E$6:$E$17),'Inputs 2'!$C$22))</f>
      </c>
      <c r="AV60" s="6">
        <f>IF($B60="","",1+COUNTIFS('Events 2'!$C$6:$C$17,"Employer change",'Events 2'!$B$6:$B$17,"&lt;="&amp;$B60,'Events 2'!$B$6:$B$17,"&lt;&gt;"))</f>
      </c>
      <c r="AW60" s="7">
        <f>IF($B60="","",IF($AV60=1,'Inputs 2'!$C$49,IF(IFERROR(MATCH(IFERROR(LOOKUP(2,1/(('Events 2'!$C$6:$C$17="Employer change")*('Events 2'!$B$6:$B$17&lt;=$B60)*('Events 2'!$B$6:$B$17&lt;&gt;"")),'Events 2'!$B$6:$B$17),""),$B$6:$B$68,1),1)&lt;=1,'Inputs 2'!$C$49,INDEX($AB$6:$AB$68,MATCH(IFERROR(LOOKUP(2,1/(('Events 2'!$C$6:$C$17="Employer change")*('Events 2'!$B$6:$B$17&lt;=$B60)*('Events 2'!$B$6:$B$17&lt;&gt;"")),'Events 2'!$B$6:$B$17),""),$B$6:$B$68,1)-1))))</f>
      </c>
      <c r="AX60" s="7">
        <f>IF($B60="","",IF($AV60=1,'Inputs 2'!$C$49,IFERROR(LOOKUP(2,1/(('Events 2'!$C$6:$C$17="Employer change")*('Events 2'!$B$6:$B$17&lt;=$B60)*('Events 2'!$B$6:$B$17&lt;&gt;"")),'Events 2'!$D$6:$D$17),0)))</f>
      </c>
      <c r="AY60" s="7">
        <f>IF($B60="","",($O60-$D60)*'Inputs 2'!$C$8)</f>
      </c>
      <c r="AZ60" s="7">
        <f>IF($B60="","",IF($AN60="AL",MAX(0,$AY60-IF($AU60="Married",IF($AY60&lt;=25999,8500,MAX(5000,8500-175*CEILING(($AY60-25999)/500,1))),IF($AU60="Head of household",IF($AY60&lt;=25999,5200,MAX(2500,5200-135*CEILING(($AY60-25999)/500,1))),IF($AY60&lt;=25999,3000,MAX(2500,3000-25*CEILING(($AY60-25999)/500,1)))))-($P60-'Methodology &amp; Sources'!$C$10*$D60)*'Inputs 2'!$C$8-IF(OR($AU60="Married",$AU60="Head of household"),3000,1500)-$AT60*IF($AY60&lt;=50000,1000,IF($AY60&lt;=100000,500,300))),IF($AN60="AR",IF(MAX(0,$AY60-2470)&lt;97701,INT(MAX(0,$AY60-2470)/100)*100+50,MAX(0,$AY60-2470)),IF($AN60="DE",MAX(0,$AI60-3250),IF($AN60="HI",MAX(0,$AI60-1144*$AS60-4350),IF($AN60="KS",MAX(0,$AI60-(9160*IF($AU60="Married",2,1)+2320*$AT60+IF($AU60="Head of household",2320,0))),IF($AN60="MD",MAX(0,$AI60-3400-3200*$AS60),IF($AN60="MN",MAX(0,$AY60-5300*$AS60),IF($AN60="MO",MAX(0,$AI60-IF($AU60="Head of household",24150,IF($AU60="Married",IF('Inputs 2'!$C$83,16100,32200),16100))),IF($AN60="MT",$AY60,IF($AN60="ND",($C60+$L60)*'Inputs 2'!$C$8,IF($AN60="NE",MAX(0,$AY60-2440*$AS60),IF($AN60="NJ",MAX(0,$AY60-1000*$AS60),IF($AN60="NY",MAX(0,$AY60-(IF($AU60="Married",7950,7400)+1000*$AS60)),IF($AN60="OH",MAX(0,$AY60-650*$AS60),IF($AN60="OK",MAX(0,$AY60-1000*$AS60),IF($AN60="RI",MAX(0,$AI60-1000*$AS60),IF($AN60="SC",MAX(0,$AI60-5000*$AS60-IF($AS60=0,0,MIN(0.1*$AI60,7500))),IF($AN60="VA",MAX(0,$AI60-IF($AU60="Married",17500,8750)-930*$AS60-800*$AT60),IF($AN60="VT",MAX(0,$AI60-5400*$AS60),IF($AN60="WI",MAX(0,$AI60-MAX(0,IF($AU60="Married",9461-0.2*MAX(0,$AI60-25727),6702-0.12*MAX(0,$AI60-17780)))-400*$AS60),IF($AN60="WV",MAX(0,$AI60-2000*$AS60),$AI60))))))))))))))))))))))</f>
      </c>
      <c r="BA60" s="7">
        <f>IF($B60="","",IF($BW60&lt;&gt;"",$BW60,IF($BX60&lt;&gt;"",$BX60,IF($BY60&lt;&gt;"",$BY60,0))))</f>
      </c>
      <c r="BB60" s="7">
        <f>IF($B60="","",IF($AN60="AR",-29*$AS60,IF($AN60="DE",-110*$AS60,IF($AN60="MD",$AZ60*'Inputs 2'!$C$74,IF($AN60="AZ",'Inputs 2'!$C$82*($M60-$D60)*'Inputs 2'!$C$8,IF($AN60="CO",0.044*MAX(0,$AY60-IF($AU60="Married",10000,5000)),IF($AN60="IA",MAX(0,0.038*MAX(0,$AY60-IF($AU60="Head of household",19500,IF($AU60="Married",26000,13000)))-40*$AS60),IF($AN60="ID",0.053*MAX(0,$AY60-IF($AU60="Married",32000,16094)),IF($AN60="IL",0.0495*MAX(0,$AY60-(2925*$AS60+1000*$AT60)),IF($AN60="IN",(0.0295+'Inputs 2'!$C$76)*MAX(0,$AY60-(1000*$AS60+1500*$AT60+3000*'Inputs 2'!$C$86)),IF($AN60="KY",0.035*MAX(0,$AI60-3360),IF($AN60="LA",IF('Inputs 2'!$C$84="0",0.0309*$AI60,0.0309*MAX(0,$AI60-IF('Inputs 2'!$C$84="2",25750,12875))),IF($AN60="MA",0.05*MIN(MAX(0,$AY60-MIN(($BD59+$Q60+$R60+$S60),2000)-IF($AS60=0,0,IF($AS60=1,4400,1000*$AS60+3400))),1107750)+0.09*MAX(0,MAX(0,$AY60-MIN(($BD59+$Q60+$R60+$S60),2000)-IF($AS60=0,0,IF($AS60=1,4400,1000*$AS60+3400)))-1107750)-IF($AU60="Head of household",120,0)-110*'Inputs 2'!$C$75,IF($AN60="MI",0.0425*MAX(0,$AY60-5900*$AS60),IF($AN60="MS",0.04*MAX(0,$AI60-IF($AU60="Head of household",3400,IF($AU60="Married",4600,2300))-'Inputs 2'!$C$85-10000),IF($AN60="OR",IF(OR($AU60="Married",AND($AU60="Single",$AS60&gt;=3)),SUMPRODUCT((MAX(0,$AY60-MIN(($P60-'Methodology &amp; Sources'!$C$10*$D60)*'Inputs 2'!$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Sources'!$B$211:$J$214,0,4))*(MAX(0,$AY60-MIN(($P60-'Methodology &amp; Sources'!$C$10*$D60)*'Inputs 2'!$C$8,IF(OR($AU60="Married",AND($AU60="Single",$AS60&gt;=3)),IF($AY60&lt;250000,8750,IF($AY60&lt;260000,7000,IF($AY60&lt;270000,5250,IF($AY60&lt;280000,3500,IF($AY60&lt;290000,1750,0))))),IF($AY60&lt;125000,8750,IF($AY60&lt;130000,7000,IF($AY60&lt;135000,5250,IF($AY60&lt;140000,3500,IF($AY60&lt;145000,1750,0)))))))-IF(OR($AU60="Married",AND($AU60="Single",$AS60&gt;=3)),5820,2910))-INDEX('Methodology &amp; Sources'!$B$211:$J$214,0,4))*INDEX('Methodology &amp; Sources'!$B$211:$J$214,0,4+2)),SUMPRODUCT((MAX(0,$AY60-MIN(($P60-'Methodology &amp; Sources'!$C$10*$D60)*'Inputs 2'!$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Sources'!$B$211:$J$214,0,1))*(MAX(0,$AY60-MIN(($P60-'Methodology &amp; Sources'!$C$10*$D60)*'Inputs 2'!$C$8,IF(OR($AU60="Married",AND($AU60="Single",$AS60&gt;=3)),IF($AY60&lt;250000,8750,IF($AY60&lt;260000,7000,IF($AY60&lt;270000,5250,IF($AY60&lt;280000,3500,IF($AY60&lt;290000,1750,0))))),IF($AY60&lt;125000,8750,IF($AY60&lt;130000,7000,IF($AY60&lt;135000,5250,IF($AY60&lt;140000,3500,IF($AY60&lt;145000,1750,0)))))))-IF(OR($AU60="Married",AND($AU60="Single",$AS60&gt;=3)),5820,2910))-INDEX('Methodology &amp; Sources'!$B$211:$J$214,0,1))*INDEX('Methodology &amp; Sources'!$B$211:$J$214,0,1+2)))+263-263*IF(IF($AU60="Married",$AY60&gt;200000,$AY60&gt;100000),0,$AS60),IF($AN60="PA",0.0307*(($O60+$E60+$G60)*'Inputs 2'!$C$8),IF($AN60="NY",IF($AU60="Married",IF($AZ60&gt;=2155350,0,IF($AZ60&gt;=1077550,0.48,IF($AZ60&gt;=373200,1.21,IF($AZ60&gt;=323200,0.21,IF($AZ60&gt;=211550,-0.19,IF($AZ60&gt;=157650,-2.8,IF($AZ60&gt;=107650,-0.8,IF($AZ60&gt;=96800,0.05,IF($AZ60&gt;=80650,-0.1,IF($AZ60&gt;=13900,0.4,IF($AZ60&gt;=11700,-0.3,IF($AZ60&gt;=8500,0.5,0)))))))))))),IF($AZ60&gt;=1077550,0,IF($AZ60&gt;=265400,4.29,IF($AZ60&gt;=215400,2.29,IF($AZ60&gt;=157650,2.29,IF($AZ60&gt;=107650,0.29,IF($AZ60&gt;=96800,0.05,IF($AZ60&gt;=80650,-0.1,IF($AZ60&gt;=13900,0.4,IF($AZ60&gt;=11700,-0.3,IF($AZ60&gt;=8500,0.5,0))))))))))),0))))))))))))))))))</f>
      </c>
      <c r="BC60" s="7">
        <f>IF($B60="","",IF($AN60="AL",0.05*$D60,IF($AN60="AR",0.039*$D60,IF($AN60="ID",0.053*$D60,IF($AN60="IN",(0.0295+'Inputs 2'!$C$76)*$D60,IF($AN60="KS",0.05*$D60,IF($AN60="MA",0.09*MIN($D60,MAX(0,MAX(0,$AY60-MIN(($BD59+$Q60+$R60+$S60),2000)-IF($AS60=0,0,IF($AS60=1,4400,1000*$AS60+3400)))+$D60-1107750))+0.05*($D60-MIN($D60,MAX(0,MAX(0,$AY60-MIN(($BD59+$Q60+$R60+$S60),2000)-IF($AS60=0,0,IF($AS60=1,4400,1000*$AS60+3400)))+$D60-1107750))),IF($AN60="MD",(0.065+'Inputs 2'!$C$74)*$D60,IF($AN60="MI",0.0425*$D60,IF($AN60="MN",0.0625*$D60,IF($AN60="MO",0.047*$D60,IF($AN60="MT",0.05*$D60,IF($AN60="ND",0.015*$D60,IF($AN60="NE",0.035*$D60,IF($AN60="NJ",IF('Inputs 2'!$C$77="B",SUMPRODUCT(($D60*'Inputs 2'!$C$8&gt;INDEX('Methodology &amp; Sources'!$B$155:$J$162,0,4))*($D60*'Inputs 2'!$C$8-INDEX('Methodology &amp; Sources'!$B$155:$J$162,0,4))*INDEX('Methodology &amp; Sources'!$B$155:$J$162,0,4+2)),IF('Inputs 2'!$C$77="C",SUMPRODUCT(($D60*'Inputs 2'!$C$8&gt;INDEX('Methodology &amp; Sources'!$B$155:$J$162,0,7))*($D60*'Inputs 2'!$C$8-INDEX('Methodology &amp; Sources'!$B$155:$J$162,0,7))*INDEX('Methodology &amp; Sources'!$B$155:$J$162,0,7+2)),IF('Inputs 2'!$C$77="D",SUMPRODUCT(($D60*'Inputs 2'!$C$8&gt;INDEX('Methodology &amp; Sources'!$B$167:$J$179,0,1))*($D60*'Inputs 2'!$C$8-INDEX('Methodology &amp; Sources'!$B$167:$J$179,0,1))*INDEX('Methodology &amp; Sources'!$B$167:$J$179,0,1+2)),IF('Inputs 2'!$C$77="E",SUMPRODUCT(($D60*'Inputs 2'!$C$8&gt;INDEX('Methodology &amp; Sources'!$B$167:$J$179,0,4))*($D60*'Inputs 2'!$C$8-INDEX('Methodology &amp; Sources'!$B$167:$J$179,0,4))*INDEX('Methodology &amp; Sources'!$B$167:$J$179,0,4+2)),SUMPRODUCT(($D60*'Inputs 2'!$C$8&gt;INDEX('Methodology &amp; Sources'!$B$155:$J$162,0,1))*($D60*'Inputs 2'!$C$8-INDEX('Methodology &amp; Sources'!$B$155:$J$162,0,1))*INDEX('Methodology &amp; Sources'!$B$155:$J$162,0,1+2))))))/'Inputs 2'!$C$8,IF($AN60="NY",0.117*$D60,IF($AN60="OH",0.0275*$D60,IF($AN60="OK",0.045*$D60,IF($AN60="OR",0.08*$D60,IF($AN60="WI",IF($AY60&lt;12760,0.0354,IF($AY60&lt;25520,0.0465,IF($AY60&lt;280950,0.053,0.0765)))*$D60,0))))))))))))))))))))</f>
      </c>
      <c r="BD60" s="7">
        <f>IF($B60="","",$BD59+$Q60+$R60+$S60)</f>
      </c>
      <c r="BE60" s="6">
        <f>IF($B60="",$BE59,$BE59+$BF60)</f>
      </c>
      <c r="BF60" s="6">
        <f>IF($B60="","",IF(AND(IF(YEAR(IF('Inputs 2'!$C$7="Weekly",'Inputs 2'!$C$9+7*(($BE59+1)-1),IF('Inputs 2'!$C$7="Biweekly",'Inputs 2'!$C$9+14*(($BE59+1)-1),IF('Inputs 2'!$C$7="Semimonthly",DATE(YEAR('Inputs 2'!$C$9),MONTH('Inputs 2'!$C$9)+INT((($BE59+1)-1)/2),MIN(DAY('Inputs 2'!$C$9),DAY(EOMONTH(DATE(YEAR('Inputs 2'!$C$9),MONTH('Inputs 2'!$C$9)+INT((($BE59+1)-1)/2),1),0))))+IF(MOD(($BE59+1)-1,2)=1,15,0),EDATE('Inputs 2'!$C$9,($BE59+1)-1)))))&lt;&gt;'Inputs 2'!$C$10,"",IF('Inputs 2'!$C$7="Weekly",'Inputs 2'!$C$9+7*(($BE59+1)-1),IF('Inputs 2'!$C$7="Biweekly",'Inputs 2'!$C$9+14*(($BE59+1)-1),IF('Inputs 2'!$C$7="Semimonthly",DATE(YEAR('Inputs 2'!$C$9),MONTH('Inputs 2'!$C$9)+INT((($BE59+1)-1)/2),MIN(DAY('Inputs 2'!$C$9),DAY(EOMONTH(DATE(YEAR('Inputs 2'!$C$9),MONTH('Inputs 2'!$C$9)+INT((($BE59+1)-1)/2),1),0))))+IF(MOD(($BE59+1)-1,2)=1,15,0),EDATE('Inputs 2'!$C$9,($BE59+1)-1)))))&lt;&gt;"",$B60=IF(YEAR(IF('Inputs 2'!$C$7="Weekly",'Inputs 2'!$C$9+7*(($BE59+1)-1),IF('Inputs 2'!$C$7="Biweekly",'Inputs 2'!$C$9+14*(($BE59+1)-1),IF('Inputs 2'!$C$7="Semimonthly",DATE(YEAR('Inputs 2'!$C$9),MONTH('Inputs 2'!$C$9)+INT((($BE59+1)-1)/2),MIN(DAY('Inputs 2'!$C$9),DAY(EOMONTH(DATE(YEAR('Inputs 2'!$C$9),MONTH('Inputs 2'!$C$9)+INT((($BE59+1)-1)/2),1),0))))+IF(MOD(($BE59+1)-1,2)=1,15,0),EDATE('Inputs 2'!$C$9,($BE59+1)-1)))))&lt;&gt;'Inputs 2'!$C$10,"",IF('Inputs 2'!$C$7="Weekly",'Inputs 2'!$C$9+7*(($BE59+1)-1),IF('Inputs 2'!$C$7="Biweekly",'Inputs 2'!$C$9+14*(($BE59+1)-1),IF('Inputs 2'!$C$7="Semimonthly",DATE(YEAR('Inputs 2'!$C$9),MONTH('Inputs 2'!$C$9)+INT((($BE59+1)-1)/2),MIN(DAY('Inputs 2'!$C$9),DAY(EOMONTH(DATE(YEAR('Inputs 2'!$C$9),MONTH('Inputs 2'!$C$9)+INT((($BE59+1)-1)/2),1),0))))+IF(MOD(($BE59+1)-1,2)=1,15,0),EDATE('Inputs 2'!$C$9,($BE59+1)-1)))))),1,0))</f>
      </c>
      <c r="BG60" s="7">
        <f>IF($B60="","",$BG59+$H60)</f>
      </c>
      <c r="BH60" s="7">
        <f>IF($B60="","",$BH59+$I60)</f>
      </c>
      <c r="BI60" s="7">
        <f>IF($B60="","",$BI59+$G60)</f>
      </c>
      <c r="BJ60" s="7">
        <f>IF($B60="","",IFERROR(LOOKUP(2,1/(((('Events 2'!$C$6:$C$17="Deduction start"))*('Events 2'!$D$6:$D$17="Health FSA"))*('Events 2'!$B$6:$B$17&lt;=$B60)*('Events 2'!$B$6:$B$17&lt;&gt;"")),'Events 2'!$E$6:$E$17),'Inputs 2'!$D$38))</f>
      </c>
      <c r="BK60" s="7">
        <f>IF($B60="","",IFERROR(LOOKUP(2,1/(((('Events 2'!$C$6:$C$17="Deduction start"))*('Events 2'!$D$6:$D$17="Dependent-care FSA"))*('Events 2'!$B$6:$B$17&lt;=$B60)*('Events 2'!$B$6:$B$17&lt;&gt;"")),'Events 2'!$E$6:$E$17),'Inputs 2'!$D$39))</f>
      </c>
      <c r="BL60" s="7">
        <f>IF($B60="","",IFERROR(LOOKUP(2,1/(((('Events 2'!$C$6:$C$17="Deduction start")+('Events 2'!$C$6:$C$17="Deduction stop"))*('Events 2'!$D$6:$D$17="HSA"))*('Events 2'!$B$6:$B$17&lt;=$B60)*('Events 2'!$B$6:$B$17&lt;&gt;"")),'Events 2'!$I$6:$I$17),'Inputs 2'!$D$35))</f>
      </c>
      <c r="BM60" s="7">
        <f>IF($B60="","",IFERROR(LOOKUP(2,1/(((('Events 2'!$C$6:$C$17="Deduction start")+('Events 2'!$C$6:$C$17="Deduction stop"))*('Events 2'!$D$6:$D$17="Premiums"))*('Events 2'!$B$6:$B$17&lt;=$B60)*('Events 2'!$B$6:$B$17&lt;&gt;"")),'Events 2'!$I$6:$I$17),'Inputs 2'!$D$40+'Inputs 2'!$D$41+'Inputs 2'!$D$42))</f>
      </c>
      <c r="BN60" s="7">
        <f>IF($B60="","",IFERROR(LOOKUP(2,1/(((('Events 2'!$C$6:$C$17="Deduction start")+('Events 2'!$C$6:$C$17="Deduction stop"))*('Events 2'!$D$6:$D$17="Commuter"))*('Events 2'!$B$6:$B$17&lt;=$B60)*('Events 2'!$B$6:$B$17&lt;&gt;"")),'Events 2'!$I$6:$I$17),'Inputs 2'!$D$43))</f>
      </c>
      <c r="BO60" s="7">
        <f>IF($B60="","",IFERROR(LOOKUP(2,1/(((('Events 2'!$C$6:$C$17="Deduction start")+('Events 2'!$C$6:$C$17="Deduction stop"))*('Events 2'!$D$6:$D$17="Other pre-tax"))*('Events 2'!$B$6:$B$17&lt;=$B60)*('Events 2'!$B$6:$B$17&lt;&gt;"")),'Events 2'!$I$6:$I$17),'Inputs 2'!$D$44))</f>
      </c>
      <c r="BP60" s="7">
        <f>IF($B60="","",IFERROR(LOOKUP(2,1/(((('Events 2'!$C$6:$C$17="Deduction start")+('Events 2'!$C$6:$C$17="Deduction stop"))*('Events 2'!$D$6:$D$17="Other post-tax"))*('Events 2'!$B$6:$B$17&lt;=$B60)*('Events 2'!$B$6:$B$17&lt;&gt;"")),'Events 2'!$I$6:$I$17),'Inputs 2'!$D$45))</f>
      </c>
      <c r="BQ60" s="6">
        <f>IF($B60="","",IFERROR(LOOKUP(2,1/(((('Events 2'!$C$6:$C$17="Deduction start")+('Events 2'!$C$6:$C$17="Deduction stop"))*('Events 2'!$D$6:$D$17="Health FSA"))*('Events 2'!$B$6:$B$17&lt;=$B60)*('Events 2'!$B$6:$B$17&lt;&gt;"")),'Events 2'!$J$6:$J$17),0))</f>
      </c>
      <c r="BR60" s="6">
        <f>IF($B60="","",IFERROR(LOOKUP(2,1/(((('Events 2'!$C$6:$C$17="Deduction start")+('Events 2'!$C$6:$C$17="Deduction stop"))*('Events 2'!$D$6:$D$17="Dependent-care FSA"))*('Events 2'!$B$6:$B$17&lt;=$B60)*('Events 2'!$B$6:$B$17&lt;&gt;"")),'Events 2'!$J$6:$J$17),0))</f>
      </c>
      <c r="BS60" s="6">
        <f>IF($B60="","",IF(SUMPRODUCT(('Events 2'!$C$6:$C$17="Deduction start")*('Events 2'!$B$6:$B$17&lt;=$B60)*('Events 2'!$B$6:$B$17&lt;&gt;"")*('Events 2'!$D$6:$D$17="Health FSA"))&gt;0,1,0))</f>
      </c>
      <c r="BT60" s="6">
        <f>IF($B60="","",IF(SUMPRODUCT(('Events 2'!$C$6:$C$17="Deduction start")*('Events 2'!$B$6:$B$17&lt;=$B60)*('Events 2'!$B$6:$B$17&lt;&gt;"")*('Events 2'!$D$6:$D$17="Dependent-care FSA"))&gt;0,1,0))</f>
      </c>
      <c r="BU60" s="24">
        <f>IF($B60="","",IF('Inputs 2'!$C$13,SUMPRODUCT(($AH60&gt;=INDEX('Methodology &amp; Sources'!$B$29:$J$36,0,IF('Inputs 2'!$C$12="MFJ",1,IF('Inputs 2'!$C$12="HoH",7,4))))*INDEX('Methodology &amp; Sources'!$B$29:$J$36,0,IF('Inputs 2'!$C$12="MFJ",1,IF('Inputs 2'!$C$12="HoH",7,4))+2)),SUMPRODUCT(($AH60&gt;=INDEX('Methodology &amp; Sources'!$B$19:$J$26,0,IF('Inputs 2'!$C$12="MFJ",1,IF('Inputs 2'!$C$12="HoH",7,4))))*INDEX('Methodology &amp; Sources'!$B$19:$J$26,0,IF('Inputs 2'!$C$12="MFJ",1,IF('Inputs 2'!$C$12="HoH",7,4))+2))))</f>
      </c>
      <c r="BV60" s="24">
        <f>IF($B60="","",IF($BZ60&lt;&gt;"",$BZ60,IF($CA60&lt;&gt;"",$CA60,IF($CB60&lt;&gt;"",$CB60,IF($CC60&lt;&gt;"",$CC60,0)))))</f>
      </c>
      <c r="BW60" s="7">
        <f>IF($B60="","",IF($AN60="MD",IF(OR($AU60="Married",$AU60="Head of household"),SUMPRODUCT(($AZ60&gt;INDEX('Methodology &amp; Sources'!$B$114:$J$120,0,1))*($AZ60-INDEX('Methodology &amp; Sources'!$B$114:$J$120,0,1))*INDEX('Methodology &amp; Sources'!$B$114:$J$120,0,1+2)),SUMPRODUCT(($AZ60&gt;INDEX('Methodology &amp; Sources'!$B$103:$J$109,0,7))*($AZ60-INDEX('Methodology &amp; Sources'!$B$103:$J$109,0,7))*INDEX('Methodology &amp; Sources'!$B$103:$J$109,0,7+2))),IF($AN60="MO",SUMPRODUCT(($AZ60&gt;INDEX('Methodology &amp; Sources'!$B$125:$J$132,0,1))*($AZ60-INDEX('Methodology &amp; Sources'!$B$125:$J$132,0,1))*INDEX('Methodology &amp; Sources'!$B$125:$J$132,0,1+2)),IF($AN60="MT",IF($AU60="Head of household",SUMPRODUCT(($AZ60&gt;INDEX('Methodology &amp; Sources'!$B$137:$J$139,0,1))*($AZ60-INDEX('Methodology &amp; Sources'!$B$137:$J$139,0,1))*INDEX('Methodology &amp; Sources'!$B$137:$J$139,0,1+2)),IF($AU60="Married",SUMPRODUCT(($AZ60&gt;INDEX('Methodology &amp; Sources'!$B$125:$J$132,0,7))*($AZ60-INDEX('Methodology &amp; Sources'!$B$125:$J$132,0,7))*INDEX('Methodology &amp; Sources'!$B$125:$J$132,0,7+2)),SUMPRODUCT(($AZ60&gt;INDEX('Methodology &amp; Sources'!$B$125:$J$132,0,4))*($AZ60-INDEX('Methodology &amp; Sources'!$B$125:$J$132,0,4))*INDEX('Methodology &amp; Sources'!$B$125:$J$132,0,4+2)))),IF($AN60="ND",IF($AU60="Head of household",SUMPRODUCT(($AZ60&gt;INDEX('Methodology &amp; Sources'!$B$144:$J$150,0,1))*($AZ60-INDEX('Methodology &amp; Sources'!$B$144:$J$150,0,1))*INDEX('Methodology &amp; Sources'!$B$144:$J$150,0,1+2)),IF($AU60="Married",SUMPRODUCT(($AZ60&gt;INDEX('Methodology &amp; Sources'!$B$137:$J$139,0,7))*($AZ60-INDEX('Methodology &amp; Sources'!$B$137:$J$139,0,7))*INDEX('Methodology &amp; Sources'!$B$137:$J$139,0,7+2)),SUMPRODUCT(($AZ60&gt;INDEX('Methodology &amp; Sources'!$B$137:$J$139,0,4))*($AZ60-INDEX('Methodology &amp; Sources'!$B$137:$J$139,0,4))*INDEX('Methodology &amp; Sources'!$B$137:$J$139,0,4+2)))),IF($AN60="NJ",IF('Inputs 2'!$C$77="B",SUMPRODUCT(($AZ60&gt;INDEX('Methodology &amp; Sources'!$B$155:$J$162,0,4))*($AZ60-INDEX('Methodology &amp; Sources'!$B$155:$J$162,0,4))*INDEX('Methodology &amp; Sources'!$B$155:$J$162,0,4+2)),IF('Inputs 2'!$C$77="C",SUMPRODUCT(($AZ60&gt;INDEX('Methodology &amp; Sources'!$B$155:$J$162,0,7))*($AZ60-INDEX('Methodology &amp; Sources'!$B$155:$J$162,0,7))*INDEX('Methodology &amp; Sources'!$B$155:$J$162,0,7+2)),IF('Inputs 2'!$C$77="D",SUMPRODUCT(($AZ60&gt;INDEX('Methodology &amp; Sources'!$B$167:$J$179,0,1))*($AZ60-INDEX('Methodology &amp; Sources'!$B$167:$J$179,0,1))*INDEX('Methodology &amp; Sources'!$B$167:$J$179,0,1+2)),IF('Inputs 2'!$C$77="E",SUMPRODUCT(($AZ60&gt;INDEX('Methodology &amp; Sources'!$B$167:$J$179,0,4))*($AZ60-INDEX('Methodology &amp; Sources'!$B$167:$J$179,0,4))*INDEX('Methodology &amp; Sources'!$B$167:$J$179,0,4+2)),SUMPRODUCT(($AZ60&gt;INDEX('Methodology &amp; Sources'!$B$155:$J$162,0,1))*($AZ60-INDEX('Methodology &amp; Sources'!$B$155:$J$162,0,1))*INDEX('Methodology &amp; Sources'!$B$155:$J$162,0,1+2)))))),IF($AN60="NY",IF($AU60="Married",IF($AZ60&gt;=2155350,$AZ60*IF($AZ60&gt;25000000,0.117,IF($AZ60&gt;5000000,0.111,0.1045)),SUMPRODUCT(($AZ60&gt;INDEX('Methodology &amp; Sources'!$B$184:$J$198,0,1))*($AZ60-INDEX('Methodology &amp; Sources'!$B$184:$J$198,0,1))*INDEX('Methodology &amp; Sources'!$B$184:$J$198,0,1+2))),IF($AZ60&gt;=1077550,$AZ60*IF($AZ60&gt;25000000,0.117,IF($AZ60&gt;5000000,0.111,0.1045)),SUMPRODUCT(($AZ60&gt;INDEX('Methodology &amp; Sources'!$B$167:$J$179,0,7))*($AZ60-INDEX('Methodology &amp; Sources'!$B$167:$J$179,0,7))*INDEX('Methodology &amp; Sources'!$B$167:$J$179,0,7+2)))),"")))))))</f>
      </c>
      <c r="BX60" s="7">
        <f>IF($B60="","",IF($AN60="AL",IF(OR($AU60="Married",$AU60="Head of household"),SUMPRODUCT(($AZ60&gt;INDEX('Methodology &amp; Sources'!$B$82:$J$86,0,4))*($AZ60-INDEX('Methodology &amp; Sources'!$B$82:$J$86,0,4))*INDEX('Methodology &amp; Sources'!$B$82:$J$86,0,4+2)),SUMPRODUCT(($AZ60&gt;INDEX('Methodology &amp; Sources'!$B$82:$J$86,0,1))*($AZ60-INDEX('Methodology &amp; Sources'!$B$82:$J$86,0,1))*INDEX('Methodology &amp; Sources'!$B$82:$J$86,0,1+2))),IF($AN60="KS",IF($AU60="Married",SUMPRODUCT(($AZ60&gt;INDEX('Methodology &amp; Sources'!$B$103:$J$109,0,4))*($AZ60-INDEX('Methodology &amp; Sources'!$B$103:$J$109,0,4))*INDEX('Methodology &amp; Sources'!$B$103:$J$109,0,4+2)),SUMPRODUCT(($AZ60&gt;INDEX('Methodology &amp; Sources'!$B$103:$J$109,0,1))*($AZ60-INDEX('Methodology &amp; Sources'!$B$103:$J$109,0,1))*INDEX('Methodology &amp; Sources'!$B$103:$J$109,0,1+2))),IF($AN60="MN",IF($AU60="Married",SUMPRODUCT(($AZ60&gt;INDEX('Methodology &amp; Sources'!$B$114:$J$120,0,7))*($AZ60-INDEX('Methodology &amp; Sources'!$B$114:$J$120,0,7))*INDEX('Methodology &amp; Sources'!$B$114:$J$120,0,7+2)),SUMPRODUCT(($AZ60&gt;INDEX('Methodology &amp; Sources'!$B$114:$J$120,0,4))*($AZ60-INDEX('Methodology &amp; Sources'!$B$114:$J$120,0,4))*INDEX('Methodology &amp; Sources'!$B$114:$J$120,0,4+2))),IF($AN60="NE",MAX(IF($AU60="Married",SUMPRODUCT(($AZ60&gt;INDEX('Methodology &amp; Sources'!$B$144:$J$150,0,7))*($AZ60-INDEX('Methodology &amp; Sources'!$B$144:$J$150,0,7))*INDEX('Methodology &amp; Sources'!$B$144:$J$150,0,7+2)),SUMPRODUCT(($AZ60&gt;INDEX('Methodology &amp; Sources'!$B$144:$J$150,0,4))*($AZ60-INDEX('Methodology &amp; Sources'!$B$144:$J$150,0,4))*INDEX('Methodology &amp; Sources'!$B$144:$J$150,0,4+2))),0.015*$AZ60),IF($AN60="OH",IF($B60&gt;=DATE(2027,8,1),SUMPRODUCT(($AZ60&gt;INDEX('Methodology &amp; Sources'!$B$203:$J$206,0,1))*($AZ60-INDEX('Methodology &amp; Sources'!$B$203:$J$206,0,1))*INDEX('Methodology &amp; Sources'!$B$203:$J$206,0,1+2)),SUMPRODUCT(($AZ60&gt;INDEX('Methodology &amp; Sources'!$B$184:$J$198,0,7))*($AZ60-INDEX('Methodology &amp; Sources'!$B$184:$J$198,0,7))*INDEX('Methodology &amp; Sources'!$B$184:$J$198,0,7+2))),IF($AN60="OK",IF($AU60="Married",SUMPRODUCT(($AZ60&gt;INDEX('Methodology &amp; Sources'!$B$203:$J$206,0,7))*($AZ60-INDEX('Methodology &amp; Sources'!$B$203:$J$206,0,7))*INDEX('Methodology &amp; Sources'!$B$203:$J$206,0,7+2)),SUMPRODUCT(($AZ60&gt;INDEX('Methodology &amp; Sources'!$B$203:$J$206,0,4))*($AZ60-INDEX('Methodology &amp; Sources'!$B$203:$J$206,0,4))*INDEX('Methodology &amp; Sources'!$B$203:$J$206,0,4+2))),IF($AN60="RI",SUMPRODUCT(($AZ60&gt;INDEX('Methodology &amp; Sources'!$B$211:$J$214,0,7))*($AZ60-INDEX('Methodology &amp; Sources'!$B$211:$J$214,0,7))*INDEX('Methodology &amp; Sources'!$B$211:$J$214,0,7+2)),IF($AN60="VT",IF($AU60="Married",SUMPRODUCT(($AZ60&gt;INDEX('Methodology &amp; Sources'!$B$228:$J$232,0,1))*($AZ60-INDEX('Methodology &amp; Sources'!$B$228:$J$232,0,1))*INDEX('Methodology &amp; Sources'!$B$228:$J$232,0,1+2)),SUMPRODUCT(($AZ60&gt;INDEX('Methodology &amp; Sources'!$B$219:$J$223,0,7))*($AZ60-INDEX('Methodology &amp; Sources'!$B$219:$J$223,0,7))*INDEX('Methodology &amp; Sources'!$B$219:$J$223,0,7+2))),IF($AN60="WV",IF($AU60="Married",SUMPRODUCT(($AZ60&gt;INDEX('Methodology &amp; Sources'!$B$237:$J$241,0,7))*($AZ60-INDEX('Methodology &amp; Sources'!$B$237:$J$241,0,7))*INDEX('Methodology &amp; Sources'!$B$237:$J$241,0,7+2)),SUMPRODUCT(($AZ60&gt;INDEX('Methodology &amp; Sources'!$B$228:$J$232,0,7))*($AZ60-INDEX('Methodology &amp; Sources'!$B$228:$J$232,0,7))*INDEX('Methodology &amp; Sources'!$B$228:$J$232,0,7+2))),""))))))))))</f>
      </c>
      <c r="BY60" s="7">
        <f>IF($B60="","",IF($AN60="AR",SUMPRODUCT(($AZ60&gt;INDEX('Methodology &amp; Sources'!$B$82:$J$86,0,7))*($AZ60-INDEX('Methodology &amp; Sources'!$B$82:$J$86,0,7))*INDEX('Methodology &amp; Sources'!$B$82:$J$86,0,7+2)),IF($AN60="DE",SUMPRODUCT(($AZ60&gt;INDEX('Methodology &amp; Sources'!$B$91:$J$98,0,1))*($AZ60-INDEX('Methodology &amp; Sources'!$B$91:$J$98,0,1))*INDEX('Methodology &amp; Sources'!$B$91:$J$98,0,1+2)),IF($AN60="HI",IF($AU60="Married",SUMPRODUCT(($AZ60&gt;INDEX('Methodology &amp; Sources'!$B$91:$J$98,0,7))*($AZ60-INDEX('Methodology &amp; Sources'!$B$91:$J$98,0,7))*INDEX('Methodology &amp; Sources'!$B$91:$J$98,0,7+2)),SUMPRODUCT(($AZ60&gt;INDEX('Methodology &amp; Sources'!$B$91:$J$98,0,4))*($AZ60-INDEX('Methodology &amp; Sources'!$B$91:$J$98,0,4))*INDEX('Methodology &amp; Sources'!$B$91:$J$98,0,4+2))),IF($AN60="SC",SUMPRODUCT(($AZ60&gt;INDEX('Methodology &amp; Sources'!$B$219:$J$223,0,1))*($AZ60-INDEX('Methodology &amp; Sources'!$B$219:$J$223,0,1))*INDEX('Methodology &amp; Sources'!$B$219:$J$223,0,1+2)),IF($AN60="VA",SUMPRODUCT(($AZ60&gt;INDEX('Methodology &amp; Sources'!$B$219:$J$223,0,4))*($AZ60-INDEX('Methodology &amp; Sources'!$B$219:$J$223,0,4))*INDEX('Methodology &amp; Sources'!$B$219:$J$223,0,4+2)),IF($AN60="WI",SUMPRODUCT(($AZ60&gt;INDEX('Methodology &amp; Sources'!$B$228:$J$232,0,4))*($AZ60-INDEX('Methodology &amp; Sources'!$B$228:$J$232,0,4))*INDEX('Methodology &amp; Sources'!$B$228:$J$232,0,4+2)),"")))))))</f>
      </c>
      <c r="BZ60" s="24">
        <f>IF($B60="","",IF($AN60="NJ",IF('Inputs 2'!$C$77="B",SUMPRODUCT(($AZ60&gt;=INDEX('Methodology &amp; Sources'!$B$155:$J$162,0,4))*INDEX('Methodology &amp; Sources'!$B$155:$J$162,0,4+2)),IF('Inputs 2'!$C$77="C",SUMPRODUCT(($AZ60&gt;=INDEX('Methodology &amp; Sources'!$B$155:$J$162,0,7))*INDEX('Methodology &amp; Sources'!$B$155:$J$162,0,7+2)),IF('Inputs 2'!$C$77="D",SUMPRODUCT(($AZ60&gt;=INDEX('Methodology &amp; Sources'!$B$167:$J$179,0,1))*INDEX('Methodology &amp; Sources'!$B$167:$J$179,0,1+2)),IF('Inputs 2'!$C$77="E",SUMPRODUCT(($AZ60&gt;=INDEX('Methodology &amp; Sources'!$B$167:$J$179,0,4))*INDEX('Methodology &amp; Sources'!$B$167:$J$179,0,4+2)),SUMPRODUCT(($AZ60&gt;=INDEX('Methodology &amp; Sources'!$B$155:$J$162,0,1))*INDEX('Methodology &amp; Sources'!$B$155:$J$162,0,1+2)))))),IF($AN60="OR",IF(OR($AU60="Married",AND($AU60="Single",$AS60&gt;=3)),SUMPRODUCT((MAX(0,$AY60-MIN(($P60-'Methodology &amp; Sources'!$C$10*$D60)*'Inputs 2'!$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Sources'!$B$211:$J$214,0,4))*INDEX('Methodology &amp; Sources'!$B$211:$J$214,0,4+2)),SUMPRODUCT((MAX(0,$AY60-MIN(($P60-'Methodology &amp; Sources'!$C$10*$D60)*'Inputs 2'!$C$8,IF(OR($AU60="Married",AND($AU60="Single",$AS60&gt;=3)),IF($AY60&lt;250000,8750,IF($AY60&lt;260000,7000,IF($AY60&lt;270000,5250,IF($AY60&lt;280000,3500,IF($AY60&lt;290000,1750,0))))),IF($AY60&lt;125000,8750,IF($AY60&lt;130000,7000,IF($AY60&lt;135000,5250,IF($AY60&lt;140000,3500,IF($AY60&lt;145000,1750,0)))))))-IF(OR($AU60="Married",AND($AU60="Single",$AS60&gt;=3)),5820,2910))&gt;=INDEX('Methodology &amp; Sources'!$B$211:$J$214,0,1))*INDEX('Methodology &amp; Sources'!$B$211:$J$214,0,1+2)))*IF(($P60-'Methodology &amp; Sources'!$C$10*$D60)*'Inputs 2'!$C$8&gt;=IF(OR($AU60="Married",AND($AU60="Single",$AS60&gt;=3)),IF($AY60&lt;250000,8750,IF($AY60&lt;260000,7000,IF($AY60&lt;270000,5250,IF($AY60&lt;280000,3500,IF($AY60&lt;290000,1750,0))))),IF($AY60&lt;125000,8750,IF($AY60&lt;130000,7000,IF($AY60&lt;135000,5250,IF($AY60&lt;140000,3500,IF($AY60&lt;145000,1750,0)))))),1,1-IF('Inputs 2'!$C$13,SUMPRODUCT(($AH60&gt;=INDEX('Methodology &amp; Sources'!$B$29:$J$36,0,IF('Inputs 2'!$C$12="MFJ",1,IF('Inputs 2'!$C$12="HoH",7,4))))*INDEX('Methodology &amp; Sources'!$B$29:$J$36,0,IF('Inputs 2'!$C$12="MFJ",1,IF('Inputs 2'!$C$12="HoH",7,4))+2)),SUMPRODUCT(($AH60&gt;=INDEX('Methodology &amp; Sources'!$B$19:$J$26,0,IF('Inputs 2'!$C$12="MFJ",1,IF('Inputs 2'!$C$12="HoH",7,4))))*INDEX('Methodology &amp; Sources'!$B$19:$J$26,0,IF('Inputs 2'!$C$12="MFJ",1,IF('Inputs 2'!$C$12="HoH",7,4))+2)))),IF($AN60="MI",IF($AY60&gt;5900*$AS60,0.0425,0),""))))</f>
      </c>
      <c r="CA60" s="24">
        <f>IF($B60="","",IF($AN60="AL",IF(OR($AU60="Married",$AU60="Head of household"),SUMPRODUCT(($AZ60&gt;=INDEX('Methodology &amp; Sources'!$B$82:$J$86,0,4))*INDEX('Methodology &amp; Sources'!$B$82:$J$86,0,4+2)),SUMPRODUCT(($AZ60&gt;=INDEX('Methodology &amp; Sources'!$B$82:$J$86,0,1))*INDEX('Methodology &amp; Sources'!$B$82:$J$86,0,1+2)))*(1-IF('Inputs 2'!$C$13,SUMPRODUCT(($AH60&gt;=INDEX('Methodology &amp; Sources'!$B$29:$J$36,0,IF('Inputs 2'!$C$12="MFJ",1,IF('Inputs 2'!$C$12="HoH",7,4))))*INDEX('Methodology &amp; Sources'!$B$29:$J$36,0,IF('Inputs 2'!$C$12="MFJ",1,IF('Inputs 2'!$C$12="HoH",7,4))+2)),SUMPRODUCT(($AH60&gt;=INDEX('Methodology &amp; Sources'!$B$19:$J$26,0,IF('Inputs 2'!$C$12="MFJ",1,IF('Inputs 2'!$C$12="HoH",7,4))))*INDEX('Methodology &amp; Sources'!$B$19:$J$26,0,IF('Inputs 2'!$C$12="MFJ",1,IF('Inputs 2'!$C$12="HoH",7,4))+2)))),IF($AN60="KS",IF($AU60="Married",SUMPRODUCT(($AZ60&gt;=INDEX('Methodology &amp; Sources'!$B$103:$J$109,0,4))*INDEX('Methodology &amp; Sources'!$B$103:$J$109,0,4+2)),SUMPRODUCT(($AZ60&gt;=INDEX('Methodology &amp; Sources'!$B$103:$J$109,0,1))*INDEX('Methodology &amp; Sources'!$B$103:$J$109,0,1+2))),IF($AN60="MD",IF(OR($AU60="Married",$AU60="Head of household"),SUMPRODUCT(($AZ60&gt;=INDEX('Methodology &amp; Sources'!$B$114:$J$120,0,1))*INDEX('Methodology &amp; Sources'!$B$114:$J$120,0,1+2)),SUMPRODUCT(($AZ60&gt;=INDEX('Methodology &amp; Sources'!$B$103:$J$109,0,7))*INDEX('Methodology &amp; Sources'!$B$103:$J$109,0,7+2)))+'Inputs 2'!$C$74,IF($AN60="MT",IF($AU60="Head of household",SUMPRODUCT(($AZ60&gt;=INDEX('Methodology &amp; Sources'!$B$137:$J$139,0,1))*INDEX('Methodology &amp; Sources'!$B$137:$J$139,0,1+2)),IF($AU60="Married",SUMPRODUCT(($AZ60&gt;=INDEX('Methodology &amp; Sources'!$B$125:$J$132,0,7))*INDEX('Methodology &amp; Sources'!$B$125:$J$132,0,7+2)),SUMPRODUCT(($AZ60&gt;=INDEX('Methodology &amp; Sources'!$B$125:$J$132,0,4))*INDEX('Methodology &amp; Sources'!$B$125:$J$132,0,4+2)))),IF($AN60="ND",IF($AU60="Head of household",SUMPRODUCT(($AZ60&gt;=INDEX('Methodology &amp; Sources'!$B$144:$J$150,0,1))*INDEX('Methodology &amp; Sources'!$B$144:$J$150,0,1+2)),IF($AU60="Married",SUMPRODUCT(($AZ60&gt;=INDEX('Methodology &amp; Sources'!$B$137:$J$139,0,7))*INDEX('Methodology &amp; Sources'!$B$137:$J$139,0,7+2)),SUMPRODUCT(($AZ60&gt;=INDEX('Methodology &amp; Sources'!$B$137:$J$139,0,4))*INDEX('Methodology &amp; Sources'!$B$137:$J$139,0,4+2)))),IF($AN60="NY",IF($AU60="Married",IF($AZ60&gt;=2155350,IF($AZ60&gt;25000000,0.117,IF($AZ60&gt;5000000,0.111,0.1045)),SUMPRODUCT(($AZ60&gt;=INDEX('Methodology &amp; Sources'!$B$184:$J$198,0,1))*INDEX('Methodology &amp; Sources'!$B$184:$J$198,0,1+2))),IF($AZ60&gt;=1077550,IF($AZ60&gt;25000000,0.117,IF($AZ60&gt;5000000,0.111,0.1045)),SUMPRODUCT(($AZ60&gt;=INDEX('Methodology &amp; Sources'!$B$167:$J$179,0,7))*INDEX('Methodology &amp; Sources'!$B$167:$J$179,0,7+2)))),"")))))))</f>
      </c>
      <c r="CB60" s="24">
        <f>IF($B60="","",IF($AN60="CA",SUMPRODUCT(($AJ60&gt;=INDEX('Methodology &amp; Sources'!$B$39:$J$48,0,IF($AU60="Married",4,IF($AU60="Head of household",7,1))))*INDEX('Methodology &amp; Sources'!$B$39:$J$48,0,IF($AU60="Married",4,IF($AU60="Head of household",7,1))+2)),IF($AN60="HI",IF($AU60="Married",SUMPRODUCT(($AZ60&gt;=INDEX('Methodology &amp; Sources'!$B$91:$J$98,0,7))*INDEX('Methodology &amp; Sources'!$B$91:$J$98,0,7+2)),SUMPRODUCT(($AZ60&gt;=INDEX('Methodology &amp; Sources'!$B$91:$J$98,0,4))*INDEX('Methodology &amp; Sources'!$B$91:$J$98,0,4+2))),IF($AN60="MN",IF($AU60="Married",SUMPRODUCT(($AZ60&gt;=INDEX('Methodology &amp; Sources'!$B$114:$J$120,0,7))*INDEX('Methodology &amp; Sources'!$B$114:$J$120,0,7+2)),SUMPRODUCT(($AZ60&gt;=INDEX('Methodology &amp; Sources'!$B$114:$J$120,0,4))*INDEX('Methodology &amp; Sources'!$B$114:$J$120,0,4+2))),IF($AN60="MO",SUMPRODUCT(($AZ60&gt;=INDEX('Methodology &amp; Sources'!$B$125:$J$132,0,1))*INDEX('Methodology &amp; Sources'!$B$125:$J$132,0,1+2)),IF($AN60="NE",MAX(IF($AU60="Married",SUMPRODUCT(($AZ60&gt;=INDEX('Methodology &amp; Sources'!$B$144:$J$150,0,7))*INDEX('Methodology &amp; Sources'!$B$144:$J$150,0,7+2)),SUMPRODUCT(($AZ60&gt;=INDEX('Methodology &amp; Sources'!$B$144:$J$150,0,4))*INDEX('Methodology &amp; Sources'!$B$144:$J$150,0,4+2))),0.015),IF($AN60="OH",IF($B60&gt;=DATE(2027,8,1),SUMPRODUCT(($AZ60&gt;=INDEX('Methodology &amp; Sources'!$B$203:$J$206,0,1))*INDEX('Methodology &amp; Sources'!$B$203:$J$206,0,1+2)),SUMPRODUCT(($AZ60&gt;=INDEX('Methodology &amp; Sources'!$B$184:$J$198,0,7))*INDEX('Methodology &amp; Sources'!$B$184:$J$198,0,7+2))),IF($AN60="OK",IF($AU60="Married",SUMPRODUCT(($AZ60&gt;=INDEX('Methodology &amp; Sources'!$B$203:$J$206,0,7))*INDEX('Methodology &amp; Sources'!$B$203:$J$206,0,7+2)),SUMPRODUCT(($AZ60&gt;=INDEX('Methodology &amp; Sources'!$B$203:$J$206,0,4))*INDEX('Methodology &amp; Sources'!$B$203:$J$206,0,4+2))),IF($AN60="RI",SUMPRODUCT(($AZ60&gt;=INDEX('Methodology &amp; Sources'!$B$211:$J$214,0,7))*INDEX('Methodology &amp; Sources'!$B$211:$J$214,0,7+2)),IF($AN60="SC",SUMPRODUCT(($AZ60&gt;=INDEX('Methodology &amp; Sources'!$B$219:$J$223,0,1))*INDEX('Methodology &amp; Sources'!$B$219:$J$223,0,1+2)),IF($AN60="VT",IF($AU60="Married",SUMPRODUCT(($AZ60&gt;=INDEX('Methodology &amp; Sources'!$B$228:$J$232,0,1))*INDEX('Methodology &amp; Sources'!$B$228:$J$232,0,1+2)),SUMPRODUCT(($AZ60&gt;=INDEX('Methodology &amp; Sources'!$B$219:$J$223,0,7))*INDEX('Methodology &amp; Sources'!$B$219:$J$223,0,7+2))),IF($AN60="WV",IF($AU60="Married",SUMPRODUCT(($AZ60&gt;=INDEX('Methodology &amp; Sources'!$B$237:$J$241,0,7))*INDEX('Methodology &amp; Sources'!$B$237:$J$241,0,7+2)),SUMPRODUCT(($AZ60&gt;=INDEX('Methodology &amp; Sources'!$B$228:$J$232,0,7))*INDEX('Methodology &amp; Sources'!$B$228:$J$232,0,7+2))),IF($AN60="IN",(0.0295+'Inputs 2'!$C$76),"")))))))))))))</f>
      </c>
      <c r="CC60" s="24">
        <f>IF($B60="","",IF($AN60="AR",SUMPRODUCT(($AZ60&gt;=INDEX('Methodology &amp; Sources'!$B$82:$J$86,0,7))*INDEX('Methodology &amp; Sources'!$B$82:$J$86,0,7+2)),IF($AN60="DE",SUMPRODUCT(($AZ60&gt;=INDEX('Methodology &amp; Sources'!$B$91:$J$98,0,1))*INDEX('Methodology &amp; Sources'!$B$91:$J$98,0,1+2)),IF($AN60="VA",SUMPRODUCT(($AZ60&gt;=INDEX('Methodology &amp; Sources'!$B$219:$J$223,0,4))*INDEX('Methodology &amp; Sources'!$B$219:$J$223,0,4+2)),IF($AN60="WI",SUMPRODUCT(($AZ60&gt;=INDEX('Methodology &amp; Sources'!$B$228:$J$232,0,4))*INDEX('Methodology &amp; Sources'!$B$228:$J$232,0,4+2)),IF($AN60="AZ",'Inputs 2'!$C$82,IF($AN60="CO",IF($AY60&gt;IF($AU60="Married",10000,5000),0.044,0),IF($AN60="IA",IF($AY60&gt;IF($AU60="Head of household",19500,IF($AU60="Married",26000,13000)),0.038,0),IF($AN60="ID",IF($AY60&gt;IF($AU60="Married",32000,16094),0.053,0),IF($AN60="IL",IF($AY60&gt;(2925*$AS60+1000*$AT60),0.0495,0),IF($AN60="KY",IF($AI60&gt;3360,0.035,0),IF($AN60="LA",0.0309,IF($AN60="MA",IF(MAX(0,$AY60-MIN(($BD59+$Q60+$R60+$S60),2000)-IF($AS60=0,0,IF($AS60=1,4400,1000*$AS60+3400)))&gt;=1107750,0.09,0.05),IF($AN60="MS",IF($AI60-IF($AU60="Head of household",3400,IF($AU60="Married",4600,2300))-'Inputs 2'!$C$85&gt;10000,0.04,0),IF($AN60="PA",0.0307,"")))))))))))))))</f>
      </c>
      <c r="CD60" s="21">
        <f>IF(YEAR(IF('Inputs 2'!$C$7="Weekly",'Inputs 2'!$C$9+7*(($BE59+1)-1),IF('Inputs 2'!$C$7="Biweekly",'Inputs 2'!$C$9+14*(($BE59+1)-1),IF('Inputs 2'!$C$7="Semimonthly",DATE(YEAR('Inputs 2'!$C$9),MONTH('Inputs 2'!$C$9)+INT((($BE59+1)-1)/2),MIN(DAY('Inputs 2'!$C$9),DAY(EOMONTH(DATE(YEAR('Inputs 2'!$C$9),MONTH('Inputs 2'!$C$9)+INT((($BE59+1)-1)/2),1),0))))+IF(MOD(($BE59+1)-1,2)=1,15,0),EDATE('Inputs 2'!$C$9,($BE59+1)-1)))))&lt;&gt;'Inputs 2'!$C$10,"",IF('Inputs 2'!$C$7="Weekly",'Inputs 2'!$C$9+7*(($BE59+1)-1),IF('Inputs 2'!$C$7="Biweekly",'Inputs 2'!$C$9+14*(($BE59+1)-1),IF('Inputs 2'!$C$7="Semimonthly",DATE(YEAR('Inputs 2'!$C$9),MONTH('Inputs 2'!$C$9)+INT((($BE59+1)-1)/2),MIN(DAY('Inputs 2'!$C$9),DAY(EOMONTH(DATE(YEAR('Inputs 2'!$C$9),MONTH('Inputs 2'!$C$9)+INT((($BE59+1)-1)/2),1),0))))+IF(MOD(($BE59+1)-1,2)=1,15,0),EDATE('Inputs 2'!$C$9,($BE59+1)-1)))))</f>
      </c>
      <c r="CE60" s="21">
        <f>IF(SUMPRODUCT(MIN(IF(('Inputs 2'!$C$58:$C$67&gt;MAX($B$6:$B59))*('Inputs 2'!$C$58:$C$67&gt;=DATE('Inputs 2'!$C$10,1,1))*('Inputs 2'!$C$58:$C$67&lt;=DATE('Inputs 2'!$C$10,12,31)),'Inputs 2'!$C$58:$C$67,999999)))=999999,"",SUMPRODUCT(MIN(IF(('Inputs 2'!$C$58:$C$67&gt;MAX($B$6:$B59))*('Inputs 2'!$C$58:$C$67&gt;=DATE('Inputs 2'!$C$10,1,1))*('Inputs 2'!$C$58:$C$67&lt;=DATE('Inputs 2'!$C$10,12,31)),'Inputs 2'!$C$58:$C$67,999999))))</f>
      </c>
    </row>
    <row r="61">
      <c r="A61" t="n">
        <v>56</v>
      </c>
      <c r="B61" s="21">
        <f>IF(AND($CD61="",$CE61=""),"",IF($CE61="",$CD61,IF($CD61="",$CE61,MIN($CD61,$CE61))))</f>
      </c>
      <c r="C61" s="7">
        <f>IF($B61="","",IF($BF61=0,0,IF('Inputs 2'!$C$4="Annual salary",ROUND($AK61/IF(AND('Inputs 2'!$C$88="Actual paydays",MONTH('Inputs 2'!$C$9)=1),MAX(1,MAX($BE$6:$BE$68)),'Inputs 2'!$C$8),2),$AK61)))</f>
      </c>
      <c r="D61" s="7">
        <f>IF($B61="","",SUMIF('Inputs 2'!$C$58:$C$67,$B61,'Inputs 2'!$D$58:$D$67))</f>
      </c>
      <c r="E61" s="7">
        <f>IF($B61="","",ROUND(MAX(0,MIN(IF($AL61="Percent",$AM61*($C61+$D61),$AM61),MAX(0,'Inputs 2'!$C$34-$AC60))),2))</f>
      </c>
      <c r="F61" s="7">
        <f>IF($B61="","",ROUND(MAX(0,MIN(IF('Inputs 2'!$C$32="Percent",'Inputs 2'!$D$32*($C61+$D61),'Inputs 2'!$D$32),MAX(0,'Inputs 2'!$C$34-$AC60-$E61))),2))</f>
      </c>
      <c r="G61" s="7">
        <f>IF($B61="","",IF($BF61=0,0,ROUND(MAX(0,MIN($BL61,'Inputs 2'!$C$37-'Inputs 2'!$C$54-$BI60)),2)))</f>
      </c>
      <c r="H61" s="7">
        <f>IF($B61="","",IF(OR($BF61=0,$BQ61=1),0,ROUND(MAX(0,MIN(IF($BS61=1,ROUND(MAX(0,MIN($BJ61,'Methodology &amp; Sources'!$C$13)-$BG60)/MAX(1,MAX($BE$6:$BE$68)-($BE60)),2),ROUND(MIN($BJ61,'Methodology &amp; Sources'!$C$13)/'Inputs 2'!$C$8,2)),MIN($BJ61,'Methodology &amp; Sources'!$C$13)-$BG60)),2)))</f>
      </c>
      <c r="I61" s="7">
        <f>IF($B61="","",IF(OR($BF61=0,$BR61=1),0,ROUND(MAX(0,MIN(IF($BT61=1,ROUND(MAX(0,MIN($BK61,IF('Inputs 2'!$C$12="MFJ",'Methodology &amp; Sources'!$C$14,'Methodology &amp; Sources'!$C$15))-$BH60)/MAX(1,MAX($BE$6:$BE$68)-($BE60)),2),ROUND(MIN($BK61,IF('Inputs 2'!$C$12="MFJ",'Methodology &amp; Sources'!$C$14,'Methodology &amp; Sources'!$C$15))/'Inputs 2'!$C$8,2)),MIN($BK61,IF('Inputs 2'!$C$12="MFJ",'Methodology &amp; Sources'!$C$14,'Methodology &amp; Sources'!$C$15))-$BH60)),2)))</f>
      </c>
      <c r="J61" s="7">
        <f>IF($B61="","",IF($BF61=0,0,$BM61))</f>
      </c>
      <c r="K61" s="7">
        <f>IF($B61="","",IF($BF61=0,0,$BN61+$BO61))</f>
      </c>
      <c r="L61" s="7">
        <f>IF($B61="","",IF($BF61=0,0,'Inputs 2'!$D$46))</f>
      </c>
      <c r="M61" s="7">
        <f>IF($B61="","",$C61+$D61+$L61-$E61-$G61-$H61-$I61-$J61-$K61)</f>
      </c>
      <c r="N61" s="7">
        <f>IF($B61="","",$C61+$D61+$L61-$G61-$H61-$I61-$J61-$K61)</f>
      </c>
      <c r="O61" s="7">
        <f>IF($B61="","",$C61+$D61+$L61-$E61-$H61-$I61-$J61-$K61-IF(OR($AN61="CA",$AN61="NJ"),0,$G61))</f>
      </c>
      <c r="P61" s="7">
        <f>IF($B61="","",IF('Inputs 2'!$C$18,0,ROUND(MAX(0,IF('Inputs 2'!$C$13,SUMPRODUCT(($AH61&gt;INDEX('Methodology &amp; Sources'!$B$29:$J$36,0,IF('Inputs 2'!$C$12="MFJ",1,IF('Inputs 2'!$C$12="HoH",7,4))))*($AH61-INDEX('Methodology &amp; Sources'!$B$29:$J$36,0,IF('Inputs 2'!$C$12="MFJ",1,IF('Inputs 2'!$C$12="HoH",7,4))))*INDEX('Methodology &amp; Sources'!$B$29:$J$36,0,IF('Inputs 2'!$C$12="MFJ",1,IF('Inputs 2'!$C$12="HoH",7,4))+2)),SUMPRODUCT(($AH61&gt;INDEX('Methodology &amp; Sources'!$B$19:$J$26,0,IF('Inputs 2'!$C$12="MFJ",1,IF('Inputs 2'!$C$12="HoH",7,4))))*($AH61-INDEX('Methodology &amp; Sources'!$B$19:$J$26,0,IF('Inputs 2'!$C$12="MFJ",1,IF('Inputs 2'!$C$12="HoH",7,4))))*INDEX('Methodology &amp; Sources'!$B$19:$J$26,0,IF('Inputs 2'!$C$12="MFJ",1,IF('Inputs 2'!$C$12="HoH",7,4))+2)))/'Inputs 2'!$C$8-$AO61/'Inputs 2'!$C$8)+$AR61+IF('Inputs 2'!$C$89="Aggregate",MAX(0,IF('Inputs 2'!$C$13,SUMPRODUCT((($AH61+$D61)&gt;INDEX('Methodology &amp; Sources'!$B$29:$J$36,0,IF('Inputs 2'!$C$12="MFJ",1,IF('Inputs 2'!$C$12="HoH",7,4))))*(($AH61+$D61)-INDEX('Methodology &amp; Sources'!$B$29:$J$36,0,IF('Inputs 2'!$C$12="MFJ",1,IF('Inputs 2'!$C$12="HoH",7,4))))*INDEX('Methodology &amp; Sources'!$B$29:$J$36,0,IF('Inputs 2'!$C$12="MFJ",1,IF('Inputs 2'!$C$12="HoH",7,4))+2)),SUMPRODUCT((($AH61+$D61)&gt;INDEX('Methodology &amp; Sources'!$B$19:$J$26,0,IF('Inputs 2'!$C$12="MFJ",1,IF('Inputs 2'!$C$12="HoH",7,4))))*(($AH61+$D61)-INDEX('Methodology &amp; Sources'!$B$19:$J$26,0,IF('Inputs 2'!$C$12="MFJ",1,IF('Inputs 2'!$C$12="HoH",7,4))))*INDEX('Methodology &amp; Sources'!$B$19:$J$26,0,IF('Inputs 2'!$C$12="MFJ",1,IF('Inputs 2'!$C$12="HoH",7,4))+2)))-IF('Inputs 2'!$C$13,SUMPRODUCT(($AH61&gt;INDEX('Methodology &amp; Sources'!$B$29:$J$36,0,IF('Inputs 2'!$C$12="MFJ",1,IF('Inputs 2'!$C$12="HoH",7,4))))*($AH61-INDEX('Methodology &amp; Sources'!$B$29:$J$36,0,IF('Inputs 2'!$C$12="MFJ",1,IF('Inputs 2'!$C$12="HoH",7,4))))*INDEX('Methodology &amp; Sources'!$B$29:$J$36,0,IF('Inputs 2'!$C$12="MFJ",1,IF('Inputs 2'!$C$12="HoH",7,4))+2)),SUMPRODUCT(($AH61&gt;INDEX('Methodology &amp; Sources'!$B$19:$J$26,0,IF('Inputs 2'!$C$12="MFJ",1,IF('Inputs 2'!$C$12="HoH",7,4))))*($AH61-INDEX('Methodology &amp; Sources'!$B$19:$J$26,0,IF('Inputs 2'!$C$12="MFJ",1,IF('Inputs 2'!$C$12="HoH",7,4))))*INDEX('Methodology &amp; Sources'!$B$19:$J$26,0,IF('Inputs 2'!$C$12="MFJ",1,IF('Inputs 2'!$C$12="HoH",7,4))+2)))),'Methodology &amp; Sources'!$C$10*$D61),2)))</f>
      </c>
      <c r="Q61" s="7">
        <f>IF($B61="","",ROUND('Methodology &amp; Sources'!$C$4*MIN($N61,MAX(0,'Methodology &amp; Sources'!$C$3-($AX61+$AB60-$AW61))),2))</f>
      </c>
      <c r="R61" s="7">
        <f>IF($B61="","",ROUND('Methodology &amp; Sources'!$C$5*$N61,2))</f>
      </c>
      <c r="S61" s="7">
        <f>IF($B61="","",ROUND('Methodology &amp; Sources'!$C$6*MAX(0,MIN($N61,$AG60+$N61-'Methodology &amp; Sources'!$C$7)),2))</f>
      </c>
      <c r="T61" s="7">
        <f>IF($B61="","",IF('Inputs 2'!$C$26,0,IF($AN61="CA",ROUND(IF($AI61&lt;=IF(($AS61+$AT61)&gt;=2,VLOOKUP($AN61,StateTables!$A$6:$AB$56,10,FALSE),VLOOKUP($AN61,StateTables!$A$6:$AB$56,9,FALSE)),0,MAX(0,SUMPRODUCT(($AJ61&gt;INDEX('Methodology &amp; Sources'!$B$39:$J$48,0,IF($AU61="Married",4,IF($AU61="Head of household",7,1))))*($AJ61-INDEX('Methodology &amp; Sources'!$B$39:$J$48,0,IF($AU61="Married",4,IF($AU61="Head of household",7,1))))*INDEX('Methodology &amp; Sources'!$B$39:$J$48,0,IF($AU61="Married",4,IF($AU61="Head of household",7,1))+2))-VLOOKUP($AN61,StateTables!$A$6:$AB$56,11,FALSE)*$AS61)/'Inputs 2'!$C$8)+'Inputs 2'!$C$25+VLOOKUP($AN61,StateTables!$A$6:$AB$56,13,FALSE)*$D61,2),IF(VLOOKUP($AN61,StateTables!$A$6:$AB$56,4,FALSE)="None",0,IF(ISNUMBER(SEARCH("MANUAL",VLOOKUP($AN61,StateTables!$A$6:$AB$56,5,FALSE))),'Inputs 2'!$C$28,ROUND(MAX(0,$BA61+$BB61)/'Inputs 2'!$C$8+'Inputs 2'!$C$25+$BC61,2))))))</f>
      </c>
      <c r="U61" s="7">
        <f>IF($B61="","",IF(VLOOKUP($AN61,StateTables!$A$6:$AB$56,24,FALSE)="flatq",IF(OR(MONTH($B61)=1,MONTH($B61)=4,MONTH($B61)=7,MONTH($B61)=10),VLOOKUP($AN61,StateTables!$A$6:$AB$56,25,FALSE),0),IF(VLOOKUP($AN61,StateTables!$A$6:$AB$56,24,FALSE)="dbl",MIN(ROUND(0.005*$N61,2),ROUND(0.6*52/'Inputs 2'!$C$8,2)),IF(OR(VLOOKUP($AN61,StateTables!$A$6:$AB$56,15,FALSE)="",VLOOKUP($AN61,StateTables!$A$6:$AB$56,15,FALSE)=0),0,ROUND(VLOOKUP($AN61,StateTables!$A$6:$AB$56,15,FALSE)*IF(OR(VLOOKUP($AN61,StateTables!$A$6:$AB$56,16,FALSE)="",VLOOKUP($AN61,StateTables!$A$6:$AB$56,16,FALSE)=0),$N61,MIN($N61,MAX(0,VLOOKUP($AN61,StateTables!$A$6:$AB$56,16,FALSE)-($AX61+$AB60-$AW61)))),2))))+IF(VLOOKUP($AN61,StateTables!$A$6:$AB$56,27,FALSE)="flatq",IF(OR(MONTH($B61)=1,MONTH($B61)=4,MONTH($B61)=7,MONTH($B61)=10),VLOOKUP($AN61,StateTables!$A$6:$AB$56,28,FALSE),0),IF(VLOOKUP($AN61,StateTables!$A$6:$AB$56,27,FALSE)="dbl",MIN(ROUND(0.005*$N61,2),ROUND(0.6*52/'Inputs 2'!$C$8,2)),IF(OR(VLOOKUP($AN61,StateTables!$A$6:$AB$56,18,FALSE)="",VLOOKUP($AN61,StateTables!$A$6:$AB$56,18,FALSE)=0),0,ROUND(VLOOKUP($AN61,StateTables!$A$6:$AB$56,18,FALSE)*IF(OR(VLOOKUP($AN61,StateTables!$A$6:$AB$56,19,FALSE)="",VLOOKUP($AN61,StateTables!$A$6:$AB$56,19,FALSE)=0),$N61,MIN($N61,MAX(0,VLOOKUP($AN61,StateTables!$A$6:$AB$56,19,FALSE)-($AX61+$AB60-$AW61)))),2)))))</f>
      </c>
      <c r="V61" s="7">
        <f>IF($B61="","",IF($AN61="NY",IF('Inputs 2'!$C$78,ROUND(SUMPRODUCT((MAX(0,($O61-$D61)*'Inputs 2'!$C$8-(IF($AU61="Married",5500,5000)+1000*$AS61))&gt;INDEX('Methodology &amp; Sources'!$B$184:$J$198,0,4))*(MAX(0,($O61-$D61)*'Inputs 2'!$C$8-(IF($AU61="Married",5500,5000)+1000*$AS61))-INDEX('Methodology &amp; Sources'!$B$184:$J$198,0,4))*INDEX('Methodology &amp; Sources'!$B$184:$J$198,0,4+2))/'Inputs 2'!$C$8+0.0425*$D61,2),0)+IF('Inputs 2'!$C$79="Resident",ROUND(0.1675*$T61,2),IF('Inputs 2'!$C$79="Nonresident",ROUND(0.005*MAX(0,($O61-$D61)-(IF($AU61="Married",7950,7400)+1000*$AS61)/'Inputs 2'!$C$8),2),0)),IF($AN61="PA",IF('Inputs 2'!$C$80="None",'Inputs 2'!$C$27+ROUND('Inputs 2'!$C$81*($C61+$D61),2),ROUND(IF('Inputs 2'!$C$80="Resident",IF($B61&lt;DATE(2027,7,1),0.03735,0.03735),IF($B61&lt;DATE(2027,7,1),0.03425,0.03425))*($C61+$D61),2)),IF($BF61=0,ROUND('Inputs 2'!$C$81*($C61+$D61),2),'Inputs 2'!$C$27+ROUND('Inputs 2'!$C$81*($C61+$D61),2)))))</f>
      </c>
      <c r="W61" s="7">
        <f>IF($B61="","",IF($BF61=0,0,$BP61))</f>
      </c>
      <c r="X61" s="7">
        <f>IF($B61="","",SUM($E61:$K61)+$P61+$Q61+$R61+$S61+$T61+$U61+$V61+$W61)</f>
      </c>
      <c r="Y61" s="22">
        <f>IF($B61="","",$C61+$D61-$X61)</f>
      </c>
      <c r="Z61" s="7">
        <f>IF($B61="","",$Z60+$C61+$D61)</f>
      </c>
      <c r="AA61" s="7">
        <f>IF($B61="","",$AA60+$Y61)</f>
      </c>
      <c r="AB61" s="7">
        <f>IF($B61="","",$AB60+MIN($N61,MAX(0,'Methodology &amp; Sources'!$C$3-($AX61+$AB60-$AW61))))</f>
      </c>
      <c r="AC61" s="7">
        <f>IF($B61="","",$AC60+$E61+$F61)</f>
      </c>
      <c r="AD61" s="3">
        <f>IF($B61="","",IF(AND($AB60&lt;'Methodology &amp; Sources'!$C$3,$AB61&gt;='Methodology &amp; Sources'!$C$3),"★ Social Security maxed on this check — from the next check your net rises by about $"&amp;TEXT(ROUND('Methodology &amp; Sources'!$C$4*$N61,2),"#,##0.00")&amp;". ","")&amp;IF(AND($AC60&lt;'Inputs 2'!$C$34,$AC61&gt;='Inputs 2'!$C$34),"★ 401(k) reaches the $"&amp;TEXT('Inputs 2'!$C$34,"#,##0")&amp;" cap on this check — deferrals stop and net pay rises. ","")&amp;IF(AND($AG60&lt;'Methodology &amp; Sources'!$C$7,$AG61&gt;='Methodology &amp; Sources'!$C$7),"★ Wages pass $200,000 — the 0.9% Additional Medicare Tax starts here. ","")&amp;IF(AND($BJ61&gt;0,$H61&gt;0,$BG60&lt;MIN($BJ61,'Methodology &amp; Sources'!$C$13),$BG60+$H61&gt;=MIN($BJ61,'Methodology &amp; Sources'!$C$13)),"★ Health FSA election is now fully deferred for the year. ",""))</f>
      </c>
      <c r="AE61" s="41" t="n"/>
      <c r="AF61" s="7">
        <f>IF(OR($B61="",$AE61=""),"",$AE61-$Y61)</f>
      </c>
      <c r="AG61" s="7">
        <f>IF($B61="","",$AG60+$N61)</f>
      </c>
      <c r="AH61" s="7">
        <f>IF($B61="","",MAX(0,($M61-$D61)*'Inputs 2'!$C$8+$AP61-$AQ61-IF('Inputs 2'!$C$13,0,IF('Inputs 2'!$C$12="MFJ",'Methodology &amp; Sources'!$C$8,'Methodology &amp; Sources'!$C$9))))</f>
      </c>
      <c r="AI61" s="7">
        <f>IF($B61="","",$O61*'Inputs 2'!$C$8)</f>
      </c>
      <c r="AJ61" s="7">
        <f>IF($B61="","",MAX(0,$AI61-VLOOKUP($AN61,StateTables!$A$6:$AB$56,12,FALSE)*$AT61-IF(($AS61+$AT61)&gt;=2,VLOOKUP($AN61,StateTables!$A$6:$AB$56,8,FALSE),VLOOKUP($AN61,StateTables!$A$6:$AB$56,7,FALSE))))</f>
      </c>
      <c r="AK61" s="7">
        <f>IF($B61="","",IFERROR(LOOKUP(2,1/(('Events 2'!$C$6:$C$17="Salary change")*('Events 2'!$B$6:$B$17&lt;=$B61)*('Events 2'!$B$6:$B$17&lt;&gt;"")),'Events 2'!$D$6:$D$17),IF('Inputs 2'!$C$4="Annual salary",'Inputs 2'!$C$5,'Inputs 2'!$C$6)))</f>
      </c>
      <c r="AL61">
        <f>IF($B61="","",IFERROR(LOOKUP(2,1/(('Events 2'!$C$6:$C$17="401(k) change")*('Events 2'!$B$6:$B$17&lt;=$B61)*('Events 2'!$B$6:$B$17&lt;&gt;"")),'Events 2'!$D$6:$D$17),'Inputs 2'!$C$30))</f>
      </c>
      <c r="AM61" s="7">
        <f>IF($B61="","",IFERROR(LOOKUP(2,1/(('Events 2'!$C$6:$C$17="401(k) change")*('Events 2'!$B$6:$B$17&lt;=$B61)*('Events 2'!$B$6:$B$17&lt;&gt;"")),'Events 2'!$E$6:$E$17),'Inputs 2'!$D$30))</f>
      </c>
      <c r="AN61">
        <f>IF($B61="","",IFERROR(LOOKUP(2,1/(('Events 2'!$C$6:$C$17="State move")*('Events 2'!$B$6:$B$17&lt;=$B61)*('Events 2'!$B$6:$B$17&lt;&gt;"")),'Events 2'!$D$6:$D$17),'Inputs 2'!$C$21))</f>
      </c>
      <c r="AO61" s="7">
        <f>IF($B61="","",IFERROR(LOOKUP(2,1/(('Events 2'!$C$6:$C$17="W-4 change")*('Events 2'!$B$6:$B$17&lt;=$B61)*('Events 2'!$B$6:$B$17&lt;&gt;"")),'Events 2'!$D$6:$D$17),'Inputs 2'!$C$14))</f>
      </c>
      <c r="AP61" s="7">
        <f>IF($B61="","",IFERROR(LOOKUP(2,1/(('Events 2'!$C$6:$C$17="W-4 change")*('Events 2'!$B$6:$B$17&lt;=$B61)*('Events 2'!$B$6:$B$17&lt;&gt;"")),'Events 2'!$E$6:$E$17),'Inputs 2'!$C$15))</f>
      </c>
      <c r="AQ61" s="7">
        <f>IF($B61="","",IFERROR(LOOKUP(2,1/(('Events 2'!$C$6:$C$17="W-4 change")*('Events 2'!$B$6:$B$17&lt;=$B61)*('Events 2'!$B$6:$B$17&lt;&gt;"")),'Events 2'!$F$6:$F$17),'Inputs 2'!$C$16))</f>
      </c>
      <c r="AR61" s="7">
        <f>IF($B61="","",IFERROR(LOOKUP(2,1/(('Events 2'!$C$6:$C$17="W-4 change")*('Events 2'!$B$6:$B$17&lt;=$B61)*('Events 2'!$B$6:$B$17&lt;&gt;"")),'Events 2'!$G$6:$G$17),'Inputs 2'!$C$17))</f>
      </c>
      <c r="AS61" s="6">
        <f>IF($B61="","",IFERROR(LOOKUP(2,1/((('Events 2'!$C$6:$C$17="State move")+('Events 2'!$C$6:$C$17="State cert change"))*('Events 2'!$B$6:$B$17&lt;=$B61)*('Events 2'!$B$6:$B$17&lt;&gt;"")),'Events 2'!$F$6:$F$17),'Inputs 2'!$C$23))</f>
      </c>
      <c r="AT61" s="6">
        <f>IF($B61="","",IFERROR(LOOKUP(2,1/((('Events 2'!$C$6:$C$17="State move")+('Events 2'!$C$6:$C$17="State cert change"))*('Events 2'!$B$6:$B$17&lt;=$B61)*('Events 2'!$B$6:$B$17&lt;&gt;"")),'Events 2'!$G$6:$G$17),'Inputs 2'!$C$24))</f>
      </c>
      <c r="AU61">
        <f>IF($B61="","",IFERROR(LOOKUP(2,1/(('Events 2'!$C$6:$C$17="State move")*('Events 2'!$B$6:$B$17&lt;=$B61)*('Events 2'!$B$6:$B$17&lt;&gt;"")),'Events 2'!$E$6:$E$17),'Inputs 2'!$C$22))</f>
      </c>
      <c r="AV61" s="6">
        <f>IF($B61="","",1+COUNTIFS('Events 2'!$C$6:$C$17,"Employer change",'Events 2'!$B$6:$B$17,"&lt;="&amp;$B61,'Events 2'!$B$6:$B$17,"&lt;&gt;"))</f>
      </c>
      <c r="AW61" s="7">
        <f>IF($B61="","",IF($AV61=1,'Inputs 2'!$C$49,IF(IFERROR(MATCH(IFERROR(LOOKUP(2,1/(('Events 2'!$C$6:$C$17="Employer change")*('Events 2'!$B$6:$B$17&lt;=$B61)*('Events 2'!$B$6:$B$17&lt;&gt;"")),'Events 2'!$B$6:$B$17),""),$B$6:$B$68,1),1)&lt;=1,'Inputs 2'!$C$49,INDEX($AB$6:$AB$68,MATCH(IFERROR(LOOKUP(2,1/(('Events 2'!$C$6:$C$17="Employer change")*('Events 2'!$B$6:$B$17&lt;=$B61)*('Events 2'!$B$6:$B$17&lt;&gt;"")),'Events 2'!$B$6:$B$17),""),$B$6:$B$68,1)-1))))</f>
      </c>
      <c r="AX61" s="7">
        <f>IF($B61="","",IF($AV61=1,'Inputs 2'!$C$49,IFERROR(LOOKUP(2,1/(('Events 2'!$C$6:$C$17="Employer change")*('Events 2'!$B$6:$B$17&lt;=$B61)*('Events 2'!$B$6:$B$17&lt;&gt;"")),'Events 2'!$D$6:$D$17),0)))</f>
      </c>
      <c r="AY61" s="7">
        <f>IF($B61="","",($O61-$D61)*'Inputs 2'!$C$8)</f>
      </c>
      <c r="AZ61" s="7">
        <f>IF($B61="","",IF($AN61="AL",MAX(0,$AY61-IF($AU61="Married",IF($AY61&lt;=25999,8500,MAX(5000,8500-175*CEILING(($AY61-25999)/500,1))),IF($AU61="Head of household",IF($AY61&lt;=25999,5200,MAX(2500,5200-135*CEILING(($AY61-25999)/500,1))),IF($AY61&lt;=25999,3000,MAX(2500,3000-25*CEILING(($AY61-25999)/500,1)))))-($P61-'Methodology &amp; Sources'!$C$10*$D61)*'Inputs 2'!$C$8-IF(OR($AU61="Married",$AU61="Head of household"),3000,1500)-$AT61*IF($AY61&lt;=50000,1000,IF($AY61&lt;=100000,500,300))),IF($AN61="AR",IF(MAX(0,$AY61-2470)&lt;97701,INT(MAX(0,$AY61-2470)/100)*100+50,MAX(0,$AY61-2470)),IF($AN61="DE",MAX(0,$AI61-3250),IF($AN61="HI",MAX(0,$AI61-1144*$AS61-4350),IF($AN61="KS",MAX(0,$AI61-(9160*IF($AU61="Married",2,1)+2320*$AT61+IF($AU61="Head of household",2320,0))),IF($AN61="MD",MAX(0,$AI61-3400-3200*$AS61),IF($AN61="MN",MAX(0,$AY61-5300*$AS61),IF($AN61="MO",MAX(0,$AI61-IF($AU61="Head of household",24150,IF($AU61="Married",IF('Inputs 2'!$C$83,16100,32200),16100))),IF($AN61="MT",$AY61,IF($AN61="ND",($C61+$L61)*'Inputs 2'!$C$8,IF($AN61="NE",MAX(0,$AY61-2440*$AS61),IF($AN61="NJ",MAX(0,$AY61-1000*$AS61),IF($AN61="NY",MAX(0,$AY61-(IF($AU61="Married",7950,7400)+1000*$AS61)),IF($AN61="OH",MAX(0,$AY61-650*$AS61),IF($AN61="OK",MAX(0,$AY61-1000*$AS61),IF($AN61="RI",MAX(0,$AI61-1000*$AS61),IF($AN61="SC",MAX(0,$AI61-5000*$AS61-IF($AS61=0,0,MIN(0.1*$AI61,7500))),IF($AN61="VA",MAX(0,$AI61-IF($AU61="Married",17500,8750)-930*$AS61-800*$AT61),IF($AN61="VT",MAX(0,$AI61-5400*$AS61),IF($AN61="WI",MAX(0,$AI61-MAX(0,IF($AU61="Married",9461-0.2*MAX(0,$AI61-25727),6702-0.12*MAX(0,$AI61-17780)))-400*$AS61),IF($AN61="WV",MAX(0,$AI61-2000*$AS61),$AI61))))))))))))))))))))))</f>
      </c>
      <c r="BA61" s="7">
        <f>IF($B61="","",IF($BW61&lt;&gt;"",$BW61,IF($BX61&lt;&gt;"",$BX61,IF($BY61&lt;&gt;"",$BY61,0))))</f>
      </c>
      <c r="BB61" s="7">
        <f>IF($B61="","",IF($AN61="AR",-29*$AS61,IF($AN61="DE",-110*$AS61,IF($AN61="MD",$AZ61*'Inputs 2'!$C$74,IF($AN61="AZ",'Inputs 2'!$C$82*($M61-$D61)*'Inputs 2'!$C$8,IF($AN61="CO",0.044*MAX(0,$AY61-IF($AU61="Married",10000,5000)),IF($AN61="IA",MAX(0,0.038*MAX(0,$AY61-IF($AU61="Head of household",19500,IF($AU61="Married",26000,13000)))-40*$AS61),IF($AN61="ID",0.053*MAX(0,$AY61-IF($AU61="Married",32000,16094)),IF($AN61="IL",0.0495*MAX(0,$AY61-(2925*$AS61+1000*$AT61)),IF($AN61="IN",(0.0295+'Inputs 2'!$C$76)*MAX(0,$AY61-(1000*$AS61+1500*$AT61+3000*'Inputs 2'!$C$86)),IF($AN61="KY",0.035*MAX(0,$AI61-3360),IF($AN61="LA",IF('Inputs 2'!$C$84="0",0.0309*$AI61,0.0309*MAX(0,$AI61-IF('Inputs 2'!$C$84="2",25750,12875))),IF($AN61="MA",0.05*MIN(MAX(0,$AY61-MIN(($BD60+$Q61+$R61+$S61),2000)-IF($AS61=0,0,IF($AS61=1,4400,1000*$AS61+3400))),1107750)+0.09*MAX(0,MAX(0,$AY61-MIN(($BD60+$Q61+$R61+$S61),2000)-IF($AS61=0,0,IF($AS61=1,4400,1000*$AS61+3400)))-1107750)-IF($AU61="Head of household",120,0)-110*'Inputs 2'!$C$75,IF($AN61="MI",0.0425*MAX(0,$AY61-5900*$AS61),IF($AN61="MS",0.04*MAX(0,$AI61-IF($AU61="Head of household",3400,IF($AU61="Married",4600,2300))-'Inputs 2'!$C$85-10000),IF($AN61="OR",IF(OR($AU61="Married",AND($AU61="Single",$AS61&gt;=3)),SUMPRODUCT((MAX(0,$AY61-MIN(($P61-'Methodology &amp; Sources'!$C$10*$D61)*'Inputs 2'!$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Sources'!$B$211:$J$214,0,4))*(MAX(0,$AY61-MIN(($P61-'Methodology &amp; Sources'!$C$10*$D61)*'Inputs 2'!$C$8,IF(OR($AU61="Married",AND($AU61="Single",$AS61&gt;=3)),IF($AY61&lt;250000,8750,IF($AY61&lt;260000,7000,IF($AY61&lt;270000,5250,IF($AY61&lt;280000,3500,IF($AY61&lt;290000,1750,0))))),IF($AY61&lt;125000,8750,IF($AY61&lt;130000,7000,IF($AY61&lt;135000,5250,IF($AY61&lt;140000,3500,IF($AY61&lt;145000,1750,0)))))))-IF(OR($AU61="Married",AND($AU61="Single",$AS61&gt;=3)),5820,2910))-INDEX('Methodology &amp; Sources'!$B$211:$J$214,0,4))*INDEX('Methodology &amp; Sources'!$B$211:$J$214,0,4+2)),SUMPRODUCT((MAX(0,$AY61-MIN(($P61-'Methodology &amp; Sources'!$C$10*$D61)*'Inputs 2'!$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Sources'!$B$211:$J$214,0,1))*(MAX(0,$AY61-MIN(($P61-'Methodology &amp; Sources'!$C$10*$D61)*'Inputs 2'!$C$8,IF(OR($AU61="Married",AND($AU61="Single",$AS61&gt;=3)),IF($AY61&lt;250000,8750,IF($AY61&lt;260000,7000,IF($AY61&lt;270000,5250,IF($AY61&lt;280000,3500,IF($AY61&lt;290000,1750,0))))),IF($AY61&lt;125000,8750,IF($AY61&lt;130000,7000,IF($AY61&lt;135000,5250,IF($AY61&lt;140000,3500,IF($AY61&lt;145000,1750,0)))))))-IF(OR($AU61="Married",AND($AU61="Single",$AS61&gt;=3)),5820,2910))-INDEX('Methodology &amp; Sources'!$B$211:$J$214,0,1))*INDEX('Methodology &amp; Sources'!$B$211:$J$214,0,1+2)))+263-263*IF(IF($AU61="Married",$AY61&gt;200000,$AY61&gt;100000),0,$AS61),IF($AN61="PA",0.0307*(($O61+$E61+$G61)*'Inputs 2'!$C$8),IF($AN61="NY",IF($AU61="Married",IF($AZ61&gt;=2155350,0,IF($AZ61&gt;=1077550,0.48,IF($AZ61&gt;=373200,1.21,IF($AZ61&gt;=323200,0.21,IF($AZ61&gt;=211550,-0.19,IF($AZ61&gt;=157650,-2.8,IF($AZ61&gt;=107650,-0.8,IF($AZ61&gt;=96800,0.05,IF($AZ61&gt;=80650,-0.1,IF($AZ61&gt;=13900,0.4,IF($AZ61&gt;=11700,-0.3,IF($AZ61&gt;=8500,0.5,0)))))))))))),IF($AZ61&gt;=1077550,0,IF($AZ61&gt;=265400,4.29,IF($AZ61&gt;=215400,2.29,IF($AZ61&gt;=157650,2.29,IF($AZ61&gt;=107650,0.29,IF($AZ61&gt;=96800,0.05,IF($AZ61&gt;=80650,-0.1,IF($AZ61&gt;=13900,0.4,IF($AZ61&gt;=11700,-0.3,IF($AZ61&gt;=8500,0.5,0))))))))))),0))))))))))))))))))</f>
      </c>
      <c r="BC61" s="7">
        <f>IF($B61="","",IF($AN61="AL",0.05*$D61,IF($AN61="AR",0.039*$D61,IF($AN61="ID",0.053*$D61,IF($AN61="IN",(0.0295+'Inputs 2'!$C$76)*$D61,IF($AN61="KS",0.05*$D61,IF($AN61="MA",0.09*MIN($D61,MAX(0,MAX(0,$AY61-MIN(($BD60+$Q61+$R61+$S61),2000)-IF($AS61=0,0,IF($AS61=1,4400,1000*$AS61+3400)))+$D61-1107750))+0.05*($D61-MIN($D61,MAX(0,MAX(0,$AY61-MIN(($BD60+$Q61+$R61+$S61),2000)-IF($AS61=0,0,IF($AS61=1,4400,1000*$AS61+3400)))+$D61-1107750))),IF($AN61="MD",(0.065+'Inputs 2'!$C$74)*$D61,IF($AN61="MI",0.0425*$D61,IF($AN61="MN",0.0625*$D61,IF($AN61="MO",0.047*$D61,IF($AN61="MT",0.05*$D61,IF($AN61="ND",0.015*$D61,IF($AN61="NE",0.035*$D61,IF($AN61="NJ",IF('Inputs 2'!$C$77="B",SUMPRODUCT(($D61*'Inputs 2'!$C$8&gt;INDEX('Methodology &amp; Sources'!$B$155:$J$162,0,4))*($D61*'Inputs 2'!$C$8-INDEX('Methodology &amp; Sources'!$B$155:$J$162,0,4))*INDEX('Methodology &amp; Sources'!$B$155:$J$162,0,4+2)),IF('Inputs 2'!$C$77="C",SUMPRODUCT(($D61*'Inputs 2'!$C$8&gt;INDEX('Methodology &amp; Sources'!$B$155:$J$162,0,7))*($D61*'Inputs 2'!$C$8-INDEX('Methodology &amp; Sources'!$B$155:$J$162,0,7))*INDEX('Methodology &amp; Sources'!$B$155:$J$162,0,7+2)),IF('Inputs 2'!$C$77="D",SUMPRODUCT(($D61*'Inputs 2'!$C$8&gt;INDEX('Methodology &amp; Sources'!$B$167:$J$179,0,1))*($D61*'Inputs 2'!$C$8-INDEX('Methodology &amp; Sources'!$B$167:$J$179,0,1))*INDEX('Methodology &amp; Sources'!$B$167:$J$179,0,1+2)),IF('Inputs 2'!$C$77="E",SUMPRODUCT(($D61*'Inputs 2'!$C$8&gt;INDEX('Methodology &amp; Sources'!$B$167:$J$179,0,4))*($D61*'Inputs 2'!$C$8-INDEX('Methodology &amp; Sources'!$B$167:$J$179,0,4))*INDEX('Methodology &amp; Sources'!$B$167:$J$179,0,4+2)),SUMPRODUCT(($D61*'Inputs 2'!$C$8&gt;INDEX('Methodology &amp; Sources'!$B$155:$J$162,0,1))*($D61*'Inputs 2'!$C$8-INDEX('Methodology &amp; Sources'!$B$155:$J$162,0,1))*INDEX('Methodology &amp; Sources'!$B$155:$J$162,0,1+2))))))/'Inputs 2'!$C$8,IF($AN61="NY",0.117*$D61,IF($AN61="OH",0.0275*$D61,IF($AN61="OK",0.045*$D61,IF($AN61="OR",0.08*$D61,IF($AN61="WI",IF($AY61&lt;12760,0.0354,IF($AY61&lt;25520,0.0465,IF($AY61&lt;280950,0.053,0.0765)))*$D61,0))))))))))))))))))))</f>
      </c>
      <c r="BD61" s="7">
        <f>IF($B61="","",$BD60+$Q61+$R61+$S61)</f>
      </c>
      <c r="BE61" s="6">
        <f>IF($B61="",$BE60,$BE60+$BF61)</f>
      </c>
      <c r="BF61" s="6">
        <f>IF($B61="","",IF(AND(IF(YEAR(IF('Inputs 2'!$C$7="Weekly",'Inputs 2'!$C$9+7*(($BE60+1)-1),IF('Inputs 2'!$C$7="Biweekly",'Inputs 2'!$C$9+14*(($BE60+1)-1),IF('Inputs 2'!$C$7="Semimonthly",DATE(YEAR('Inputs 2'!$C$9),MONTH('Inputs 2'!$C$9)+INT((($BE60+1)-1)/2),MIN(DAY('Inputs 2'!$C$9),DAY(EOMONTH(DATE(YEAR('Inputs 2'!$C$9),MONTH('Inputs 2'!$C$9)+INT((($BE60+1)-1)/2),1),0))))+IF(MOD(($BE60+1)-1,2)=1,15,0),EDATE('Inputs 2'!$C$9,($BE60+1)-1)))))&lt;&gt;'Inputs 2'!$C$10,"",IF('Inputs 2'!$C$7="Weekly",'Inputs 2'!$C$9+7*(($BE60+1)-1),IF('Inputs 2'!$C$7="Biweekly",'Inputs 2'!$C$9+14*(($BE60+1)-1),IF('Inputs 2'!$C$7="Semimonthly",DATE(YEAR('Inputs 2'!$C$9),MONTH('Inputs 2'!$C$9)+INT((($BE60+1)-1)/2),MIN(DAY('Inputs 2'!$C$9),DAY(EOMONTH(DATE(YEAR('Inputs 2'!$C$9),MONTH('Inputs 2'!$C$9)+INT((($BE60+1)-1)/2),1),0))))+IF(MOD(($BE60+1)-1,2)=1,15,0),EDATE('Inputs 2'!$C$9,($BE60+1)-1)))))&lt;&gt;"",$B61=IF(YEAR(IF('Inputs 2'!$C$7="Weekly",'Inputs 2'!$C$9+7*(($BE60+1)-1),IF('Inputs 2'!$C$7="Biweekly",'Inputs 2'!$C$9+14*(($BE60+1)-1),IF('Inputs 2'!$C$7="Semimonthly",DATE(YEAR('Inputs 2'!$C$9),MONTH('Inputs 2'!$C$9)+INT((($BE60+1)-1)/2),MIN(DAY('Inputs 2'!$C$9),DAY(EOMONTH(DATE(YEAR('Inputs 2'!$C$9),MONTH('Inputs 2'!$C$9)+INT((($BE60+1)-1)/2),1),0))))+IF(MOD(($BE60+1)-1,2)=1,15,0),EDATE('Inputs 2'!$C$9,($BE60+1)-1)))))&lt;&gt;'Inputs 2'!$C$10,"",IF('Inputs 2'!$C$7="Weekly",'Inputs 2'!$C$9+7*(($BE60+1)-1),IF('Inputs 2'!$C$7="Biweekly",'Inputs 2'!$C$9+14*(($BE60+1)-1),IF('Inputs 2'!$C$7="Semimonthly",DATE(YEAR('Inputs 2'!$C$9),MONTH('Inputs 2'!$C$9)+INT((($BE60+1)-1)/2),MIN(DAY('Inputs 2'!$C$9),DAY(EOMONTH(DATE(YEAR('Inputs 2'!$C$9),MONTH('Inputs 2'!$C$9)+INT((($BE60+1)-1)/2),1),0))))+IF(MOD(($BE60+1)-1,2)=1,15,0),EDATE('Inputs 2'!$C$9,($BE60+1)-1)))))),1,0))</f>
      </c>
      <c r="BG61" s="7">
        <f>IF($B61="","",$BG60+$H61)</f>
      </c>
      <c r="BH61" s="7">
        <f>IF($B61="","",$BH60+$I61)</f>
      </c>
      <c r="BI61" s="7">
        <f>IF($B61="","",$BI60+$G61)</f>
      </c>
      <c r="BJ61" s="7">
        <f>IF($B61="","",IFERROR(LOOKUP(2,1/(((('Events 2'!$C$6:$C$17="Deduction start"))*('Events 2'!$D$6:$D$17="Health FSA"))*('Events 2'!$B$6:$B$17&lt;=$B61)*('Events 2'!$B$6:$B$17&lt;&gt;"")),'Events 2'!$E$6:$E$17),'Inputs 2'!$D$38))</f>
      </c>
      <c r="BK61" s="7">
        <f>IF($B61="","",IFERROR(LOOKUP(2,1/(((('Events 2'!$C$6:$C$17="Deduction start"))*('Events 2'!$D$6:$D$17="Dependent-care FSA"))*('Events 2'!$B$6:$B$17&lt;=$B61)*('Events 2'!$B$6:$B$17&lt;&gt;"")),'Events 2'!$E$6:$E$17),'Inputs 2'!$D$39))</f>
      </c>
      <c r="BL61" s="7">
        <f>IF($B61="","",IFERROR(LOOKUP(2,1/(((('Events 2'!$C$6:$C$17="Deduction start")+('Events 2'!$C$6:$C$17="Deduction stop"))*('Events 2'!$D$6:$D$17="HSA"))*('Events 2'!$B$6:$B$17&lt;=$B61)*('Events 2'!$B$6:$B$17&lt;&gt;"")),'Events 2'!$I$6:$I$17),'Inputs 2'!$D$35))</f>
      </c>
      <c r="BM61" s="7">
        <f>IF($B61="","",IFERROR(LOOKUP(2,1/(((('Events 2'!$C$6:$C$17="Deduction start")+('Events 2'!$C$6:$C$17="Deduction stop"))*('Events 2'!$D$6:$D$17="Premiums"))*('Events 2'!$B$6:$B$17&lt;=$B61)*('Events 2'!$B$6:$B$17&lt;&gt;"")),'Events 2'!$I$6:$I$17),'Inputs 2'!$D$40+'Inputs 2'!$D$41+'Inputs 2'!$D$42))</f>
      </c>
      <c r="BN61" s="7">
        <f>IF($B61="","",IFERROR(LOOKUP(2,1/(((('Events 2'!$C$6:$C$17="Deduction start")+('Events 2'!$C$6:$C$17="Deduction stop"))*('Events 2'!$D$6:$D$17="Commuter"))*('Events 2'!$B$6:$B$17&lt;=$B61)*('Events 2'!$B$6:$B$17&lt;&gt;"")),'Events 2'!$I$6:$I$17),'Inputs 2'!$D$43))</f>
      </c>
      <c r="BO61" s="7">
        <f>IF($B61="","",IFERROR(LOOKUP(2,1/(((('Events 2'!$C$6:$C$17="Deduction start")+('Events 2'!$C$6:$C$17="Deduction stop"))*('Events 2'!$D$6:$D$17="Other pre-tax"))*('Events 2'!$B$6:$B$17&lt;=$B61)*('Events 2'!$B$6:$B$17&lt;&gt;"")),'Events 2'!$I$6:$I$17),'Inputs 2'!$D$44))</f>
      </c>
      <c r="BP61" s="7">
        <f>IF($B61="","",IFERROR(LOOKUP(2,1/(((('Events 2'!$C$6:$C$17="Deduction start")+('Events 2'!$C$6:$C$17="Deduction stop"))*('Events 2'!$D$6:$D$17="Other post-tax"))*('Events 2'!$B$6:$B$17&lt;=$B61)*('Events 2'!$B$6:$B$17&lt;&gt;"")),'Events 2'!$I$6:$I$17),'Inputs 2'!$D$45))</f>
      </c>
      <c r="BQ61" s="6">
        <f>IF($B61="","",IFERROR(LOOKUP(2,1/(((('Events 2'!$C$6:$C$17="Deduction start")+('Events 2'!$C$6:$C$17="Deduction stop"))*('Events 2'!$D$6:$D$17="Health FSA"))*('Events 2'!$B$6:$B$17&lt;=$B61)*('Events 2'!$B$6:$B$17&lt;&gt;"")),'Events 2'!$J$6:$J$17),0))</f>
      </c>
      <c r="BR61" s="6">
        <f>IF($B61="","",IFERROR(LOOKUP(2,1/(((('Events 2'!$C$6:$C$17="Deduction start")+('Events 2'!$C$6:$C$17="Deduction stop"))*('Events 2'!$D$6:$D$17="Dependent-care FSA"))*('Events 2'!$B$6:$B$17&lt;=$B61)*('Events 2'!$B$6:$B$17&lt;&gt;"")),'Events 2'!$J$6:$J$17),0))</f>
      </c>
      <c r="BS61" s="6">
        <f>IF($B61="","",IF(SUMPRODUCT(('Events 2'!$C$6:$C$17="Deduction start")*('Events 2'!$B$6:$B$17&lt;=$B61)*('Events 2'!$B$6:$B$17&lt;&gt;"")*('Events 2'!$D$6:$D$17="Health FSA"))&gt;0,1,0))</f>
      </c>
      <c r="BT61" s="6">
        <f>IF($B61="","",IF(SUMPRODUCT(('Events 2'!$C$6:$C$17="Deduction start")*('Events 2'!$B$6:$B$17&lt;=$B61)*('Events 2'!$B$6:$B$17&lt;&gt;"")*('Events 2'!$D$6:$D$17="Dependent-care FSA"))&gt;0,1,0))</f>
      </c>
      <c r="BU61" s="24">
        <f>IF($B61="","",IF('Inputs 2'!$C$13,SUMPRODUCT(($AH61&gt;=INDEX('Methodology &amp; Sources'!$B$29:$J$36,0,IF('Inputs 2'!$C$12="MFJ",1,IF('Inputs 2'!$C$12="HoH",7,4))))*INDEX('Methodology &amp; Sources'!$B$29:$J$36,0,IF('Inputs 2'!$C$12="MFJ",1,IF('Inputs 2'!$C$12="HoH",7,4))+2)),SUMPRODUCT(($AH61&gt;=INDEX('Methodology &amp; Sources'!$B$19:$J$26,0,IF('Inputs 2'!$C$12="MFJ",1,IF('Inputs 2'!$C$12="HoH",7,4))))*INDEX('Methodology &amp; Sources'!$B$19:$J$26,0,IF('Inputs 2'!$C$12="MFJ",1,IF('Inputs 2'!$C$12="HoH",7,4))+2))))</f>
      </c>
      <c r="BV61" s="24">
        <f>IF($B61="","",IF($BZ61&lt;&gt;"",$BZ61,IF($CA61&lt;&gt;"",$CA61,IF($CB61&lt;&gt;"",$CB61,IF($CC61&lt;&gt;"",$CC61,0)))))</f>
      </c>
      <c r="BW61" s="7">
        <f>IF($B61="","",IF($AN61="MD",IF(OR($AU61="Married",$AU61="Head of household"),SUMPRODUCT(($AZ61&gt;INDEX('Methodology &amp; Sources'!$B$114:$J$120,0,1))*($AZ61-INDEX('Methodology &amp; Sources'!$B$114:$J$120,0,1))*INDEX('Methodology &amp; Sources'!$B$114:$J$120,0,1+2)),SUMPRODUCT(($AZ61&gt;INDEX('Methodology &amp; Sources'!$B$103:$J$109,0,7))*($AZ61-INDEX('Methodology &amp; Sources'!$B$103:$J$109,0,7))*INDEX('Methodology &amp; Sources'!$B$103:$J$109,0,7+2))),IF($AN61="MO",SUMPRODUCT(($AZ61&gt;INDEX('Methodology &amp; Sources'!$B$125:$J$132,0,1))*($AZ61-INDEX('Methodology &amp; Sources'!$B$125:$J$132,0,1))*INDEX('Methodology &amp; Sources'!$B$125:$J$132,0,1+2)),IF($AN61="MT",IF($AU61="Head of household",SUMPRODUCT(($AZ61&gt;INDEX('Methodology &amp; Sources'!$B$137:$J$139,0,1))*($AZ61-INDEX('Methodology &amp; Sources'!$B$137:$J$139,0,1))*INDEX('Methodology &amp; Sources'!$B$137:$J$139,0,1+2)),IF($AU61="Married",SUMPRODUCT(($AZ61&gt;INDEX('Methodology &amp; Sources'!$B$125:$J$132,0,7))*($AZ61-INDEX('Methodology &amp; Sources'!$B$125:$J$132,0,7))*INDEX('Methodology &amp; Sources'!$B$125:$J$132,0,7+2)),SUMPRODUCT(($AZ61&gt;INDEX('Methodology &amp; Sources'!$B$125:$J$132,0,4))*($AZ61-INDEX('Methodology &amp; Sources'!$B$125:$J$132,0,4))*INDEX('Methodology &amp; Sources'!$B$125:$J$132,0,4+2)))),IF($AN61="ND",IF($AU61="Head of household",SUMPRODUCT(($AZ61&gt;INDEX('Methodology &amp; Sources'!$B$144:$J$150,0,1))*($AZ61-INDEX('Methodology &amp; Sources'!$B$144:$J$150,0,1))*INDEX('Methodology &amp; Sources'!$B$144:$J$150,0,1+2)),IF($AU61="Married",SUMPRODUCT(($AZ61&gt;INDEX('Methodology &amp; Sources'!$B$137:$J$139,0,7))*($AZ61-INDEX('Methodology &amp; Sources'!$B$137:$J$139,0,7))*INDEX('Methodology &amp; Sources'!$B$137:$J$139,0,7+2)),SUMPRODUCT(($AZ61&gt;INDEX('Methodology &amp; Sources'!$B$137:$J$139,0,4))*($AZ61-INDEX('Methodology &amp; Sources'!$B$137:$J$139,0,4))*INDEX('Methodology &amp; Sources'!$B$137:$J$139,0,4+2)))),IF($AN61="NJ",IF('Inputs 2'!$C$77="B",SUMPRODUCT(($AZ61&gt;INDEX('Methodology &amp; Sources'!$B$155:$J$162,0,4))*($AZ61-INDEX('Methodology &amp; Sources'!$B$155:$J$162,0,4))*INDEX('Methodology &amp; Sources'!$B$155:$J$162,0,4+2)),IF('Inputs 2'!$C$77="C",SUMPRODUCT(($AZ61&gt;INDEX('Methodology &amp; Sources'!$B$155:$J$162,0,7))*($AZ61-INDEX('Methodology &amp; Sources'!$B$155:$J$162,0,7))*INDEX('Methodology &amp; Sources'!$B$155:$J$162,0,7+2)),IF('Inputs 2'!$C$77="D",SUMPRODUCT(($AZ61&gt;INDEX('Methodology &amp; Sources'!$B$167:$J$179,0,1))*($AZ61-INDEX('Methodology &amp; Sources'!$B$167:$J$179,0,1))*INDEX('Methodology &amp; Sources'!$B$167:$J$179,0,1+2)),IF('Inputs 2'!$C$77="E",SUMPRODUCT(($AZ61&gt;INDEX('Methodology &amp; Sources'!$B$167:$J$179,0,4))*($AZ61-INDEX('Methodology &amp; Sources'!$B$167:$J$179,0,4))*INDEX('Methodology &amp; Sources'!$B$167:$J$179,0,4+2)),SUMPRODUCT(($AZ61&gt;INDEX('Methodology &amp; Sources'!$B$155:$J$162,0,1))*($AZ61-INDEX('Methodology &amp; Sources'!$B$155:$J$162,0,1))*INDEX('Methodology &amp; Sources'!$B$155:$J$162,0,1+2)))))),IF($AN61="NY",IF($AU61="Married",IF($AZ61&gt;=2155350,$AZ61*IF($AZ61&gt;25000000,0.117,IF($AZ61&gt;5000000,0.111,0.1045)),SUMPRODUCT(($AZ61&gt;INDEX('Methodology &amp; Sources'!$B$184:$J$198,0,1))*($AZ61-INDEX('Methodology &amp; Sources'!$B$184:$J$198,0,1))*INDEX('Methodology &amp; Sources'!$B$184:$J$198,0,1+2))),IF($AZ61&gt;=1077550,$AZ61*IF($AZ61&gt;25000000,0.117,IF($AZ61&gt;5000000,0.111,0.1045)),SUMPRODUCT(($AZ61&gt;INDEX('Methodology &amp; Sources'!$B$167:$J$179,0,7))*($AZ61-INDEX('Methodology &amp; Sources'!$B$167:$J$179,0,7))*INDEX('Methodology &amp; Sources'!$B$167:$J$179,0,7+2)))),"")))))))</f>
      </c>
      <c r="BX61" s="7">
        <f>IF($B61="","",IF($AN61="AL",IF(OR($AU61="Married",$AU61="Head of household"),SUMPRODUCT(($AZ61&gt;INDEX('Methodology &amp; Sources'!$B$82:$J$86,0,4))*($AZ61-INDEX('Methodology &amp; Sources'!$B$82:$J$86,0,4))*INDEX('Methodology &amp; Sources'!$B$82:$J$86,0,4+2)),SUMPRODUCT(($AZ61&gt;INDEX('Methodology &amp; Sources'!$B$82:$J$86,0,1))*($AZ61-INDEX('Methodology &amp; Sources'!$B$82:$J$86,0,1))*INDEX('Methodology &amp; Sources'!$B$82:$J$86,0,1+2))),IF($AN61="KS",IF($AU61="Married",SUMPRODUCT(($AZ61&gt;INDEX('Methodology &amp; Sources'!$B$103:$J$109,0,4))*($AZ61-INDEX('Methodology &amp; Sources'!$B$103:$J$109,0,4))*INDEX('Methodology &amp; Sources'!$B$103:$J$109,0,4+2)),SUMPRODUCT(($AZ61&gt;INDEX('Methodology &amp; Sources'!$B$103:$J$109,0,1))*($AZ61-INDEX('Methodology &amp; Sources'!$B$103:$J$109,0,1))*INDEX('Methodology &amp; Sources'!$B$103:$J$109,0,1+2))),IF($AN61="MN",IF($AU61="Married",SUMPRODUCT(($AZ61&gt;INDEX('Methodology &amp; Sources'!$B$114:$J$120,0,7))*($AZ61-INDEX('Methodology &amp; Sources'!$B$114:$J$120,0,7))*INDEX('Methodology &amp; Sources'!$B$114:$J$120,0,7+2)),SUMPRODUCT(($AZ61&gt;INDEX('Methodology &amp; Sources'!$B$114:$J$120,0,4))*($AZ61-INDEX('Methodology &amp; Sources'!$B$114:$J$120,0,4))*INDEX('Methodology &amp; Sources'!$B$114:$J$120,0,4+2))),IF($AN61="NE",MAX(IF($AU61="Married",SUMPRODUCT(($AZ61&gt;INDEX('Methodology &amp; Sources'!$B$144:$J$150,0,7))*($AZ61-INDEX('Methodology &amp; Sources'!$B$144:$J$150,0,7))*INDEX('Methodology &amp; Sources'!$B$144:$J$150,0,7+2)),SUMPRODUCT(($AZ61&gt;INDEX('Methodology &amp; Sources'!$B$144:$J$150,0,4))*($AZ61-INDEX('Methodology &amp; Sources'!$B$144:$J$150,0,4))*INDEX('Methodology &amp; Sources'!$B$144:$J$150,0,4+2))),0.015*$AZ61),IF($AN61="OH",IF($B61&gt;=DATE(2027,8,1),SUMPRODUCT(($AZ61&gt;INDEX('Methodology &amp; Sources'!$B$203:$J$206,0,1))*($AZ61-INDEX('Methodology &amp; Sources'!$B$203:$J$206,0,1))*INDEX('Methodology &amp; Sources'!$B$203:$J$206,0,1+2)),SUMPRODUCT(($AZ61&gt;INDEX('Methodology &amp; Sources'!$B$184:$J$198,0,7))*($AZ61-INDEX('Methodology &amp; Sources'!$B$184:$J$198,0,7))*INDEX('Methodology &amp; Sources'!$B$184:$J$198,0,7+2))),IF($AN61="OK",IF($AU61="Married",SUMPRODUCT(($AZ61&gt;INDEX('Methodology &amp; Sources'!$B$203:$J$206,0,7))*($AZ61-INDEX('Methodology &amp; Sources'!$B$203:$J$206,0,7))*INDEX('Methodology &amp; Sources'!$B$203:$J$206,0,7+2)),SUMPRODUCT(($AZ61&gt;INDEX('Methodology &amp; Sources'!$B$203:$J$206,0,4))*($AZ61-INDEX('Methodology &amp; Sources'!$B$203:$J$206,0,4))*INDEX('Methodology &amp; Sources'!$B$203:$J$206,0,4+2))),IF($AN61="RI",SUMPRODUCT(($AZ61&gt;INDEX('Methodology &amp; Sources'!$B$211:$J$214,0,7))*($AZ61-INDEX('Methodology &amp; Sources'!$B$211:$J$214,0,7))*INDEX('Methodology &amp; Sources'!$B$211:$J$214,0,7+2)),IF($AN61="VT",IF($AU61="Married",SUMPRODUCT(($AZ61&gt;INDEX('Methodology &amp; Sources'!$B$228:$J$232,0,1))*($AZ61-INDEX('Methodology &amp; Sources'!$B$228:$J$232,0,1))*INDEX('Methodology &amp; Sources'!$B$228:$J$232,0,1+2)),SUMPRODUCT(($AZ61&gt;INDEX('Methodology &amp; Sources'!$B$219:$J$223,0,7))*($AZ61-INDEX('Methodology &amp; Sources'!$B$219:$J$223,0,7))*INDEX('Methodology &amp; Sources'!$B$219:$J$223,0,7+2))),IF($AN61="WV",IF($AU61="Married",SUMPRODUCT(($AZ61&gt;INDEX('Methodology &amp; Sources'!$B$237:$J$241,0,7))*($AZ61-INDEX('Methodology &amp; Sources'!$B$237:$J$241,0,7))*INDEX('Methodology &amp; Sources'!$B$237:$J$241,0,7+2)),SUMPRODUCT(($AZ61&gt;INDEX('Methodology &amp; Sources'!$B$228:$J$232,0,7))*($AZ61-INDEX('Methodology &amp; Sources'!$B$228:$J$232,0,7))*INDEX('Methodology &amp; Sources'!$B$228:$J$232,0,7+2))),""))))))))))</f>
      </c>
      <c r="BY61" s="7">
        <f>IF($B61="","",IF($AN61="AR",SUMPRODUCT(($AZ61&gt;INDEX('Methodology &amp; Sources'!$B$82:$J$86,0,7))*($AZ61-INDEX('Methodology &amp; Sources'!$B$82:$J$86,0,7))*INDEX('Methodology &amp; Sources'!$B$82:$J$86,0,7+2)),IF($AN61="DE",SUMPRODUCT(($AZ61&gt;INDEX('Methodology &amp; Sources'!$B$91:$J$98,0,1))*($AZ61-INDEX('Methodology &amp; Sources'!$B$91:$J$98,0,1))*INDEX('Methodology &amp; Sources'!$B$91:$J$98,0,1+2)),IF($AN61="HI",IF($AU61="Married",SUMPRODUCT(($AZ61&gt;INDEX('Methodology &amp; Sources'!$B$91:$J$98,0,7))*($AZ61-INDEX('Methodology &amp; Sources'!$B$91:$J$98,0,7))*INDEX('Methodology &amp; Sources'!$B$91:$J$98,0,7+2)),SUMPRODUCT(($AZ61&gt;INDEX('Methodology &amp; Sources'!$B$91:$J$98,0,4))*($AZ61-INDEX('Methodology &amp; Sources'!$B$91:$J$98,0,4))*INDEX('Methodology &amp; Sources'!$B$91:$J$98,0,4+2))),IF($AN61="SC",SUMPRODUCT(($AZ61&gt;INDEX('Methodology &amp; Sources'!$B$219:$J$223,0,1))*($AZ61-INDEX('Methodology &amp; Sources'!$B$219:$J$223,0,1))*INDEX('Methodology &amp; Sources'!$B$219:$J$223,0,1+2)),IF($AN61="VA",SUMPRODUCT(($AZ61&gt;INDEX('Methodology &amp; Sources'!$B$219:$J$223,0,4))*($AZ61-INDEX('Methodology &amp; Sources'!$B$219:$J$223,0,4))*INDEX('Methodology &amp; Sources'!$B$219:$J$223,0,4+2)),IF($AN61="WI",SUMPRODUCT(($AZ61&gt;INDEX('Methodology &amp; Sources'!$B$228:$J$232,0,4))*($AZ61-INDEX('Methodology &amp; Sources'!$B$228:$J$232,0,4))*INDEX('Methodology &amp; Sources'!$B$228:$J$232,0,4+2)),"")))))))</f>
      </c>
      <c r="BZ61" s="24">
        <f>IF($B61="","",IF($AN61="NJ",IF('Inputs 2'!$C$77="B",SUMPRODUCT(($AZ61&gt;=INDEX('Methodology &amp; Sources'!$B$155:$J$162,0,4))*INDEX('Methodology &amp; Sources'!$B$155:$J$162,0,4+2)),IF('Inputs 2'!$C$77="C",SUMPRODUCT(($AZ61&gt;=INDEX('Methodology &amp; Sources'!$B$155:$J$162,0,7))*INDEX('Methodology &amp; Sources'!$B$155:$J$162,0,7+2)),IF('Inputs 2'!$C$77="D",SUMPRODUCT(($AZ61&gt;=INDEX('Methodology &amp; Sources'!$B$167:$J$179,0,1))*INDEX('Methodology &amp; Sources'!$B$167:$J$179,0,1+2)),IF('Inputs 2'!$C$77="E",SUMPRODUCT(($AZ61&gt;=INDEX('Methodology &amp; Sources'!$B$167:$J$179,0,4))*INDEX('Methodology &amp; Sources'!$B$167:$J$179,0,4+2)),SUMPRODUCT(($AZ61&gt;=INDEX('Methodology &amp; Sources'!$B$155:$J$162,0,1))*INDEX('Methodology &amp; Sources'!$B$155:$J$162,0,1+2)))))),IF($AN61="OR",IF(OR($AU61="Married",AND($AU61="Single",$AS61&gt;=3)),SUMPRODUCT((MAX(0,$AY61-MIN(($P61-'Methodology &amp; Sources'!$C$10*$D61)*'Inputs 2'!$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Sources'!$B$211:$J$214,0,4))*INDEX('Methodology &amp; Sources'!$B$211:$J$214,0,4+2)),SUMPRODUCT((MAX(0,$AY61-MIN(($P61-'Methodology &amp; Sources'!$C$10*$D61)*'Inputs 2'!$C$8,IF(OR($AU61="Married",AND($AU61="Single",$AS61&gt;=3)),IF($AY61&lt;250000,8750,IF($AY61&lt;260000,7000,IF($AY61&lt;270000,5250,IF($AY61&lt;280000,3500,IF($AY61&lt;290000,1750,0))))),IF($AY61&lt;125000,8750,IF($AY61&lt;130000,7000,IF($AY61&lt;135000,5250,IF($AY61&lt;140000,3500,IF($AY61&lt;145000,1750,0)))))))-IF(OR($AU61="Married",AND($AU61="Single",$AS61&gt;=3)),5820,2910))&gt;=INDEX('Methodology &amp; Sources'!$B$211:$J$214,0,1))*INDEX('Methodology &amp; Sources'!$B$211:$J$214,0,1+2)))*IF(($P61-'Methodology &amp; Sources'!$C$10*$D61)*'Inputs 2'!$C$8&gt;=IF(OR($AU61="Married",AND($AU61="Single",$AS61&gt;=3)),IF($AY61&lt;250000,8750,IF($AY61&lt;260000,7000,IF($AY61&lt;270000,5250,IF($AY61&lt;280000,3500,IF($AY61&lt;290000,1750,0))))),IF($AY61&lt;125000,8750,IF($AY61&lt;130000,7000,IF($AY61&lt;135000,5250,IF($AY61&lt;140000,3500,IF($AY61&lt;145000,1750,0)))))),1,1-IF('Inputs 2'!$C$13,SUMPRODUCT(($AH61&gt;=INDEX('Methodology &amp; Sources'!$B$29:$J$36,0,IF('Inputs 2'!$C$12="MFJ",1,IF('Inputs 2'!$C$12="HoH",7,4))))*INDEX('Methodology &amp; Sources'!$B$29:$J$36,0,IF('Inputs 2'!$C$12="MFJ",1,IF('Inputs 2'!$C$12="HoH",7,4))+2)),SUMPRODUCT(($AH61&gt;=INDEX('Methodology &amp; Sources'!$B$19:$J$26,0,IF('Inputs 2'!$C$12="MFJ",1,IF('Inputs 2'!$C$12="HoH",7,4))))*INDEX('Methodology &amp; Sources'!$B$19:$J$26,0,IF('Inputs 2'!$C$12="MFJ",1,IF('Inputs 2'!$C$12="HoH",7,4))+2)))),IF($AN61="MI",IF($AY61&gt;5900*$AS61,0.0425,0),""))))</f>
      </c>
      <c r="CA61" s="24">
        <f>IF($B61="","",IF($AN61="AL",IF(OR($AU61="Married",$AU61="Head of household"),SUMPRODUCT(($AZ61&gt;=INDEX('Methodology &amp; Sources'!$B$82:$J$86,0,4))*INDEX('Methodology &amp; Sources'!$B$82:$J$86,0,4+2)),SUMPRODUCT(($AZ61&gt;=INDEX('Methodology &amp; Sources'!$B$82:$J$86,0,1))*INDEX('Methodology &amp; Sources'!$B$82:$J$86,0,1+2)))*(1-IF('Inputs 2'!$C$13,SUMPRODUCT(($AH61&gt;=INDEX('Methodology &amp; Sources'!$B$29:$J$36,0,IF('Inputs 2'!$C$12="MFJ",1,IF('Inputs 2'!$C$12="HoH",7,4))))*INDEX('Methodology &amp; Sources'!$B$29:$J$36,0,IF('Inputs 2'!$C$12="MFJ",1,IF('Inputs 2'!$C$12="HoH",7,4))+2)),SUMPRODUCT(($AH61&gt;=INDEX('Methodology &amp; Sources'!$B$19:$J$26,0,IF('Inputs 2'!$C$12="MFJ",1,IF('Inputs 2'!$C$12="HoH",7,4))))*INDEX('Methodology &amp; Sources'!$B$19:$J$26,0,IF('Inputs 2'!$C$12="MFJ",1,IF('Inputs 2'!$C$12="HoH",7,4))+2)))),IF($AN61="KS",IF($AU61="Married",SUMPRODUCT(($AZ61&gt;=INDEX('Methodology &amp; Sources'!$B$103:$J$109,0,4))*INDEX('Methodology &amp; Sources'!$B$103:$J$109,0,4+2)),SUMPRODUCT(($AZ61&gt;=INDEX('Methodology &amp; Sources'!$B$103:$J$109,0,1))*INDEX('Methodology &amp; Sources'!$B$103:$J$109,0,1+2))),IF($AN61="MD",IF(OR($AU61="Married",$AU61="Head of household"),SUMPRODUCT(($AZ61&gt;=INDEX('Methodology &amp; Sources'!$B$114:$J$120,0,1))*INDEX('Methodology &amp; Sources'!$B$114:$J$120,0,1+2)),SUMPRODUCT(($AZ61&gt;=INDEX('Methodology &amp; Sources'!$B$103:$J$109,0,7))*INDEX('Methodology &amp; Sources'!$B$103:$J$109,0,7+2)))+'Inputs 2'!$C$74,IF($AN61="MT",IF($AU61="Head of household",SUMPRODUCT(($AZ61&gt;=INDEX('Methodology &amp; Sources'!$B$137:$J$139,0,1))*INDEX('Methodology &amp; Sources'!$B$137:$J$139,0,1+2)),IF($AU61="Married",SUMPRODUCT(($AZ61&gt;=INDEX('Methodology &amp; Sources'!$B$125:$J$132,0,7))*INDEX('Methodology &amp; Sources'!$B$125:$J$132,0,7+2)),SUMPRODUCT(($AZ61&gt;=INDEX('Methodology &amp; Sources'!$B$125:$J$132,0,4))*INDEX('Methodology &amp; Sources'!$B$125:$J$132,0,4+2)))),IF($AN61="ND",IF($AU61="Head of household",SUMPRODUCT(($AZ61&gt;=INDEX('Methodology &amp; Sources'!$B$144:$J$150,0,1))*INDEX('Methodology &amp; Sources'!$B$144:$J$150,0,1+2)),IF($AU61="Married",SUMPRODUCT(($AZ61&gt;=INDEX('Methodology &amp; Sources'!$B$137:$J$139,0,7))*INDEX('Methodology &amp; Sources'!$B$137:$J$139,0,7+2)),SUMPRODUCT(($AZ61&gt;=INDEX('Methodology &amp; Sources'!$B$137:$J$139,0,4))*INDEX('Methodology &amp; Sources'!$B$137:$J$139,0,4+2)))),IF($AN61="NY",IF($AU61="Married",IF($AZ61&gt;=2155350,IF($AZ61&gt;25000000,0.117,IF($AZ61&gt;5000000,0.111,0.1045)),SUMPRODUCT(($AZ61&gt;=INDEX('Methodology &amp; Sources'!$B$184:$J$198,0,1))*INDEX('Methodology &amp; Sources'!$B$184:$J$198,0,1+2))),IF($AZ61&gt;=1077550,IF($AZ61&gt;25000000,0.117,IF($AZ61&gt;5000000,0.111,0.1045)),SUMPRODUCT(($AZ61&gt;=INDEX('Methodology &amp; Sources'!$B$167:$J$179,0,7))*INDEX('Methodology &amp; Sources'!$B$167:$J$179,0,7+2)))),"")))))))</f>
      </c>
      <c r="CB61" s="24">
        <f>IF($B61="","",IF($AN61="CA",SUMPRODUCT(($AJ61&gt;=INDEX('Methodology &amp; Sources'!$B$39:$J$48,0,IF($AU61="Married",4,IF($AU61="Head of household",7,1))))*INDEX('Methodology &amp; Sources'!$B$39:$J$48,0,IF($AU61="Married",4,IF($AU61="Head of household",7,1))+2)),IF($AN61="HI",IF($AU61="Married",SUMPRODUCT(($AZ61&gt;=INDEX('Methodology &amp; Sources'!$B$91:$J$98,0,7))*INDEX('Methodology &amp; Sources'!$B$91:$J$98,0,7+2)),SUMPRODUCT(($AZ61&gt;=INDEX('Methodology &amp; Sources'!$B$91:$J$98,0,4))*INDEX('Methodology &amp; Sources'!$B$91:$J$98,0,4+2))),IF($AN61="MN",IF($AU61="Married",SUMPRODUCT(($AZ61&gt;=INDEX('Methodology &amp; Sources'!$B$114:$J$120,0,7))*INDEX('Methodology &amp; Sources'!$B$114:$J$120,0,7+2)),SUMPRODUCT(($AZ61&gt;=INDEX('Methodology &amp; Sources'!$B$114:$J$120,0,4))*INDEX('Methodology &amp; Sources'!$B$114:$J$120,0,4+2))),IF($AN61="MO",SUMPRODUCT(($AZ61&gt;=INDEX('Methodology &amp; Sources'!$B$125:$J$132,0,1))*INDEX('Methodology &amp; Sources'!$B$125:$J$132,0,1+2)),IF($AN61="NE",MAX(IF($AU61="Married",SUMPRODUCT(($AZ61&gt;=INDEX('Methodology &amp; Sources'!$B$144:$J$150,0,7))*INDEX('Methodology &amp; Sources'!$B$144:$J$150,0,7+2)),SUMPRODUCT(($AZ61&gt;=INDEX('Methodology &amp; Sources'!$B$144:$J$150,0,4))*INDEX('Methodology &amp; Sources'!$B$144:$J$150,0,4+2))),0.015),IF($AN61="OH",IF($B61&gt;=DATE(2027,8,1),SUMPRODUCT(($AZ61&gt;=INDEX('Methodology &amp; Sources'!$B$203:$J$206,0,1))*INDEX('Methodology &amp; Sources'!$B$203:$J$206,0,1+2)),SUMPRODUCT(($AZ61&gt;=INDEX('Methodology &amp; Sources'!$B$184:$J$198,0,7))*INDEX('Methodology &amp; Sources'!$B$184:$J$198,0,7+2))),IF($AN61="OK",IF($AU61="Married",SUMPRODUCT(($AZ61&gt;=INDEX('Methodology &amp; Sources'!$B$203:$J$206,0,7))*INDEX('Methodology &amp; Sources'!$B$203:$J$206,0,7+2)),SUMPRODUCT(($AZ61&gt;=INDEX('Methodology &amp; Sources'!$B$203:$J$206,0,4))*INDEX('Methodology &amp; Sources'!$B$203:$J$206,0,4+2))),IF($AN61="RI",SUMPRODUCT(($AZ61&gt;=INDEX('Methodology &amp; Sources'!$B$211:$J$214,0,7))*INDEX('Methodology &amp; Sources'!$B$211:$J$214,0,7+2)),IF($AN61="SC",SUMPRODUCT(($AZ61&gt;=INDEX('Methodology &amp; Sources'!$B$219:$J$223,0,1))*INDEX('Methodology &amp; Sources'!$B$219:$J$223,0,1+2)),IF($AN61="VT",IF($AU61="Married",SUMPRODUCT(($AZ61&gt;=INDEX('Methodology &amp; Sources'!$B$228:$J$232,0,1))*INDEX('Methodology &amp; Sources'!$B$228:$J$232,0,1+2)),SUMPRODUCT(($AZ61&gt;=INDEX('Methodology &amp; Sources'!$B$219:$J$223,0,7))*INDEX('Methodology &amp; Sources'!$B$219:$J$223,0,7+2))),IF($AN61="WV",IF($AU61="Married",SUMPRODUCT(($AZ61&gt;=INDEX('Methodology &amp; Sources'!$B$237:$J$241,0,7))*INDEX('Methodology &amp; Sources'!$B$237:$J$241,0,7+2)),SUMPRODUCT(($AZ61&gt;=INDEX('Methodology &amp; Sources'!$B$228:$J$232,0,7))*INDEX('Methodology &amp; Sources'!$B$228:$J$232,0,7+2))),IF($AN61="IN",(0.0295+'Inputs 2'!$C$76),"")))))))))))))</f>
      </c>
      <c r="CC61" s="24">
        <f>IF($B61="","",IF($AN61="AR",SUMPRODUCT(($AZ61&gt;=INDEX('Methodology &amp; Sources'!$B$82:$J$86,0,7))*INDEX('Methodology &amp; Sources'!$B$82:$J$86,0,7+2)),IF($AN61="DE",SUMPRODUCT(($AZ61&gt;=INDEX('Methodology &amp; Sources'!$B$91:$J$98,0,1))*INDEX('Methodology &amp; Sources'!$B$91:$J$98,0,1+2)),IF($AN61="VA",SUMPRODUCT(($AZ61&gt;=INDEX('Methodology &amp; Sources'!$B$219:$J$223,0,4))*INDEX('Methodology &amp; Sources'!$B$219:$J$223,0,4+2)),IF($AN61="WI",SUMPRODUCT(($AZ61&gt;=INDEX('Methodology &amp; Sources'!$B$228:$J$232,0,4))*INDEX('Methodology &amp; Sources'!$B$228:$J$232,0,4+2)),IF($AN61="AZ",'Inputs 2'!$C$82,IF($AN61="CO",IF($AY61&gt;IF($AU61="Married",10000,5000),0.044,0),IF($AN61="IA",IF($AY61&gt;IF($AU61="Head of household",19500,IF($AU61="Married",26000,13000)),0.038,0),IF($AN61="ID",IF($AY61&gt;IF($AU61="Married",32000,16094),0.053,0),IF($AN61="IL",IF($AY61&gt;(2925*$AS61+1000*$AT61),0.0495,0),IF($AN61="KY",IF($AI61&gt;3360,0.035,0),IF($AN61="LA",0.0309,IF($AN61="MA",IF(MAX(0,$AY61-MIN(($BD60+$Q61+$R61+$S61),2000)-IF($AS61=0,0,IF($AS61=1,4400,1000*$AS61+3400)))&gt;=1107750,0.09,0.05),IF($AN61="MS",IF($AI61-IF($AU61="Head of household",3400,IF($AU61="Married",4600,2300))-'Inputs 2'!$C$85&gt;10000,0.04,0),IF($AN61="PA",0.0307,"")))))))))))))))</f>
      </c>
      <c r="CD61" s="21">
        <f>IF(YEAR(IF('Inputs 2'!$C$7="Weekly",'Inputs 2'!$C$9+7*(($BE60+1)-1),IF('Inputs 2'!$C$7="Biweekly",'Inputs 2'!$C$9+14*(($BE60+1)-1),IF('Inputs 2'!$C$7="Semimonthly",DATE(YEAR('Inputs 2'!$C$9),MONTH('Inputs 2'!$C$9)+INT((($BE60+1)-1)/2),MIN(DAY('Inputs 2'!$C$9),DAY(EOMONTH(DATE(YEAR('Inputs 2'!$C$9),MONTH('Inputs 2'!$C$9)+INT((($BE60+1)-1)/2),1),0))))+IF(MOD(($BE60+1)-1,2)=1,15,0),EDATE('Inputs 2'!$C$9,($BE60+1)-1)))))&lt;&gt;'Inputs 2'!$C$10,"",IF('Inputs 2'!$C$7="Weekly",'Inputs 2'!$C$9+7*(($BE60+1)-1),IF('Inputs 2'!$C$7="Biweekly",'Inputs 2'!$C$9+14*(($BE60+1)-1),IF('Inputs 2'!$C$7="Semimonthly",DATE(YEAR('Inputs 2'!$C$9),MONTH('Inputs 2'!$C$9)+INT((($BE60+1)-1)/2),MIN(DAY('Inputs 2'!$C$9),DAY(EOMONTH(DATE(YEAR('Inputs 2'!$C$9),MONTH('Inputs 2'!$C$9)+INT((($BE60+1)-1)/2),1),0))))+IF(MOD(($BE60+1)-1,2)=1,15,0),EDATE('Inputs 2'!$C$9,($BE60+1)-1)))))</f>
      </c>
      <c r="CE61" s="21">
        <f>IF(SUMPRODUCT(MIN(IF(('Inputs 2'!$C$58:$C$67&gt;MAX($B$6:$B60))*('Inputs 2'!$C$58:$C$67&gt;=DATE('Inputs 2'!$C$10,1,1))*('Inputs 2'!$C$58:$C$67&lt;=DATE('Inputs 2'!$C$10,12,31)),'Inputs 2'!$C$58:$C$67,999999)))=999999,"",SUMPRODUCT(MIN(IF(('Inputs 2'!$C$58:$C$67&gt;MAX($B$6:$B60))*('Inputs 2'!$C$58:$C$67&gt;=DATE('Inputs 2'!$C$10,1,1))*('Inputs 2'!$C$58:$C$67&lt;=DATE('Inputs 2'!$C$10,12,31)),'Inputs 2'!$C$58:$C$67,999999))))</f>
      </c>
    </row>
    <row r="62">
      <c r="A62" t="n">
        <v>57</v>
      </c>
      <c r="B62" s="21">
        <f>IF(AND($CD62="",$CE62=""),"",IF($CE62="",$CD62,IF($CD62="",$CE62,MIN($CD62,$CE62))))</f>
      </c>
      <c r="C62" s="7">
        <f>IF($B62="","",IF($BF62=0,0,IF('Inputs 2'!$C$4="Annual salary",ROUND($AK62/IF(AND('Inputs 2'!$C$88="Actual paydays",MONTH('Inputs 2'!$C$9)=1),MAX(1,MAX($BE$6:$BE$68)),'Inputs 2'!$C$8),2),$AK62)))</f>
      </c>
      <c r="D62" s="7">
        <f>IF($B62="","",SUMIF('Inputs 2'!$C$58:$C$67,$B62,'Inputs 2'!$D$58:$D$67))</f>
      </c>
      <c r="E62" s="7">
        <f>IF($B62="","",ROUND(MAX(0,MIN(IF($AL62="Percent",$AM62*($C62+$D62),$AM62),MAX(0,'Inputs 2'!$C$34-$AC61))),2))</f>
      </c>
      <c r="F62" s="7">
        <f>IF($B62="","",ROUND(MAX(0,MIN(IF('Inputs 2'!$C$32="Percent",'Inputs 2'!$D$32*($C62+$D62),'Inputs 2'!$D$32),MAX(0,'Inputs 2'!$C$34-$AC61-$E62))),2))</f>
      </c>
      <c r="G62" s="7">
        <f>IF($B62="","",IF($BF62=0,0,ROUND(MAX(0,MIN($BL62,'Inputs 2'!$C$37-'Inputs 2'!$C$54-$BI61)),2)))</f>
      </c>
      <c r="H62" s="7">
        <f>IF($B62="","",IF(OR($BF62=0,$BQ62=1),0,ROUND(MAX(0,MIN(IF($BS62=1,ROUND(MAX(0,MIN($BJ62,'Methodology &amp; Sources'!$C$13)-$BG61)/MAX(1,MAX($BE$6:$BE$68)-($BE61)),2),ROUND(MIN($BJ62,'Methodology &amp; Sources'!$C$13)/'Inputs 2'!$C$8,2)),MIN($BJ62,'Methodology &amp; Sources'!$C$13)-$BG61)),2)))</f>
      </c>
      <c r="I62" s="7">
        <f>IF($B62="","",IF(OR($BF62=0,$BR62=1),0,ROUND(MAX(0,MIN(IF($BT62=1,ROUND(MAX(0,MIN($BK62,IF('Inputs 2'!$C$12="MFJ",'Methodology &amp; Sources'!$C$14,'Methodology &amp; Sources'!$C$15))-$BH61)/MAX(1,MAX($BE$6:$BE$68)-($BE61)),2),ROUND(MIN($BK62,IF('Inputs 2'!$C$12="MFJ",'Methodology &amp; Sources'!$C$14,'Methodology &amp; Sources'!$C$15))/'Inputs 2'!$C$8,2)),MIN($BK62,IF('Inputs 2'!$C$12="MFJ",'Methodology &amp; Sources'!$C$14,'Methodology &amp; Sources'!$C$15))-$BH61)),2)))</f>
      </c>
      <c r="J62" s="7">
        <f>IF($B62="","",IF($BF62=0,0,$BM62))</f>
      </c>
      <c r="K62" s="7">
        <f>IF($B62="","",IF($BF62=0,0,$BN62+$BO62))</f>
      </c>
      <c r="L62" s="7">
        <f>IF($B62="","",IF($BF62=0,0,'Inputs 2'!$D$46))</f>
      </c>
      <c r="M62" s="7">
        <f>IF($B62="","",$C62+$D62+$L62-$E62-$G62-$H62-$I62-$J62-$K62)</f>
      </c>
      <c r="N62" s="7">
        <f>IF($B62="","",$C62+$D62+$L62-$G62-$H62-$I62-$J62-$K62)</f>
      </c>
      <c r="O62" s="7">
        <f>IF($B62="","",$C62+$D62+$L62-$E62-$H62-$I62-$J62-$K62-IF(OR($AN62="CA",$AN62="NJ"),0,$G62))</f>
      </c>
      <c r="P62" s="7">
        <f>IF($B62="","",IF('Inputs 2'!$C$18,0,ROUND(MAX(0,IF('Inputs 2'!$C$13,SUMPRODUCT(($AH62&gt;INDEX('Methodology &amp; Sources'!$B$29:$J$36,0,IF('Inputs 2'!$C$12="MFJ",1,IF('Inputs 2'!$C$12="HoH",7,4))))*($AH62-INDEX('Methodology &amp; Sources'!$B$29:$J$36,0,IF('Inputs 2'!$C$12="MFJ",1,IF('Inputs 2'!$C$12="HoH",7,4))))*INDEX('Methodology &amp; Sources'!$B$29:$J$36,0,IF('Inputs 2'!$C$12="MFJ",1,IF('Inputs 2'!$C$12="HoH",7,4))+2)),SUMPRODUCT(($AH62&gt;INDEX('Methodology &amp; Sources'!$B$19:$J$26,0,IF('Inputs 2'!$C$12="MFJ",1,IF('Inputs 2'!$C$12="HoH",7,4))))*($AH62-INDEX('Methodology &amp; Sources'!$B$19:$J$26,0,IF('Inputs 2'!$C$12="MFJ",1,IF('Inputs 2'!$C$12="HoH",7,4))))*INDEX('Methodology &amp; Sources'!$B$19:$J$26,0,IF('Inputs 2'!$C$12="MFJ",1,IF('Inputs 2'!$C$12="HoH",7,4))+2)))/'Inputs 2'!$C$8-$AO62/'Inputs 2'!$C$8)+$AR62+IF('Inputs 2'!$C$89="Aggregate",MAX(0,IF('Inputs 2'!$C$13,SUMPRODUCT((($AH62+$D62)&gt;INDEX('Methodology &amp; Sources'!$B$29:$J$36,0,IF('Inputs 2'!$C$12="MFJ",1,IF('Inputs 2'!$C$12="HoH",7,4))))*(($AH62+$D62)-INDEX('Methodology &amp; Sources'!$B$29:$J$36,0,IF('Inputs 2'!$C$12="MFJ",1,IF('Inputs 2'!$C$12="HoH",7,4))))*INDEX('Methodology &amp; Sources'!$B$29:$J$36,0,IF('Inputs 2'!$C$12="MFJ",1,IF('Inputs 2'!$C$12="HoH",7,4))+2)),SUMPRODUCT((($AH62+$D62)&gt;INDEX('Methodology &amp; Sources'!$B$19:$J$26,0,IF('Inputs 2'!$C$12="MFJ",1,IF('Inputs 2'!$C$12="HoH",7,4))))*(($AH62+$D62)-INDEX('Methodology &amp; Sources'!$B$19:$J$26,0,IF('Inputs 2'!$C$12="MFJ",1,IF('Inputs 2'!$C$12="HoH",7,4))))*INDEX('Methodology &amp; Sources'!$B$19:$J$26,0,IF('Inputs 2'!$C$12="MFJ",1,IF('Inputs 2'!$C$12="HoH",7,4))+2)))-IF('Inputs 2'!$C$13,SUMPRODUCT(($AH62&gt;INDEX('Methodology &amp; Sources'!$B$29:$J$36,0,IF('Inputs 2'!$C$12="MFJ",1,IF('Inputs 2'!$C$12="HoH",7,4))))*($AH62-INDEX('Methodology &amp; Sources'!$B$29:$J$36,0,IF('Inputs 2'!$C$12="MFJ",1,IF('Inputs 2'!$C$12="HoH",7,4))))*INDEX('Methodology &amp; Sources'!$B$29:$J$36,0,IF('Inputs 2'!$C$12="MFJ",1,IF('Inputs 2'!$C$12="HoH",7,4))+2)),SUMPRODUCT(($AH62&gt;INDEX('Methodology &amp; Sources'!$B$19:$J$26,0,IF('Inputs 2'!$C$12="MFJ",1,IF('Inputs 2'!$C$12="HoH",7,4))))*($AH62-INDEX('Methodology &amp; Sources'!$B$19:$J$26,0,IF('Inputs 2'!$C$12="MFJ",1,IF('Inputs 2'!$C$12="HoH",7,4))))*INDEX('Methodology &amp; Sources'!$B$19:$J$26,0,IF('Inputs 2'!$C$12="MFJ",1,IF('Inputs 2'!$C$12="HoH",7,4))+2)))),'Methodology &amp; Sources'!$C$10*$D62),2)))</f>
      </c>
      <c r="Q62" s="7">
        <f>IF($B62="","",ROUND('Methodology &amp; Sources'!$C$4*MIN($N62,MAX(0,'Methodology &amp; Sources'!$C$3-($AX62+$AB61-$AW62))),2))</f>
      </c>
      <c r="R62" s="7">
        <f>IF($B62="","",ROUND('Methodology &amp; Sources'!$C$5*$N62,2))</f>
      </c>
      <c r="S62" s="7">
        <f>IF($B62="","",ROUND('Methodology &amp; Sources'!$C$6*MAX(0,MIN($N62,$AG61+$N62-'Methodology &amp; Sources'!$C$7)),2))</f>
      </c>
      <c r="T62" s="7">
        <f>IF($B62="","",IF('Inputs 2'!$C$26,0,IF($AN62="CA",ROUND(IF($AI62&lt;=IF(($AS62+$AT62)&gt;=2,VLOOKUP($AN62,StateTables!$A$6:$AB$56,10,FALSE),VLOOKUP($AN62,StateTables!$A$6:$AB$56,9,FALSE)),0,MAX(0,SUMPRODUCT(($AJ62&gt;INDEX('Methodology &amp; Sources'!$B$39:$J$48,0,IF($AU62="Married",4,IF($AU62="Head of household",7,1))))*($AJ62-INDEX('Methodology &amp; Sources'!$B$39:$J$48,0,IF($AU62="Married",4,IF($AU62="Head of household",7,1))))*INDEX('Methodology &amp; Sources'!$B$39:$J$48,0,IF($AU62="Married",4,IF($AU62="Head of household",7,1))+2))-VLOOKUP($AN62,StateTables!$A$6:$AB$56,11,FALSE)*$AS62)/'Inputs 2'!$C$8)+'Inputs 2'!$C$25+VLOOKUP($AN62,StateTables!$A$6:$AB$56,13,FALSE)*$D62,2),IF(VLOOKUP($AN62,StateTables!$A$6:$AB$56,4,FALSE)="None",0,IF(ISNUMBER(SEARCH("MANUAL",VLOOKUP($AN62,StateTables!$A$6:$AB$56,5,FALSE))),'Inputs 2'!$C$28,ROUND(MAX(0,$BA62+$BB62)/'Inputs 2'!$C$8+'Inputs 2'!$C$25+$BC62,2))))))</f>
      </c>
      <c r="U62" s="7">
        <f>IF($B62="","",IF(VLOOKUP($AN62,StateTables!$A$6:$AB$56,24,FALSE)="flatq",IF(OR(MONTH($B62)=1,MONTH($B62)=4,MONTH($B62)=7,MONTH($B62)=10),VLOOKUP($AN62,StateTables!$A$6:$AB$56,25,FALSE),0),IF(VLOOKUP($AN62,StateTables!$A$6:$AB$56,24,FALSE)="dbl",MIN(ROUND(0.005*$N62,2),ROUND(0.6*52/'Inputs 2'!$C$8,2)),IF(OR(VLOOKUP($AN62,StateTables!$A$6:$AB$56,15,FALSE)="",VLOOKUP($AN62,StateTables!$A$6:$AB$56,15,FALSE)=0),0,ROUND(VLOOKUP($AN62,StateTables!$A$6:$AB$56,15,FALSE)*IF(OR(VLOOKUP($AN62,StateTables!$A$6:$AB$56,16,FALSE)="",VLOOKUP($AN62,StateTables!$A$6:$AB$56,16,FALSE)=0),$N62,MIN($N62,MAX(0,VLOOKUP($AN62,StateTables!$A$6:$AB$56,16,FALSE)-($AX62+$AB61-$AW62)))),2))))+IF(VLOOKUP($AN62,StateTables!$A$6:$AB$56,27,FALSE)="flatq",IF(OR(MONTH($B62)=1,MONTH($B62)=4,MONTH($B62)=7,MONTH($B62)=10),VLOOKUP($AN62,StateTables!$A$6:$AB$56,28,FALSE),0),IF(VLOOKUP($AN62,StateTables!$A$6:$AB$56,27,FALSE)="dbl",MIN(ROUND(0.005*$N62,2),ROUND(0.6*52/'Inputs 2'!$C$8,2)),IF(OR(VLOOKUP($AN62,StateTables!$A$6:$AB$56,18,FALSE)="",VLOOKUP($AN62,StateTables!$A$6:$AB$56,18,FALSE)=0),0,ROUND(VLOOKUP($AN62,StateTables!$A$6:$AB$56,18,FALSE)*IF(OR(VLOOKUP($AN62,StateTables!$A$6:$AB$56,19,FALSE)="",VLOOKUP($AN62,StateTables!$A$6:$AB$56,19,FALSE)=0),$N62,MIN($N62,MAX(0,VLOOKUP($AN62,StateTables!$A$6:$AB$56,19,FALSE)-($AX62+$AB61-$AW62)))),2)))))</f>
      </c>
      <c r="V62" s="7">
        <f>IF($B62="","",IF($AN62="NY",IF('Inputs 2'!$C$78,ROUND(SUMPRODUCT((MAX(0,($O62-$D62)*'Inputs 2'!$C$8-(IF($AU62="Married",5500,5000)+1000*$AS62))&gt;INDEX('Methodology &amp; Sources'!$B$184:$J$198,0,4))*(MAX(0,($O62-$D62)*'Inputs 2'!$C$8-(IF($AU62="Married",5500,5000)+1000*$AS62))-INDEX('Methodology &amp; Sources'!$B$184:$J$198,0,4))*INDEX('Methodology &amp; Sources'!$B$184:$J$198,0,4+2))/'Inputs 2'!$C$8+0.0425*$D62,2),0)+IF('Inputs 2'!$C$79="Resident",ROUND(0.1675*$T62,2),IF('Inputs 2'!$C$79="Nonresident",ROUND(0.005*MAX(0,($O62-$D62)-(IF($AU62="Married",7950,7400)+1000*$AS62)/'Inputs 2'!$C$8),2),0)),IF($AN62="PA",IF('Inputs 2'!$C$80="None",'Inputs 2'!$C$27+ROUND('Inputs 2'!$C$81*($C62+$D62),2),ROUND(IF('Inputs 2'!$C$80="Resident",IF($B62&lt;DATE(2027,7,1),0.03735,0.03735),IF($B62&lt;DATE(2027,7,1),0.03425,0.03425))*($C62+$D62),2)),IF($BF62=0,ROUND('Inputs 2'!$C$81*($C62+$D62),2),'Inputs 2'!$C$27+ROUND('Inputs 2'!$C$81*($C62+$D62),2)))))</f>
      </c>
      <c r="W62" s="7">
        <f>IF($B62="","",IF($BF62=0,0,$BP62))</f>
      </c>
      <c r="X62" s="7">
        <f>IF($B62="","",SUM($E62:$K62)+$P62+$Q62+$R62+$S62+$T62+$U62+$V62+$W62)</f>
      </c>
      <c r="Y62" s="22">
        <f>IF($B62="","",$C62+$D62-$X62)</f>
      </c>
      <c r="Z62" s="7">
        <f>IF($B62="","",$Z61+$C62+$D62)</f>
      </c>
      <c r="AA62" s="7">
        <f>IF($B62="","",$AA61+$Y62)</f>
      </c>
      <c r="AB62" s="7">
        <f>IF($B62="","",$AB61+MIN($N62,MAX(0,'Methodology &amp; Sources'!$C$3-($AX62+$AB61-$AW62))))</f>
      </c>
      <c r="AC62" s="7">
        <f>IF($B62="","",$AC61+$E62+$F62)</f>
      </c>
      <c r="AD62" s="3">
        <f>IF($B62="","",IF(AND($AB61&lt;'Methodology &amp; Sources'!$C$3,$AB62&gt;='Methodology &amp; Sources'!$C$3),"★ Social Security maxed on this check — from the next check your net rises by about $"&amp;TEXT(ROUND('Methodology &amp; Sources'!$C$4*$N62,2),"#,##0.00")&amp;". ","")&amp;IF(AND($AC61&lt;'Inputs 2'!$C$34,$AC62&gt;='Inputs 2'!$C$34),"★ 401(k) reaches the $"&amp;TEXT('Inputs 2'!$C$34,"#,##0")&amp;" cap on this check — deferrals stop and net pay rises. ","")&amp;IF(AND($AG61&lt;'Methodology &amp; Sources'!$C$7,$AG62&gt;='Methodology &amp; Sources'!$C$7),"★ Wages pass $200,000 — the 0.9% Additional Medicare Tax starts here. ","")&amp;IF(AND($BJ62&gt;0,$H62&gt;0,$BG61&lt;MIN($BJ62,'Methodology &amp; Sources'!$C$13),$BG61+$H62&gt;=MIN($BJ62,'Methodology &amp; Sources'!$C$13)),"★ Health FSA election is now fully deferred for the year. ",""))</f>
      </c>
      <c r="AE62" s="41" t="n"/>
      <c r="AF62" s="7">
        <f>IF(OR($B62="",$AE62=""),"",$AE62-$Y62)</f>
      </c>
      <c r="AG62" s="7">
        <f>IF($B62="","",$AG61+$N62)</f>
      </c>
      <c r="AH62" s="7">
        <f>IF($B62="","",MAX(0,($M62-$D62)*'Inputs 2'!$C$8+$AP62-$AQ62-IF('Inputs 2'!$C$13,0,IF('Inputs 2'!$C$12="MFJ",'Methodology &amp; Sources'!$C$8,'Methodology &amp; Sources'!$C$9))))</f>
      </c>
      <c r="AI62" s="7">
        <f>IF($B62="","",$O62*'Inputs 2'!$C$8)</f>
      </c>
      <c r="AJ62" s="7">
        <f>IF($B62="","",MAX(0,$AI62-VLOOKUP($AN62,StateTables!$A$6:$AB$56,12,FALSE)*$AT62-IF(($AS62+$AT62)&gt;=2,VLOOKUP($AN62,StateTables!$A$6:$AB$56,8,FALSE),VLOOKUP($AN62,StateTables!$A$6:$AB$56,7,FALSE))))</f>
      </c>
      <c r="AK62" s="7">
        <f>IF($B62="","",IFERROR(LOOKUP(2,1/(('Events 2'!$C$6:$C$17="Salary change")*('Events 2'!$B$6:$B$17&lt;=$B62)*('Events 2'!$B$6:$B$17&lt;&gt;"")),'Events 2'!$D$6:$D$17),IF('Inputs 2'!$C$4="Annual salary",'Inputs 2'!$C$5,'Inputs 2'!$C$6)))</f>
      </c>
      <c r="AL62">
        <f>IF($B62="","",IFERROR(LOOKUP(2,1/(('Events 2'!$C$6:$C$17="401(k) change")*('Events 2'!$B$6:$B$17&lt;=$B62)*('Events 2'!$B$6:$B$17&lt;&gt;"")),'Events 2'!$D$6:$D$17),'Inputs 2'!$C$30))</f>
      </c>
      <c r="AM62" s="7">
        <f>IF($B62="","",IFERROR(LOOKUP(2,1/(('Events 2'!$C$6:$C$17="401(k) change")*('Events 2'!$B$6:$B$17&lt;=$B62)*('Events 2'!$B$6:$B$17&lt;&gt;"")),'Events 2'!$E$6:$E$17),'Inputs 2'!$D$30))</f>
      </c>
      <c r="AN62">
        <f>IF($B62="","",IFERROR(LOOKUP(2,1/(('Events 2'!$C$6:$C$17="State move")*('Events 2'!$B$6:$B$17&lt;=$B62)*('Events 2'!$B$6:$B$17&lt;&gt;"")),'Events 2'!$D$6:$D$17),'Inputs 2'!$C$21))</f>
      </c>
      <c r="AO62" s="7">
        <f>IF($B62="","",IFERROR(LOOKUP(2,1/(('Events 2'!$C$6:$C$17="W-4 change")*('Events 2'!$B$6:$B$17&lt;=$B62)*('Events 2'!$B$6:$B$17&lt;&gt;"")),'Events 2'!$D$6:$D$17),'Inputs 2'!$C$14))</f>
      </c>
      <c r="AP62" s="7">
        <f>IF($B62="","",IFERROR(LOOKUP(2,1/(('Events 2'!$C$6:$C$17="W-4 change")*('Events 2'!$B$6:$B$17&lt;=$B62)*('Events 2'!$B$6:$B$17&lt;&gt;"")),'Events 2'!$E$6:$E$17),'Inputs 2'!$C$15))</f>
      </c>
      <c r="AQ62" s="7">
        <f>IF($B62="","",IFERROR(LOOKUP(2,1/(('Events 2'!$C$6:$C$17="W-4 change")*('Events 2'!$B$6:$B$17&lt;=$B62)*('Events 2'!$B$6:$B$17&lt;&gt;"")),'Events 2'!$F$6:$F$17),'Inputs 2'!$C$16))</f>
      </c>
      <c r="AR62" s="7">
        <f>IF($B62="","",IFERROR(LOOKUP(2,1/(('Events 2'!$C$6:$C$17="W-4 change")*('Events 2'!$B$6:$B$17&lt;=$B62)*('Events 2'!$B$6:$B$17&lt;&gt;"")),'Events 2'!$G$6:$G$17),'Inputs 2'!$C$17))</f>
      </c>
      <c r="AS62" s="6">
        <f>IF($B62="","",IFERROR(LOOKUP(2,1/((('Events 2'!$C$6:$C$17="State move")+('Events 2'!$C$6:$C$17="State cert change"))*('Events 2'!$B$6:$B$17&lt;=$B62)*('Events 2'!$B$6:$B$17&lt;&gt;"")),'Events 2'!$F$6:$F$17),'Inputs 2'!$C$23))</f>
      </c>
      <c r="AT62" s="6">
        <f>IF($B62="","",IFERROR(LOOKUP(2,1/((('Events 2'!$C$6:$C$17="State move")+('Events 2'!$C$6:$C$17="State cert change"))*('Events 2'!$B$6:$B$17&lt;=$B62)*('Events 2'!$B$6:$B$17&lt;&gt;"")),'Events 2'!$G$6:$G$17),'Inputs 2'!$C$24))</f>
      </c>
      <c r="AU62">
        <f>IF($B62="","",IFERROR(LOOKUP(2,1/(('Events 2'!$C$6:$C$17="State move")*('Events 2'!$B$6:$B$17&lt;=$B62)*('Events 2'!$B$6:$B$17&lt;&gt;"")),'Events 2'!$E$6:$E$17),'Inputs 2'!$C$22))</f>
      </c>
      <c r="AV62" s="6">
        <f>IF($B62="","",1+COUNTIFS('Events 2'!$C$6:$C$17,"Employer change",'Events 2'!$B$6:$B$17,"&lt;="&amp;$B62,'Events 2'!$B$6:$B$17,"&lt;&gt;"))</f>
      </c>
      <c r="AW62" s="7">
        <f>IF($B62="","",IF($AV62=1,'Inputs 2'!$C$49,IF(IFERROR(MATCH(IFERROR(LOOKUP(2,1/(('Events 2'!$C$6:$C$17="Employer change")*('Events 2'!$B$6:$B$17&lt;=$B62)*('Events 2'!$B$6:$B$17&lt;&gt;"")),'Events 2'!$B$6:$B$17),""),$B$6:$B$68,1),1)&lt;=1,'Inputs 2'!$C$49,INDEX($AB$6:$AB$68,MATCH(IFERROR(LOOKUP(2,1/(('Events 2'!$C$6:$C$17="Employer change")*('Events 2'!$B$6:$B$17&lt;=$B62)*('Events 2'!$B$6:$B$17&lt;&gt;"")),'Events 2'!$B$6:$B$17),""),$B$6:$B$68,1)-1))))</f>
      </c>
      <c r="AX62" s="7">
        <f>IF($B62="","",IF($AV62=1,'Inputs 2'!$C$49,IFERROR(LOOKUP(2,1/(('Events 2'!$C$6:$C$17="Employer change")*('Events 2'!$B$6:$B$17&lt;=$B62)*('Events 2'!$B$6:$B$17&lt;&gt;"")),'Events 2'!$D$6:$D$17),0)))</f>
      </c>
      <c r="AY62" s="7">
        <f>IF($B62="","",($O62-$D62)*'Inputs 2'!$C$8)</f>
      </c>
      <c r="AZ62" s="7">
        <f>IF($B62="","",IF($AN62="AL",MAX(0,$AY62-IF($AU62="Married",IF($AY62&lt;=25999,8500,MAX(5000,8500-175*CEILING(($AY62-25999)/500,1))),IF($AU62="Head of household",IF($AY62&lt;=25999,5200,MAX(2500,5200-135*CEILING(($AY62-25999)/500,1))),IF($AY62&lt;=25999,3000,MAX(2500,3000-25*CEILING(($AY62-25999)/500,1)))))-($P62-'Methodology &amp; Sources'!$C$10*$D62)*'Inputs 2'!$C$8-IF(OR($AU62="Married",$AU62="Head of household"),3000,1500)-$AT62*IF($AY62&lt;=50000,1000,IF($AY62&lt;=100000,500,300))),IF($AN62="AR",IF(MAX(0,$AY62-2470)&lt;97701,INT(MAX(0,$AY62-2470)/100)*100+50,MAX(0,$AY62-2470)),IF($AN62="DE",MAX(0,$AI62-3250),IF($AN62="HI",MAX(0,$AI62-1144*$AS62-4350),IF($AN62="KS",MAX(0,$AI62-(9160*IF($AU62="Married",2,1)+2320*$AT62+IF($AU62="Head of household",2320,0))),IF($AN62="MD",MAX(0,$AI62-3400-3200*$AS62),IF($AN62="MN",MAX(0,$AY62-5300*$AS62),IF($AN62="MO",MAX(0,$AI62-IF($AU62="Head of household",24150,IF($AU62="Married",IF('Inputs 2'!$C$83,16100,32200),16100))),IF($AN62="MT",$AY62,IF($AN62="ND",($C62+$L62)*'Inputs 2'!$C$8,IF($AN62="NE",MAX(0,$AY62-2440*$AS62),IF($AN62="NJ",MAX(0,$AY62-1000*$AS62),IF($AN62="NY",MAX(0,$AY62-(IF($AU62="Married",7950,7400)+1000*$AS62)),IF($AN62="OH",MAX(0,$AY62-650*$AS62),IF($AN62="OK",MAX(0,$AY62-1000*$AS62),IF($AN62="RI",MAX(0,$AI62-1000*$AS62),IF($AN62="SC",MAX(0,$AI62-5000*$AS62-IF($AS62=0,0,MIN(0.1*$AI62,7500))),IF($AN62="VA",MAX(0,$AI62-IF($AU62="Married",17500,8750)-930*$AS62-800*$AT62),IF($AN62="VT",MAX(0,$AI62-5400*$AS62),IF($AN62="WI",MAX(0,$AI62-MAX(0,IF($AU62="Married",9461-0.2*MAX(0,$AI62-25727),6702-0.12*MAX(0,$AI62-17780)))-400*$AS62),IF($AN62="WV",MAX(0,$AI62-2000*$AS62),$AI62))))))))))))))))))))))</f>
      </c>
      <c r="BA62" s="7">
        <f>IF($B62="","",IF($BW62&lt;&gt;"",$BW62,IF($BX62&lt;&gt;"",$BX62,IF($BY62&lt;&gt;"",$BY62,0))))</f>
      </c>
      <c r="BB62" s="7">
        <f>IF($B62="","",IF($AN62="AR",-29*$AS62,IF($AN62="DE",-110*$AS62,IF($AN62="MD",$AZ62*'Inputs 2'!$C$74,IF($AN62="AZ",'Inputs 2'!$C$82*($M62-$D62)*'Inputs 2'!$C$8,IF($AN62="CO",0.044*MAX(0,$AY62-IF($AU62="Married",10000,5000)),IF($AN62="IA",MAX(0,0.038*MAX(0,$AY62-IF($AU62="Head of household",19500,IF($AU62="Married",26000,13000)))-40*$AS62),IF($AN62="ID",0.053*MAX(0,$AY62-IF($AU62="Married",32000,16094)),IF($AN62="IL",0.0495*MAX(0,$AY62-(2925*$AS62+1000*$AT62)),IF($AN62="IN",(0.0295+'Inputs 2'!$C$76)*MAX(0,$AY62-(1000*$AS62+1500*$AT62+3000*'Inputs 2'!$C$86)),IF($AN62="KY",0.035*MAX(0,$AI62-3360),IF($AN62="LA",IF('Inputs 2'!$C$84="0",0.0309*$AI62,0.0309*MAX(0,$AI62-IF('Inputs 2'!$C$84="2",25750,12875))),IF($AN62="MA",0.05*MIN(MAX(0,$AY62-MIN(($BD61+$Q62+$R62+$S62),2000)-IF($AS62=0,0,IF($AS62=1,4400,1000*$AS62+3400))),1107750)+0.09*MAX(0,MAX(0,$AY62-MIN(($BD61+$Q62+$R62+$S62),2000)-IF($AS62=0,0,IF($AS62=1,4400,1000*$AS62+3400)))-1107750)-IF($AU62="Head of household",120,0)-110*'Inputs 2'!$C$75,IF($AN62="MI",0.0425*MAX(0,$AY62-5900*$AS62),IF($AN62="MS",0.04*MAX(0,$AI62-IF($AU62="Head of household",3400,IF($AU62="Married",4600,2300))-'Inputs 2'!$C$85-10000),IF($AN62="OR",IF(OR($AU62="Married",AND($AU62="Single",$AS62&gt;=3)),SUMPRODUCT((MAX(0,$AY62-MIN(($P62-'Methodology &amp; Sources'!$C$10*$D62)*'Inputs 2'!$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Sources'!$B$211:$J$214,0,4))*(MAX(0,$AY62-MIN(($P62-'Methodology &amp; Sources'!$C$10*$D62)*'Inputs 2'!$C$8,IF(OR($AU62="Married",AND($AU62="Single",$AS62&gt;=3)),IF($AY62&lt;250000,8750,IF($AY62&lt;260000,7000,IF($AY62&lt;270000,5250,IF($AY62&lt;280000,3500,IF($AY62&lt;290000,1750,0))))),IF($AY62&lt;125000,8750,IF($AY62&lt;130000,7000,IF($AY62&lt;135000,5250,IF($AY62&lt;140000,3500,IF($AY62&lt;145000,1750,0)))))))-IF(OR($AU62="Married",AND($AU62="Single",$AS62&gt;=3)),5820,2910))-INDEX('Methodology &amp; Sources'!$B$211:$J$214,0,4))*INDEX('Methodology &amp; Sources'!$B$211:$J$214,0,4+2)),SUMPRODUCT((MAX(0,$AY62-MIN(($P62-'Methodology &amp; Sources'!$C$10*$D62)*'Inputs 2'!$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Sources'!$B$211:$J$214,0,1))*(MAX(0,$AY62-MIN(($P62-'Methodology &amp; Sources'!$C$10*$D62)*'Inputs 2'!$C$8,IF(OR($AU62="Married",AND($AU62="Single",$AS62&gt;=3)),IF($AY62&lt;250000,8750,IF($AY62&lt;260000,7000,IF($AY62&lt;270000,5250,IF($AY62&lt;280000,3500,IF($AY62&lt;290000,1750,0))))),IF($AY62&lt;125000,8750,IF($AY62&lt;130000,7000,IF($AY62&lt;135000,5250,IF($AY62&lt;140000,3500,IF($AY62&lt;145000,1750,0)))))))-IF(OR($AU62="Married",AND($AU62="Single",$AS62&gt;=3)),5820,2910))-INDEX('Methodology &amp; Sources'!$B$211:$J$214,0,1))*INDEX('Methodology &amp; Sources'!$B$211:$J$214,0,1+2)))+263-263*IF(IF($AU62="Married",$AY62&gt;200000,$AY62&gt;100000),0,$AS62),IF($AN62="PA",0.0307*(($O62+$E62+$G62)*'Inputs 2'!$C$8),IF($AN62="NY",IF($AU62="Married",IF($AZ62&gt;=2155350,0,IF($AZ62&gt;=1077550,0.48,IF($AZ62&gt;=373200,1.21,IF($AZ62&gt;=323200,0.21,IF($AZ62&gt;=211550,-0.19,IF($AZ62&gt;=157650,-2.8,IF($AZ62&gt;=107650,-0.8,IF($AZ62&gt;=96800,0.05,IF($AZ62&gt;=80650,-0.1,IF($AZ62&gt;=13900,0.4,IF($AZ62&gt;=11700,-0.3,IF($AZ62&gt;=8500,0.5,0)))))))))))),IF($AZ62&gt;=1077550,0,IF($AZ62&gt;=265400,4.29,IF($AZ62&gt;=215400,2.29,IF($AZ62&gt;=157650,2.29,IF($AZ62&gt;=107650,0.29,IF($AZ62&gt;=96800,0.05,IF($AZ62&gt;=80650,-0.1,IF($AZ62&gt;=13900,0.4,IF($AZ62&gt;=11700,-0.3,IF($AZ62&gt;=8500,0.5,0))))))))))),0))))))))))))))))))</f>
      </c>
      <c r="BC62" s="7">
        <f>IF($B62="","",IF($AN62="AL",0.05*$D62,IF($AN62="AR",0.039*$D62,IF($AN62="ID",0.053*$D62,IF($AN62="IN",(0.0295+'Inputs 2'!$C$76)*$D62,IF($AN62="KS",0.05*$D62,IF($AN62="MA",0.09*MIN($D62,MAX(0,MAX(0,$AY62-MIN(($BD61+$Q62+$R62+$S62),2000)-IF($AS62=0,0,IF($AS62=1,4400,1000*$AS62+3400)))+$D62-1107750))+0.05*($D62-MIN($D62,MAX(0,MAX(0,$AY62-MIN(($BD61+$Q62+$R62+$S62),2000)-IF($AS62=0,0,IF($AS62=1,4400,1000*$AS62+3400)))+$D62-1107750))),IF($AN62="MD",(0.065+'Inputs 2'!$C$74)*$D62,IF($AN62="MI",0.0425*$D62,IF($AN62="MN",0.0625*$D62,IF($AN62="MO",0.047*$D62,IF($AN62="MT",0.05*$D62,IF($AN62="ND",0.015*$D62,IF($AN62="NE",0.035*$D62,IF($AN62="NJ",IF('Inputs 2'!$C$77="B",SUMPRODUCT(($D62*'Inputs 2'!$C$8&gt;INDEX('Methodology &amp; Sources'!$B$155:$J$162,0,4))*($D62*'Inputs 2'!$C$8-INDEX('Methodology &amp; Sources'!$B$155:$J$162,0,4))*INDEX('Methodology &amp; Sources'!$B$155:$J$162,0,4+2)),IF('Inputs 2'!$C$77="C",SUMPRODUCT(($D62*'Inputs 2'!$C$8&gt;INDEX('Methodology &amp; Sources'!$B$155:$J$162,0,7))*($D62*'Inputs 2'!$C$8-INDEX('Methodology &amp; Sources'!$B$155:$J$162,0,7))*INDEX('Methodology &amp; Sources'!$B$155:$J$162,0,7+2)),IF('Inputs 2'!$C$77="D",SUMPRODUCT(($D62*'Inputs 2'!$C$8&gt;INDEX('Methodology &amp; Sources'!$B$167:$J$179,0,1))*($D62*'Inputs 2'!$C$8-INDEX('Methodology &amp; Sources'!$B$167:$J$179,0,1))*INDEX('Methodology &amp; Sources'!$B$167:$J$179,0,1+2)),IF('Inputs 2'!$C$77="E",SUMPRODUCT(($D62*'Inputs 2'!$C$8&gt;INDEX('Methodology &amp; Sources'!$B$167:$J$179,0,4))*($D62*'Inputs 2'!$C$8-INDEX('Methodology &amp; Sources'!$B$167:$J$179,0,4))*INDEX('Methodology &amp; Sources'!$B$167:$J$179,0,4+2)),SUMPRODUCT(($D62*'Inputs 2'!$C$8&gt;INDEX('Methodology &amp; Sources'!$B$155:$J$162,0,1))*($D62*'Inputs 2'!$C$8-INDEX('Methodology &amp; Sources'!$B$155:$J$162,0,1))*INDEX('Methodology &amp; Sources'!$B$155:$J$162,0,1+2))))))/'Inputs 2'!$C$8,IF($AN62="NY",0.117*$D62,IF($AN62="OH",0.0275*$D62,IF($AN62="OK",0.045*$D62,IF($AN62="OR",0.08*$D62,IF($AN62="WI",IF($AY62&lt;12760,0.0354,IF($AY62&lt;25520,0.0465,IF($AY62&lt;280950,0.053,0.0765)))*$D62,0))))))))))))))))))))</f>
      </c>
      <c r="BD62" s="7">
        <f>IF($B62="","",$BD61+$Q62+$R62+$S62)</f>
      </c>
      <c r="BE62" s="6">
        <f>IF($B62="",$BE61,$BE61+$BF62)</f>
      </c>
      <c r="BF62" s="6">
        <f>IF($B62="","",IF(AND(IF(YEAR(IF('Inputs 2'!$C$7="Weekly",'Inputs 2'!$C$9+7*(($BE61+1)-1),IF('Inputs 2'!$C$7="Biweekly",'Inputs 2'!$C$9+14*(($BE61+1)-1),IF('Inputs 2'!$C$7="Semimonthly",DATE(YEAR('Inputs 2'!$C$9),MONTH('Inputs 2'!$C$9)+INT((($BE61+1)-1)/2),MIN(DAY('Inputs 2'!$C$9),DAY(EOMONTH(DATE(YEAR('Inputs 2'!$C$9),MONTH('Inputs 2'!$C$9)+INT((($BE61+1)-1)/2),1),0))))+IF(MOD(($BE61+1)-1,2)=1,15,0),EDATE('Inputs 2'!$C$9,($BE61+1)-1)))))&lt;&gt;'Inputs 2'!$C$10,"",IF('Inputs 2'!$C$7="Weekly",'Inputs 2'!$C$9+7*(($BE61+1)-1),IF('Inputs 2'!$C$7="Biweekly",'Inputs 2'!$C$9+14*(($BE61+1)-1),IF('Inputs 2'!$C$7="Semimonthly",DATE(YEAR('Inputs 2'!$C$9),MONTH('Inputs 2'!$C$9)+INT((($BE61+1)-1)/2),MIN(DAY('Inputs 2'!$C$9),DAY(EOMONTH(DATE(YEAR('Inputs 2'!$C$9),MONTH('Inputs 2'!$C$9)+INT((($BE61+1)-1)/2),1),0))))+IF(MOD(($BE61+1)-1,2)=1,15,0),EDATE('Inputs 2'!$C$9,($BE61+1)-1)))))&lt;&gt;"",$B62=IF(YEAR(IF('Inputs 2'!$C$7="Weekly",'Inputs 2'!$C$9+7*(($BE61+1)-1),IF('Inputs 2'!$C$7="Biweekly",'Inputs 2'!$C$9+14*(($BE61+1)-1),IF('Inputs 2'!$C$7="Semimonthly",DATE(YEAR('Inputs 2'!$C$9),MONTH('Inputs 2'!$C$9)+INT((($BE61+1)-1)/2),MIN(DAY('Inputs 2'!$C$9),DAY(EOMONTH(DATE(YEAR('Inputs 2'!$C$9),MONTH('Inputs 2'!$C$9)+INT((($BE61+1)-1)/2),1),0))))+IF(MOD(($BE61+1)-1,2)=1,15,0),EDATE('Inputs 2'!$C$9,($BE61+1)-1)))))&lt;&gt;'Inputs 2'!$C$10,"",IF('Inputs 2'!$C$7="Weekly",'Inputs 2'!$C$9+7*(($BE61+1)-1),IF('Inputs 2'!$C$7="Biweekly",'Inputs 2'!$C$9+14*(($BE61+1)-1),IF('Inputs 2'!$C$7="Semimonthly",DATE(YEAR('Inputs 2'!$C$9),MONTH('Inputs 2'!$C$9)+INT((($BE61+1)-1)/2),MIN(DAY('Inputs 2'!$C$9),DAY(EOMONTH(DATE(YEAR('Inputs 2'!$C$9),MONTH('Inputs 2'!$C$9)+INT((($BE61+1)-1)/2),1),0))))+IF(MOD(($BE61+1)-1,2)=1,15,0),EDATE('Inputs 2'!$C$9,($BE61+1)-1)))))),1,0))</f>
      </c>
      <c r="BG62" s="7">
        <f>IF($B62="","",$BG61+$H62)</f>
      </c>
      <c r="BH62" s="7">
        <f>IF($B62="","",$BH61+$I62)</f>
      </c>
      <c r="BI62" s="7">
        <f>IF($B62="","",$BI61+$G62)</f>
      </c>
      <c r="BJ62" s="7">
        <f>IF($B62="","",IFERROR(LOOKUP(2,1/(((('Events 2'!$C$6:$C$17="Deduction start"))*('Events 2'!$D$6:$D$17="Health FSA"))*('Events 2'!$B$6:$B$17&lt;=$B62)*('Events 2'!$B$6:$B$17&lt;&gt;"")),'Events 2'!$E$6:$E$17),'Inputs 2'!$D$38))</f>
      </c>
      <c r="BK62" s="7">
        <f>IF($B62="","",IFERROR(LOOKUP(2,1/(((('Events 2'!$C$6:$C$17="Deduction start"))*('Events 2'!$D$6:$D$17="Dependent-care FSA"))*('Events 2'!$B$6:$B$17&lt;=$B62)*('Events 2'!$B$6:$B$17&lt;&gt;"")),'Events 2'!$E$6:$E$17),'Inputs 2'!$D$39))</f>
      </c>
      <c r="BL62" s="7">
        <f>IF($B62="","",IFERROR(LOOKUP(2,1/(((('Events 2'!$C$6:$C$17="Deduction start")+('Events 2'!$C$6:$C$17="Deduction stop"))*('Events 2'!$D$6:$D$17="HSA"))*('Events 2'!$B$6:$B$17&lt;=$B62)*('Events 2'!$B$6:$B$17&lt;&gt;"")),'Events 2'!$I$6:$I$17),'Inputs 2'!$D$35))</f>
      </c>
      <c r="BM62" s="7">
        <f>IF($B62="","",IFERROR(LOOKUP(2,1/(((('Events 2'!$C$6:$C$17="Deduction start")+('Events 2'!$C$6:$C$17="Deduction stop"))*('Events 2'!$D$6:$D$17="Premiums"))*('Events 2'!$B$6:$B$17&lt;=$B62)*('Events 2'!$B$6:$B$17&lt;&gt;"")),'Events 2'!$I$6:$I$17),'Inputs 2'!$D$40+'Inputs 2'!$D$41+'Inputs 2'!$D$42))</f>
      </c>
      <c r="BN62" s="7">
        <f>IF($B62="","",IFERROR(LOOKUP(2,1/(((('Events 2'!$C$6:$C$17="Deduction start")+('Events 2'!$C$6:$C$17="Deduction stop"))*('Events 2'!$D$6:$D$17="Commuter"))*('Events 2'!$B$6:$B$17&lt;=$B62)*('Events 2'!$B$6:$B$17&lt;&gt;"")),'Events 2'!$I$6:$I$17),'Inputs 2'!$D$43))</f>
      </c>
      <c r="BO62" s="7">
        <f>IF($B62="","",IFERROR(LOOKUP(2,1/(((('Events 2'!$C$6:$C$17="Deduction start")+('Events 2'!$C$6:$C$17="Deduction stop"))*('Events 2'!$D$6:$D$17="Other pre-tax"))*('Events 2'!$B$6:$B$17&lt;=$B62)*('Events 2'!$B$6:$B$17&lt;&gt;"")),'Events 2'!$I$6:$I$17),'Inputs 2'!$D$44))</f>
      </c>
      <c r="BP62" s="7">
        <f>IF($B62="","",IFERROR(LOOKUP(2,1/(((('Events 2'!$C$6:$C$17="Deduction start")+('Events 2'!$C$6:$C$17="Deduction stop"))*('Events 2'!$D$6:$D$17="Other post-tax"))*('Events 2'!$B$6:$B$17&lt;=$B62)*('Events 2'!$B$6:$B$17&lt;&gt;"")),'Events 2'!$I$6:$I$17),'Inputs 2'!$D$45))</f>
      </c>
      <c r="BQ62" s="6">
        <f>IF($B62="","",IFERROR(LOOKUP(2,1/(((('Events 2'!$C$6:$C$17="Deduction start")+('Events 2'!$C$6:$C$17="Deduction stop"))*('Events 2'!$D$6:$D$17="Health FSA"))*('Events 2'!$B$6:$B$17&lt;=$B62)*('Events 2'!$B$6:$B$17&lt;&gt;"")),'Events 2'!$J$6:$J$17),0))</f>
      </c>
      <c r="BR62" s="6">
        <f>IF($B62="","",IFERROR(LOOKUP(2,1/(((('Events 2'!$C$6:$C$17="Deduction start")+('Events 2'!$C$6:$C$17="Deduction stop"))*('Events 2'!$D$6:$D$17="Dependent-care FSA"))*('Events 2'!$B$6:$B$17&lt;=$B62)*('Events 2'!$B$6:$B$17&lt;&gt;"")),'Events 2'!$J$6:$J$17),0))</f>
      </c>
      <c r="BS62" s="6">
        <f>IF($B62="","",IF(SUMPRODUCT(('Events 2'!$C$6:$C$17="Deduction start")*('Events 2'!$B$6:$B$17&lt;=$B62)*('Events 2'!$B$6:$B$17&lt;&gt;"")*('Events 2'!$D$6:$D$17="Health FSA"))&gt;0,1,0))</f>
      </c>
      <c r="BT62" s="6">
        <f>IF($B62="","",IF(SUMPRODUCT(('Events 2'!$C$6:$C$17="Deduction start")*('Events 2'!$B$6:$B$17&lt;=$B62)*('Events 2'!$B$6:$B$17&lt;&gt;"")*('Events 2'!$D$6:$D$17="Dependent-care FSA"))&gt;0,1,0))</f>
      </c>
      <c r="BU62" s="24">
        <f>IF($B62="","",IF('Inputs 2'!$C$13,SUMPRODUCT(($AH62&gt;=INDEX('Methodology &amp; Sources'!$B$29:$J$36,0,IF('Inputs 2'!$C$12="MFJ",1,IF('Inputs 2'!$C$12="HoH",7,4))))*INDEX('Methodology &amp; Sources'!$B$29:$J$36,0,IF('Inputs 2'!$C$12="MFJ",1,IF('Inputs 2'!$C$12="HoH",7,4))+2)),SUMPRODUCT(($AH62&gt;=INDEX('Methodology &amp; Sources'!$B$19:$J$26,0,IF('Inputs 2'!$C$12="MFJ",1,IF('Inputs 2'!$C$12="HoH",7,4))))*INDEX('Methodology &amp; Sources'!$B$19:$J$26,0,IF('Inputs 2'!$C$12="MFJ",1,IF('Inputs 2'!$C$12="HoH",7,4))+2))))</f>
      </c>
      <c r="BV62" s="24">
        <f>IF($B62="","",IF($BZ62&lt;&gt;"",$BZ62,IF($CA62&lt;&gt;"",$CA62,IF($CB62&lt;&gt;"",$CB62,IF($CC62&lt;&gt;"",$CC62,0)))))</f>
      </c>
      <c r="BW62" s="7">
        <f>IF($B62="","",IF($AN62="MD",IF(OR($AU62="Married",$AU62="Head of household"),SUMPRODUCT(($AZ62&gt;INDEX('Methodology &amp; Sources'!$B$114:$J$120,0,1))*($AZ62-INDEX('Methodology &amp; Sources'!$B$114:$J$120,0,1))*INDEX('Methodology &amp; Sources'!$B$114:$J$120,0,1+2)),SUMPRODUCT(($AZ62&gt;INDEX('Methodology &amp; Sources'!$B$103:$J$109,0,7))*($AZ62-INDEX('Methodology &amp; Sources'!$B$103:$J$109,0,7))*INDEX('Methodology &amp; Sources'!$B$103:$J$109,0,7+2))),IF($AN62="MO",SUMPRODUCT(($AZ62&gt;INDEX('Methodology &amp; Sources'!$B$125:$J$132,0,1))*($AZ62-INDEX('Methodology &amp; Sources'!$B$125:$J$132,0,1))*INDEX('Methodology &amp; Sources'!$B$125:$J$132,0,1+2)),IF($AN62="MT",IF($AU62="Head of household",SUMPRODUCT(($AZ62&gt;INDEX('Methodology &amp; Sources'!$B$137:$J$139,0,1))*($AZ62-INDEX('Methodology &amp; Sources'!$B$137:$J$139,0,1))*INDEX('Methodology &amp; Sources'!$B$137:$J$139,0,1+2)),IF($AU62="Married",SUMPRODUCT(($AZ62&gt;INDEX('Methodology &amp; Sources'!$B$125:$J$132,0,7))*($AZ62-INDEX('Methodology &amp; Sources'!$B$125:$J$132,0,7))*INDEX('Methodology &amp; Sources'!$B$125:$J$132,0,7+2)),SUMPRODUCT(($AZ62&gt;INDEX('Methodology &amp; Sources'!$B$125:$J$132,0,4))*($AZ62-INDEX('Methodology &amp; Sources'!$B$125:$J$132,0,4))*INDEX('Methodology &amp; Sources'!$B$125:$J$132,0,4+2)))),IF($AN62="ND",IF($AU62="Head of household",SUMPRODUCT(($AZ62&gt;INDEX('Methodology &amp; Sources'!$B$144:$J$150,0,1))*($AZ62-INDEX('Methodology &amp; Sources'!$B$144:$J$150,0,1))*INDEX('Methodology &amp; Sources'!$B$144:$J$150,0,1+2)),IF($AU62="Married",SUMPRODUCT(($AZ62&gt;INDEX('Methodology &amp; Sources'!$B$137:$J$139,0,7))*($AZ62-INDEX('Methodology &amp; Sources'!$B$137:$J$139,0,7))*INDEX('Methodology &amp; Sources'!$B$137:$J$139,0,7+2)),SUMPRODUCT(($AZ62&gt;INDEX('Methodology &amp; Sources'!$B$137:$J$139,0,4))*($AZ62-INDEX('Methodology &amp; Sources'!$B$137:$J$139,0,4))*INDEX('Methodology &amp; Sources'!$B$137:$J$139,0,4+2)))),IF($AN62="NJ",IF('Inputs 2'!$C$77="B",SUMPRODUCT(($AZ62&gt;INDEX('Methodology &amp; Sources'!$B$155:$J$162,0,4))*($AZ62-INDEX('Methodology &amp; Sources'!$B$155:$J$162,0,4))*INDEX('Methodology &amp; Sources'!$B$155:$J$162,0,4+2)),IF('Inputs 2'!$C$77="C",SUMPRODUCT(($AZ62&gt;INDEX('Methodology &amp; Sources'!$B$155:$J$162,0,7))*($AZ62-INDEX('Methodology &amp; Sources'!$B$155:$J$162,0,7))*INDEX('Methodology &amp; Sources'!$B$155:$J$162,0,7+2)),IF('Inputs 2'!$C$77="D",SUMPRODUCT(($AZ62&gt;INDEX('Methodology &amp; Sources'!$B$167:$J$179,0,1))*($AZ62-INDEX('Methodology &amp; Sources'!$B$167:$J$179,0,1))*INDEX('Methodology &amp; Sources'!$B$167:$J$179,0,1+2)),IF('Inputs 2'!$C$77="E",SUMPRODUCT(($AZ62&gt;INDEX('Methodology &amp; Sources'!$B$167:$J$179,0,4))*($AZ62-INDEX('Methodology &amp; Sources'!$B$167:$J$179,0,4))*INDEX('Methodology &amp; Sources'!$B$167:$J$179,0,4+2)),SUMPRODUCT(($AZ62&gt;INDEX('Methodology &amp; Sources'!$B$155:$J$162,0,1))*($AZ62-INDEX('Methodology &amp; Sources'!$B$155:$J$162,0,1))*INDEX('Methodology &amp; Sources'!$B$155:$J$162,0,1+2)))))),IF($AN62="NY",IF($AU62="Married",IF($AZ62&gt;=2155350,$AZ62*IF($AZ62&gt;25000000,0.117,IF($AZ62&gt;5000000,0.111,0.1045)),SUMPRODUCT(($AZ62&gt;INDEX('Methodology &amp; Sources'!$B$184:$J$198,0,1))*($AZ62-INDEX('Methodology &amp; Sources'!$B$184:$J$198,0,1))*INDEX('Methodology &amp; Sources'!$B$184:$J$198,0,1+2))),IF($AZ62&gt;=1077550,$AZ62*IF($AZ62&gt;25000000,0.117,IF($AZ62&gt;5000000,0.111,0.1045)),SUMPRODUCT(($AZ62&gt;INDEX('Methodology &amp; Sources'!$B$167:$J$179,0,7))*($AZ62-INDEX('Methodology &amp; Sources'!$B$167:$J$179,0,7))*INDEX('Methodology &amp; Sources'!$B$167:$J$179,0,7+2)))),"")))))))</f>
      </c>
      <c r="BX62" s="7">
        <f>IF($B62="","",IF($AN62="AL",IF(OR($AU62="Married",$AU62="Head of household"),SUMPRODUCT(($AZ62&gt;INDEX('Methodology &amp; Sources'!$B$82:$J$86,0,4))*($AZ62-INDEX('Methodology &amp; Sources'!$B$82:$J$86,0,4))*INDEX('Methodology &amp; Sources'!$B$82:$J$86,0,4+2)),SUMPRODUCT(($AZ62&gt;INDEX('Methodology &amp; Sources'!$B$82:$J$86,0,1))*($AZ62-INDEX('Methodology &amp; Sources'!$B$82:$J$86,0,1))*INDEX('Methodology &amp; Sources'!$B$82:$J$86,0,1+2))),IF($AN62="KS",IF($AU62="Married",SUMPRODUCT(($AZ62&gt;INDEX('Methodology &amp; Sources'!$B$103:$J$109,0,4))*($AZ62-INDEX('Methodology &amp; Sources'!$B$103:$J$109,0,4))*INDEX('Methodology &amp; Sources'!$B$103:$J$109,0,4+2)),SUMPRODUCT(($AZ62&gt;INDEX('Methodology &amp; Sources'!$B$103:$J$109,0,1))*($AZ62-INDEX('Methodology &amp; Sources'!$B$103:$J$109,0,1))*INDEX('Methodology &amp; Sources'!$B$103:$J$109,0,1+2))),IF($AN62="MN",IF($AU62="Married",SUMPRODUCT(($AZ62&gt;INDEX('Methodology &amp; Sources'!$B$114:$J$120,0,7))*($AZ62-INDEX('Methodology &amp; Sources'!$B$114:$J$120,0,7))*INDEX('Methodology &amp; Sources'!$B$114:$J$120,0,7+2)),SUMPRODUCT(($AZ62&gt;INDEX('Methodology &amp; Sources'!$B$114:$J$120,0,4))*($AZ62-INDEX('Methodology &amp; Sources'!$B$114:$J$120,0,4))*INDEX('Methodology &amp; Sources'!$B$114:$J$120,0,4+2))),IF($AN62="NE",MAX(IF($AU62="Married",SUMPRODUCT(($AZ62&gt;INDEX('Methodology &amp; Sources'!$B$144:$J$150,0,7))*($AZ62-INDEX('Methodology &amp; Sources'!$B$144:$J$150,0,7))*INDEX('Methodology &amp; Sources'!$B$144:$J$150,0,7+2)),SUMPRODUCT(($AZ62&gt;INDEX('Methodology &amp; Sources'!$B$144:$J$150,0,4))*($AZ62-INDEX('Methodology &amp; Sources'!$B$144:$J$150,0,4))*INDEX('Methodology &amp; Sources'!$B$144:$J$150,0,4+2))),0.015*$AZ62),IF($AN62="OH",IF($B62&gt;=DATE(2027,8,1),SUMPRODUCT(($AZ62&gt;INDEX('Methodology &amp; Sources'!$B$203:$J$206,0,1))*($AZ62-INDEX('Methodology &amp; Sources'!$B$203:$J$206,0,1))*INDEX('Methodology &amp; Sources'!$B$203:$J$206,0,1+2)),SUMPRODUCT(($AZ62&gt;INDEX('Methodology &amp; Sources'!$B$184:$J$198,0,7))*($AZ62-INDEX('Methodology &amp; Sources'!$B$184:$J$198,0,7))*INDEX('Methodology &amp; Sources'!$B$184:$J$198,0,7+2))),IF($AN62="OK",IF($AU62="Married",SUMPRODUCT(($AZ62&gt;INDEX('Methodology &amp; Sources'!$B$203:$J$206,0,7))*($AZ62-INDEX('Methodology &amp; Sources'!$B$203:$J$206,0,7))*INDEX('Methodology &amp; Sources'!$B$203:$J$206,0,7+2)),SUMPRODUCT(($AZ62&gt;INDEX('Methodology &amp; Sources'!$B$203:$J$206,0,4))*($AZ62-INDEX('Methodology &amp; Sources'!$B$203:$J$206,0,4))*INDEX('Methodology &amp; Sources'!$B$203:$J$206,0,4+2))),IF($AN62="RI",SUMPRODUCT(($AZ62&gt;INDEX('Methodology &amp; Sources'!$B$211:$J$214,0,7))*($AZ62-INDEX('Methodology &amp; Sources'!$B$211:$J$214,0,7))*INDEX('Methodology &amp; Sources'!$B$211:$J$214,0,7+2)),IF($AN62="VT",IF($AU62="Married",SUMPRODUCT(($AZ62&gt;INDEX('Methodology &amp; Sources'!$B$228:$J$232,0,1))*($AZ62-INDEX('Methodology &amp; Sources'!$B$228:$J$232,0,1))*INDEX('Methodology &amp; Sources'!$B$228:$J$232,0,1+2)),SUMPRODUCT(($AZ62&gt;INDEX('Methodology &amp; Sources'!$B$219:$J$223,0,7))*($AZ62-INDEX('Methodology &amp; Sources'!$B$219:$J$223,0,7))*INDEX('Methodology &amp; Sources'!$B$219:$J$223,0,7+2))),IF($AN62="WV",IF($AU62="Married",SUMPRODUCT(($AZ62&gt;INDEX('Methodology &amp; Sources'!$B$237:$J$241,0,7))*($AZ62-INDEX('Methodology &amp; Sources'!$B$237:$J$241,0,7))*INDEX('Methodology &amp; Sources'!$B$237:$J$241,0,7+2)),SUMPRODUCT(($AZ62&gt;INDEX('Methodology &amp; Sources'!$B$228:$J$232,0,7))*($AZ62-INDEX('Methodology &amp; Sources'!$B$228:$J$232,0,7))*INDEX('Methodology &amp; Sources'!$B$228:$J$232,0,7+2))),""))))))))))</f>
      </c>
      <c r="BY62" s="7">
        <f>IF($B62="","",IF($AN62="AR",SUMPRODUCT(($AZ62&gt;INDEX('Methodology &amp; Sources'!$B$82:$J$86,0,7))*($AZ62-INDEX('Methodology &amp; Sources'!$B$82:$J$86,0,7))*INDEX('Methodology &amp; Sources'!$B$82:$J$86,0,7+2)),IF($AN62="DE",SUMPRODUCT(($AZ62&gt;INDEX('Methodology &amp; Sources'!$B$91:$J$98,0,1))*($AZ62-INDEX('Methodology &amp; Sources'!$B$91:$J$98,0,1))*INDEX('Methodology &amp; Sources'!$B$91:$J$98,0,1+2)),IF($AN62="HI",IF($AU62="Married",SUMPRODUCT(($AZ62&gt;INDEX('Methodology &amp; Sources'!$B$91:$J$98,0,7))*($AZ62-INDEX('Methodology &amp; Sources'!$B$91:$J$98,0,7))*INDEX('Methodology &amp; Sources'!$B$91:$J$98,0,7+2)),SUMPRODUCT(($AZ62&gt;INDEX('Methodology &amp; Sources'!$B$91:$J$98,0,4))*($AZ62-INDEX('Methodology &amp; Sources'!$B$91:$J$98,0,4))*INDEX('Methodology &amp; Sources'!$B$91:$J$98,0,4+2))),IF($AN62="SC",SUMPRODUCT(($AZ62&gt;INDEX('Methodology &amp; Sources'!$B$219:$J$223,0,1))*($AZ62-INDEX('Methodology &amp; Sources'!$B$219:$J$223,0,1))*INDEX('Methodology &amp; Sources'!$B$219:$J$223,0,1+2)),IF($AN62="VA",SUMPRODUCT(($AZ62&gt;INDEX('Methodology &amp; Sources'!$B$219:$J$223,0,4))*($AZ62-INDEX('Methodology &amp; Sources'!$B$219:$J$223,0,4))*INDEX('Methodology &amp; Sources'!$B$219:$J$223,0,4+2)),IF($AN62="WI",SUMPRODUCT(($AZ62&gt;INDEX('Methodology &amp; Sources'!$B$228:$J$232,0,4))*($AZ62-INDEX('Methodology &amp; Sources'!$B$228:$J$232,0,4))*INDEX('Methodology &amp; Sources'!$B$228:$J$232,0,4+2)),"")))))))</f>
      </c>
      <c r="BZ62" s="24">
        <f>IF($B62="","",IF($AN62="NJ",IF('Inputs 2'!$C$77="B",SUMPRODUCT(($AZ62&gt;=INDEX('Methodology &amp; Sources'!$B$155:$J$162,0,4))*INDEX('Methodology &amp; Sources'!$B$155:$J$162,0,4+2)),IF('Inputs 2'!$C$77="C",SUMPRODUCT(($AZ62&gt;=INDEX('Methodology &amp; Sources'!$B$155:$J$162,0,7))*INDEX('Methodology &amp; Sources'!$B$155:$J$162,0,7+2)),IF('Inputs 2'!$C$77="D",SUMPRODUCT(($AZ62&gt;=INDEX('Methodology &amp; Sources'!$B$167:$J$179,0,1))*INDEX('Methodology &amp; Sources'!$B$167:$J$179,0,1+2)),IF('Inputs 2'!$C$77="E",SUMPRODUCT(($AZ62&gt;=INDEX('Methodology &amp; Sources'!$B$167:$J$179,0,4))*INDEX('Methodology &amp; Sources'!$B$167:$J$179,0,4+2)),SUMPRODUCT(($AZ62&gt;=INDEX('Methodology &amp; Sources'!$B$155:$J$162,0,1))*INDEX('Methodology &amp; Sources'!$B$155:$J$162,0,1+2)))))),IF($AN62="OR",IF(OR($AU62="Married",AND($AU62="Single",$AS62&gt;=3)),SUMPRODUCT((MAX(0,$AY62-MIN(($P62-'Methodology &amp; Sources'!$C$10*$D62)*'Inputs 2'!$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Sources'!$B$211:$J$214,0,4))*INDEX('Methodology &amp; Sources'!$B$211:$J$214,0,4+2)),SUMPRODUCT((MAX(0,$AY62-MIN(($P62-'Methodology &amp; Sources'!$C$10*$D62)*'Inputs 2'!$C$8,IF(OR($AU62="Married",AND($AU62="Single",$AS62&gt;=3)),IF($AY62&lt;250000,8750,IF($AY62&lt;260000,7000,IF($AY62&lt;270000,5250,IF($AY62&lt;280000,3500,IF($AY62&lt;290000,1750,0))))),IF($AY62&lt;125000,8750,IF($AY62&lt;130000,7000,IF($AY62&lt;135000,5250,IF($AY62&lt;140000,3500,IF($AY62&lt;145000,1750,0)))))))-IF(OR($AU62="Married",AND($AU62="Single",$AS62&gt;=3)),5820,2910))&gt;=INDEX('Methodology &amp; Sources'!$B$211:$J$214,0,1))*INDEX('Methodology &amp; Sources'!$B$211:$J$214,0,1+2)))*IF(($P62-'Methodology &amp; Sources'!$C$10*$D62)*'Inputs 2'!$C$8&gt;=IF(OR($AU62="Married",AND($AU62="Single",$AS62&gt;=3)),IF($AY62&lt;250000,8750,IF($AY62&lt;260000,7000,IF($AY62&lt;270000,5250,IF($AY62&lt;280000,3500,IF($AY62&lt;290000,1750,0))))),IF($AY62&lt;125000,8750,IF($AY62&lt;130000,7000,IF($AY62&lt;135000,5250,IF($AY62&lt;140000,3500,IF($AY62&lt;145000,1750,0)))))),1,1-IF('Inputs 2'!$C$13,SUMPRODUCT(($AH62&gt;=INDEX('Methodology &amp; Sources'!$B$29:$J$36,0,IF('Inputs 2'!$C$12="MFJ",1,IF('Inputs 2'!$C$12="HoH",7,4))))*INDEX('Methodology &amp; Sources'!$B$29:$J$36,0,IF('Inputs 2'!$C$12="MFJ",1,IF('Inputs 2'!$C$12="HoH",7,4))+2)),SUMPRODUCT(($AH62&gt;=INDEX('Methodology &amp; Sources'!$B$19:$J$26,0,IF('Inputs 2'!$C$12="MFJ",1,IF('Inputs 2'!$C$12="HoH",7,4))))*INDEX('Methodology &amp; Sources'!$B$19:$J$26,0,IF('Inputs 2'!$C$12="MFJ",1,IF('Inputs 2'!$C$12="HoH",7,4))+2)))),IF($AN62="MI",IF($AY62&gt;5900*$AS62,0.0425,0),""))))</f>
      </c>
      <c r="CA62" s="24">
        <f>IF($B62="","",IF($AN62="AL",IF(OR($AU62="Married",$AU62="Head of household"),SUMPRODUCT(($AZ62&gt;=INDEX('Methodology &amp; Sources'!$B$82:$J$86,0,4))*INDEX('Methodology &amp; Sources'!$B$82:$J$86,0,4+2)),SUMPRODUCT(($AZ62&gt;=INDEX('Methodology &amp; Sources'!$B$82:$J$86,0,1))*INDEX('Methodology &amp; Sources'!$B$82:$J$86,0,1+2)))*(1-IF('Inputs 2'!$C$13,SUMPRODUCT(($AH62&gt;=INDEX('Methodology &amp; Sources'!$B$29:$J$36,0,IF('Inputs 2'!$C$12="MFJ",1,IF('Inputs 2'!$C$12="HoH",7,4))))*INDEX('Methodology &amp; Sources'!$B$29:$J$36,0,IF('Inputs 2'!$C$12="MFJ",1,IF('Inputs 2'!$C$12="HoH",7,4))+2)),SUMPRODUCT(($AH62&gt;=INDEX('Methodology &amp; Sources'!$B$19:$J$26,0,IF('Inputs 2'!$C$12="MFJ",1,IF('Inputs 2'!$C$12="HoH",7,4))))*INDEX('Methodology &amp; Sources'!$B$19:$J$26,0,IF('Inputs 2'!$C$12="MFJ",1,IF('Inputs 2'!$C$12="HoH",7,4))+2)))),IF($AN62="KS",IF($AU62="Married",SUMPRODUCT(($AZ62&gt;=INDEX('Methodology &amp; Sources'!$B$103:$J$109,0,4))*INDEX('Methodology &amp; Sources'!$B$103:$J$109,0,4+2)),SUMPRODUCT(($AZ62&gt;=INDEX('Methodology &amp; Sources'!$B$103:$J$109,0,1))*INDEX('Methodology &amp; Sources'!$B$103:$J$109,0,1+2))),IF($AN62="MD",IF(OR($AU62="Married",$AU62="Head of household"),SUMPRODUCT(($AZ62&gt;=INDEX('Methodology &amp; Sources'!$B$114:$J$120,0,1))*INDEX('Methodology &amp; Sources'!$B$114:$J$120,0,1+2)),SUMPRODUCT(($AZ62&gt;=INDEX('Methodology &amp; Sources'!$B$103:$J$109,0,7))*INDEX('Methodology &amp; Sources'!$B$103:$J$109,0,7+2)))+'Inputs 2'!$C$74,IF($AN62="MT",IF($AU62="Head of household",SUMPRODUCT(($AZ62&gt;=INDEX('Methodology &amp; Sources'!$B$137:$J$139,0,1))*INDEX('Methodology &amp; Sources'!$B$137:$J$139,0,1+2)),IF($AU62="Married",SUMPRODUCT(($AZ62&gt;=INDEX('Methodology &amp; Sources'!$B$125:$J$132,0,7))*INDEX('Methodology &amp; Sources'!$B$125:$J$132,0,7+2)),SUMPRODUCT(($AZ62&gt;=INDEX('Methodology &amp; Sources'!$B$125:$J$132,0,4))*INDEX('Methodology &amp; Sources'!$B$125:$J$132,0,4+2)))),IF($AN62="ND",IF($AU62="Head of household",SUMPRODUCT(($AZ62&gt;=INDEX('Methodology &amp; Sources'!$B$144:$J$150,0,1))*INDEX('Methodology &amp; Sources'!$B$144:$J$150,0,1+2)),IF($AU62="Married",SUMPRODUCT(($AZ62&gt;=INDEX('Methodology &amp; Sources'!$B$137:$J$139,0,7))*INDEX('Methodology &amp; Sources'!$B$137:$J$139,0,7+2)),SUMPRODUCT(($AZ62&gt;=INDEX('Methodology &amp; Sources'!$B$137:$J$139,0,4))*INDEX('Methodology &amp; Sources'!$B$137:$J$139,0,4+2)))),IF($AN62="NY",IF($AU62="Married",IF($AZ62&gt;=2155350,IF($AZ62&gt;25000000,0.117,IF($AZ62&gt;5000000,0.111,0.1045)),SUMPRODUCT(($AZ62&gt;=INDEX('Methodology &amp; Sources'!$B$184:$J$198,0,1))*INDEX('Methodology &amp; Sources'!$B$184:$J$198,0,1+2))),IF($AZ62&gt;=1077550,IF($AZ62&gt;25000000,0.117,IF($AZ62&gt;5000000,0.111,0.1045)),SUMPRODUCT(($AZ62&gt;=INDEX('Methodology &amp; Sources'!$B$167:$J$179,0,7))*INDEX('Methodology &amp; Sources'!$B$167:$J$179,0,7+2)))),"")))))))</f>
      </c>
      <c r="CB62" s="24">
        <f>IF($B62="","",IF($AN62="CA",SUMPRODUCT(($AJ62&gt;=INDEX('Methodology &amp; Sources'!$B$39:$J$48,0,IF($AU62="Married",4,IF($AU62="Head of household",7,1))))*INDEX('Methodology &amp; Sources'!$B$39:$J$48,0,IF($AU62="Married",4,IF($AU62="Head of household",7,1))+2)),IF($AN62="HI",IF($AU62="Married",SUMPRODUCT(($AZ62&gt;=INDEX('Methodology &amp; Sources'!$B$91:$J$98,0,7))*INDEX('Methodology &amp; Sources'!$B$91:$J$98,0,7+2)),SUMPRODUCT(($AZ62&gt;=INDEX('Methodology &amp; Sources'!$B$91:$J$98,0,4))*INDEX('Methodology &amp; Sources'!$B$91:$J$98,0,4+2))),IF($AN62="MN",IF($AU62="Married",SUMPRODUCT(($AZ62&gt;=INDEX('Methodology &amp; Sources'!$B$114:$J$120,0,7))*INDEX('Methodology &amp; Sources'!$B$114:$J$120,0,7+2)),SUMPRODUCT(($AZ62&gt;=INDEX('Methodology &amp; Sources'!$B$114:$J$120,0,4))*INDEX('Methodology &amp; Sources'!$B$114:$J$120,0,4+2))),IF($AN62="MO",SUMPRODUCT(($AZ62&gt;=INDEX('Methodology &amp; Sources'!$B$125:$J$132,0,1))*INDEX('Methodology &amp; Sources'!$B$125:$J$132,0,1+2)),IF($AN62="NE",MAX(IF($AU62="Married",SUMPRODUCT(($AZ62&gt;=INDEX('Methodology &amp; Sources'!$B$144:$J$150,0,7))*INDEX('Methodology &amp; Sources'!$B$144:$J$150,0,7+2)),SUMPRODUCT(($AZ62&gt;=INDEX('Methodology &amp; Sources'!$B$144:$J$150,0,4))*INDEX('Methodology &amp; Sources'!$B$144:$J$150,0,4+2))),0.015),IF($AN62="OH",IF($B62&gt;=DATE(2027,8,1),SUMPRODUCT(($AZ62&gt;=INDEX('Methodology &amp; Sources'!$B$203:$J$206,0,1))*INDEX('Methodology &amp; Sources'!$B$203:$J$206,0,1+2)),SUMPRODUCT(($AZ62&gt;=INDEX('Methodology &amp; Sources'!$B$184:$J$198,0,7))*INDEX('Methodology &amp; Sources'!$B$184:$J$198,0,7+2))),IF($AN62="OK",IF($AU62="Married",SUMPRODUCT(($AZ62&gt;=INDEX('Methodology &amp; Sources'!$B$203:$J$206,0,7))*INDEX('Methodology &amp; Sources'!$B$203:$J$206,0,7+2)),SUMPRODUCT(($AZ62&gt;=INDEX('Methodology &amp; Sources'!$B$203:$J$206,0,4))*INDEX('Methodology &amp; Sources'!$B$203:$J$206,0,4+2))),IF($AN62="RI",SUMPRODUCT(($AZ62&gt;=INDEX('Methodology &amp; Sources'!$B$211:$J$214,0,7))*INDEX('Methodology &amp; Sources'!$B$211:$J$214,0,7+2)),IF($AN62="SC",SUMPRODUCT(($AZ62&gt;=INDEX('Methodology &amp; Sources'!$B$219:$J$223,0,1))*INDEX('Methodology &amp; Sources'!$B$219:$J$223,0,1+2)),IF($AN62="VT",IF($AU62="Married",SUMPRODUCT(($AZ62&gt;=INDEX('Methodology &amp; Sources'!$B$228:$J$232,0,1))*INDEX('Methodology &amp; Sources'!$B$228:$J$232,0,1+2)),SUMPRODUCT(($AZ62&gt;=INDEX('Methodology &amp; Sources'!$B$219:$J$223,0,7))*INDEX('Methodology &amp; Sources'!$B$219:$J$223,0,7+2))),IF($AN62="WV",IF($AU62="Married",SUMPRODUCT(($AZ62&gt;=INDEX('Methodology &amp; Sources'!$B$237:$J$241,0,7))*INDEX('Methodology &amp; Sources'!$B$237:$J$241,0,7+2)),SUMPRODUCT(($AZ62&gt;=INDEX('Methodology &amp; Sources'!$B$228:$J$232,0,7))*INDEX('Methodology &amp; Sources'!$B$228:$J$232,0,7+2))),IF($AN62="IN",(0.0295+'Inputs 2'!$C$76),"")))))))))))))</f>
      </c>
      <c r="CC62" s="24">
        <f>IF($B62="","",IF($AN62="AR",SUMPRODUCT(($AZ62&gt;=INDEX('Methodology &amp; Sources'!$B$82:$J$86,0,7))*INDEX('Methodology &amp; Sources'!$B$82:$J$86,0,7+2)),IF($AN62="DE",SUMPRODUCT(($AZ62&gt;=INDEX('Methodology &amp; Sources'!$B$91:$J$98,0,1))*INDEX('Methodology &amp; Sources'!$B$91:$J$98,0,1+2)),IF($AN62="VA",SUMPRODUCT(($AZ62&gt;=INDEX('Methodology &amp; Sources'!$B$219:$J$223,0,4))*INDEX('Methodology &amp; Sources'!$B$219:$J$223,0,4+2)),IF($AN62="WI",SUMPRODUCT(($AZ62&gt;=INDEX('Methodology &amp; Sources'!$B$228:$J$232,0,4))*INDEX('Methodology &amp; Sources'!$B$228:$J$232,0,4+2)),IF($AN62="AZ",'Inputs 2'!$C$82,IF($AN62="CO",IF($AY62&gt;IF($AU62="Married",10000,5000),0.044,0),IF($AN62="IA",IF($AY62&gt;IF($AU62="Head of household",19500,IF($AU62="Married",26000,13000)),0.038,0),IF($AN62="ID",IF($AY62&gt;IF($AU62="Married",32000,16094),0.053,0),IF($AN62="IL",IF($AY62&gt;(2925*$AS62+1000*$AT62),0.0495,0),IF($AN62="KY",IF($AI62&gt;3360,0.035,0),IF($AN62="LA",0.0309,IF($AN62="MA",IF(MAX(0,$AY62-MIN(($BD61+$Q62+$R62+$S62),2000)-IF($AS62=0,0,IF($AS62=1,4400,1000*$AS62+3400)))&gt;=1107750,0.09,0.05),IF($AN62="MS",IF($AI62-IF($AU62="Head of household",3400,IF($AU62="Married",4600,2300))-'Inputs 2'!$C$85&gt;10000,0.04,0),IF($AN62="PA",0.0307,"")))))))))))))))</f>
      </c>
      <c r="CD62" s="21">
        <f>IF(YEAR(IF('Inputs 2'!$C$7="Weekly",'Inputs 2'!$C$9+7*(($BE61+1)-1),IF('Inputs 2'!$C$7="Biweekly",'Inputs 2'!$C$9+14*(($BE61+1)-1),IF('Inputs 2'!$C$7="Semimonthly",DATE(YEAR('Inputs 2'!$C$9),MONTH('Inputs 2'!$C$9)+INT((($BE61+1)-1)/2),MIN(DAY('Inputs 2'!$C$9),DAY(EOMONTH(DATE(YEAR('Inputs 2'!$C$9),MONTH('Inputs 2'!$C$9)+INT((($BE61+1)-1)/2),1),0))))+IF(MOD(($BE61+1)-1,2)=1,15,0),EDATE('Inputs 2'!$C$9,($BE61+1)-1)))))&lt;&gt;'Inputs 2'!$C$10,"",IF('Inputs 2'!$C$7="Weekly",'Inputs 2'!$C$9+7*(($BE61+1)-1),IF('Inputs 2'!$C$7="Biweekly",'Inputs 2'!$C$9+14*(($BE61+1)-1),IF('Inputs 2'!$C$7="Semimonthly",DATE(YEAR('Inputs 2'!$C$9),MONTH('Inputs 2'!$C$9)+INT((($BE61+1)-1)/2),MIN(DAY('Inputs 2'!$C$9),DAY(EOMONTH(DATE(YEAR('Inputs 2'!$C$9),MONTH('Inputs 2'!$C$9)+INT((($BE61+1)-1)/2),1),0))))+IF(MOD(($BE61+1)-1,2)=1,15,0),EDATE('Inputs 2'!$C$9,($BE61+1)-1)))))</f>
      </c>
      <c r="CE62" s="21">
        <f>IF(SUMPRODUCT(MIN(IF(('Inputs 2'!$C$58:$C$67&gt;MAX($B$6:$B61))*('Inputs 2'!$C$58:$C$67&gt;=DATE('Inputs 2'!$C$10,1,1))*('Inputs 2'!$C$58:$C$67&lt;=DATE('Inputs 2'!$C$10,12,31)),'Inputs 2'!$C$58:$C$67,999999)))=999999,"",SUMPRODUCT(MIN(IF(('Inputs 2'!$C$58:$C$67&gt;MAX($B$6:$B61))*('Inputs 2'!$C$58:$C$67&gt;=DATE('Inputs 2'!$C$10,1,1))*('Inputs 2'!$C$58:$C$67&lt;=DATE('Inputs 2'!$C$10,12,31)),'Inputs 2'!$C$58:$C$67,999999))))</f>
      </c>
    </row>
    <row r="63">
      <c r="A63" t="n">
        <v>58</v>
      </c>
      <c r="B63" s="21">
        <f>IF(AND($CD63="",$CE63=""),"",IF($CE63="",$CD63,IF($CD63="",$CE63,MIN($CD63,$CE63))))</f>
      </c>
      <c r="C63" s="7">
        <f>IF($B63="","",IF($BF63=0,0,IF('Inputs 2'!$C$4="Annual salary",ROUND($AK63/IF(AND('Inputs 2'!$C$88="Actual paydays",MONTH('Inputs 2'!$C$9)=1),MAX(1,MAX($BE$6:$BE$68)),'Inputs 2'!$C$8),2),$AK63)))</f>
      </c>
      <c r="D63" s="7">
        <f>IF($B63="","",SUMIF('Inputs 2'!$C$58:$C$67,$B63,'Inputs 2'!$D$58:$D$67))</f>
      </c>
      <c r="E63" s="7">
        <f>IF($B63="","",ROUND(MAX(0,MIN(IF($AL63="Percent",$AM63*($C63+$D63),$AM63),MAX(0,'Inputs 2'!$C$34-$AC62))),2))</f>
      </c>
      <c r="F63" s="7">
        <f>IF($B63="","",ROUND(MAX(0,MIN(IF('Inputs 2'!$C$32="Percent",'Inputs 2'!$D$32*($C63+$D63),'Inputs 2'!$D$32),MAX(0,'Inputs 2'!$C$34-$AC62-$E63))),2))</f>
      </c>
      <c r="G63" s="7">
        <f>IF($B63="","",IF($BF63=0,0,ROUND(MAX(0,MIN($BL63,'Inputs 2'!$C$37-'Inputs 2'!$C$54-$BI62)),2)))</f>
      </c>
      <c r="H63" s="7">
        <f>IF($B63="","",IF(OR($BF63=0,$BQ63=1),0,ROUND(MAX(0,MIN(IF($BS63=1,ROUND(MAX(0,MIN($BJ63,'Methodology &amp; Sources'!$C$13)-$BG62)/MAX(1,MAX($BE$6:$BE$68)-($BE62)),2),ROUND(MIN($BJ63,'Methodology &amp; Sources'!$C$13)/'Inputs 2'!$C$8,2)),MIN($BJ63,'Methodology &amp; Sources'!$C$13)-$BG62)),2)))</f>
      </c>
      <c r="I63" s="7">
        <f>IF($B63="","",IF(OR($BF63=0,$BR63=1),0,ROUND(MAX(0,MIN(IF($BT63=1,ROUND(MAX(0,MIN($BK63,IF('Inputs 2'!$C$12="MFJ",'Methodology &amp; Sources'!$C$14,'Methodology &amp; Sources'!$C$15))-$BH62)/MAX(1,MAX($BE$6:$BE$68)-($BE62)),2),ROUND(MIN($BK63,IF('Inputs 2'!$C$12="MFJ",'Methodology &amp; Sources'!$C$14,'Methodology &amp; Sources'!$C$15))/'Inputs 2'!$C$8,2)),MIN($BK63,IF('Inputs 2'!$C$12="MFJ",'Methodology &amp; Sources'!$C$14,'Methodology &amp; Sources'!$C$15))-$BH62)),2)))</f>
      </c>
      <c r="J63" s="7">
        <f>IF($B63="","",IF($BF63=0,0,$BM63))</f>
      </c>
      <c r="K63" s="7">
        <f>IF($B63="","",IF($BF63=0,0,$BN63+$BO63))</f>
      </c>
      <c r="L63" s="7">
        <f>IF($B63="","",IF($BF63=0,0,'Inputs 2'!$D$46))</f>
      </c>
      <c r="M63" s="7">
        <f>IF($B63="","",$C63+$D63+$L63-$E63-$G63-$H63-$I63-$J63-$K63)</f>
      </c>
      <c r="N63" s="7">
        <f>IF($B63="","",$C63+$D63+$L63-$G63-$H63-$I63-$J63-$K63)</f>
      </c>
      <c r="O63" s="7">
        <f>IF($B63="","",$C63+$D63+$L63-$E63-$H63-$I63-$J63-$K63-IF(OR($AN63="CA",$AN63="NJ"),0,$G63))</f>
      </c>
      <c r="P63" s="7">
        <f>IF($B63="","",IF('Inputs 2'!$C$18,0,ROUND(MAX(0,IF('Inputs 2'!$C$13,SUMPRODUCT(($AH63&gt;INDEX('Methodology &amp; Sources'!$B$29:$J$36,0,IF('Inputs 2'!$C$12="MFJ",1,IF('Inputs 2'!$C$12="HoH",7,4))))*($AH63-INDEX('Methodology &amp; Sources'!$B$29:$J$36,0,IF('Inputs 2'!$C$12="MFJ",1,IF('Inputs 2'!$C$12="HoH",7,4))))*INDEX('Methodology &amp; Sources'!$B$29:$J$36,0,IF('Inputs 2'!$C$12="MFJ",1,IF('Inputs 2'!$C$12="HoH",7,4))+2)),SUMPRODUCT(($AH63&gt;INDEX('Methodology &amp; Sources'!$B$19:$J$26,0,IF('Inputs 2'!$C$12="MFJ",1,IF('Inputs 2'!$C$12="HoH",7,4))))*($AH63-INDEX('Methodology &amp; Sources'!$B$19:$J$26,0,IF('Inputs 2'!$C$12="MFJ",1,IF('Inputs 2'!$C$12="HoH",7,4))))*INDEX('Methodology &amp; Sources'!$B$19:$J$26,0,IF('Inputs 2'!$C$12="MFJ",1,IF('Inputs 2'!$C$12="HoH",7,4))+2)))/'Inputs 2'!$C$8-$AO63/'Inputs 2'!$C$8)+$AR63+IF('Inputs 2'!$C$89="Aggregate",MAX(0,IF('Inputs 2'!$C$13,SUMPRODUCT((($AH63+$D63)&gt;INDEX('Methodology &amp; Sources'!$B$29:$J$36,0,IF('Inputs 2'!$C$12="MFJ",1,IF('Inputs 2'!$C$12="HoH",7,4))))*(($AH63+$D63)-INDEX('Methodology &amp; Sources'!$B$29:$J$36,0,IF('Inputs 2'!$C$12="MFJ",1,IF('Inputs 2'!$C$12="HoH",7,4))))*INDEX('Methodology &amp; Sources'!$B$29:$J$36,0,IF('Inputs 2'!$C$12="MFJ",1,IF('Inputs 2'!$C$12="HoH",7,4))+2)),SUMPRODUCT((($AH63+$D63)&gt;INDEX('Methodology &amp; Sources'!$B$19:$J$26,0,IF('Inputs 2'!$C$12="MFJ",1,IF('Inputs 2'!$C$12="HoH",7,4))))*(($AH63+$D63)-INDEX('Methodology &amp; Sources'!$B$19:$J$26,0,IF('Inputs 2'!$C$12="MFJ",1,IF('Inputs 2'!$C$12="HoH",7,4))))*INDEX('Methodology &amp; Sources'!$B$19:$J$26,0,IF('Inputs 2'!$C$12="MFJ",1,IF('Inputs 2'!$C$12="HoH",7,4))+2)))-IF('Inputs 2'!$C$13,SUMPRODUCT(($AH63&gt;INDEX('Methodology &amp; Sources'!$B$29:$J$36,0,IF('Inputs 2'!$C$12="MFJ",1,IF('Inputs 2'!$C$12="HoH",7,4))))*($AH63-INDEX('Methodology &amp; Sources'!$B$29:$J$36,0,IF('Inputs 2'!$C$12="MFJ",1,IF('Inputs 2'!$C$12="HoH",7,4))))*INDEX('Methodology &amp; Sources'!$B$29:$J$36,0,IF('Inputs 2'!$C$12="MFJ",1,IF('Inputs 2'!$C$12="HoH",7,4))+2)),SUMPRODUCT(($AH63&gt;INDEX('Methodology &amp; Sources'!$B$19:$J$26,0,IF('Inputs 2'!$C$12="MFJ",1,IF('Inputs 2'!$C$12="HoH",7,4))))*($AH63-INDEX('Methodology &amp; Sources'!$B$19:$J$26,0,IF('Inputs 2'!$C$12="MFJ",1,IF('Inputs 2'!$C$12="HoH",7,4))))*INDEX('Methodology &amp; Sources'!$B$19:$J$26,0,IF('Inputs 2'!$C$12="MFJ",1,IF('Inputs 2'!$C$12="HoH",7,4))+2)))),'Methodology &amp; Sources'!$C$10*$D63),2)))</f>
      </c>
      <c r="Q63" s="7">
        <f>IF($B63="","",ROUND('Methodology &amp; Sources'!$C$4*MIN($N63,MAX(0,'Methodology &amp; Sources'!$C$3-($AX63+$AB62-$AW63))),2))</f>
      </c>
      <c r="R63" s="7">
        <f>IF($B63="","",ROUND('Methodology &amp; Sources'!$C$5*$N63,2))</f>
      </c>
      <c r="S63" s="7">
        <f>IF($B63="","",ROUND('Methodology &amp; Sources'!$C$6*MAX(0,MIN($N63,$AG62+$N63-'Methodology &amp; Sources'!$C$7)),2))</f>
      </c>
      <c r="T63" s="7">
        <f>IF($B63="","",IF('Inputs 2'!$C$26,0,IF($AN63="CA",ROUND(IF($AI63&lt;=IF(($AS63+$AT63)&gt;=2,VLOOKUP($AN63,StateTables!$A$6:$AB$56,10,FALSE),VLOOKUP($AN63,StateTables!$A$6:$AB$56,9,FALSE)),0,MAX(0,SUMPRODUCT(($AJ63&gt;INDEX('Methodology &amp; Sources'!$B$39:$J$48,0,IF($AU63="Married",4,IF($AU63="Head of household",7,1))))*($AJ63-INDEX('Methodology &amp; Sources'!$B$39:$J$48,0,IF($AU63="Married",4,IF($AU63="Head of household",7,1))))*INDEX('Methodology &amp; Sources'!$B$39:$J$48,0,IF($AU63="Married",4,IF($AU63="Head of household",7,1))+2))-VLOOKUP($AN63,StateTables!$A$6:$AB$56,11,FALSE)*$AS63)/'Inputs 2'!$C$8)+'Inputs 2'!$C$25+VLOOKUP($AN63,StateTables!$A$6:$AB$56,13,FALSE)*$D63,2),IF(VLOOKUP($AN63,StateTables!$A$6:$AB$56,4,FALSE)="None",0,IF(ISNUMBER(SEARCH("MANUAL",VLOOKUP($AN63,StateTables!$A$6:$AB$56,5,FALSE))),'Inputs 2'!$C$28,ROUND(MAX(0,$BA63+$BB63)/'Inputs 2'!$C$8+'Inputs 2'!$C$25+$BC63,2))))))</f>
      </c>
      <c r="U63" s="7">
        <f>IF($B63="","",IF(VLOOKUP($AN63,StateTables!$A$6:$AB$56,24,FALSE)="flatq",IF(OR(MONTH($B63)=1,MONTH($B63)=4,MONTH($B63)=7,MONTH($B63)=10),VLOOKUP($AN63,StateTables!$A$6:$AB$56,25,FALSE),0),IF(VLOOKUP($AN63,StateTables!$A$6:$AB$56,24,FALSE)="dbl",MIN(ROUND(0.005*$N63,2),ROUND(0.6*52/'Inputs 2'!$C$8,2)),IF(OR(VLOOKUP($AN63,StateTables!$A$6:$AB$56,15,FALSE)="",VLOOKUP($AN63,StateTables!$A$6:$AB$56,15,FALSE)=0),0,ROUND(VLOOKUP($AN63,StateTables!$A$6:$AB$56,15,FALSE)*IF(OR(VLOOKUP($AN63,StateTables!$A$6:$AB$56,16,FALSE)="",VLOOKUP($AN63,StateTables!$A$6:$AB$56,16,FALSE)=0),$N63,MIN($N63,MAX(0,VLOOKUP($AN63,StateTables!$A$6:$AB$56,16,FALSE)-($AX63+$AB62-$AW63)))),2))))+IF(VLOOKUP($AN63,StateTables!$A$6:$AB$56,27,FALSE)="flatq",IF(OR(MONTH($B63)=1,MONTH($B63)=4,MONTH($B63)=7,MONTH($B63)=10),VLOOKUP($AN63,StateTables!$A$6:$AB$56,28,FALSE),0),IF(VLOOKUP($AN63,StateTables!$A$6:$AB$56,27,FALSE)="dbl",MIN(ROUND(0.005*$N63,2),ROUND(0.6*52/'Inputs 2'!$C$8,2)),IF(OR(VLOOKUP($AN63,StateTables!$A$6:$AB$56,18,FALSE)="",VLOOKUP($AN63,StateTables!$A$6:$AB$56,18,FALSE)=0),0,ROUND(VLOOKUP($AN63,StateTables!$A$6:$AB$56,18,FALSE)*IF(OR(VLOOKUP($AN63,StateTables!$A$6:$AB$56,19,FALSE)="",VLOOKUP($AN63,StateTables!$A$6:$AB$56,19,FALSE)=0),$N63,MIN($N63,MAX(0,VLOOKUP($AN63,StateTables!$A$6:$AB$56,19,FALSE)-($AX63+$AB62-$AW63)))),2)))))</f>
      </c>
      <c r="V63" s="7">
        <f>IF($B63="","",IF($AN63="NY",IF('Inputs 2'!$C$78,ROUND(SUMPRODUCT((MAX(0,($O63-$D63)*'Inputs 2'!$C$8-(IF($AU63="Married",5500,5000)+1000*$AS63))&gt;INDEX('Methodology &amp; Sources'!$B$184:$J$198,0,4))*(MAX(0,($O63-$D63)*'Inputs 2'!$C$8-(IF($AU63="Married",5500,5000)+1000*$AS63))-INDEX('Methodology &amp; Sources'!$B$184:$J$198,0,4))*INDEX('Methodology &amp; Sources'!$B$184:$J$198,0,4+2))/'Inputs 2'!$C$8+0.0425*$D63,2),0)+IF('Inputs 2'!$C$79="Resident",ROUND(0.1675*$T63,2),IF('Inputs 2'!$C$79="Nonresident",ROUND(0.005*MAX(0,($O63-$D63)-(IF($AU63="Married",7950,7400)+1000*$AS63)/'Inputs 2'!$C$8),2),0)),IF($AN63="PA",IF('Inputs 2'!$C$80="None",'Inputs 2'!$C$27+ROUND('Inputs 2'!$C$81*($C63+$D63),2),ROUND(IF('Inputs 2'!$C$80="Resident",IF($B63&lt;DATE(2027,7,1),0.03735,0.03735),IF($B63&lt;DATE(2027,7,1),0.03425,0.03425))*($C63+$D63),2)),IF($BF63=0,ROUND('Inputs 2'!$C$81*($C63+$D63),2),'Inputs 2'!$C$27+ROUND('Inputs 2'!$C$81*($C63+$D63),2)))))</f>
      </c>
      <c r="W63" s="7">
        <f>IF($B63="","",IF($BF63=0,0,$BP63))</f>
      </c>
      <c r="X63" s="7">
        <f>IF($B63="","",SUM($E63:$K63)+$P63+$Q63+$R63+$S63+$T63+$U63+$V63+$W63)</f>
      </c>
      <c r="Y63" s="22">
        <f>IF($B63="","",$C63+$D63-$X63)</f>
      </c>
      <c r="Z63" s="7">
        <f>IF($B63="","",$Z62+$C63+$D63)</f>
      </c>
      <c r="AA63" s="7">
        <f>IF($B63="","",$AA62+$Y63)</f>
      </c>
      <c r="AB63" s="7">
        <f>IF($B63="","",$AB62+MIN($N63,MAX(0,'Methodology &amp; Sources'!$C$3-($AX63+$AB62-$AW63))))</f>
      </c>
      <c r="AC63" s="7">
        <f>IF($B63="","",$AC62+$E63+$F63)</f>
      </c>
      <c r="AD63" s="3">
        <f>IF($B63="","",IF(AND($AB62&lt;'Methodology &amp; Sources'!$C$3,$AB63&gt;='Methodology &amp; Sources'!$C$3),"★ Social Security maxed on this check — from the next check your net rises by about $"&amp;TEXT(ROUND('Methodology &amp; Sources'!$C$4*$N63,2),"#,##0.00")&amp;". ","")&amp;IF(AND($AC62&lt;'Inputs 2'!$C$34,$AC63&gt;='Inputs 2'!$C$34),"★ 401(k) reaches the $"&amp;TEXT('Inputs 2'!$C$34,"#,##0")&amp;" cap on this check — deferrals stop and net pay rises. ","")&amp;IF(AND($AG62&lt;'Methodology &amp; Sources'!$C$7,$AG63&gt;='Methodology &amp; Sources'!$C$7),"★ Wages pass $200,000 — the 0.9% Additional Medicare Tax starts here. ","")&amp;IF(AND($BJ63&gt;0,$H63&gt;0,$BG62&lt;MIN($BJ63,'Methodology &amp; Sources'!$C$13),$BG62+$H63&gt;=MIN($BJ63,'Methodology &amp; Sources'!$C$13)),"★ Health FSA election is now fully deferred for the year. ",""))</f>
      </c>
      <c r="AE63" s="41" t="n"/>
      <c r="AF63" s="7">
        <f>IF(OR($B63="",$AE63=""),"",$AE63-$Y63)</f>
      </c>
      <c r="AG63" s="7">
        <f>IF($B63="","",$AG62+$N63)</f>
      </c>
      <c r="AH63" s="7">
        <f>IF($B63="","",MAX(0,($M63-$D63)*'Inputs 2'!$C$8+$AP63-$AQ63-IF('Inputs 2'!$C$13,0,IF('Inputs 2'!$C$12="MFJ",'Methodology &amp; Sources'!$C$8,'Methodology &amp; Sources'!$C$9))))</f>
      </c>
      <c r="AI63" s="7">
        <f>IF($B63="","",$O63*'Inputs 2'!$C$8)</f>
      </c>
      <c r="AJ63" s="7">
        <f>IF($B63="","",MAX(0,$AI63-VLOOKUP($AN63,StateTables!$A$6:$AB$56,12,FALSE)*$AT63-IF(($AS63+$AT63)&gt;=2,VLOOKUP($AN63,StateTables!$A$6:$AB$56,8,FALSE),VLOOKUP($AN63,StateTables!$A$6:$AB$56,7,FALSE))))</f>
      </c>
      <c r="AK63" s="7">
        <f>IF($B63="","",IFERROR(LOOKUP(2,1/(('Events 2'!$C$6:$C$17="Salary change")*('Events 2'!$B$6:$B$17&lt;=$B63)*('Events 2'!$B$6:$B$17&lt;&gt;"")),'Events 2'!$D$6:$D$17),IF('Inputs 2'!$C$4="Annual salary",'Inputs 2'!$C$5,'Inputs 2'!$C$6)))</f>
      </c>
      <c r="AL63">
        <f>IF($B63="","",IFERROR(LOOKUP(2,1/(('Events 2'!$C$6:$C$17="401(k) change")*('Events 2'!$B$6:$B$17&lt;=$B63)*('Events 2'!$B$6:$B$17&lt;&gt;"")),'Events 2'!$D$6:$D$17),'Inputs 2'!$C$30))</f>
      </c>
      <c r="AM63" s="7">
        <f>IF($B63="","",IFERROR(LOOKUP(2,1/(('Events 2'!$C$6:$C$17="401(k) change")*('Events 2'!$B$6:$B$17&lt;=$B63)*('Events 2'!$B$6:$B$17&lt;&gt;"")),'Events 2'!$E$6:$E$17),'Inputs 2'!$D$30))</f>
      </c>
      <c r="AN63">
        <f>IF($B63="","",IFERROR(LOOKUP(2,1/(('Events 2'!$C$6:$C$17="State move")*('Events 2'!$B$6:$B$17&lt;=$B63)*('Events 2'!$B$6:$B$17&lt;&gt;"")),'Events 2'!$D$6:$D$17),'Inputs 2'!$C$21))</f>
      </c>
      <c r="AO63" s="7">
        <f>IF($B63="","",IFERROR(LOOKUP(2,1/(('Events 2'!$C$6:$C$17="W-4 change")*('Events 2'!$B$6:$B$17&lt;=$B63)*('Events 2'!$B$6:$B$17&lt;&gt;"")),'Events 2'!$D$6:$D$17),'Inputs 2'!$C$14))</f>
      </c>
      <c r="AP63" s="7">
        <f>IF($B63="","",IFERROR(LOOKUP(2,1/(('Events 2'!$C$6:$C$17="W-4 change")*('Events 2'!$B$6:$B$17&lt;=$B63)*('Events 2'!$B$6:$B$17&lt;&gt;"")),'Events 2'!$E$6:$E$17),'Inputs 2'!$C$15))</f>
      </c>
      <c r="AQ63" s="7">
        <f>IF($B63="","",IFERROR(LOOKUP(2,1/(('Events 2'!$C$6:$C$17="W-4 change")*('Events 2'!$B$6:$B$17&lt;=$B63)*('Events 2'!$B$6:$B$17&lt;&gt;"")),'Events 2'!$F$6:$F$17),'Inputs 2'!$C$16))</f>
      </c>
      <c r="AR63" s="7">
        <f>IF($B63="","",IFERROR(LOOKUP(2,1/(('Events 2'!$C$6:$C$17="W-4 change")*('Events 2'!$B$6:$B$17&lt;=$B63)*('Events 2'!$B$6:$B$17&lt;&gt;"")),'Events 2'!$G$6:$G$17),'Inputs 2'!$C$17))</f>
      </c>
      <c r="AS63" s="6">
        <f>IF($B63="","",IFERROR(LOOKUP(2,1/((('Events 2'!$C$6:$C$17="State move")+('Events 2'!$C$6:$C$17="State cert change"))*('Events 2'!$B$6:$B$17&lt;=$B63)*('Events 2'!$B$6:$B$17&lt;&gt;"")),'Events 2'!$F$6:$F$17),'Inputs 2'!$C$23))</f>
      </c>
      <c r="AT63" s="6">
        <f>IF($B63="","",IFERROR(LOOKUP(2,1/((('Events 2'!$C$6:$C$17="State move")+('Events 2'!$C$6:$C$17="State cert change"))*('Events 2'!$B$6:$B$17&lt;=$B63)*('Events 2'!$B$6:$B$17&lt;&gt;"")),'Events 2'!$G$6:$G$17),'Inputs 2'!$C$24))</f>
      </c>
      <c r="AU63">
        <f>IF($B63="","",IFERROR(LOOKUP(2,1/(('Events 2'!$C$6:$C$17="State move")*('Events 2'!$B$6:$B$17&lt;=$B63)*('Events 2'!$B$6:$B$17&lt;&gt;"")),'Events 2'!$E$6:$E$17),'Inputs 2'!$C$22))</f>
      </c>
      <c r="AV63" s="6">
        <f>IF($B63="","",1+COUNTIFS('Events 2'!$C$6:$C$17,"Employer change",'Events 2'!$B$6:$B$17,"&lt;="&amp;$B63,'Events 2'!$B$6:$B$17,"&lt;&gt;"))</f>
      </c>
      <c r="AW63" s="7">
        <f>IF($B63="","",IF($AV63=1,'Inputs 2'!$C$49,IF(IFERROR(MATCH(IFERROR(LOOKUP(2,1/(('Events 2'!$C$6:$C$17="Employer change")*('Events 2'!$B$6:$B$17&lt;=$B63)*('Events 2'!$B$6:$B$17&lt;&gt;"")),'Events 2'!$B$6:$B$17),""),$B$6:$B$68,1),1)&lt;=1,'Inputs 2'!$C$49,INDEX($AB$6:$AB$68,MATCH(IFERROR(LOOKUP(2,1/(('Events 2'!$C$6:$C$17="Employer change")*('Events 2'!$B$6:$B$17&lt;=$B63)*('Events 2'!$B$6:$B$17&lt;&gt;"")),'Events 2'!$B$6:$B$17),""),$B$6:$B$68,1)-1))))</f>
      </c>
      <c r="AX63" s="7">
        <f>IF($B63="","",IF($AV63=1,'Inputs 2'!$C$49,IFERROR(LOOKUP(2,1/(('Events 2'!$C$6:$C$17="Employer change")*('Events 2'!$B$6:$B$17&lt;=$B63)*('Events 2'!$B$6:$B$17&lt;&gt;"")),'Events 2'!$D$6:$D$17),0)))</f>
      </c>
      <c r="AY63" s="7">
        <f>IF($B63="","",($O63-$D63)*'Inputs 2'!$C$8)</f>
      </c>
      <c r="AZ63" s="7">
        <f>IF($B63="","",IF($AN63="AL",MAX(0,$AY63-IF($AU63="Married",IF($AY63&lt;=25999,8500,MAX(5000,8500-175*CEILING(($AY63-25999)/500,1))),IF($AU63="Head of household",IF($AY63&lt;=25999,5200,MAX(2500,5200-135*CEILING(($AY63-25999)/500,1))),IF($AY63&lt;=25999,3000,MAX(2500,3000-25*CEILING(($AY63-25999)/500,1)))))-($P63-'Methodology &amp; Sources'!$C$10*$D63)*'Inputs 2'!$C$8-IF(OR($AU63="Married",$AU63="Head of household"),3000,1500)-$AT63*IF($AY63&lt;=50000,1000,IF($AY63&lt;=100000,500,300))),IF($AN63="AR",IF(MAX(0,$AY63-2470)&lt;97701,INT(MAX(0,$AY63-2470)/100)*100+50,MAX(0,$AY63-2470)),IF($AN63="DE",MAX(0,$AI63-3250),IF($AN63="HI",MAX(0,$AI63-1144*$AS63-4350),IF($AN63="KS",MAX(0,$AI63-(9160*IF($AU63="Married",2,1)+2320*$AT63+IF($AU63="Head of household",2320,0))),IF($AN63="MD",MAX(0,$AI63-3400-3200*$AS63),IF($AN63="MN",MAX(0,$AY63-5300*$AS63),IF($AN63="MO",MAX(0,$AI63-IF($AU63="Head of household",24150,IF($AU63="Married",IF('Inputs 2'!$C$83,16100,32200),16100))),IF($AN63="MT",$AY63,IF($AN63="ND",($C63+$L63)*'Inputs 2'!$C$8,IF($AN63="NE",MAX(0,$AY63-2440*$AS63),IF($AN63="NJ",MAX(0,$AY63-1000*$AS63),IF($AN63="NY",MAX(0,$AY63-(IF($AU63="Married",7950,7400)+1000*$AS63)),IF($AN63="OH",MAX(0,$AY63-650*$AS63),IF($AN63="OK",MAX(0,$AY63-1000*$AS63),IF($AN63="RI",MAX(0,$AI63-1000*$AS63),IF($AN63="SC",MAX(0,$AI63-5000*$AS63-IF($AS63=0,0,MIN(0.1*$AI63,7500))),IF($AN63="VA",MAX(0,$AI63-IF($AU63="Married",17500,8750)-930*$AS63-800*$AT63),IF($AN63="VT",MAX(0,$AI63-5400*$AS63),IF($AN63="WI",MAX(0,$AI63-MAX(0,IF($AU63="Married",9461-0.2*MAX(0,$AI63-25727),6702-0.12*MAX(0,$AI63-17780)))-400*$AS63),IF($AN63="WV",MAX(0,$AI63-2000*$AS63),$AI63))))))))))))))))))))))</f>
      </c>
      <c r="BA63" s="7">
        <f>IF($B63="","",IF($BW63&lt;&gt;"",$BW63,IF($BX63&lt;&gt;"",$BX63,IF($BY63&lt;&gt;"",$BY63,0))))</f>
      </c>
      <c r="BB63" s="7">
        <f>IF($B63="","",IF($AN63="AR",-29*$AS63,IF($AN63="DE",-110*$AS63,IF($AN63="MD",$AZ63*'Inputs 2'!$C$74,IF($AN63="AZ",'Inputs 2'!$C$82*($M63-$D63)*'Inputs 2'!$C$8,IF($AN63="CO",0.044*MAX(0,$AY63-IF($AU63="Married",10000,5000)),IF($AN63="IA",MAX(0,0.038*MAX(0,$AY63-IF($AU63="Head of household",19500,IF($AU63="Married",26000,13000)))-40*$AS63),IF($AN63="ID",0.053*MAX(0,$AY63-IF($AU63="Married",32000,16094)),IF($AN63="IL",0.0495*MAX(0,$AY63-(2925*$AS63+1000*$AT63)),IF($AN63="IN",(0.0295+'Inputs 2'!$C$76)*MAX(0,$AY63-(1000*$AS63+1500*$AT63+3000*'Inputs 2'!$C$86)),IF($AN63="KY",0.035*MAX(0,$AI63-3360),IF($AN63="LA",IF('Inputs 2'!$C$84="0",0.0309*$AI63,0.0309*MAX(0,$AI63-IF('Inputs 2'!$C$84="2",25750,12875))),IF($AN63="MA",0.05*MIN(MAX(0,$AY63-MIN(($BD62+$Q63+$R63+$S63),2000)-IF($AS63=0,0,IF($AS63=1,4400,1000*$AS63+3400))),1107750)+0.09*MAX(0,MAX(0,$AY63-MIN(($BD62+$Q63+$R63+$S63),2000)-IF($AS63=0,0,IF($AS63=1,4400,1000*$AS63+3400)))-1107750)-IF($AU63="Head of household",120,0)-110*'Inputs 2'!$C$75,IF($AN63="MI",0.0425*MAX(0,$AY63-5900*$AS63),IF($AN63="MS",0.04*MAX(0,$AI63-IF($AU63="Head of household",3400,IF($AU63="Married",4600,2300))-'Inputs 2'!$C$85-10000),IF($AN63="OR",IF(OR($AU63="Married",AND($AU63="Single",$AS63&gt;=3)),SUMPRODUCT((MAX(0,$AY63-MIN(($P63-'Methodology &amp; Sources'!$C$10*$D63)*'Inputs 2'!$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Sources'!$B$211:$J$214,0,4))*(MAX(0,$AY63-MIN(($P63-'Methodology &amp; Sources'!$C$10*$D63)*'Inputs 2'!$C$8,IF(OR($AU63="Married",AND($AU63="Single",$AS63&gt;=3)),IF($AY63&lt;250000,8750,IF($AY63&lt;260000,7000,IF($AY63&lt;270000,5250,IF($AY63&lt;280000,3500,IF($AY63&lt;290000,1750,0))))),IF($AY63&lt;125000,8750,IF($AY63&lt;130000,7000,IF($AY63&lt;135000,5250,IF($AY63&lt;140000,3500,IF($AY63&lt;145000,1750,0)))))))-IF(OR($AU63="Married",AND($AU63="Single",$AS63&gt;=3)),5820,2910))-INDEX('Methodology &amp; Sources'!$B$211:$J$214,0,4))*INDEX('Methodology &amp; Sources'!$B$211:$J$214,0,4+2)),SUMPRODUCT((MAX(0,$AY63-MIN(($P63-'Methodology &amp; Sources'!$C$10*$D63)*'Inputs 2'!$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Sources'!$B$211:$J$214,0,1))*(MAX(0,$AY63-MIN(($P63-'Methodology &amp; Sources'!$C$10*$D63)*'Inputs 2'!$C$8,IF(OR($AU63="Married",AND($AU63="Single",$AS63&gt;=3)),IF($AY63&lt;250000,8750,IF($AY63&lt;260000,7000,IF($AY63&lt;270000,5250,IF($AY63&lt;280000,3500,IF($AY63&lt;290000,1750,0))))),IF($AY63&lt;125000,8750,IF($AY63&lt;130000,7000,IF($AY63&lt;135000,5250,IF($AY63&lt;140000,3500,IF($AY63&lt;145000,1750,0)))))))-IF(OR($AU63="Married",AND($AU63="Single",$AS63&gt;=3)),5820,2910))-INDEX('Methodology &amp; Sources'!$B$211:$J$214,0,1))*INDEX('Methodology &amp; Sources'!$B$211:$J$214,0,1+2)))+263-263*IF(IF($AU63="Married",$AY63&gt;200000,$AY63&gt;100000),0,$AS63),IF($AN63="PA",0.0307*(($O63+$E63+$G63)*'Inputs 2'!$C$8),IF($AN63="NY",IF($AU63="Married",IF($AZ63&gt;=2155350,0,IF($AZ63&gt;=1077550,0.48,IF($AZ63&gt;=373200,1.21,IF($AZ63&gt;=323200,0.21,IF($AZ63&gt;=211550,-0.19,IF($AZ63&gt;=157650,-2.8,IF($AZ63&gt;=107650,-0.8,IF($AZ63&gt;=96800,0.05,IF($AZ63&gt;=80650,-0.1,IF($AZ63&gt;=13900,0.4,IF($AZ63&gt;=11700,-0.3,IF($AZ63&gt;=8500,0.5,0)))))))))))),IF($AZ63&gt;=1077550,0,IF($AZ63&gt;=265400,4.29,IF($AZ63&gt;=215400,2.29,IF($AZ63&gt;=157650,2.29,IF($AZ63&gt;=107650,0.29,IF($AZ63&gt;=96800,0.05,IF($AZ63&gt;=80650,-0.1,IF($AZ63&gt;=13900,0.4,IF($AZ63&gt;=11700,-0.3,IF($AZ63&gt;=8500,0.5,0))))))))))),0))))))))))))))))))</f>
      </c>
      <c r="BC63" s="7">
        <f>IF($B63="","",IF($AN63="AL",0.05*$D63,IF($AN63="AR",0.039*$D63,IF($AN63="ID",0.053*$D63,IF($AN63="IN",(0.0295+'Inputs 2'!$C$76)*$D63,IF($AN63="KS",0.05*$D63,IF($AN63="MA",0.09*MIN($D63,MAX(0,MAX(0,$AY63-MIN(($BD62+$Q63+$R63+$S63),2000)-IF($AS63=0,0,IF($AS63=1,4400,1000*$AS63+3400)))+$D63-1107750))+0.05*($D63-MIN($D63,MAX(0,MAX(0,$AY63-MIN(($BD62+$Q63+$R63+$S63),2000)-IF($AS63=0,0,IF($AS63=1,4400,1000*$AS63+3400)))+$D63-1107750))),IF($AN63="MD",(0.065+'Inputs 2'!$C$74)*$D63,IF($AN63="MI",0.0425*$D63,IF($AN63="MN",0.0625*$D63,IF($AN63="MO",0.047*$D63,IF($AN63="MT",0.05*$D63,IF($AN63="ND",0.015*$D63,IF($AN63="NE",0.035*$D63,IF($AN63="NJ",IF('Inputs 2'!$C$77="B",SUMPRODUCT(($D63*'Inputs 2'!$C$8&gt;INDEX('Methodology &amp; Sources'!$B$155:$J$162,0,4))*($D63*'Inputs 2'!$C$8-INDEX('Methodology &amp; Sources'!$B$155:$J$162,0,4))*INDEX('Methodology &amp; Sources'!$B$155:$J$162,0,4+2)),IF('Inputs 2'!$C$77="C",SUMPRODUCT(($D63*'Inputs 2'!$C$8&gt;INDEX('Methodology &amp; Sources'!$B$155:$J$162,0,7))*($D63*'Inputs 2'!$C$8-INDEX('Methodology &amp; Sources'!$B$155:$J$162,0,7))*INDEX('Methodology &amp; Sources'!$B$155:$J$162,0,7+2)),IF('Inputs 2'!$C$77="D",SUMPRODUCT(($D63*'Inputs 2'!$C$8&gt;INDEX('Methodology &amp; Sources'!$B$167:$J$179,0,1))*($D63*'Inputs 2'!$C$8-INDEX('Methodology &amp; Sources'!$B$167:$J$179,0,1))*INDEX('Methodology &amp; Sources'!$B$167:$J$179,0,1+2)),IF('Inputs 2'!$C$77="E",SUMPRODUCT(($D63*'Inputs 2'!$C$8&gt;INDEX('Methodology &amp; Sources'!$B$167:$J$179,0,4))*($D63*'Inputs 2'!$C$8-INDEX('Methodology &amp; Sources'!$B$167:$J$179,0,4))*INDEX('Methodology &amp; Sources'!$B$167:$J$179,0,4+2)),SUMPRODUCT(($D63*'Inputs 2'!$C$8&gt;INDEX('Methodology &amp; Sources'!$B$155:$J$162,0,1))*($D63*'Inputs 2'!$C$8-INDEX('Methodology &amp; Sources'!$B$155:$J$162,0,1))*INDEX('Methodology &amp; Sources'!$B$155:$J$162,0,1+2))))))/'Inputs 2'!$C$8,IF($AN63="NY",0.117*$D63,IF($AN63="OH",0.0275*$D63,IF($AN63="OK",0.045*$D63,IF($AN63="OR",0.08*$D63,IF($AN63="WI",IF($AY63&lt;12760,0.0354,IF($AY63&lt;25520,0.0465,IF($AY63&lt;280950,0.053,0.0765)))*$D63,0))))))))))))))))))))</f>
      </c>
      <c r="BD63" s="7">
        <f>IF($B63="","",$BD62+$Q63+$R63+$S63)</f>
      </c>
      <c r="BE63" s="6">
        <f>IF($B63="",$BE62,$BE62+$BF63)</f>
      </c>
      <c r="BF63" s="6">
        <f>IF($B63="","",IF(AND(IF(YEAR(IF('Inputs 2'!$C$7="Weekly",'Inputs 2'!$C$9+7*(($BE62+1)-1),IF('Inputs 2'!$C$7="Biweekly",'Inputs 2'!$C$9+14*(($BE62+1)-1),IF('Inputs 2'!$C$7="Semimonthly",DATE(YEAR('Inputs 2'!$C$9),MONTH('Inputs 2'!$C$9)+INT((($BE62+1)-1)/2),MIN(DAY('Inputs 2'!$C$9),DAY(EOMONTH(DATE(YEAR('Inputs 2'!$C$9),MONTH('Inputs 2'!$C$9)+INT((($BE62+1)-1)/2),1),0))))+IF(MOD(($BE62+1)-1,2)=1,15,0),EDATE('Inputs 2'!$C$9,($BE62+1)-1)))))&lt;&gt;'Inputs 2'!$C$10,"",IF('Inputs 2'!$C$7="Weekly",'Inputs 2'!$C$9+7*(($BE62+1)-1),IF('Inputs 2'!$C$7="Biweekly",'Inputs 2'!$C$9+14*(($BE62+1)-1),IF('Inputs 2'!$C$7="Semimonthly",DATE(YEAR('Inputs 2'!$C$9),MONTH('Inputs 2'!$C$9)+INT((($BE62+1)-1)/2),MIN(DAY('Inputs 2'!$C$9),DAY(EOMONTH(DATE(YEAR('Inputs 2'!$C$9),MONTH('Inputs 2'!$C$9)+INT((($BE62+1)-1)/2),1),0))))+IF(MOD(($BE62+1)-1,2)=1,15,0),EDATE('Inputs 2'!$C$9,($BE62+1)-1)))))&lt;&gt;"",$B63=IF(YEAR(IF('Inputs 2'!$C$7="Weekly",'Inputs 2'!$C$9+7*(($BE62+1)-1),IF('Inputs 2'!$C$7="Biweekly",'Inputs 2'!$C$9+14*(($BE62+1)-1),IF('Inputs 2'!$C$7="Semimonthly",DATE(YEAR('Inputs 2'!$C$9),MONTH('Inputs 2'!$C$9)+INT((($BE62+1)-1)/2),MIN(DAY('Inputs 2'!$C$9),DAY(EOMONTH(DATE(YEAR('Inputs 2'!$C$9),MONTH('Inputs 2'!$C$9)+INT((($BE62+1)-1)/2),1),0))))+IF(MOD(($BE62+1)-1,2)=1,15,0),EDATE('Inputs 2'!$C$9,($BE62+1)-1)))))&lt;&gt;'Inputs 2'!$C$10,"",IF('Inputs 2'!$C$7="Weekly",'Inputs 2'!$C$9+7*(($BE62+1)-1),IF('Inputs 2'!$C$7="Biweekly",'Inputs 2'!$C$9+14*(($BE62+1)-1),IF('Inputs 2'!$C$7="Semimonthly",DATE(YEAR('Inputs 2'!$C$9),MONTH('Inputs 2'!$C$9)+INT((($BE62+1)-1)/2),MIN(DAY('Inputs 2'!$C$9),DAY(EOMONTH(DATE(YEAR('Inputs 2'!$C$9),MONTH('Inputs 2'!$C$9)+INT((($BE62+1)-1)/2),1),0))))+IF(MOD(($BE62+1)-1,2)=1,15,0),EDATE('Inputs 2'!$C$9,($BE62+1)-1)))))),1,0))</f>
      </c>
      <c r="BG63" s="7">
        <f>IF($B63="","",$BG62+$H63)</f>
      </c>
      <c r="BH63" s="7">
        <f>IF($B63="","",$BH62+$I63)</f>
      </c>
      <c r="BI63" s="7">
        <f>IF($B63="","",$BI62+$G63)</f>
      </c>
      <c r="BJ63" s="7">
        <f>IF($B63="","",IFERROR(LOOKUP(2,1/(((('Events 2'!$C$6:$C$17="Deduction start"))*('Events 2'!$D$6:$D$17="Health FSA"))*('Events 2'!$B$6:$B$17&lt;=$B63)*('Events 2'!$B$6:$B$17&lt;&gt;"")),'Events 2'!$E$6:$E$17),'Inputs 2'!$D$38))</f>
      </c>
      <c r="BK63" s="7">
        <f>IF($B63="","",IFERROR(LOOKUP(2,1/(((('Events 2'!$C$6:$C$17="Deduction start"))*('Events 2'!$D$6:$D$17="Dependent-care FSA"))*('Events 2'!$B$6:$B$17&lt;=$B63)*('Events 2'!$B$6:$B$17&lt;&gt;"")),'Events 2'!$E$6:$E$17),'Inputs 2'!$D$39))</f>
      </c>
      <c r="BL63" s="7">
        <f>IF($B63="","",IFERROR(LOOKUP(2,1/(((('Events 2'!$C$6:$C$17="Deduction start")+('Events 2'!$C$6:$C$17="Deduction stop"))*('Events 2'!$D$6:$D$17="HSA"))*('Events 2'!$B$6:$B$17&lt;=$B63)*('Events 2'!$B$6:$B$17&lt;&gt;"")),'Events 2'!$I$6:$I$17),'Inputs 2'!$D$35))</f>
      </c>
      <c r="BM63" s="7">
        <f>IF($B63="","",IFERROR(LOOKUP(2,1/(((('Events 2'!$C$6:$C$17="Deduction start")+('Events 2'!$C$6:$C$17="Deduction stop"))*('Events 2'!$D$6:$D$17="Premiums"))*('Events 2'!$B$6:$B$17&lt;=$B63)*('Events 2'!$B$6:$B$17&lt;&gt;"")),'Events 2'!$I$6:$I$17),'Inputs 2'!$D$40+'Inputs 2'!$D$41+'Inputs 2'!$D$42))</f>
      </c>
      <c r="BN63" s="7">
        <f>IF($B63="","",IFERROR(LOOKUP(2,1/(((('Events 2'!$C$6:$C$17="Deduction start")+('Events 2'!$C$6:$C$17="Deduction stop"))*('Events 2'!$D$6:$D$17="Commuter"))*('Events 2'!$B$6:$B$17&lt;=$B63)*('Events 2'!$B$6:$B$17&lt;&gt;"")),'Events 2'!$I$6:$I$17),'Inputs 2'!$D$43))</f>
      </c>
      <c r="BO63" s="7">
        <f>IF($B63="","",IFERROR(LOOKUP(2,1/(((('Events 2'!$C$6:$C$17="Deduction start")+('Events 2'!$C$6:$C$17="Deduction stop"))*('Events 2'!$D$6:$D$17="Other pre-tax"))*('Events 2'!$B$6:$B$17&lt;=$B63)*('Events 2'!$B$6:$B$17&lt;&gt;"")),'Events 2'!$I$6:$I$17),'Inputs 2'!$D$44))</f>
      </c>
      <c r="BP63" s="7">
        <f>IF($B63="","",IFERROR(LOOKUP(2,1/(((('Events 2'!$C$6:$C$17="Deduction start")+('Events 2'!$C$6:$C$17="Deduction stop"))*('Events 2'!$D$6:$D$17="Other post-tax"))*('Events 2'!$B$6:$B$17&lt;=$B63)*('Events 2'!$B$6:$B$17&lt;&gt;"")),'Events 2'!$I$6:$I$17),'Inputs 2'!$D$45))</f>
      </c>
      <c r="BQ63" s="6">
        <f>IF($B63="","",IFERROR(LOOKUP(2,1/(((('Events 2'!$C$6:$C$17="Deduction start")+('Events 2'!$C$6:$C$17="Deduction stop"))*('Events 2'!$D$6:$D$17="Health FSA"))*('Events 2'!$B$6:$B$17&lt;=$B63)*('Events 2'!$B$6:$B$17&lt;&gt;"")),'Events 2'!$J$6:$J$17),0))</f>
      </c>
      <c r="BR63" s="6">
        <f>IF($B63="","",IFERROR(LOOKUP(2,1/(((('Events 2'!$C$6:$C$17="Deduction start")+('Events 2'!$C$6:$C$17="Deduction stop"))*('Events 2'!$D$6:$D$17="Dependent-care FSA"))*('Events 2'!$B$6:$B$17&lt;=$B63)*('Events 2'!$B$6:$B$17&lt;&gt;"")),'Events 2'!$J$6:$J$17),0))</f>
      </c>
      <c r="BS63" s="6">
        <f>IF($B63="","",IF(SUMPRODUCT(('Events 2'!$C$6:$C$17="Deduction start")*('Events 2'!$B$6:$B$17&lt;=$B63)*('Events 2'!$B$6:$B$17&lt;&gt;"")*('Events 2'!$D$6:$D$17="Health FSA"))&gt;0,1,0))</f>
      </c>
      <c r="BT63" s="6">
        <f>IF($B63="","",IF(SUMPRODUCT(('Events 2'!$C$6:$C$17="Deduction start")*('Events 2'!$B$6:$B$17&lt;=$B63)*('Events 2'!$B$6:$B$17&lt;&gt;"")*('Events 2'!$D$6:$D$17="Dependent-care FSA"))&gt;0,1,0))</f>
      </c>
      <c r="BU63" s="24">
        <f>IF($B63="","",IF('Inputs 2'!$C$13,SUMPRODUCT(($AH63&gt;=INDEX('Methodology &amp; Sources'!$B$29:$J$36,0,IF('Inputs 2'!$C$12="MFJ",1,IF('Inputs 2'!$C$12="HoH",7,4))))*INDEX('Methodology &amp; Sources'!$B$29:$J$36,0,IF('Inputs 2'!$C$12="MFJ",1,IF('Inputs 2'!$C$12="HoH",7,4))+2)),SUMPRODUCT(($AH63&gt;=INDEX('Methodology &amp; Sources'!$B$19:$J$26,0,IF('Inputs 2'!$C$12="MFJ",1,IF('Inputs 2'!$C$12="HoH",7,4))))*INDEX('Methodology &amp; Sources'!$B$19:$J$26,0,IF('Inputs 2'!$C$12="MFJ",1,IF('Inputs 2'!$C$12="HoH",7,4))+2))))</f>
      </c>
      <c r="BV63" s="24">
        <f>IF($B63="","",IF($BZ63&lt;&gt;"",$BZ63,IF($CA63&lt;&gt;"",$CA63,IF($CB63&lt;&gt;"",$CB63,IF($CC63&lt;&gt;"",$CC63,0)))))</f>
      </c>
      <c r="BW63" s="7">
        <f>IF($B63="","",IF($AN63="MD",IF(OR($AU63="Married",$AU63="Head of household"),SUMPRODUCT(($AZ63&gt;INDEX('Methodology &amp; Sources'!$B$114:$J$120,0,1))*($AZ63-INDEX('Methodology &amp; Sources'!$B$114:$J$120,0,1))*INDEX('Methodology &amp; Sources'!$B$114:$J$120,0,1+2)),SUMPRODUCT(($AZ63&gt;INDEX('Methodology &amp; Sources'!$B$103:$J$109,0,7))*($AZ63-INDEX('Methodology &amp; Sources'!$B$103:$J$109,0,7))*INDEX('Methodology &amp; Sources'!$B$103:$J$109,0,7+2))),IF($AN63="MO",SUMPRODUCT(($AZ63&gt;INDEX('Methodology &amp; Sources'!$B$125:$J$132,0,1))*($AZ63-INDEX('Methodology &amp; Sources'!$B$125:$J$132,0,1))*INDEX('Methodology &amp; Sources'!$B$125:$J$132,0,1+2)),IF($AN63="MT",IF($AU63="Head of household",SUMPRODUCT(($AZ63&gt;INDEX('Methodology &amp; Sources'!$B$137:$J$139,0,1))*($AZ63-INDEX('Methodology &amp; Sources'!$B$137:$J$139,0,1))*INDEX('Methodology &amp; Sources'!$B$137:$J$139,0,1+2)),IF($AU63="Married",SUMPRODUCT(($AZ63&gt;INDEX('Methodology &amp; Sources'!$B$125:$J$132,0,7))*($AZ63-INDEX('Methodology &amp; Sources'!$B$125:$J$132,0,7))*INDEX('Methodology &amp; Sources'!$B$125:$J$132,0,7+2)),SUMPRODUCT(($AZ63&gt;INDEX('Methodology &amp; Sources'!$B$125:$J$132,0,4))*($AZ63-INDEX('Methodology &amp; Sources'!$B$125:$J$132,0,4))*INDEX('Methodology &amp; Sources'!$B$125:$J$132,0,4+2)))),IF($AN63="ND",IF($AU63="Head of household",SUMPRODUCT(($AZ63&gt;INDEX('Methodology &amp; Sources'!$B$144:$J$150,0,1))*($AZ63-INDEX('Methodology &amp; Sources'!$B$144:$J$150,0,1))*INDEX('Methodology &amp; Sources'!$B$144:$J$150,0,1+2)),IF($AU63="Married",SUMPRODUCT(($AZ63&gt;INDEX('Methodology &amp; Sources'!$B$137:$J$139,0,7))*($AZ63-INDEX('Methodology &amp; Sources'!$B$137:$J$139,0,7))*INDEX('Methodology &amp; Sources'!$B$137:$J$139,0,7+2)),SUMPRODUCT(($AZ63&gt;INDEX('Methodology &amp; Sources'!$B$137:$J$139,0,4))*($AZ63-INDEX('Methodology &amp; Sources'!$B$137:$J$139,0,4))*INDEX('Methodology &amp; Sources'!$B$137:$J$139,0,4+2)))),IF($AN63="NJ",IF('Inputs 2'!$C$77="B",SUMPRODUCT(($AZ63&gt;INDEX('Methodology &amp; Sources'!$B$155:$J$162,0,4))*($AZ63-INDEX('Methodology &amp; Sources'!$B$155:$J$162,0,4))*INDEX('Methodology &amp; Sources'!$B$155:$J$162,0,4+2)),IF('Inputs 2'!$C$77="C",SUMPRODUCT(($AZ63&gt;INDEX('Methodology &amp; Sources'!$B$155:$J$162,0,7))*($AZ63-INDEX('Methodology &amp; Sources'!$B$155:$J$162,0,7))*INDEX('Methodology &amp; Sources'!$B$155:$J$162,0,7+2)),IF('Inputs 2'!$C$77="D",SUMPRODUCT(($AZ63&gt;INDEX('Methodology &amp; Sources'!$B$167:$J$179,0,1))*($AZ63-INDEX('Methodology &amp; Sources'!$B$167:$J$179,0,1))*INDEX('Methodology &amp; Sources'!$B$167:$J$179,0,1+2)),IF('Inputs 2'!$C$77="E",SUMPRODUCT(($AZ63&gt;INDEX('Methodology &amp; Sources'!$B$167:$J$179,0,4))*($AZ63-INDEX('Methodology &amp; Sources'!$B$167:$J$179,0,4))*INDEX('Methodology &amp; Sources'!$B$167:$J$179,0,4+2)),SUMPRODUCT(($AZ63&gt;INDEX('Methodology &amp; Sources'!$B$155:$J$162,0,1))*($AZ63-INDEX('Methodology &amp; Sources'!$B$155:$J$162,0,1))*INDEX('Methodology &amp; Sources'!$B$155:$J$162,0,1+2)))))),IF($AN63="NY",IF($AU63="Married",IF($AZ63&gt;=2155350,$AZ63*IF($AZ63&gt;25000000,0.117,IF($AZ63&gt;5000000,0.111,0.1045)),SUMPRODUCT(($AZ63&gt;INDEX('Methodology &amp; Sources'!$B$184:$J$198,0,1))*($AZ63-INDEX('Methodology &amp; Sources'!$B$184:$J$198,0,1))*INDEX('Methodology &amp; Sources'!$B$184:$J$198,0,1+2))),IF($AZ63&gt;=1077550,$AZ63*IF($AZ63&gt;25000000,0.117,IF($AZ63&gt;5000000,0.111,0.1045)),SUMPRODUCT(($AZ63&gt;INDEX('Methodology &amp; Sources'!$B$167:$J$179,0,7))*($AZ63-INDEX('Methodology &amp; Sources'!$B$167:$J$179,0,7))*INDEX('Methodology &amp; Sources'!$B$167:$J$179,0,7+2)))),"")))))))</f>
      </c>
      <c r="BX63" s="7">
        <f>IF($B63="","",IF($AN63="AL",IF(OR($AU63="Married",$AU63="Head of household"),SUMPRODUCT(($AZ63&gt;INDEX('Methodology &amp; Sources'!$B$82:$J$86,0,4))*($AZ63-INDEX('Methodology &amp; Sources'!$B$82:$J$86,0,4))*INDEX('Methodology &amp; Sources'!$B$82:$J$86,0,4+2)),SUMPRODUCT(($AZ63&gt;INDEX('Methodology &amp; Sources'!$B$82:$J$86,0,1))*($AZ63-INDEX('Methodology &amp; Sources'!$B$82:$J$86,0,1))*INDEX('Methodology &amp; Sources'!$B$82:$J$86,0,1+2))),IF($AN63="KS",IF($AU63="Married",SUMPRODUCT(($AZ63&gt;INDEX('Methodology &amp; Sources'!$B$103:$J$109,0,4))*($AZ63-INDEX('Methodology &amp; Sources'!$B$103:$J$109,0,4))*INDEX('Methodology &amp; Sources'!$B$103:$J$109,0,4+2)),SUMPRODUCT(($AZ63&gt;INDEX('Methodology &amp; Sources'!$B$103:$J$109,0,1))*($AZ63-INDEX('Methodology &amp; Sources'!$B$103:$J$109,0,1))*INDEX('Methodology &amp; Sources'!$B$103:$J$109,0,1+2))),IF($AN63="MN",IF($AU63="Married",SUMPRODUCT(($AZ63&gt;INDEX('Methodology &amp; Sources'!$B$114:$J$120,0,7))*($AZ63-INDEX('Methodology &amp; Sources'!$B$114:$J$120,0,7))*INDEX('Methodology &amp; Sources'!$B$114:$J$120,0,7+2)),SUMPRODUCT(($AZ63&gt;INDEX('Methodology &amp; Sources'!$B$114:$J$120,0,4))*($AZ63-INDEX('Methodology &amp; Sources'!$B$114:$J$120,0,4))*INDEX('Methodology &amp; Sources'!$B$114:$J$120,0,4+2))),IF($AN63="NE",MAX(IF($AU63="Married",SUMPRODUCT(($AZ63&gt;INDEX('Methodology &amp; Sources'!$B$144:$J$150,0,7))*($AZ63-INDEX('Methodology &amp; Sources'!$B$144:$J$150,0,7))*INDEX('Methodology &amp; Sources'!$B$144:$J$150,0,7+2)),SUMPRODUCT(($AZ63&gt;INDEX('Methodology &amp; Sources'!$B$144:$J$150,0,4))*($AZ63-INDEX('Methodology &amp; Sources'!$B$144:$J$150,0,4))*INDEX('Methodology &amp; Sources'!$B$144:$J$150,0,4+2))),0.015*$AZ63),IF($AN63="OH",IF($B63&gt;=DATE(2027,8,1),SUMPRODUCT(($AZ63&gt;INDEX('Methodology &amp; Sources'!$B$203:$J$206,0,1))*($AZ63-INDEX('Methodology &amp; Sources'!$B$203:$J$206,0,1))*INDEX('Methodology &amp; Sources'!$B$203:$J$206,0,1+2)),SUMPRODUCT(($AZ63&gt;INDEX('Methodology &amp; Sources'!$B$184:$J$198,0,7))*($AZ63-INDEX('Methodology &amp; Sources'!$B$184:$J$198,0,7))*INDEX('Methodology &amp; Sources'!$B$184:$J$198,0,7+2))),IF($AN63="OK",IF($AU63="Married",SUMPRODUCT(($AZ63&gt;INDEX('Methodology &amp; Sources'!$B$203:$J$206,0,7))*($AZ63-INDEX('Methodology &amp; Sources'!$B$203:$J$206,0,7))*INDEX('Methodology &amp; Sources'!$B$203:$J$206,0,7+2)),SUMPRODUCT(($AZ63&gt;INDEX('Methodology &amp; Sources'!$B$203:$J$206,0,4))*($AZ63-INDEX('Methodology &amp; Sources'!$B$203:$J$206,0,4))*INDEX('Methodology &amp; Sources'!$B$203:$J$206,0,4+2))),IF($AN63="RI",SUMPRODUCT(($AZ63&gt;INDEX('Methodology &amp; Sources'!$B$211:$J$214,0,7))*($AZ63-INDEX('Methodology &amp; Sources'!$B$211:$J$214,0,7))*INDEX('Methodology &amp; Sources'!$B$211:$J$214,0,7+2)),IF($AN63="VT",IF($AU63="Married",SUMPRODUCT(($AZ63&gt;INDEX('Methodology &amp; Sources'!$B$228:$J$232,0,1))*($AZ63-INDEX('Methodology &amp; Sources'!$B$228:$J$232,0,1))*INDEX('Methodology &amp; Sources'!$B$228:$J$232,0,1+2)),SUMPRODUCT(($AZ63&gt;INDEX('Methodology &amp; Sources'!$B$219:$J$223,0,7))*($AZ63-INDEX('Methodology &amp; Sources'!$B$219:$J$223,0,7))*INDEX('Methodology &amp; Sources'!$B$219:$J$223,0,7+2))),IF($AN63="WV",IF($AU63="Married",SUMPRODUCT(($AZ63&gt;INDEX('Methodology &amp; Sources'!$B$237:$J$241,0,7))*($AZ63-INDEX('Methodology &amp; Sources'!$B$237:$J$241,0,7))*INDEX('Methodology &amp; Sources'!$B$237:$J$241,0,7+2)),SUMPRODUCT(($AZ63&gt;INDEX('Methodology &amp; Sources'!$B$228:$J$232,0,7))*($AZ63-INDEX('Methodology &amp; Sources'!$B$228:$J$232,0,7))*INDEX('Methodology &amp; Sources'!$B$228:$J$232,0,7+2))),""))))))))))</f>
      </c>
      <c r="BY63" s="7">
        <f>IF($B63="","",IF($AN63="AR",SUMPRODUCT(($AZ63&gt;INDEX('Methodology &amp; Sources'!$B$82:$J$86,0,7))*($AZ63-INDEX('Methodology &amp; Sources'!$B$82:$J$86,0,7))*INDEX('Methodology &amp; Sources'!$B$82:$J$86,0,7+2)),IF($AN63="DE",SUMPRODUCT(($AZ63&gt;INDEX('Methodology &amp; Sources'!$B$91:$J$98,0,1))*($AZ63-INDEX('Methodology &amp; Sources'!$B$91:$J$98,0,1))*INDEX('Methodology &amp; Sources'!$B$91:$J$98,0,1+2)),IF($AN63="HI",IF($AU63="Married",SUMPRODUCT(($AZ63&gt;INDEX('Methodology &amp; Sources'!$B$91:$J$98,0,7))*($AZ63-INDEX('Methodology &amp; Sources'!$B$91:$J$98,0,7))*INDEX('Methodology &amp; Sources'!$B$91:$J$98,0,7+2)),SUMPRODUCT(($AZ63&gt;INDEX('Methodology &amp; Sources'!$B$91:$J$98,0,4))*($AZ63-INDEX('Methodology &amp; Sources'!$B$91:$J$98,0,4))*INDEX('Methodology &amp; Sources'!$B$91:$J$98,0,4+2))),IF($AN63="SC",SUMPRODUCT(($AZ63&gt;INDEX('Methodology &amp; Sources'!$B$219:$J$223,0,1))*($AZ63-INDEX('Methodology &amp; Sources'!$B$219:$J$223,0,1))*INDEX('Methodology &amp; Sources'!$B$219:$J$223,0,1+2)),IF($AN63="VA",SUMPRODUCT(($AZ63&gt;INDEX('Methodology &amp; Sources'!$B$219:$J$223,0,4))*($AZ63-INDEX('Methodology &amp; Sources'!$B$219:$J$223,0,4))*INDEX('Methodology &amp; Sources'!$B$219:$J$223,0,4+2)),IF($AN63="WI",SUMPRODUCT(($AZ63&gt;INDEX('Methodology &amp; Sources'!$B$228:$J$232,0,4))*($AZ63-INDEX('Methodology &amp; Sources'!$B$228:$J$232,0,4))*INDEX('Methodology &amp; Sources'!$B$228:$J$232,0,4+2)),"")))))))</f>
      </c>
      <c r="BZ63" s="24">
        <f>IF($B63="","",IF($AN63="NJ",IF('Inputs 2'!$C$77="B",SUMPRODUCT(($AZ63&gt;=INDEX('Methodology &amp; Sources'!$B$155:$J$162,0,4))*INDEX('Methodology &amp; Sources'!$B$155:$J$162,0,4+2)),IF('Inputs 2'!$C$77="C",SUMPRODUCT(($AZ63&gt;=INDEX('Methodology &amp; Sources'!$B$155:$J$162,0,7))*INDEX('Methodology &amp; Sources'!$B$155:$J$162,0,7+2)),IF('Inputs 2'!$C$77="D",SUMPRODUCT(($AZ63&gt;=INDEX('Methodology &amp; Sources'!$B$167:$J$179,0,1))*INDEX('Methodology &amp; Sources'!$B$167:$J$179,0,1+2)),IF('Inputs 2'!$C$77="E",SUMPRODUCT(($AZ63&gt;=INDEX('Methodology &amp; Sources'!$B$167:$J$179,0,4))*INDEX('Methodology &amp; Sources'!$B$167:$J$179,0,4+2)),SUMPRODUCT(($AZ63&gt;=INDEX('Methodology &amp; Sources'!$B$155:$J$162,0,1))*INDEX('Methodology &amp; Sources'!$B$155:$J$162,0,1+2)))))),IF($AN63="OR",IF(OR($AU63="Married",AND($AU63="Single",$AS63&gt;=3)),SUMPRODUCT((MAX(0,$AY63-MIN(($P63-'Methodology &amp; Sources'!$C$10*$D63)*'Inputs 2'!$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Sources'!$B$211:$J$214,0,4))*INDEX('Methodology &amp; Sources'!$B$211:$J$214,0,4+2)),SUMPRODUCT((MAX(0,$AY63-MIN(($P63-'Methodology &amp; Sources'!$C$10*$D63)*'Inputs 2'!$C$8,IF(OR($AU63="Married",AND($AU63="Single",$AS63&gt;=3)),IF($AY63&lt;250000,8750,IF($AY63&lt;260000,7000,IF($AY63&lt;270000,5250,IF($AY63&lt;280000,3500,IF($AY63&lt;290000,1750,0))))),IF($AY63&lt;125000,8750,IF($AY63&lt;130000,7000,IF($AY63&lt;135000,5250,IF($AY63&lt;140000,3500,IF($AY63&lt;145000,1750,0)))))))-IF(OR($AU63="Married",AND($AU63="Single",$AS63&gt;=3)),5820,2910))&gt;=INDEX('Methodology &amp; Sources'!$B$211:$J$214,0,1))*INDEX('Methodology &amp; Sources'!$B$211:$J$214,0,1+2)))*IF(($P63-'Methodology &amp; Sources'!$C$10*$D63)*'Inputs 2'!$C$8&gt;=IF(OR($AU63="Married",AND($AU63="Single",$AS63&gt;=3)),IF($AY63&lt;250000,8750,IF($AY63&lt;260000,7000,IF($AY63&lt;270000,5250,IF($AY63&lt;280000,3500,IF($AY63&lt;290000,1750,0))))),IF($AY63&lt;125000,8750,IF($AY63&lt;130000,7000,IF($AY63&lt;135000,5250,IF($AY63&lt;140000,3500,IF($AY63&lt;145000,1750,0)))))),1,1-IF('Inputs 2'!$C$13,SUMPRODUCT(($AH63&gt;=INDEX('Methodology &amp; Sources'!$B$29:$J$36,0,IF('Inputs 2'!$C$12="MFJ",1,IF('Inputs 2'!$C$12="HoH",7,4))))*INDEX('Methodology &amp; Sources'!$B$29:$J$36,0,IF('Inputs 2'!$C$12="MFJ",1,IF('Inputs 2'!$C$12="HoH",7,4))+2)),SUMPRODUCT(($AH63&gt;=INDEX('Methodology &amp; Sources'!$B$19:$J$26,0,IF('Inputs 2'!$C$12="MFJ",1,IF('Inputs 2'!$C$12="HoH",7,4))))*INDEX('Methodology &amp; Sources'!$B$19:$J$26,0,IF('Inputs 2'!$C$12="MFJ",1,IF('Inputs 2'!$C$12="HoH",7,4))+2)))),IF($AN63="MI",IF($AY63&gt;5900*$AS63,0.0425,0),""))))</f>
      </c>
      <c r="CA63" s="24">
        <f>IF($B63="","",IF($AN63="AL",IF(OR($AU63="Married",$AU63="Head of household"),SUMPRODUCT(($AZ63&gt;=INDEX('Methodology &amp; Sources'!$B$82:$J$86,0,4))*INDEX('Methodology &amp; Sources'!$B$82:$J$86,0,4+2)),SUMPRODUCT(($AZ63&gt;=INDEX('Methodology &amp; Sources'!$B$82:$J$86,0,1))*INDEX('Methodology &amp; Sources'!$B$82:$J$86,0,1+2)))*(1-IF('Inputs 2'!$C$13,SUMPRODUCT(($AH63&gt;=INDEX('Methodology &amp; Sources'!$B$29:$J$36,0,IF('Inputs 2'!$C$12="MFJ",1,IF('Inputs 2'!$C$12="HoH",7,4))))*INDEX('Methodology &amp; Sources'!$B$29:$J$36,0,IF('Inputs 2'!$C$12="MFJ",1,IF('Inputs 2'!$C$12="HoH",7,4))+2)),SUMPRODUCT(($AH63&gt;=INDEX('Methodology &amp; Sources'!$B$19:$J$26,0,IF('Inputs 2'!$C$12="MFJ",1,IF('Inputs 2'!$C$12="HoH",7,4))))*INDEX('Methodology &amp; Sources'!$B$19:$J$26,0,IF('Inputs 2'!$C$12="MFJ",1,IF('Inputs 2'!$C$12="HoH",7,4))+2)))),IF($AN63="KS",IF($AU63="Married",SUMPRODUCT(($AZ63&gt;=INDEX('Methodology &amp; Sources'!$B$103:$J$109,0,4))*INDEX('Methodology &amp; Sources'!$B$103:$J$109,0,4+2)),SUMPRODUCT(($AZ63&gt;=INDEX('Methodology &amp; Sources'!$B$103:$J$109,0,1))*INDEX('Methodology &amp; Sources'!$B$103:$J$109,0,1+2))),IF($AN63="MD",IF(OR($AU63="Married",$AU63="Head of household"),SUMPRODUCT(($AZ63&gt;=INDEX('Methodology &amp; Sources'!$B$114:$J$120,0,1))*INDEX('Methodology &amp; Sources'!$B$114:$J$120,0,1+2)),SUMPRODUCT(($AZ63&gt;=INDEX('Methodology &amp; Sources'!$B$103:$J$109,0,7))*INDEX('Methodology &amp; Sources'!$B$103:$J$109,0,7+2)))+'Inputs 2'!$C$74,IF($AN63="MT",IF($AU63="Head of household",SUMPRODUCT(($AZ63&gt;=INDEX('Methodology &amp; Sources'!$B$137:$J$139,0,1))*INDEX('Methodology &amp; Sources'!$B$137:$J$139,0,1+2)),IF($AU63="Married",SUMPRODUCT(($AZ63&gt;=INDEX('Methodology &amp; Sources'!$B$125:$J$132,0,7))*INDEX('Methodology &amp; Sources'!$B$125:$J$132,0,7+2)),SUMPRODUCT(($AZ63&gt;=INDEX('Methodology &amp; Sources'!$B$125:$J$132,0,4))*INDEX('Methodology &amp; Sources'!$B$125:$J$132,0,4+2)))),IF($AN63="ND",IF($AU63="Head of household",SUMPRODUCT(($AZ63&gt;=INDEX('Methodology &amp; Sources'!$B$144:$J$150,0,1))*INDEX('Methodology &amp; Sources'!$B$144:$J$150,0,1+2)),IF($AU63="Married",SUMPRODUCT(($AZ63&gt;=INDEX('Methodology &amp; Sources'!$B$137:$J$139,0,7))*INDEX('Methodology &amp; Sources'!$B$137:$J$139,0,7+2)),SUMPRODUCT(($AZ63&gt;=INDEX('Methodology &amp; Sources'!$B$137:$J$139,0,4))*INDEX('Methodology &amp; Sources'!$B$137:$J$139,0,4+2)))),IF($AN63="NY",IF($AU63="Married",IF($AZ63&gt;=2155350,IF($AZ63&gt;25000000,0.117,IF($AZ63&gt;5000000,0.111,0.1045)),SUMPRODUCT(($AZ63&gt;=INDEX('Methodology &amp; Sources'!$B$184:$J$198,0,1))*INDEX('Methodology &amp; Sources'!$B$184:$J$198,0,1+2))),IF($AZ63&gt;=1077550,IF($AZ63&gt;25000000,0.117,IF($AZ63&gt;5000000,0.111,0.1045)),SUMPRODUCT(($AZ63&gt;=INDEX('Methodology &amp; Sources'!$B$167:$J$179,0,7))*INDEX('Methodology &amp; Sources'!$B$167:$J$179,0,7+2)))),"")))))))</f>
      </c>
      <c r="CB63" s="24">
        <f>IF($B63="","",IF($AN63="CA",SUMPRODUCT(($AJ63&gt;=INDEX('Methodology &amp; Sources'!$B$39:$J$48,0,IF($AU63="Married",4,IF($AU63="Head of household",7,1))))*INDEX('Methodology &amp; Sources'!$B$39:$J$48,0,IF($AU63="Married",4,IF($AU63="Head of household",7,1))+2)),IF($AN63="HI",IF($AU63="Married",SUMPRODUCT(($AZ63&gt;=INDEX('Methodology &amp; Sources'!$B$91:$J$98,0,7))*INDEX('Methodology &amp; Sources'!$B$91:$J$98,0,7+2)),SUMPRODUCT(($AZ63&gt;=INDEX('Methodology &amp; Sources'!$B$91:$J$98,0,4))*INDEX('Methodology &amp; Sources'!$B$91:$J$98,0,4+2))),IF($AN63="MN",IF($AU63="Married",SUMPRODUCT(($AZ63&gt;=INDEX('Methodology &amp; Sources'!$B$114:$J$120,0,7))*INDEX('Methodology &amp; Sources'!$B$114:$J$120,0,7+2)),SUMPRODUCT(($AZ63&gt;=INDEX('Methodology &amp; Sources'!$B$114:$J$120,0,4))*INDEX('Methodology &amp; Sources'!$B$114:$J$120,0,4+2))),IF($AN63="MO",SUMPRODUCT(($AZ63&gt;=INDEX('Methodology &amp; Sources'!$B$125:$J$132,0,1))*INDEX('Methodology &amp; Sources'!$B$125:$J$132,0,1+2)),IF($AN63="NE",MAX(IF($AU63="Married",SUMPRODUCT(($AZ63&gt;=INDEX('Methodology &amp; Sources'!$B$144:$J$150,0,7))*INDEX('Methodology &amp; Sources'!$B$144:$J$150,0,7+2)),SUMPRODUCT(($AZ63&gt;=INDEX('Methodology &amp; Sources'!$B$144:$J$150,0,4))*INDEX('Methodology &amp; Sources'!$B$144:$J$150,0,4+2))),0.015),IF($AN63="OH",IF($B63&gt;=DATE(2027,8,1),SUMPRODUCT(($AZ63&gt;=INDEX('Methodology &amp; Sources'!$B$203:$J$206,0,1))*INDEX('Methodology &amp; Sources'!$B$203:$J$206,0,1+2)),SUMPRODUCT(($AZ63&gt;=INDEX('Methodology &amp; Sources'!$B$184:$J$198,0,7))*INDEX('Methodology &amp; Sources'!$B$184:$J$198,0,7+2))),IF($AN63="OK",IF($AU63="Married",SUMPRODUCT(($AZ63&gt;=INDEX('Methodology &amp; Sources'!$B$203:$J$206,0,7))*INDEX('Methodology &amp; Sources'!$B$203:$J$206,0,7+2)),SUMPRODUCT(($AZ63&gt;=INDEX('Methodology &amp; Sources'!$B$203:$J$206,0,4))*INDEX('Methodology &amp; Sources'!$B$203:$J$206,0,4+2))),IF($AN63="RI",SUMPRODUCT(($AZ63&gt;=INDEX('Methodology &amp; Sources'!$B$211:$J$214,0,7))*INDEX('Methodology &amp; Sources'!$B$211:$J$214,0,7+2)),IF($AN63="SC",SUMPRODUCT(($AZ63&gt;=INDEX('Methodology &amp; Sources'!$B$219:$J$223,0,1))*INDEX('Methodology &amp; Sources'!$B$219:$J$223,0,1+2)),IF($AN63="VT",IF($AU63="Married",SUMPRODUCT(($AZ63&gt;=INDEX('Methodology &amp; Sources'!$B$228:$J$232,0,1))*INDEX('Methodology &amp; Sources'!$B$228:$J$232,0,1+2)),SUMPRODUCT(($AZ63&gt;=INDEX('Methodology &amp; Sources'!$B$219:$J$223,0,7))*INDEX('Methodology &amp; Sources'!$B$219:$J$223,0,7+2))),IF($AN63="WV",IF($AU63="Married",SUMPRODUCT(($AZ63&gt;=INDEX('Methodology &amp; Sources'!$B$237:$J$241,0,7))*INDEX('Methodology &amp; Sources'!$B$237:$J$241,0,7+2)),SUMPRODUCT(($AZ63&gt;=INDEX('Methodology &amp; Sources'!$B$228:$J$232,0,7))*INDEX('Methodology &amp; Sources'!$B$228:$J$232,0,7+2))),IF($AN63="IN",(0.0295+'Inputs 2'!$C$76),"")))))))))))))</f>
      </c>
      <c r="CC63" s="24">
        <f>IF($B63="","",IF($AN63="AR",SUMPRODUCT(($AZ63&gt;=INDEX('Methodology &amp; Sources'!$B$82:$J$86,0,7))*INDEX('Methodology &amp; Sources'!$B$82:$J$86,0,7+2)),IF($AN63="DE",SUMPRODUCT(($AZ63&gt;=INDEX('Methodology &amp; Sources'!$B$91:$J$98,0,1))*INDEX('Methodology &amp; Sources'!$B$91:$J$98,0,1+2)),IF($AN63="VA",SUMPRODUCT(($AZ63&gt;=INDEX('Methodology &amp; Sources'!$B$219:$J$223,0,4))*INDEX('Methodology &amp; Sources'!$B$219:$J$223,0,4+2)),IF($AN63="WI",SUMPRODUCT(($AZ63&gt;=INDEX('Methodology &amp; Sources'!$B$228:$J$232,0,4))*INDEX('Methodology &amp; Sources'!$B$228:$J$232,0,4+2)),IF($AN63="AZ",'Inputs 2'!$C$82,IF($AN63="CO",IF($AY63&gt;IF($AU63="Married",10000,5000),0.044,0),IF($AN63="IA",IF($AY63&gt;IF($AU63="Head of household",19500,IF($AU63="Married",26000,13000)),0.038,0),IF($AN63="ID",IF($AY63&gt;IF($AU63="Married",32000,16094),0.053,0),IF($AN63="IL",IF($AY63&gt;(2925*$AS63+1000*$AT63),0.0495,0),IF($AN63="KY",IF($AI63&gt;3360,0.035,0),IF($AN63="LA",0.0309,IF($AN63="MA",IF(MAX(0,$AY63-MIN(($BD62+$Q63+$R63+$S63),2000)-IF($AS63=0,0,IF($AS63=1,4400,1000*$AS63+3400)))&gt;=1107750,0.09,0.05),IF($AN63="MS",IF($AI63-IF($AU63="Head of household",3400,IF($AU63="Married",4600,2300))-'Inputs 2'!$C$85&gt;10000,0.04,0),IF($AN63="PA",0.0307,"")))))))))))))))</f>
      </c>
      <c r="CD63" s="21">
        <f>IF(YEAR(IF('Inputs 2'!$C$7="Weekly",'Inputs 2'!$C$9+7*(($BE62+1)-1),IF('Inputs 2'!$C$7="Biweekly",'Inputs 2'!$C$9+14*(($BE62+1)-1),IF('Inputs 2'!$C$7="Semimonthly",DATE(YEAR('Inputs 2'!$C$9),MONTH('Inputs 2'!$C$9)+INT((($BE62+1)-1)/2),MIN(DAY('Inputs 2'!$C$9),DAY(EOMONTH(DATE(YEAR('Inputs 2'!$C$9),MONTH('Inputs 2'!$C$9)+INT((($BE62+1)-1)/2),1),0))))+IF(MOD(($BE62+1)-1,2)=1,15,0),EDATE('Inputs 2'!$C$9,($BE62+1)-1)))))&lt;&gt;'Inputs 2'!$C$10,"",IF('Inputs 2'!$C$7="Weekly",'Inputs 2'!$C$9+7*(($BE62+1)-1),IF('Inputs 2'!$C$7="Biweekly",'Inputs 2'!$C$9+14*(($BE62+1)-1),IF('Inputs 2'!$C$7="Semimonthly",DATE(YEAR('Inputs 2'!$C$9),MONTH('Inputs 2'!$C$9)+INT((($BE62+1)-1)/2),MIN(DAY('Inputs 2'!$C$9),DAY(EOMONTH(DATE(YEAR('Inputs 2'!$C$9),MONTH('Inputs 2'!$C$9)+INT((($BE62+1)-1)/2),1),0))))+IF(MOD(($BE62+1)-1,2)=1,15,0),EDATE('Inputs 2'!$C$9,($BE62+1)-1)))))</f>
      </c>
      <c r="CE63" s="21">
        <f>IF(SUMPRODUCT(MIN(IF(('Inputs 2'!$C$58:$C$67&gt;MAX($B$6:$B62))*('Inputs 2'!$C$58:$C$67&gt;=DATE('Inputs 2'!$C$10,1,1))*('Inputs 2'!$C$58:$C$67&lt;=DATE('Inputs 2'!$C$10,12,31)),'Inputs 2'!$C$58:$C$67,999999)))=999999,"",SUMPRODUCT(MIN(IF(('Inputs 2'!$C$58:$C$67&gt;MAX($B$6:$B62))*('Inputs 2'!$C$58:$C$67&gt;=DATE('Inputs 2'!$C$10,1,1))*('Inputs 2'!$C$58:$C$67&lt;=DATE('Inputs 2'!$C$10,12,31)),'Inputs 2'!$C$58:$C$67,999999))))</f>
      </c>
    </row>
    <row r="64">
      <c r="A64" t="n">
        <v>59</v>
      </c>
      <c r="B64" s="21">
        <f>IF(AND($CD64="",$CE64=""),"",IF($CE64="",$CD64,IF($CD64="",$CE64,MIN($CD64,$CE64))))</f>
      </c>
      <c r="C64" s="7">
        <f>IF($B64="","",IF($BF64=0,0,IF('Inputs 2'!$C$4="Annual salary",ROUND($AK64/IF(AND('Inputs 2'!$C$88="Actual paydays",MONTH('Inputs 2'!$C$9)=1),MAX(1,MAX($BE$6:$BE$68)),'Inputs 2'!$C$8),2),$AK64)))</f>
      </c>
      <c r="D64" s="7">
        <f>IF($B64="","",SUMIF('Inputs 2'!$C$58:$C$67,$B64,'Inputs 2'!$D$58:$D$67))</f>
      </c>
      <c r="E64" s="7">
        <f>IF($B64="","",ROUND(MAX(0,MIN(IF($AL64="Percent",$AM64*($C64+$D64),$AM64),MAX(0,'Inputs 2'!$C$34-$AC63))),2))</f>
      </c>
      <c r="F64" s="7">
        <f>IF($B64="","",ROUND(MAX(0,MIN(IF('Inputs 2'!$C$32="Percent",'Inputs 2'!$D$32*($C64+$D64),'Inputs 2'!$D$32),MAX(0,'Inputs 2'!$C$34-$AC63-$E64))),2))</f>
      </c>
      <c r="G64" s="7">
        <f>IF($B64="","",IF($BF64=0,0,ROUND(MAX(0,MIN($BL64,'Inputs 2'!$C$37-'Inputs 2'!$C$54-$BI63)),2)))</f>
      </c>
      <c r="H64" s="7">
        <f>IF($B64="","",IF(OR($BF64=0,$BQ64=1),0,ROUND(MAX(0,MIN(IF($BS64=1,ROUND(MAX(0,MIN($BJ64,'Methodology &amp; Sources'!$C$13)-$BG63)/MAX(1,MAX($BE$6:$BE$68)-($BE63)),2),ROUND(MIN($BJ64,'Methodology &amp; Sources'!$C$13)/'Inputs 2'!$C$8,2)),MIN($BJ64,'Methodology &amp; Sources'!$C$13)-$BG63)),2)))</f>
      </c>
      <c r="I64" s="7">
        <f>IF($B64="","",IF(OR($BF64=0,$BR64=1),0,ROUND(MAX(0,MIN(IF($BT64=1,ROUND(MAX(0,MIN($BK64,IF('Inputs 2'!$C$12="MFJ",'Methodology &amp; Sources'!$C$14,'Methodology &amp; Sources'!$C$15))-$BH63)/MAX(1,MAX($BE$6:$BE$68)-($BE63)),2),ROUND(MIN($BK64,IF('Inputs 2'!$C$12="MFJ",'Methodology &amp; Sources'!$C$14,'Methodology &amp; Sources'!$C$15))/'Inputs 2'!$C$8,2)),MIN($BK64,IF('Inputs 2'!$C$12="MFJ",'Methodology &amp; Sources'!$C$14,'Methodology &amp; Sources'!$C$15))-$BH63)),2)))</f>
      </c>
      <c r="J64" s="7">
        <f>IF($B64="","",IF($BF64=0,0,$BM64))</f>
      </c>
      <c r="K64" s="7">
        <f>IF($B64="","",IF($BF64=0,0,$BN64+$BO64))</f>
      </c>
      <c r="L64" s="7">
        <f>IF($B64="","",IF($BF64=0,0,'Inputs 2'!$D$46))</f>
      </c>
      <c r="M64" s="7">
        <f>IF($B64="","",$C64+$D64+$L64-$E64-$G64-$H64-$I64-$J64-$K64)</f>
      </c>
      <c r="N64" s="7">
        <f>IF($B64="","",$C64+$D64+$L64-$G64-$H64-$I64-$J64-$K64)</f>
      </c>
      <c r="O64" s="7">
        <f>IF($B64="","",$C64+$D64+$L64-$E64-$H64-$I64-$J64-$K64-IF(OR($AN64="CA",$AN64="NJ"),0,$G64))</f>
      </c>
      <c r="P64" s="7">
        <f>IF($B64="","",IF('Inputs 2'!$C$18,0,ROUND(MAX(0,IF('Inputs 2'!$C$13,SUMPRODUCT(($AH64&gt;INDEX('Methodology &amp; Sources'!$B$29:$J$36,0,IF('Inputs 2'!$C$12="MFJ",1,IF('Inputs 2'!$C$12="HoH",7,4))))*($AH64-INDEX('Methodology &amp; Sources'!$B$29:$J$36,0,IF('Inputs 2'!$C$12="MFJ",1,IF('Inputs 2'!$C$12="HoH",7,4))))*INDEX('Methodology &amp; Sources'!$B$29:$J$36,0,IF('Inputs 2'!$C$12="MFJ",1,IF('Inputs 2'!$C$12="HoH",7,4))+2)),SUMPRODUCT(($AH64&gt;INDEX('Methodology &amp; Sources'!$B$19:$J$26,0,IF('Inputs 2'!$C$12="MFJ",1,IF('Inputs 2'!$C$12="HoH",7,4))))*($AH64-INDEX('Methodology &amp; Sources'!$B$19:$J$26,0,IF('Inputs 2'!$C$12="MFJ",1,IF('Inputs 2'!$C$12="HoH",7,4))))*INDEX('Methodology &amp; Sources'!$B$19:$J$26,0,IF('Inputs 2'!$C$12="MFJ",1,IF('Inputs 2'!$C$12="HoH",7,4))+2)))/'Inputs 2'!$C$8-$AO64/'Inputs 2'!$C$8)+$AR64+IF('Inputs 2'!$C$89="Aggregate",MAX(0,IF('Inputs 2'!$C$13,SUMPRODUCT((($AH64+$D64)&gt;INDEX('Methodology &amp; Sources'!$B$29:$J$36,0,IF('Inputs 2'!$C$12="MFJ",1,IF('Inputs 2'!$C$12="HoH",7,4))))*(($AH64+$D64)-INDEX('Methodology &amp; Sources'!$B$29:$J$36,0,IF('Inputs 2'!$C$12="MFJ",1,IF('Inputs 2'!$C$12="HoH",7,4))))*INDEX('Methodology &amp; Sources'!$B$29:$J$36,0,IF('Inputs 2'!$C$12="MFJ",1,IF('Inputs 2'!$C$12="HoH",7,4))+2)),SUMPRODUCT((($AH64+$D64)&gt;INDEX('Methodology &amp; Sources'!$B$19:$J$26,0,IF('Inputs 2'!$C$12="MFJ",1,IF('Inputs 2'!$C$12="HoH",7,4))))*(($AH64+$D64)-INDEX('Methodology &amp; Sources'!$B$19:$J$26,0,IF('Inputs 2'!$C$12="MFJ",1,IF('Inputs 2'!$C$12="HoH",7,4))))*INDEX('Methodology &amp; Sources'!$B$19:$J$26,0,IF('Inputs 2'!$C$12="MFJ",1,IF('Inputs 2'!$C$12="HoH",7,4))+2)))-IF('Inputs 2'!$C$13,SUMPRODUCT(($AH64&gt;INDEX('Methodology &amp; Sources'!$B$29:$J$36,0,IF('Inputs 2'!$C$12="MFJ",1,IF('Inputs 2'!$C$12="HoH",7,4))))*($AH64-INDEX('Methodology &amp; Sources'!$B$29:$J$36,0,IF('Inputs 2'!$C$12="MFJ",1,IF('Inputs 2'!$C$12="HoH",7,4))))*INDEX('Methodology &amp; Sources'!$B$29:$J$36,0,IF('Inputs 2'!$C$12="MFJ",1,IF('Inputs 2'!$C$12="HoH",7,4))+2)),SUMPRODUCT(($AH64&gt;INDEX('Methodology &amp; Sources'!$B$19:$J$26,0,IF('Inputs 2'!$C$12="MFJ",1,IF('Inputs 2'!$C$12="HoH",7,4))))*($AH64-INDEX('Methodology &amp; Sources'!$B$19:$J$26,0,IF('Inputs 2'!$C$12="MFJ",1,IF('Inputs 2'!$C$12="HoH",7,4))))*INDEX('Methodology &amp; Sources'!$B$19:$J$26,0,IF('Inputs 2'!$C$12="MFJ",1,IF('Inputs 2'!$C$12="HoH",7,4))+2)))),'Methodology &amp; Sources'!$C$10*$D64),2)))</f>
      </c>
      <c r="Q64" s="7">
        <f>IF($B64="","",ROUND('Methodology &amp; Sources'!$C$4*MIN($N64,MAX(0,'Methodology &amp; Sources'!$C$3-($AX64+$AB63-$AW64))),2))</f>
      </c>
      <c r="R64" s="7">
        <f>IF($B64="","",ROUND('Methodology &amp; Sources'!$C$5*$N64,2))</f>
      </c>
      <c r="S64" s="7">
        <f>IF($B64="","",ROUND('Methodology &amp; Sources'!$C$6*MAX(0,MIN($N64,$AG63+$N64-'Methodology &amp; Sources'!$C$7)),2))</f>
      </c>
      <c r="T64" s="7">
        <f>IF($B64="","",IF('Inputs 2'!$C$26,0,IF($AN64="CA",ROUND(IF($AI64&lt;=IF(($AS64+$AT64)&gt;=2,VLOOKUP($AN64,StateTables!$A$6:$AB$56,10,FALSE),VLOOKUP($AN64,StateTables!$A$6:$AB$56,9,FALSE)),0,MAX(0,SUMPRODUCT(($AJ64&gt;INDEX('Methodology &amp; Sources'!$B$39:$J$48,0,IF($AU64="Married",4,IF($AU64="Head of household",7,1))))*($AJ64-INDEX('Methodology &amp; Sources'!$B$39:$J$48,0,IF($AU64="Married",4,IF($AU64="Head of household",7,1))))*INDEX('Methodology &amp; Sources'!$B$39:$J$48,0,IF($AU64="Married",4,IF($AU64="Head of household",7,1))+2))-VLOOKUP($AN64,StateTables!$A$6:$AB$56,11,FALSE)*$AS64)/'Inputs 2'!$C$8)+'Inputs 2'!$C$25+VLOOKUP($AN64,StateTables!$A$6:$AB$56,13,FALSE)*$D64,2),IF(VLOOKUP($AN64,StateTables!$A$6:$AB$56,4,FALSE)="None",0,IF(ISNUMBER(SEARCH("MANUAL",VLOOKUP($AN64,StateTables!$A$6:$AB$56,5,FALSE))),'Inputs 2'!$C$28,ROUND(MAX(0,$BA64+$BB64)/'Inputs 2'!$C$8+'Inputs 2'!$C$25+$BC64,2))))))</f>
      </c>
      <c r="U64" s="7">
        <f>IF($B64="","",IF(VLOOKUP($AN64,StateTables!$A$6:$AB$56,24,FALSE)="flatq",IF(OR(MONTH($B64)=1,MONTH($B64)=4,MONTH($B64)=7,MONTH($B64)=10),VLOOKUP($AN64,StateTables!$A$6:$AB$56,25,FALSE),0),IF(VLOOKUP($AN64,StateTables!$A$6:$AB$56,24,FALSE)="dbl",MIN(ROUND(0.005*$N64,2),ROUND(0.6*52/'Inputs 2'!$C$8,2)),IF(OR(VLOOKUP($AN64,StateTables!$A$6:$AB$56,15,FALSE)="",VLOOKUP($AN64,StateTables!$A$6:$AB$56,15,FALSE)=0),0,ROUND(VLOOKUP($AN64,StateTables!$A$6:$AB$56,15,FALSE)*IF(OR(VLOOKUP($AN64,StateTables!$A$6:$AB$56,16,FALSE)="",VLOOKUP($AN64,StateTables!$A$6:$AB$56,16,FALSE)=0),$N64,MIN($N64,MAX(0,VLOOKUP($AN64,StateTables!$A$6:$AB$56,16,FALSE)-($AX64+$AB63-$AW64)))),2))))+IF(VLOOKUP($AN64,StateTables!$A$6:$AB$56,27,FALSE)="flatq",IF(OR(MONTH($B64)=1,MONTH($B64)=4,MONTH($B64)=7,MONTH($B64)=10),VLOOKUP($AN64,StateTables!$A$6:$AB$56,28,FALSE),0),IF(VLOOKUP($AN64,StateTables!$A$6:$AB$56,27,FALSE)="dbl",MIN(ROUND(0.005*$N64,2),ROUND(0.6*52/'Inputs 2'!$C$8,2)),IF(OR(VLOOKUP($AN64,StateTables!$A$6:$AB$56,18,FALSE)="",VLOOKUP($AN64,StateTables!$A$6:$AB$56,18,FALSE)=0),0,ROUND(VLOOKUP($AN64,StateTables!$A$6:$AB$56,18,FALSE)*IF(OR(VLOOKUP($AN64,StateTables!$A$6:$AB$56,19,FALSE)="",VLOOKUP($AN64,StateTables!$A$6:$AB$56,19,FALSE)=0),$N64,MIN($N64,MAX(0,VLOOKUP($AN64,StateTables!$A$6:$AB$56,19,FALSE)-($AX64+$AB63-$AW64)))),2)))))</f>
      </c>
      <c r="V64" s="7">
        <f>IF($B64="","",IF($AN64="NY",IF('Inputs 2'!$C$78,ROUND(SUMPRODUCT((MAX(0,($O64-$D64)*'Inputs 2'!$C$8-(IF($AU64="Married",5500,5000)+1000*$AS64))&gt;INDEX('Methodology &amp; Sources'!$B$184:$J$198,0,4))*(MAX(0,($O64-$D64)*'Inputs 2'!$C$8-(IF($AU64="Married",5500,5000)+1000*$AS64))-INDEX('Methodology &amp; Sources'!$B$184:$J$198,0,4))*INDEX('Methodology &amp; Sources'!$B$184:$J$198,0,4+2))/'Inputs 2'!$C$8+0.0425*$D64,2),0)+IF('Inputs 2'!$C$79="Resident",ROUND(0.1675*$T64,2),IF('Inputs 2'!$C$79="Nonresident",ROUND(0.005*MAX(0,($O64-$D64)-(IF($AU64="Married",7950,7400)+1000*$AS64)/'Inputs 2'!$C$8),2),0)),IF($AN64="PA",IF('Inputs 2'!$C$80="None",'Inputs 2'!$C$27+ROUND('Inputs 2'!$C$81*($C64+$D64),2),ROUND(IF('Inputs 2'!$C$80="Resident",IF($B64&lt;DATE(2027,7,1),0.03735,0.03735),IF($B64&lt;DATE(2027,7,1),0.03425,0.03425))*($C64+$D64),2)),IF($BF64=0,ROUND('Inputs 2'!$C$81*($C64+$D64),2),'Inputs 2'!$C$27+ROUND('Inputs 2'!$C$81*($C64+$D64),2)))))</f>
      </c>
      <c r="W64" s="7">
        <f>IF($B64="","",IF($BF64=0,0,$BP64))</f>
      </c>
      <c r="X64" s="7">
        <f>IF($B64="","",SUM($E64:$K64)+$P64+$Q64+$R64+$S64+$T64+$U64+$V64+$W64)</f>
      </c>
      <c r="Y64" s="22">
        <f>IF($B64="","",$C64+$D64-$X64)</f>
      </c>
      <c r="Z64" s="7">
        <f>IF($B64="","",$Z63+$C64+$D64)</f>
      </c>
      <c r="AA64" s="7">
        <f>IF($B64="","",$AA63+$Y64)</f>
      </c>
      <c r="AB64" s="7">
        <f>IF($B64="","",$AB63+MIN($N64,MAX(0,'Methodology &amp; Sources'!$C$3-($AX64+$AB63-$AW64))))</f>
      </c>
      <c r="AC64" s="7">
        <f>IF($B64="","",$AC63+$E64+$F64)</f>
      </c>
      <c r="AD64" s="3">
        <f>IF($B64="","",IF(AND($AB63&lt;'Methodology &amp; Sources'!$C$3,$AB64&gt;='Methodology &amp; Sources'!$C$3),"★ Social Security maxed on this check — from the next check your net rises by about $"&amp;TEXT(ROUND('Methodology &amp; Sources'!$C$4*$N64,2),"#,##0.00")&amp;". ","")&amp;IF(AND($AC63&lt;'Inputs 2'!$C$34,$AC64&gt;='Inputs 2'!$C$34),"★ 401(k) reaches the $"&amp;TEXT('Inputs 2'!$C$34,"#,##0")&amp;" cap on this check — deferrals stop and net pay rises. ","")&amp;IF(AND($AG63&lt;'Methodology &amp; Sources'!$C$7,$AG64&gt;='Methodology &amp; Sources'!$C$7),"★ Wages pass $200,000 — the 0.9% Additional Medicare Tax starts here. ","")&amp;IF(AND($BJ64&gt;0,$H64&gt;0,$BG63&lt;MIN($BJ64,'Methodology &amp; Sources'!$C$13),$BG63+$H64&gt;=MIN($BJ64,'Methodology &amp; Sources'!$C$13)),"★ Health FSA election is now fully deferred for the year. ",""))</f>
      </c>
      <c r="AE64" s="41" t="n"/>
      <c r="AF64" s="7">
        <f>IF(OR($B64="",$AE64=""),"",$AE64-$Y64)</f>
      </c>
      <c r="AG64" s="7">
        <f>IF($B64="","",$AG63+$N64)</f>
      </c>
      <c r="AH64" s="7">
        <f>IF($B64="","",MAX(0,($M64-$D64)*'Inputs 2'!$C$8+$AP64-$AQ64-IF('Inputs 2'!$C$13,0,IF('Inputs 2'!$C$12="MFJ",'Methodology &amp; Sources'!$C$8,'Methodology &amp; Sources'!$C$9))))</f>
      </c>
      <c r="AI64" s="7">
        <f>IF($B64="","",$O64*'Inputs 2'!$C$8)</f>
      </c>
      <c r="AJ64" s="7">
        <f>IF($B64="","",MAX(0,$AI64-VLOOKUP($AN64,StateTables!$A$6:$AB$56,12,FALSE)*$AT64-IF(($AS64+$AT64)&gt;=2,VLOOKUP($AN64,StateTables!$A$6:$AB$56,8,FALSE),VLOOKUP($AN64,StateTables!$A$6:$AB$56,7,FALSE))))</f>
      </c>
      <c r="AK64" s="7">
        <f>IF($B64="","",IFERROR(LOOKUP(2,1/(('Events 2'!$C$6:$C$17="Salary change")*('Events 2'!$B$6:$B$17&lt;=$B64)*('Events 2'!$B$6:$B$17&lt;&gt;"")),'Events 2'!$D$6:$D$17),IF('Inputs 2'!$C$4="Annual salary",'Inputs 2'!$C$5,'Inputs 2'!$C$6)))</f>
      </c>
      <c r="AL64">
        <f>IF($B64="","",IFERROR(LOOKUP(2,1/(('Events 2'!$C$6:$C$17="401(k) change")*('Events 2'!$B$6:$B$17&lt;=$B64)*('Events 2'!$B$6:$B$17&lt;&gt;"")),'Events 2'!$D$6:$D$17),'Inputs 2'!$C$30))</f>
      </c>
      <c r="AM64" s="7">
        <f>IF($B64="","",IFERROR(LOOKUP(2,1/(('Events 2'!$C$6:$C$17="401(k) change")*('Events 2'!$B$6:$B$17&lt;=$B64)*('Events 2'!$B$6:$B$17&lt;&gt;"")),'Events 2'!$E$6:$E$17),'Inputs 2'!$D$30))</f>
      </c>
      <c r="AN64">
        <f>IF($B64="","",IFERROR(LOOKUP(2,1/(('Events 2'!$C$6:$C$17="State move")*('Events 2'!$B$6:$B$17&lt;=$B64)*('Events 2'!$B$6:$B$17&lt;&gt;"")),'Events 2'!$D$6:$D$17),'Inputs 2'!$C$21))</f>
      </c>
      <c r="AO64" s="7">
        <f>IF($B64="","",IFERROR(LOOKUP(2,1/(('Events 2'!$C$6:$C$17="W-4 change")*('Events 2'!$B$6:$B$17&lt;=$B64)*('Events 2'!$B$6:$B$17&lt;&gt;"")),'Events 2'!$D$6:$D$17),'Inputs 2'!$C$14))</f>
      </c>
      <c r="AP64" s="7">
        <f>IF($B64="","",IFERROR(LOOKUP(2,1/(('Events 2'!$C$6:$C$17="W-4 change")*('Events 2'!$B$6:$B$17&lt;=$B64)*('Events 2'!$B$6:$B$17&lt;&gt;"")),'Events 2'!$E$6:$E$17),'Inputs 2'!$C$15))</f>
      </c>
      <c r="AQ64" s="7">
        <f>IF($B64="","",IFERROR(LOOKUP(2,1/(('Events 2'!$C$6:$C$17="W-4 change")*('Events 2'!$B$6:$B$17&lt;=$B64)*('Events 2'!$B$6:$B$17&lt;&gt;"")),'Events 2'!$F$6:$F$17),'Inputs 2'!$C$16))</f>
      </c>
      <c r="AR64" s="7">
        <f>IF($B64="","",IFERROR(LOOKUP(2,1/(('Events 2'!$C$6:$C$17="W-4 change")*('Events 2'!$B$6:$B$17&lt;=$B64)*('Events 2'!$B$6:$B$17&lt;&gt;"")),'Events 2'!$G$6:$G$17),'Inputs 2'!$C$17))</f>
      </c>
      <c r="AS64" s="6">
        <f>IF($B64="","",IFERROR(LOOKUP(2,1/((('Events 2'!$C$6:$C$17="State move")+('Events 2'!$C$6:$C$17="State cert change"))*('Events 2'!$B$6:$B$17&lt;=$B64)*('Events 2'!$B$6:$B$17&lt;&gt;"")),'Events 2'!$F$6:$F$17),'Inputs 2'!$C$23))</f>
      </c>
      <c r="AT64" s="6">
        <f>IF($B64="","",IFERROR(LOOKUP(2,1/((('Events 2'!$C$6:$C$17="State move")+('Events 2'!$C$6:$C$17="State cert change"))*('Events 2'!$B$6:$B$17&lt;=$B64)*('Events 2'!$B$6:$B$17&lt;&gt;"")),'Events 2'!$G$6:$G$17),'Inputs 2'!$C$24))</f>
      </c>
      <c r="AU64">
        <f>IF($B64="","",IFERROR(LOOKUP(2,1/(('Events 2'!$C$6:$C$17="State move")*('Events 2'!$B$6:$B$17&lt;=$B64)*('Events 2'!$B$6:$B$17&lt;&gt;"")),'Events 2'!$E$6:$E$17),'Inputs 2'!$C$22))</f>
      </c>
      <c r="AV64" s="6">
        <f>IF($B64="","",1+COUNTIFS('Events 2'!$C$6:$C$17,"Employer change",'Events 2'!$B$6:$B$17,"&lt;="&amp;$B64,'Events 2'!$B$6:$B$17,"&lt;&gt;"))</f>
      </c>
      <c r="AW64" s="7">
        <f>IF($B64="","",IF($AV64=1,'Inputs 2'!$C$49,IF(IFERROR(MATCH(IFERROR(LOOKUP(2,1/(('Events 2'!$C$6:$C$17="Employer change")*('Events 2'!$B$6:$B$17&lt;=$B64)*('Events 2'!$B$6:$B$17&lt;&gt;"")),'Events 2'!$B$6:$B$17),""),$B$6:$B$68,1),1)&lt;=1,'Inputs 2'!$C$49,INDEX($AB$6:$AB$68,MATCH(IFERROR(LOOKUP(2,1/(('Events 2'!$C$6:$C$17="Employer change")*('Events 2'!$B$6:$B$17&lt;=$B64)*('Events 2'!$B$6:$B$17&lt;&gt;"")),'Events 2'!$B$6:$B$17),""),$B$6:$B$68,1)-1))))</f>
      </c>
      <c r="AX64" s="7">
        <f>IF($B64="","",IF($AV64=1,'Inputs 2'!$C$49,IFERROR(LOOKUP(2,1/(('Events 2'!$C$6:$C$17="Employer change")*('Events 2'!$B$6:$B$17&lt;=$B64)*('Events 2'!$B$6:$B$17&lt;&gt;"")),'Events 2'!$D$6:$D$17),0)))</f>
      </c>
      <c r="AY64" s="7">
        <f>IF($B64="","",($O64-$D64)*'Inputs 2'!$C$8)</f>
      </c>
      <c r="AZ64" s="7">
        <f>IF($B64="","",IF($AN64="AL",MAX(0,$AY64-IF($AU64="Married",IF($AY64&lt;=25999,8500,MAX(5000,8500-175*CEILING(($AY64-25999)/500,1))),IF($AU64="Head of household",IF($AY64&lt;=25999,5200,MAX(2500,5200-135*CEILING(($AY64-25999)/500,1))),IF($AY64&lt;=25999,3000,MAX(2500,3000-25*CEILING(($AY64-25999)/500,1)))))-($P64-'Methodology &amp; Sources'!$C$10*$D64)*'Inputs 2'!$C$8-IF(OR($AU64="Married",$AU64="Head of household"),3000,1500)-$AT64*IF($AY64&lt;=50000,1000,IF($AY64&lt;=100000,500,300))),IF($AN64="AR",IF(MAX(0,$AY64-2470)&lt;97701,INT(MAX(0,$AY64-2470)/100)*100+50,MAX(0,$AY64-2470)),IF($AN64="DE",MAX(0,$AI64-3250),IF($AN64="HI",MAX(0,$AI64-1144*$AS64-4350),IF($AN64="KS",MAX(0,$AI64-(9160*IF($AU64="Married",2,1)+2320*$AT64+IF($AU64="Head of household",2320,0))),IF($AN64="MD",MAX(0,$AI64-3400-3200*$AS64),IF($AN64="MN",MAX(0,$AY64-5300*$AS64),IF($AN64="MO",MAX(0,$AI64-IF($AU64="Head of household",24150,IF($AU64="Married",IF('Inputs 2'!$C$83,16100,32200),16100))),IF($AN64="MT",$AY64,IF($AN64="ND",($C64+$L64)*'Inputs 2'!$C$8,IF($AN64="NE",MAX(0,$AY64-2440*$AS64),IF($AN64="NJ",MAX(0,$AY64-1000*$AS64),IF($AN64="NY",MAX(0,$AY64-(IF($AU64="Married",7950,7400)+1000*$AS64)),IF($AN64="OH",MAX(0,$AY64-650*$AS64),IF($AN64="OK",MAX(0,$AY64-1000*$AS64),IF($AN64="RI",MAX(0,$AI64-1000*$AS64),IF($AN64="SC",MAX(0,$AI64-5000*$AS64-IF($AS64=0,0,MIN(0.1*$AI64,7500))),IF($AN64="VA",MAX(0,$AI64-IF($AU64="Married",17500,8750)-930*$AS64-800*$AT64),IF($AN64="VT",MAX(0,$AI64-5400*$AS64),IF($AN64="WI",MAX(0,$AI64-MAX(0,IF($AU64="Married",9461-0.2*MAX(0,$AI64-25727),6702-0.12*MAX(0,$AI64-17780)))-400*$AS64),IF($AN64="WV",MAX(0,$AI64-2000*$AS64),$AI64))))))))))))))))))))))</f>
      </c>
      <c r="BA64" s="7">
        <f>IF($B64="","",IF($BW64&lt;&gt;"",$BW64,IF($BX64&lt;&gt;"",$BX64,IF($BY64&lt;&gt;"",$BY64,0))))</f>
      </c>
      <c r="BB64" s="7">
        <f>IF($B64="","",IF($AN64="AR",-29*$AS64,IF($AN64="DE",-110*$AS64,IF($AN64="MD",$AZ64*'Inputs 2'!$C$74,IF($AN64="AZ",'Inputs 2'!$C$82*($M64-$D64)*'Inputs 2'!$C$8,IF($AN64="CO",0.044*MAX(0,$AY64-IF($AU64="Married",10000,5000)),IF($AN64="IA",MAX(0,0.038*MAX(0,$AY64-IF($AU64="Head of household",19500,IF($AU64="Married",26000,13000)))-40*$AS64),IF($AN64="ID",0.053*MAX(0,$AY64-IF($AU64="Married",32000,16094)),IF($AN64="IL",0.0495*MAX(0,$AY64-(2925*$AS64+1000*$AT64)),IF($AN64="IN",(0.0295+'Inputs 2'!$C$76)*MAX(0,$AY64-(1000*$AS64+1500*$AT64+3000*'Inputs 2'!$C$86)),IF($AN64="KY",0.035*MAX(0,$AI64-3360),IF($AN64="LA",IF('Inputs 2'!$C$84="0",0.0309*$AI64,0.0309*MAX(0,$AI64-IF('Inputs 2'!$C$84="2",25750,12875))),IF($AN64="MA",0.05*MIN(MAX(0,$AY64-MIN(($BD63+$Q64+$R64+$S64),2000)-IF($AS64=0,0,IF($AS64=1,4400,1000*$AS64+3400))),1107750)+0.09*MAX(0,MAX(0,$AY64-MIN(($BD63+$Q64+$R64+$S64),2000)-IF($AS64=0,0,IF($AS64=1,4400,1000*$AS64+3400)))-1107750)-IF($AU64="Head of household",120,0)-110*'Inputs 2'!$C$75,IF($AN64="MI",0.0425*MAX(0,$AY64-5900*$AS64),IF($AN64="MS",0.04*MAX(0,$AI64-IF($AU64="Head of household",3400,IF($AU64="Married",4600,2300))-'Inputs 2'!$C$85-10000),IF($AN64="OR",IF(OR($AU64="Married",AND($AU64="Single",$AS64&gt;=3)),SUMPRODUCT((MAX(0,$AY64-MIN(($P64-'Methodology &amp; Sources'!$C$10*$D64)*'Inputs 2'!$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Sources'!$B$211:$J$214,0,4))*(MAX(0,$AY64-MIN(($P64-'Methodology &amp; Sources'!$C$10*$D64)*'Inputs 2'!$C$8,IF(OR($AU64="Married",AND($AU64="Single",$AS64&gt;=3)),IF($AY64&lt;250000,8750,IF($AY64&lt;260000,7000,IF($AY64&lt;270000,5250,IF($AY64&lt;280000,3500,IF($AY64&lt;290000,1750,0))))),IF($AY64&lt;125000,8750,IF($AY64&lt;130000,7000,IF($AY64&lt;135000,5250,IF($AY64&lt;140000,3500,IF($AY64&lt;145000,1750,0)))))))-IF(OR($AU64="Married",AND($AU64="Single",$AS64&gt;=3)),5820,2910))-INDEX('Methodology &amp; Sources'!$B$211:$J$214,0,4))*INDEX('Methodology &amp; Sources'!$B$211:$J$214,0,4+2)),SUMPRODUCT((MAX(0,$AY64-MIN(($P64-'Methodology &amp; Sources'!$C$10*$D64)*'Inputs 2'!$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Sources'!$B$211:$J$214,0,1))*(MAX(0,$AY64-MIN(($P64-'Methodology &amp; Sources'!$C$10*$D64)*'Inputs 2'!$C$8,IF(OR($AU64="Married",AND($AU64="Single",$AS64&gt;=3)),IF($AY64&lt;250000,8750,IF($AY64&lt;260000,7000,IF($AY64&lt;270000,5250,IF($AY64&lt;280000,3500,IF($AY64&lt;290000,1750,0))))),IF($AY64&lt;125000,8750,IF($AY64&lt;130000,7000,IF($AY64&lt;135000,5250,IF($AY64&lt;140000,3500,IF($AY64&lt;145000,1750,0)))))))-IF(OR($AU64="Married",AND($AU64="Single",$AS64&gt;=3)),5820,2910))-INDEX('Methodology &amp; Sources'!$B$211:$J$214,0,1))*INDEX('Methodology &amp; Sources'!$B$211:$J$214,0,1+2)))+263-263*IF(IF($AU64="Married",$AY64&gt;200000,$AY64&gt;100000),0,$AS64),IF($AN64="PA",0.0307*(($O64+$E64+$G64)*'Inputs 2'!$C$8),IF($AN64="NY",IF($AU64="Married",IF($AZ64&gt;=2155350,0,IF($AZ64&gt;=1077550,0.48,IF($AZ64&gt;=373200,1.21,IF($AZ64&gt;=323200,0.21,IF($AZ64&gt;=211550,-0.19,IF($AZ64&gt;=157650,-2.8,IF($AZ64&gt;=107650,-0.8,IF($AZ64&gt;=96800,0.05,IF($AZ64&gt;=80650,-0.1,IF($AZ64&gt;=13900,0.4,IF($AZ64&gt;=11700,-0.3,IF($AZ64&gt;=8500,0.5,0)))))))))))),IF($AZ64&gt;=1077550,0,IF($AZ64&gt;=265400,4.29,IF($AZ64&gt;=215400,2.29,IF($AZ64&gt;=157650,2.29,IF($AZ64&gt;=107650,0.29,IF($AZ64&gt;=96800,0.05,IF($AZ64&gt;=80650,-0.1,IF($AZ64&gt;=13900,0.4,IF($AZ64&gt;=11700,-0.3,IF($AZ64&gt;=8500,0.5,0))))))))))),0))))))))))))))))))</f>
      </c>
      <c r="BC64" s="7">
        <f>IF($B64="","",IF($AN64="AL",0.05*$D64,IF($AN64="AR",0.039*$D64,IF($AN64="ID",0.053*$D64,IF($AN64="IN",(0.0295+'Inputs 2'!$C$76)*$D64,IF($AN64="KS",0.05*$D64,IF($AN64="MA",0.09*MIN($D64,MAX(0,MAX(0,$AY64-MIN(($BD63+$Q64+$R64+$S64),2000)-IF($AS64=0,0,IF($AS64=1,4400,1000*$AS64+3400)))+$D64-1107750))+0.05*($D64-MIN($D64,MAX(0,MAX(0,$AY64-MIN(($BD63+$Q64+$R64+$S64),2000)-IF($AS64=0,0,IF($AS64=1,4400,1000*$AS64+3400)))+$D64-1107750))),IF($AN64="MD",(0.065+'Inputs 2'!$C$74)*$D64,IF($AN64="MI",0.0425*$D64,IF($AN64="MN",0.0625*$D64,IF($AN64="MO",0.047*$D64,IF($AN64="MT",0.05*$D64,IF($AN64="ND",0.015*$D64,IF($AN64="NE",0.035*$D64,IF($AN64="NJ",IF('Inputs 2'!$C$77="B",SUMPRODUCT(($D64*'Inputs 2'!$C$8&gt;INDEX('Methodology &amp; Sources'!$B$155:$J$162,0,4))*($D64*'Inputs 2'!$C$8-INDEX('Methodology &amp; Sources'!$B$155:$J$162,0,4))*INDEX('Methodology &amp; Sources'!$B$155:$J$162,0,4+2)),IF('Inputs 2'!$C$77="C",SUMPRODUCT(($D64*'Inputs 2'!$C$8&gt;INDEX('Methodology &amp; Sources'!$B$155:$J$162,0,7))*($D64*'Inputs 2'!$C$8-INDEX('Methodology &amp; Sources'!$B$155:$J$162,0,7))*INDEX('Methodology &amp; Sources'!$B$155:$J$162,0,7+2)),IF('Inputs 2'!$C$77="D",SUMPRODUCT(($D64*'Inputs 2'!$C$8&gt;INDEX('Methodology &amp; Sources'!$B$167:$J$179,0,1))*($D64*'Inputs 2'!$C$8-INDEX('Methodology &amp; Sources'!$B$167:$J$179,0,1))*INDEX('Methodology &amp; Sources'!$B$167:$J$179,0,1+2)),IF('Inputs 2'!$C$77="E",SUMPRODUCT(($D64*'Inputs 2'!$C$8&gt;INDEX('Methodology &amp; Sources'!$B$167:$J$179,0,4))*($D64*'Inputs 2'!$C$8-INDEX('Methodology &amp; Sources'!$B$167:$J$179,0,4))*INDEX('Methodology &amp; Sources'!$B$167:$J$179,0,4+2)),SUMPRODUCT(($D64*'Inputs 2'!$C$8&gt;INDEX('Methodology &amp; Sources'!$B$155:$J$162,0,1))*($D64*'Inputs 2'!$C$8-INDEX('Methodology &amp; Sources'!$B$155:$J$162,0,1))*INDEX('Methodology &amp; Sources'!$B$155:$J$162,0,1+2))))))/'Inputs 2'!$C$8,IF($AN64="NY",0.117*$D64,IF($AN64="OH",0.0275*$D64,IF($AN64="OK",0.045*$D64,IF($AN64="OR",0.08*$D64,IF($AN64="WI",IF($AY64&lt;12760,0.0354,IF($AY64&lt;25520,0.0465,IF($AY64&lt;280950,0.053,0.0765)))*$D64,0))))))))))))))))))))</f>
      </c>
      <c r="BD64" s="7">
        <f>IF($B64="","",$BD63+$Q64+$R64+$S64)</f>
      </c>
      <c r="BE64" s="6">
        <f>IF($B64="",$BE63,$BE63+$BF64)</f>
      </c>
      <c r="BF64" s="6">
        <f>IF($B64="","",IF(AND(IF(YEAR(IF('Inputs 2'!$C$7="Weekly",'Inputs 2'!$C$9+7*(($BE63+1)-1),IF('Inputs 2'!$C$7="Biweekly",'Inputs 2'!$C$9+14*(($BE63+1)-1),IF('Inputs 2'!$C$7="Semimonthly",DATE(YEAR('Inputs 2'!$C$9),MONTH('Inputs 2'!$C$9)+INT((($BE63+1)-1)/2),MIN(DAY('Inputs 2'!$C$9),DAY(EOMONTH(DATE(YEAR('Inputs 2'!$C$9),MONTH('Inputs 2'!$C$9)+INT((($BE63+1)-1)/2),1),0))))+IF(MOD(($BE63+1)-1,2)=1,15,0),EDATE('Inputs 2'!$C$9,($BE63+1)-1)))))&lt;&gt;'Inputs 2'!$C$10,"",IF('Inputs 2'!$C$7="Weekly",'Inputs 2'!$C$9+7*(($BE63+1)-1),IF('Inputs 2'!$C$7="Biweekly",'Inputs 2'!$C$9+14*(($BE63+1)-1),IF('Inputs 2'!$C$7="Semimonthly",DATE(YEAR('Inputs 2'!$C$9),MONTH('Inputs 2'!$C$9)+INT((($BE63+1)-1)/2),MIN(DAY('Inputs 2'!$C$9),DAY(EOMONTH(DATE(YEAR('Inputs 2'!$C$9),MONTH('Inputs 2'!$C$9)+INT((($BE63+1)-1)/2),1),0))))+IF(MOD(($BE63+1)-1,2)=1,15,0),EDATE('Inputs 2'!$C$9,($BE63+1)-1)))))&lt;&gt;"",$B64=IF(YEAR(IF('Inputs 2'!$C$7="Weekly",'Inputs 2'!$C$9+7*(($BE63+1)-1),IF('Inputs 2'!$C$7="Biweekly",'Inputs 2'!$C$9+14*(($BE63+1)-1),IF('Inputs 2'!$C$7="Semimonthly",DATE(YEAR('Inputs 2'!$C$9),MONTH('Inputs 2'!$C$9)+INT((($BE63+1)-1)/2),MIN(DAY('Inputs 2'!$C$9),DAY(EOMONTH(DATE(YEAR('Inputs 2'!$C$9),MONTH('Inputs 2'!$C$9)+INT((($BE63+1)-1)/2),1),0))))+IF(MOD(($BE63+1)-1,2)=1,15,0),EDATE('Inputs 2'!$C$9,($BE63+1)-1)))))&lt;&gt;'Inputs 2'!$C$10,"",IF('Inputs 2'!$C$7="Weekly",'Inputs 2'!$C$9+7*(($BE63+1)-1),IF('Inputs 2'!$C$7="Biweekly",'Inputs 2'!$C$9+14*(($BE63+1)-1),IF('Inputs 2'!$C$7="Semimonthly",DATE(YEAR('Inputs 2'!$C$9),MONTH('Inputs 2'!$C$9)+INT((($BE63+1)-1)/2),MIN(DAY('Inputs 2'!$C$9),DAY(EOMONTH(DATE(YEAR('Inputs 2'!$C$9),MONTH('Inputs 2'!$C$9)+INT((($BE63+1)-1)/2),1),0))))+IF(MOD(($BE63+1)-1,2)=1,15,0),EDATE('Inputs 2'!$C$9,($BE63+1)-1)))))),1,0))</f>
      </c>
      <c r="BG64" s="7">
        <f>IF($B64="","",$BG63+$H64)</f>
      </c>
      <c r="BH64" s="7">
        <f>IF($B64="","",$BH63+$I64)</f>
      </c>
      <c r="BI64" s="7">
        <f>IF($B64="","",$BI63+$G64)</f>
      </c>
      <c r="BJ64" s="7">
        <f>IF($B64="","",IFERROR(LOOKUP(2,1/(((('Events 2'!$C$6:$C$17="Deduction start"))*('Events 2'!$D$6:$D$17="Health FSA"))*('Events 2'!$B$6:$B$17&lt;=$B64)*('Events 2'!$B$6:$B$17&lt;&gt;"")),'Events 2'!$E$6:$E$17),'Inputs 2'!$D$38))</f>
      </c>
      <c r="BK64" s="7">
        <f>IF($B64="","",IFERROR(LOOKUP(2,1/(((('Events 2'!$C$6:$C$17="Deduction start"))*('Events 2'!$D$6:$D$17="Dependent-care FSA"))*('Events 2'!$B$6:$B$17&lt;=$B64)*('Events 2'!$B$6:$B$17&lt;&gt;"")),'Events 2'!$E$6:$E$17),'Inputs 2'!$D$39))</f>
      </c>
      <c r="BL64" s="7">
        <f>IF($B64="","",IFERROR(LOOKUP(2,1/(((('Events 2'!$C$6:$C$17="Deduction start")+('Events 2'!$C$6:$C$17="Deduction stop"))*('Events 2'!$D$6:$D$17="HSA"))*('Events 2'!$B$6:$B$17&lt;=$B64)*('Events 2'!$B$6:$B$17&lt;&gt;"")),'Events 2'!$I$6:$I$17),'Inputs 2'!$D$35))</f>
      </c>
      <c r="BM64" s="7">
        <f>IF($B64="","",IFERROR(LOOKUP(2,1/(((('Events 2'!$C$6:$C$17="Deduction start")+('Events 2'!$C$6:$C$17="Deduction stop"))*('Events 2'!$D$6:$D$17="Premiums"))*('Events 2'!$B$6:$B$17&lt;=$B64)*('Events 2'!$B$6:$B$17&lt;&gt;"")),'Events 2'!$I$6:$I$17),'Inputs 2'!$D$40+'Inputs 2'!$D$41+'Inputs 2'!$D$42))</f>
      </c>
      <c r="BN64" s="7">
        <f>IF($B64="","",IFERROR(LOOKUP(2,1/(((('Events 2'!$C$6:$C$17="Deduction start")+('Events 2'!$C$6:$C$17="Deduction stop"))*('Events 2'!$D$6:$D$17="Commuter"))*('Events 2'!$B$6:$B$17&lt;=$B64)*('Events 2'!$B$6:$B$17&lt;&gt;"")),'Events 2'!$I$6:$I$17),'Inputs 2'!$D$43))</f>
      </c>
      <c r="BO64" s="7">
        <f>IF($B64="","",IFERROR(LOOKUP(2,1/(((('Events 2'!$C$6:$C$17="Deduction start")+('Events 2'!$C$6:$C$17="Deduction stop"))*('Events 2'!$D$6:$D$17="Other pre-tax"))*('Events 2'!$B$6:$B$17&lt;=$B64)*('Events 2'!$B$6:$B$17&lt;&gt;"")),'Events 2'!$I$6:$I$17),'Inputs 2'!$D$44))</f>
      </c>
      <c r="BP64" s="7">
        <f>IF($B64="","",IFERROR(LOOKUP(2,1/(((('Events 2'!$C$6:$C$17="Deduction start")+('Events 2'!$C$6:$C$17="Deduction stop"))*('Events 2'!$D$6:$D$17="Other post-tax"))*('Events 2'!$B$6:$B$17&lt;=$B64)*('Events 2'!$B$6:$B$17&lt;&gt;"")),'Events 2'!$I$6:$I$17),'Inputs 2'!$D$45))</f>
      </c>
      <c r="BQ64" s="6">
        <f>IF($B64="","",IFERROR(LOOKUP(2,1/(((('Events 2'!$C$6:$C$17="Deduction start")+('Events 2'!$C$6:$C$17="Deduction stop"))*('Events 2'!$D$6:$D$17="Health FSA"))*('Events 2'!$B$6:$B$17&lt;=$B64)*('Events 2'!$B$6:$B$17&lt;&gt;"")),'Events 2'!$J$6:$J$17),0))</f>
      </c>
      <c r="BR64" s="6">
        <f>IF($B64="","",IFERROR(LOOKUP(2,1/(((('Events 2'!$C$6:$C$17="Deduction start")+('Events 2'!$C$6:$C$17="Deduction stop"))*('Events 2'!$D$6:$D$17="Dependent-care FSA"))*('Events 2'!$B$6:$B$17&lt;=$B64)*('Events 2'!$B$6:$B$17&lt;&gt;"")),'Events 2'!$J$6:$J$17),0))</f>
      </c>
      <c r="BS64" s="6">
        <f>IF($B64="","",IF(SUMPRODUCT(('Events 2'!$C$6:$C$17="Deduction start")*('Events 2'!$B$6:$B$17&lt;=$B64)*('Events 2'!$B$6:$B$17&lt;&gt;"")*('Events 2'!$D$6:$D$17="Health FSA"))&gt;0,1,0))</f>
      </c>
      <c r="BT64" s="6">
        <f>IF($B64="","",IF(SUMPRODUCT(('Events 2'!$C$6:$C$17="Deduction start")*('Events 2'!$B$6:$B$17&lt;=$B64)*('Events 2'!$B$6:$B$17&lt;&gt;"")*('Events 2'!$D$6:$D$17="Dependent-care FSA"))&gt;0,1,0))</f>
      </c>
      <c r="BU64" s="24">
        <f>IF($B64="","",IF('Inputs 2'!$C$13,SUMPRODUCT(($AH64&gt;=INDEX('Methodology &amp; Sources'!$B$29:$J$36,0,IF('Inputs 2'!$C$12="MFJ",1,IF('Inputs 2'!$C$12="HoH",7,4))))*INDEX('Methodology &amp; Sources'!$B$29:$J$36,0,IF('Inputs 2'!$C$12="MFJ",1,IF('Inputs 2'!$C$12="HoH",7,4))+2)),SUMPRODUCT(($AH64&gt;=INDEX('Methodology &amp; Sources'!$B$19:$J$26,0,IF('Inputs 2'!$C$12="MFJ",1,IF('Inputs 2'!$C$12="HoH",7,4))))*INDEX('Methodology &amp; Sources'!$B$19:$J$26,0,IF('Inputs 2'!$C$12="MFJ",1,IF('Inputs 2'!$C$12="HoH",7,4))+2))))</f>
      </c>
      <c r="BV64" s="24">
        <f>IF($B64="","",IF($BZ64&lt;&gt;"",$BZ64,IF($CA64&lt;&gt;"",$CA64,IF($CB64&lt;&gt;"",$CB64,IF($CC64&lt;&gt;"",$CC64,0)))))</f>
      </c>
      <c r="BW64" s="7">
        <f>IF($B64="","",IF($AN64="MD",IF(OR($AU64="Married",$AU64="Head of household"),SUMPRODUCT(($AZ64&gt;INDEX('Methodology &amp; Sources'!$B$114:$J$120,0,1))*($AZ64-INDEX('Methodology &amp; Sources'!$B$114:$J$120,0,1))*INDEX('Methodology &amp; Sources'!$B$114:$J$120,0,1+2)),SUMPRODUCT(($AZ64&gt;INDEX('Methodology &amp; Sources'!$B$103:$J$109,0,7))*($AZ64-INDEX('Methodology &amp; Sources'!$B$103:$J$109,0,7))*INDEX('Methodology &amp; Sources'!$B$103:$J$109,0,7+2))),IF($AN64="MO",SUMPRODUCT(($AZ64&gt;INDEX('Methodology &amp; Sources'!$B$125:$J$132,0,1))*($AZ64-INDEX('Methodology &amp; Sources'!$B$125:$J$132,0,1))*INDEX('Methodology &amp; Sources'!$B$125:$J$132,0,1+2)),IF($AN64="MT",IF($AU64="Head of household",SUMPRODUCT(($AZ64&gt;INDEX('Methodology &amp; Sources'!$B$137:$J$139,0,1))*($AZ64-INDEX('Methodology &amp; Sources'!$B$137:$J$139,0,1))*INDEX('Methodology &amp; Sources'!$B$137:$J$139,0,1+2)),IF($AU64="Married",SUMPRODUCT(($AZ64&gt;INDEX('Methodology &amp; Sources'!$B$125:$J$132,0,7))*($AZ64-INDEX('Methodology &amp; Sources'!$B$125:$J$132,0,7))*INDEX('Methodology &amp; Sources'!$B$125:$J$132,0,7+2)),SUMPRODUCT(($AZ64&gt;INDEX('Methodology &amp; Sources'!$B$125:$J$132,0,4))*($AZ64-INDEX('Methodology &amp; Sources'!$B$125:$J$132,0,4))*INDEX('Methodology &amp; Sources'!$B$125:$J$132,0,4+2)))),IF($AN64="ND",IF($AU64="Head of household",SUMPRODUCT(($AZ64&gt;INDEX('Methodology &amp; Sources'!$B$144:$J$150,0,1))*($AZ64-INDEX('Methodology &amp; Sources'!$B$144:$J$150,0,1))*INDEX('Methodology &amp; Sources'!$B$144:$J$150,0,1+2)),IF($AU64="Married",SUMPRODUCT(($AZ64&gt;INDEX('Methodology &amp; Sources'!$B$137:$J$139,0,7))*($AZ64-INDEX('Methodology &amp; Sources'!$B$137:$J$139,0,7))*INDEX('Methodology &amp; Sources'!$B$137:$J$139,0,7+2)),SUMPRODUCT(($AZ64&gt;INDEX('Methodology &amp; Sources'!$B$137:$J$139,0,4))*($AZ64-INDEX('Methodology &amp; Sources'!$B$137:$J$139,0,4))*INDEX('Methodology &amp; Sources'!$B$137:$J$139,0,4+2)))),IF($AN64="NJ",IF('Inputs 2'!$C$77="B",SUMPRODUCT(($AZ64&gt;INDEX('Methodology &amp; Sources'!$B$155:$J$162,0,4))*($AZ64-INDEX('Methodology &amp; Sources'!$B$155:$J$162,0,4))*INDEX('Methodology &amp; Sources'!$B$155:$J$162,0,4+2)),IF('Inputs 2'!$C$77="C",SUMPRODUCT(($AZ64&gt;INDEX('Methodology &amp; Sources'!$B$155:$J$162,0,7))*($AZ64-INDEX('Methodology &amp; Sources'!$B$155:$J$162,0,7))*INDEX('Methodology &amp; Sources'!$B$155:$J$162,0,7+2)),IF('Inputs 2'!$C$77="D",SUMPRODUCT(($AZ64&gt;INDEX('Methodology &amp; Sources'!$B$167:$J$179,0,1))*($AZ64-INDEX('Methodology &amp; Sources'!$B$167:$J$179,0,1))*INDEX('Methodology &amp; Sources'!$B$167:$J$179,0,1+2)),IF('Inputs 2'!$C$77="E",SUMPRODUCT(($AZ64&gt;INDEX('Methodology &amp; Sources'!$B$167:$J$179,0,4))*($AZ64-INDEX('Methodology &amp; Sources'!$B$167:$J$179,0,4))*INDEX('Methodology &amp; Sources'!$B$167:$J$179,0,4+2)),SUMPRODUCT(($AZ64&gt;INDEX('Methodology &amp; Sources'!$B$155:$J$162,0,1))*($AZ64-INDEX('Methodology &amp; Sources'!$B$155:$J$162,0,1))*INDEX('Methodology &amp; Sources'!$B$155:$J$162,0,1+2)))))),IF($AN64="NY",IF($AU64="Married",IF($AZ64&gt;=2155350,$AZ64*IF($AZ64&gt;25000000,0.117,IF($AZ64&gt;5000000,0.111,0.1045)),SUMPRODUCT(($AZ64&gt;INDEX('Methodology &amp; Sources'!$B$184:$J$198,0,1))*($AZ64-INDEX('Methodology &amp; Sources'!$B$184:$J$198,0,1))*INDEX('Methodology &amp; Sources'!$B$184:$J$198,0,1+2))),IF($AZ64&gt;=1077550,$AZ64*IF($AZ64&gt;25000000,0.117,IF($AZ64&gt;5000000,0.111,0.1045)),SUMPRODUCT(($AZ64&gt;INDEX('Methodology &amp; Sources'!$B$167:$J$179,0,7))*($AZ64-INDEX('Methodology &amp; Sources'!$B$167:$J$179,0,7))*INDEX('Methodology &amp; Sources'!$B$167:$J$179,0,7+2)))),"")))))))</f>
      </c>
      <c r="BX64" s="7">
        <f>IF($B64="","",IF($AN64="AL",IF(OR($AU64="Married",$AU64="Head of household"),SUMPRODUCT(($AZ64&gt;INDEX('Methodology &amp; Sources'!$B$82:$J$86,0,4))*($AZ64-INDEX('Methodology &amp; Sources'!$B$82:$J$86,0,4))*INDEX('Methodology &amp; Sources'!$B$82:$J$86,0,4+2)),SUMPRODUCT(($AZ64&gt;INDEX('Methodology &amp; Sources'!$B$82:$J$86,0,1))*($AZ64-INDEX('Methodology &amp; Sources'!$B$82:$J$86,0,1))*INDEX('Methodology &amp; Sources'!$B$82:$J$86,0,1+2))),IF($AN64="KS",IF($AU64="Married",SUMPRODUCT(($AZ64&gt;INDEX('Methodology &amp; Sources'!$B$103:$J$109,0,4))*($AZ64-INDEX('Methodology &amp; Sources'!$B$103:$J$109,0,4))*INDEX('Methodology &amp; Sources'!$B$103:$J$109,0,4+2)),SUMPRODUCT(($AZ64&gt;INDEX('Methodology &amp; Sources'!$B$103:$J$109,0,1))*($AZ64-INDEX('Methodology &amp; Sources'!$B$103:$J$109,0,1))*INDEX('Methodology &amp; Sources'!$B$103:$J$109,0,1+2))),IF($AN64="MN",IF($AU64="Married",SUMPRODUCT(($AZ64&gt;INDEX('Methodology &amp; Sources'!$B$114:$J$120,0,7))*($AZ64-INDEX('Methodology &amp; Sources'!$B$114:$J$120,0,7))*INDEX('Methodology &amp; Sources'!$B$114:$J$120,0,7+2)),SUMPRODUCT(($AZ64&gt;INDEX('Methodology &amp; Sources'!$B$114:$J$120,0,4))*($AZ64-INDEX('Methodology &amp; Sources'!$B$114:$J$120,0,4))*INDEX('Methodology &amp; Sources'!$B$114:$J$120,0,4+2))),IF($AN64="NE",MAX(IF($AU64="Married",SUMPRODUCT(($AZ64&gt;INDEX('Methodology &amp; Sources'!$B$144:$J$150,0,7))*($AZ64-INDEX('Methodology &amp; Sources'!$B$144:$J$150,0,7))*INDEX('Methodology &amp; Sources'!$B$144:$J$150,0,7+2)),SUMPRODUCT(($AZ64&gt;INDEX('Methodology &amp; Sources'!$B$144:$J$150,0,4))*($AZ64-INDEX('Methodology &amp; Sources'!$B$144:$J$150,0,4))*INDEX('Methodology &amp; Sources'!$B$144:$J$150,0,4+2))),0.015*$AZ64),IF($AN64="OH",IF($B64&gt;=DATE(2027,8,1),SUMPRODUCT(($AZ64&gt;INDEX('Methodology &amp; Sources'!$B$203:$J$206,0,1))*($AZ64-INDEX('Methodology &amp; Sources'!$B$203:$J$206,0,1))*INDEX('Methodology &amp; Sources'!$B$203:$J$206,0,1+2)),SUMPRODUCT(($AZ64&gt;INDEX('Methodology &amp; Sources'!$B$184:$J$198,0,7))*($AZ64-INDEX('Methodology &amp; Sources'!$B$184:$J$198,0,7))*INDEX('Methodology &amp; Sources'!$B$184:$J$198,0,7+2))),IF($AN64="OK",IF($AU64="Married",SUMPRODUCT(($AZ64&gt;INDEX('Methodology &amp; Sources'!$B$203:$J$206,0,7))*($AZ64-INDEX('Methodology &amp; Sources'!$B$203:$J$206,0,7))*INDEX('Methodology &amp; Sources'!$B$203:$J$206,0,7+2)),SUMPRODUCT(($AZ64&gt;INDEX('Methodology &amp; Sources'!$B$203:$J$206,0,4))*($AZ64-INDEX('Methodology &amp; Sources'!$B$203:$J$206,0,4))*INDEX('Methodology &amp; Sources'!$B$203:$J$206,0,4+2))),IF($AN64="RI",SUMPRODUCT(($AZ64&gt;INDEX('Methodology &amp; Sources'!$B$211:$J$214,0,7))*($AZ64-INDEX('Methodology &amp; Sources'!$B$211:$J$214,0,7))*INDEX('Methodology &amp; Sources'!$B$211:$J$214,0,7+2)),IF($AN64="VT",IF($AU64="Married",SUMPRODUCT(($AZ64&gt;INDEX('Methodology &amp; Sources'!$B$228:$J$232,0,1))*($AZ64-INDEX('Methodology &amp; Sources'!$B$228:$J$232,0,1))*INDEX('Methodology &amp; Sources'!$B$228:$J$232,0,1+2)),SUMPRODUCT(($AZ64&gt;INDEX('Methodology &amp; Sources'!$B$219:$J$223,0,7))*($AZ64-INDEX('Methodology &amp; Sources'!$B$219:$J$223,0,7))*INDEX('Methodology &amp; Sources'!$B$219:$J$223,0,7+2))),IF($AN64="WV",IF($AU64="Married",SUMPRODUCT(($AZ64&gt;INDEX('Methodology &amp; Sources'!$B$237:$J$241,0,7))*($AZ64-INDEX('Methodology &amp; Sources'!$B$237:$J$241,0,7))*INDEX('Methodology &amp; Sources'!$B$237:$J$241,0,7+2)),SUMPRODUCT(($AZ64&gt;INDEX('Methodology &amp; Sources'!$B$228:$J$232,0,7))*($AZ64-INDEX('Methodology &amp; Sources'!$B$228:$J$232,0,7))*INDEX('Methodology &amp; Sources'!$B$228:$J$232,0,7+2))),""))))))))))</f>
      </c>
      <c r="BY64" s="7">
        <f>IF($B64="","",IF($AN64="AR",SUMPRODUCT(($AZ64&gt;INDEX('Methodology &amp; Sources'!$B$82:$J$86,0,7))*($AZ64-INDEX('Methodology &amp; Sources'!$B$82:$J$86,0,7))*INDEX('Methodology &amp; Sources'!$B$82:$J$86,0,7+2)),IF($AN64="DE",SUMPRODUCT(($AZ64&gt;INDEX('Methodology &amp; Sources'!$B$91:$J$98,0,1))*($AZ64-INDEX('Methodology &amp; Sources'!$B$91:$J$98,0,1))*INDEX('Methodology &amp; Sources'!$B$91:$J$98,0,1+2)),IF($AN64="HI",IF($AU64="Married",SUMPRODUCT(($AZ64&gt;INDEX('Methodology &amp; Sources'!$B$91:$J$98,0,7))*($AZ64-INDEX('Methodology &amp; Sources'!$B$91:$J$98,0,7))*INDEX('Methodology &amp; Sources'!$B$91:$J$98,0,7+2)),SUMPRODUCT(($AZ64&gt;INDEX('Methodology &amp; Sources'!$B$91:$J$98,0,4))*($AZ64-INDEX('Methodology &amp; Sources'!$B$91:$J$98,0,4))*INDEX('Methodology &amp; Sources'!$B$91:$J$98,0,4+2))),IF($AN64="SC",SUMPRODUCT(($AZ64&gt;INDEX('Methodology &amp; Sources'!$B$219:$J$223,0,1))*($AZ64-INDEX('Methodology &amp; Sources'!$B$219:$J$223,0,1))*INDEX('Methodology &amp; Sources'!$B$219:$J$223,0,1+2)),IF($AN64="VA",SUMPRODUCT(($AZ64&gt;INDEX('Methodology &amp; Sources'!$B$219:$J$223,0,4))*($AZ64-INDEX('Methodology &amp; Sources'!$B$219:$J$223,0,4))*INDEX('Methodology &amp; Sources'!$B$219:$J$223,0,4+2)),IF($AN64="WI",SUMPRODUCT(($AZ64&gt;INDEX('Methodology &amp; Sources'!$B$228:$J$232,0,4))*($AZ64-INDEX('Methodology &amp; Sources'!$B$228:$J$232,0,4))*INDEX('Methodology &amp; Sources'!$B$228:$J$232,0,4+2)),"")))))))</f>
      </c>
      <c r="BZ64" s="24">
        <f>IF($B64="","",IF($AN64="NJ",IF('Inputs 2'!$C$77="B",SUMPRODUCT(($AZ64&gt;=INDEX('Methodology &amp; Sources'!$B$155:$J$162,0,4))*INDEX('Methodology &amp; Sources'!$B$155:$J$162,0,4+2)),IF('Inputs 2'!$C$77="C",SUMPRODUCT(($AZ64&gt;=INDEX('Methodology &amp; Sources'!$B$155:$J$162,0,7))*INDEX('Methodology &amp; Sources'!$B$155:$J$162,0,7+2)),IF('Inputs 2'!$C$77="D",SUMPRODUCT(($AZ64&gt;=INDEX('Methodology &amp; Sources'!$B$167:$J$179,0,1))*INDEX('Methodology &amp; Sources'!$B$167:$J$179,0,1+2)),IF('Inputs 2'!$C$77="E",SUMPRODUCT(($AZ64&gt;=INDEX('Methodology &amp; Sources'!$B$167:$J$179,0,4))*INDEX('Methodology &amp; Sources'!$B$167:$J$179,0,4+2)),SUMPRODUCT(($AZ64&gt;=INDEX('Methodology &amp; Sources'!$B$155:$J$162,0,1))*INDEX('Methodology &amp; Sources'!$B$155:$J$162,0,1+2)))))),IF($AN64="OR",IF(OR($AU64="Married",AND($AU64="Single",$AS64&gt;=3)),SUMPRODUCT((MAX(0,$AY64-MIN(($P64-'Methodology &amp; Sources'!$C$10*$D64)*'Inputs 2'!$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Sources'!$B$211:$J$214,0,4))*INDEX('Methodology &amp; Sources'!$B$211:$J$214,0,4+2)),SUMPRODUCT((MAX(0,$AY64-MIN(($P64-'Methodology &amp; Sources'!$C$10*$D64)*'Inputs 2'!$C$8,IF(OR($AU64="Married",AND($AU64="Single",$AS64&gt;=3)),IF($AY64&lt;250000,8750,IF($AY64&lt;260000,7000,IF($AY64&lt;270000,5250,IF($AY64&lt;280000,3500,IF($AY64&lt;290000,1750,0))))),IF($AY64&lt;125000,8750,IF($AY64&lt;130000,7000,IF($AY64&lt;135000,5250,IF($AY64&lt;140000,3500,IF($AY64&lt;145000,1750,0)))))))-IF(OR($AU64="Married",AND($AU64="Single",$AS64&gt;=3)),5820,2910))&gt;=INDEX('Methodology &amp; Sources'!$B$211:$J$214,0,1))*INDEX('Methodology &amp; Sources'!$B$211:$J$214,0,1+2)))*IF(($P64-'Methodology &amp; Sources'!$C$10*$D64)*'Inputs 2'!$C$8&gt;=IF(OR($AU64="Married",AND($AU64="Single",$AS64&gt;=3)),IF($AY64&lt;250000,8750,IF($AY64&lt;260000,7000,IF($AY64&lt;270000,5250,IF($AY64&lt;280000,3500,IF($AY64&lt;290000,1750,0))))),IF($AY64&lt;125000,8750,IF($AY64&lt;130000,7000,IF($AY64&lt;135000,5250,IF($AY64&lt;140000,3500,IF($AY64&lt;145000,1750,0)))))),1,1-IF('Inputs 2'!$C$13,SUMPRODUCT(($AH64&gt;=INDEX('Methodology &amp; Sources'!$B$29:$J$36,0,IF('Inputs 2'!$C$12="MFJ",1,IF('Inputs 2'!$C$12="HoH",7,4))))*INDEX('Methodology &amp; Sources'!$B$29:$J$36,0,IF('Inputs 2'!$C$12="MFJ",1,IF('Inputs 2'!$C$12="HoH",7,4))+2)),SUMPRODUCT(($AH64&gt;=INDEX('Methodology &amp; Sources'!$B$19:$J$26,0,IF('Inputs 2'!$C$12="MFJ",1,IF('Inputs 2'!$C$12="HoH",7,4))))*INDEX('Methodology &amp; Sources'!$B$19:$J$26,0,IF('Inputs 2'!$C$12="MFJ",1,IF('Inputs 2'!$C$12="HoH",7,4))+2)))),IF($AN64="MI",IF($AY64&gt;5900*$AS64,0.0425,0),""))))</f>
      </c>
      <c r="CA64" s="24">
        <f>IF($B64="","",IF($AN64="AL",IF(OR($AU64="Married",$AU64="Head of household"),SUMPRODUCT(($AZ64&gt;=INDEX('Methodology &amp; Sources'!$B$82:$J$86,0,4))*INDEX('Methodology &amp; Sources'!$B$82:$J$86,0,4+2)),SUMPRODUCT(($AZ64&gt;=INDEX('Methodology &amp; Sources'!$B$82:$J$86,0,1))*INDEX('Methodology &amp; Sources'!$B$82:$J$86,0,1+2)))*(1-IF('Inputs 2'!$C$13,SUMPRODUCT(($AH64&gt;=INDEX('Methodology &amp; Sources'!$B$29:$J$36,0,IF('Inputs 2'!$C$12="MFJ",1,IF('Inputs 2'!$C$12="HoH",7,4))))*INDEX('Methodology &amp; Sources'!$B$29:$J$36,0,IF('Inputs 2'!$C$12="MFJ",1,IF('Inputs 2'!$C$12="HoH",7,4))+2)),SUMPRODUCT(($AH64&gt;=INDEX('Methodology &amp; Sources'!$B$19:$J$26,0,IF('Inputs 2'!$C$12="MFJ",1,IF('Inputs 2'!$C$12="HoH",7,4))))*INDEX('Methodology &amp; Sources'!$B$19:$J$26,0,IF('Inputs 2'!$C$12="MFJ",1,IF('Inputs 2'!$C$12="HoH",7,4))+2)))),IF($AN64="KS",IF($AU64="Married",SUMPRODUCT(($AZ64&gt;=INDEX('Methodology &amp; Sources'!$B$103:$J$109,0,4))*INDEX('Methodology &amp; Sources'!$B$103:$J$109,0,4+2)),SUMPRODUCT(($AZ64&gt;=INDEX('Methodology &amp; Sources'!$B$103:$J$109,0,1))*INDEX('Methodology &amp; Sources'!$B$103:$J$109,0,1+2))),IF($AN64="MD",IF(OR($AU64="Married",$AU64="Head of household"),SUMPRODUCT(($AZ64&gt;=INDEX('Methodology &amp; Sources'!$B$114:$J$120,0,1))*INDEX('Methodology &amp; Sources'!$B$114:$J$120,0,1+2)),SUMPRODUCT(($AZ64&gt;=INDEX('Methodology &amp; Sources'!$B$103:$J$109,0,7))*INDEX('Methodology &amp; Sources'!$B$103:$J$109,0,7+2)))+'Inputs 2'!$C$74,IF($AN64="MT",IF($AU64="Head of household",SUMPRODUCT(($AZ64&gt;=INDEX('Methodology &amp; Sources'!$B$137:$J$139,0,1))*INDEX('Methodology &amp; Sources'!$B$137:$J$139,0,1+2)),IF($AU64="Married",SUMPRODUCT(($AZ64&gt;=INDEX('Methodology &amp; Sources'!$B$125:$J$132,0,7))*INDEX('Methodology &amp; Sources'!$B$125:$J$132,0,7+2)),SUMPRODUCT(($AZ64&gt;=INDEX('Methodology &amp; Sources'!$B$125:$J$132,0,4))*INDEX('Methodology &amp; Sources'!$B$125:$J$132,0,4+2)))),IF($AN64="ND",IF($AU64="Head of household",SUMPRODUCT(($AZ64&gt;=INDEX('Methodology &amp; Sources'!$B$144:$J$150,0,1))*INDEX('Methodology &amp; Sources'!$B$144:$J$150,0,1+2)),IF($AU64="Married",SUMPRODUCT(($AZ64&gt;=INDEX('Methodology &amp; Sources'!$B$137:$J$139,0,7))*INDEX('Methodology &amp; Sources'!$B$137:$J$139,0,7+2)),SUMPRODUCT(($AZ64&gt;=INDEX('Methodology &amp; Sources'!$B$137:$J$139,0,4))*INDEX('Methodology &amp; Sources'!$B$137:$J$139,0,4+2)))),IF($AN64="NY",IF($AU64="Married",IF($AZ64&gt;=2155350,IF($AZ64&gt;25000000,0.117,IF($AZ64&gt;5000000,0.111,0.1045)),SUMPRODUCT(($AZ64&gt;=INDEX('Methodology &amp; Sources'!$B$184:$J$198,0,1))*INDEX('Methodology &amp; Sources'!$B$184:$J$198,0,1+2))),IF($AZ64&gt;=1077550,IF($AZ64&gt;25000000,0.117,IF($AZ64&gt;5000000,0.111,0.1045)),SUMPRODUCT(($AZ64&gt;=INDEX('Methodology &amp; Sources'!$B$167:$J$179,0,7))*INDEX('Methodology &amp; Sources'!$B$167:$J$179,0,7+2)))),"")))))))</f>
      </c>
      <c r="CB64" s="24">
        <f>IF($B64="","",IF($AN64="CA",SUMPRODUCT(($AJ64&gt;=INDEX('Methodology &amp; Sources'!$B$39:$J$48,0,IF($AU64="Married",4,IF($AU64="Head of household",7,1))))*INDEX('Methodology &amp; Sources'!$B$39:$J$48,0,IF($AU64="Married",4,IF($AU64="Head of household",7,1))+2)),IF($AN64="HI",IF($AU64="Married",SUMPRODUCT(($AZ64&gt;=INDEX('Methodology &amp; Sources'!$B$91:$J$98,0,7))*INDEX('Methodology &amp; Sources'!$B$91:$J$98,0,7+2)),SUMPRODUCT(($AZ64&gt;=INDEX('Methodology &amp; Sources'!$B$91:$J$98,0,4))*INDEX('Methodology &amp; Sources'!$B$91:$J$98,0,4+2))),IF($AN64="MN",IF($AU64="Married",SUMPRODUCT(($AZ64&gt;=INDEX('Methodology &amp; Sources'!$B$114:$J$120,0,7))*INDEX('Methodology &amp; Sources'!$B$114:$J$120,0,7+2)),SUMPRODUCT(($AZ64&gt;=INDEX('Methodology &amp; Sources'!$B$114:$J$120,0,4))*INDEX('Methodology &amp; Sources'!$B$114:$J$120,0,4+2))),IF($AN64="MO",SUMPRODUCT(($AZ64&gt;=INDEX('Methodology &amp; Sources'!$B$125:$J$132,0,1))*INDEX('Methodology &amp; Sources'!$B$125:$J$132,0,1+2)),IF($AN64="NE",MAX(IF($AU64="Married",SUMPRODUCT(($AZ64&gt;=INDEX('Methodology &amp; Sources'!$B$144:$J$150,0,7))*INDEX('Methodology &amp; Sources'!$B$144:$J$150,0,7+2)),SUMPRODUCT(($AZ64&gt;=INDEX('Methodology &amp; Sources'!$B$144:$J$150,0,4))*INDEX('Methodology &amp; Sources'!$B$144:$J$150,0,4+2))),0.015),IF($AN64="OH",IF($B64&gt;=DATE(2027,8,1),SUMPRODUCT(($AZ64&gt;=INDEX('Methodology &amp; Sources'!$B$203:$J$206,0,1))*INDEX('Methodology &amp; Sources'!$B$203:$J$206,0,1+2)),SUMPRODUCT(($AZ64&gt;=INDEX('Methodology &amp; Sources'!$B$184:$J$198,0,7))*INDEX('Methodology &amp; Sources'!$B$184:$J$198,0,7+2))),IF($AN64="OK",IF($AU64="Married",SUMPRODUCT(($AZ64&gt;=INDEX('Methodology &amp; Sources'!$B$203:$J$206,0,7))*INDEX('Methodology &amp; Sources'!$B$203:$J$206,0,7+2)),SUMPRODUCT(($AZ64&gt;=INDEX('Methodology &amp; Sources'!$B$203:$J$206,0,4))*INDEX('Methodology &amp; Sources'!$B$203:$J$206,0,4+2))),IF($AN64="RI",SUMPRODUCT(($AZ64&gt;=INDEX('Methodology &amp; Sources'!$B$211:$J$214,0,7))*INDEX('Methodology &amp; Sources'!$B$211:$J$214,0,7+2)),IF($AN64="SC",SUMPRODUCT(($AZ64&gt;=INDEX('Methodology &amp; Sources'!$B$219:$J$223,0,1))*INDEX('Methodology &amp; Sources'!$B$219:$J$223,0,1+2)),IF($AN64="VT",IF($AU64="Married",SUMPRODUCT(($AZ64&gt;=INDEX('Methodology &amp; Sources'!$B$228:$J$232,0,1))*INDEX('Methodology &amp; Sources'!$B$228:$J$232,0,1+2)),SUMPRODUCT(($AZ64&gt;=INDEX('Methodology &amp; Sources'!$B$219:$J$223,0,7))*INDEX('Methodology &amp; Sources'!$B$219:$J$223,0,7+2))),IF($AN64="WV",IF($AU64="Married",SUMPRODUCT(($AZ64&gt;=INDEX('Methodology &amp; Sources'!$B$237:$J$241,0,7))*INDEX('Methodology &amp; Sources'!$B$237:$J$241,0,7+2)),SUMPRODUCT(($AZ64&gt;=INDEX('Methodology &amp; Sources'!$B$228:$J$232,0,7))*INDEX('Methodology &amp; Sources'!$B$228:$J$232,0,7+2))),IF($AN64="IN",(0.0295+'Inputs 2'!$C$76),"")))))))))))))</f>
      </c>
      <c r="CC64" s="24">
        <f>IF($B64="","",IF($AN64="AR",SUMPRODUCT(($AZ64&gt;=INDEX('Methodology &amp; Sources'!$B$82:$J$86,0,7))*INDEX('Methodology &amp; Sources'!$B$82:$J$86,0,7+2)),IF($AN64="DE",SUMPRODUCT(($AZ64&gt;=INDEX('Methodology &amp; Sources'!$B$91:$J$98,0,1))*INDEX('Methodology &amp; Sources'!$B$91:$J$98,0,1+2)),IF($AN64="VA",SUMPRODUCT(($AZ64&gt;=INDEX('Methodology &amp; Sources'!$B$219:$J$223,0,4))*INDEX('Methodology &amp; Sources'!$B$219:$J$223,0,4+2)),IF($AN64="WI",SUMPRODUCT(($AZ64&gt;=INDEX('Methodology &amp; Sources'!$B$228:$J$232,0,4))*INDEX('Methodology &amp; Sources'!$B$228:$J$232,0,4+2)),IF($AN64="AZ",'Inputs 2'!$C$82,IF($AN64="CO",IF($AY64&gt;IF($AU64="Married",10000,5000),0.044,0),IF($AN64="IA",IF($AY64&gt;IF($AU64="Head of household",19500,IF($AU64="Married",26000,13000)),0.038,0),IF($AN64="ID",IF($AY64&gt;IF($AU64="Married",32000,16094),0.053,0),IF($AN64="IL",IF($AY64&gt;(2925*$AS64+1000*$AT64),0.0495,0),IF($AN64="KY",IF($AI64&gt;3360,0.035,0),IF($AN64="LA",0.0309,IF($AN64="MA",IF(MAX(0,$AY64-MIN(($BD63+$Q64+$R64+$S64),2000)-IF($AS64=0,0,IF($AS64=1,4400,1000*$AS64+3400)))&gt;=1107750,0.09,0.05),IF($AN64="MS",IF($AI64-IF($AU64="Head of household",3400,IF($AU64="Married",4600,2300))-'Inputs 2'!$C$85&gt;10000,0.04,0),IF($AN64="PA",0.0307,"")))))))))))))))</f>
      </c>
      <c r="CD64" s="21">
        <f>IF(YEAR(IF('Inputs 2'!$C$7="Weekly",'Inputs 2'!$C$9+7*(($BE63+1)-1),IF('Inputs 2'!$C$7="Biweekly",'Inputs 2'!$C$9+14*(($BE63+1)-1),IF('Inputs 2'!$C$7="Semimonthly",DATE(YEAR('Inputs 2'!$C$9),MONTH('Inputs 2'!$C$9)+INT((($BE63+1)-1)/2),MIN(DAY('Inputs 2'!$C$9),DAY(EOMONTH(DATE(YEAR('Inputs 2'!$C$9),MONTH('Inputs 2'!$C$9)+INT((($BE63+1)-1)/2),1),0))))+IF(MOD(($BE63+1)-1,2)=1,15,0),EDATE('Inputs 2'!$C$9,($BE63+1)-1)))))&lt;&gt;'Inputs 2'!$C$10,"",IF('Inputs 2'!$C$7="Weekly",'Inputs 2'!$C$9+7*(($BE63+1)-1),IF('Inputs 2'!$C$7="Biweekly",'Inputs 2'!$C$9+14*(($BE63+1)-1),IF('Inputs 2'!$C$7="Semimonthly",DATE(YEAR('Inputs 2'!$C$9),MONTH('Inputs 2'!$C$9)+INT((($BE63+1)-1)/2),MIN(DAY('Inputs 2'!$C$9),DAY(EOMONTH(DATE(YEAR('Inputs 2'!$C$9),MONTH('Inputs 2'!$C$9)+INT((($BE63+1)-1)/2),1),0))))+IF(MOD(($BE63+1)-1,2)=1,15,0),EDATE('Inputs 2'!$C$9,($BE63+1)-1)))))</f>
      </c>
      <c r="CE64" s="21">
        <f>IF(SUMPRODUCT(MIN(IF(('Inputs 2'!$C$58:$C$67&gt;MAX($B$6:$B63))*('Inputs 2'!$C$58:$C$67&gt;=DATE('Inputs 2'!$C$10,1,1))*('Inputs 2'!$C$58:$C$67&lt;=DATE('Inputs 2'!$C$10,12,31)),'Inputs 2'!$C$58:$C$67,999999)))=999999,"",SUMPRODUCT(MIN(IF(('Inputs 2'!$C$58:$C$67&gt;MAX($B$6:$B63))*('Inputs 2'!$C$58:$C$67&gt;=DATE('Inputs 2'!$C$10,1,1))*('Inputs 2'!$C$58:$C$67&lt;=DATE('Inputs 2'!$C$10,12,31)),'Inputs 2'!$C$58:$C$67,999999))))</f>
      </c>
    </row>
    <row r="65">
      <c r="A65" t="n">
        <v>60</v>
      </c>
      <c r="B65" s="21">
        <f>IF(AND($CD65="",$CE65=""),"",IF($CE65="",$CD65,IF($CD65="",$CE65,MIN($CD65,$CE65))))</f>
      </c>
      <c r="C65" s="7">
        <f>IF($B65="","",IF($BF65=0,0,IF('Inputs 2'!$C$4="Annual salary",ROUND($AK65/IF(AND('Inputs 2'!$C$88="Actual paydays",MONTH('Inputs 2'!$C$9)=1),MAX(1,MAX($BE$6:$BE$68)),'Inputs 2'!$C$8),2),$AK65)))</f>
      </c>
      <c r="D65" s="7">
        <f>IF($B65="","",SUMIF('Inputs 2'!$C$58:$C$67,$B65,'Inputs 2'!$D$58:$D$67))</f>
      </c>
      <c r="E65" s="7">
        <f>IF($B65="","",ROUND(MAX(0,MIN(IF($AL65="Percent",$AM65*($C65+$D65),$AM65),MAX(0,'Inputs 2'!$C$34-$AC64))),2))</f>
      </c>
      <c r="F65" s="7">
        <f>IF($B65="","",ROUND(MAX(0,MIN(IF('Inputs 2'!$C$32="Percent",'Inputs 2'!$D$32*($C65+$D65),'Inputs 2'!$D$32),MAX(0,'Inputs 2'!$C$34-$AC64-$E65))),2))</f>
      </c>
      <c r="G65" s="7">
        <f>IF($B65="","",IF($BF65=0,0,ROUND(MAX(0,MIN($BL65,'Inputs 2'!$C$37-'Inputs 2'!$C$54-$BI64)),2)))</f>
      </c>
      <c r="H65" s="7">
        <f>IF($B65="","",IF(OR($BF65=0,$BQ65=1),0,ROUND(MAX(0,MIN(IF($BS65=1,ROUND(MAX(0,MIN($BJ65,'Methodology &amp; Sources'!$C$13)-$BG64)/MAX(1,MAX($BE$6:$BE$68)-($BE64)),2),ROUND(MIN($BJ65,'Methodology &amp; Sources'!$C$13)/'Inputs 2'!$C$8,2)),MIN($BJ65,'Methodology &amp; Sources'!$C$13)-$BG64)),2)))</f>
      </c>
      <c r="I65" s="7">
        <f>IF($B65="","",IF(OR($BF65=0,$BR65=1),0,ROUND(MAX(0,MIN(IF($BT65=1,ROUND(MAX(0,MIN($BK65,IF('Inputs 2'!$C$12="MFJ",'Methodology &amp; Sources'!$C$14,'Methodology &amp; Sources'!$C$15))-$BH64)/MAX(1,MAX($BE$6:$BE$68)-($BE64)),2),ROUND(MIN($BK65,IF('Inputs 2'!$C$12="MFJ",'Methodology &amp; Sources'!$C$14,'Methodology &amp; Sources'!$C$15))/'Inputs 2'!$C$8,2)),MIN($BK65,IF('Inputs 2'!$C$12="MFJ",'Methodology &amp; Sources'!$C$14,'Methodology &amp; Sources'!$C$15))-$BH64)),2)))</f>
      </c>
      <c r="J65" s="7">
        <f>IF($B65="","",IF($BF65=0,0,$BM65))</f>
      </c>
      <c r="K65" s="7">
        <f>IF($B65="","",IF($BF65=0,0,$BN65+$BO65))</f>
      </c>
      <c r="L65" s="7">
        <f>IF($B65="","",IF($BF65=0,0,'Inputs 2'!$D$46))</f>
      </c>
      <c r="M65" s="7">
        <f>IF($B65="","",$C65+$D65+$L65-$E65-$G65-$H65-$I65-$J65-$K65)</f>
      </c>
      <c r="N65" s="7">
        <f>IF($B65="","",$C65+$D65+$L65-$G65-$H65-$I65-$J65-$K65)</f>
      </c>
      <c r="O65" s="7">
        <f>IF($B65="","",$C65+$D65+$L65-$E65-$H65-$I65-$J65-$K65-IF(OR($AN65="CA",$AN65="NJ"),0,$G65))</f>
      </c>
      <c r="P65" s="7">
        <f>IF($B65="","",IF('Inputs 2'!$C$18,0,ROUND(MAX(0,IF('Inputs 2'!$C$13,SUMPRODUCT(($AH65&gt;INDEX('Methodology &amp; Sources'!$B$29:$J$36,0,IF('Inputs 2'!$C$12="MFJ",1,IF('Inputs 2'!$C$12="HoH",7,4))))*($AH65-INDEX('Methodology &amp; Sources'!$B$29:$J$36,0,IF('Inputs 2'!$C$12="MFJ",1,IF('Inputs 2'!$C$12="HoH",7,4))))*INDEX('Methodology &amp; Sources'!$B$29:$J$36,0,IF('Inputs 2'!$C$12="MFJ",1,IF('Inputs 2'!$C$12="HoH",7,4))+2)),SUMPRODUCT(($AH65&gt;INDEX('Methodology &amp; Sources'!$B$19:$J$26,0,IF('Inputs 2'!$C$12="MFJ",1,IF('Inputs 2'!$C$12="HoH",7,4))))*($AH65-INDEX('Methodology &amp; Sources'!$B$19:$J$26,0,IF('Inputs 2'!$C$12="MFJ",1,IF('Inputs 2'!$C$12="HoH",7,4))))*INDEX('Methodology &amp; Sources'!$B$19:$J$26,0,IF('Inputs 2'!$C$12="MFJ",1,IF('Inputs 2'!$C$12="HoH",7,4))+2)))/'Inputs 2'!$C$8-$AO65/'Inputs 2'!$C$8)+$AR65+IF('Inputs 2'!$C$89="Aggregate",MAX(0,IF('Inputs 2'!$C$13,SUMPRODUCT((($AH65+$D65)&gt;INDEX('Methodology &amp; Sources'!$B$29:$J$36,0,IF('Inputs 2'!$C$12="MFJ",1,IF('Inputs 2'!$C$12="HoH",7,4))))*(($AH65+$D65)-INDEX('Methodology &amp; Sources'!$B$29:$J$36,0,IF('Inputs 2'!$C$12="MFJ",1,IF('Inputs 2'!$C$12="HoH",7,4))))*INDEX('Methodology &amp; Sources'!$B$29:$J$36,0,IF('Inputs 2'!$C$12="MFJ",1,IF('Inputs 2'!$C$12="HoH",7,4))+2)),SUMPRODUCT((($AH65+$D65)&gt;INDEX('Methodology &amp; Sources'!$B$19:$J$26,0,IF('Inputs 2'!$C$12="MFJ",1,IF('Inputs 2'!$C$12="HoH",7,4))))*(($AH65+$D65)-INDEX('Methodology &amp; Sources'!$B$19:$J$26,0,IF('Inputs 2'!$C$12="MFJ",1,IF('Inputs 2'!$C$12="HoH",7,4))))*INDEX('Methodology &amp; Sources'!$B$19:$J$26,0,IF('Inputs 2'!$C$12="MFJ",1,IF('Inputs 2'!$C$12="HoH",7,4))+2)))-IF('Inputs 2'!$C$13,SUMPRODUCT(($AH65&gt;INDEX('Methodology &amp; Sources'!$B$29:$J$36,0,IF('Inputs 2'!$C$12="MFJ",1,IF('Inputs 2'!$C$12="HoH",7,4))))*($AH65-INDEX('Methodology &amp; Sources'!$B$29:$J$36,0,IF('Inputs 2'!$C$12="MFJ",1,IF('Inputs 2'!$C$12="HoH",7,4))))*INDEX('Methodology &amp; Sources'!$B$29:$J$36,0,IF('Inputs 2'!$C$12="MFJ",1,IF('Inputs 2'!$C$12="HoH",7,4))+2)),SUMPRODUCT(($AH65&gt;INDEX('Methodology &amp; Sources'!$B$19:$J$26,0,IF('Inputs 2'!$C$12="MFJ",1,IF('Inputs 2'!$C$12="HoH",7,4))))*($AH65-INDEX('Methodology &amp; Sources'!$B$19:$J$26,0,IF('Inputs 2'!$C$12="MFJ",1,IF('Inputs 2'!$C$12="HoH",7,4))))*INDEX('Methodology &amp; Sources'!$B$19:$J$26,0,IF('Inputs 2'!$C$12="MFJ",1,IF('Inputs 2'!$C$12="HoH",7,4))+2)))),'Methodology &amp; Sources'!$C$10*$D65),2)))</f>
      </c>
      <c r="Q65" s="7">
        <f>IF($B65="","",ROUND('Methodology &amp; Sources'!$C$4*MIN($N65,MAX(0,'Methodology &amp; Sources'!$C$3-($AX65+$AB64-$AW65))),2))</f>
      </c>
      <c r="R65" s="7">
        <f>IF($B65="","",ROUND('Methodology &amp; Sources'!$C$5*$N65,2))</f>
      </c>
      <c r="S65" s="7">
        <f>IF($B65="","",ROUND('Methodology &amp; Sources'!$C$6*MAX(0,MIN($N65,$AG64+$N65-'Methodology &amp; Sources'!$C$7)),2))</f>
      </c>
      <c r="T65" s="7">
        <f>IF($B65="","",IF('Inputs 2'!$C$26,0,IF($AN65="CA",ROUND(IF($AI65&lt;=IF(($AS65+$AT65)&gt;=2,VLOOKUP($AN65,StateTables!$A$6:$AB$56,10,FALSE),VLOOKUP($AN65,StateTables!$A$6:$AB$56,9,FALSE)),0,MAX(0,SUMPRODUCT(($AJ65&gt;INDEX('Methodology &amp; Sources'!$B$39:$J$48,0,IF($AU65="Married",4,IF($AU65="Head of household",7,1))))*($AJ65-INDEX('Methodology &amp; Sources'!$B$39:$J$48,0,IF($AU65="Married",4,IF($AU65="Head of household",7,1))))*INDEX('Methodology &amp; Sources'!$B$39:$J$48,0,IF($AU65="Married",4,IF($AU65="Head of household",7,1))+2))-VLOOKUP($AN65,StateTables!$A$6:$AB$56,11,FALSE)*$AS65)/'Inputs 2'!$C$8)+'Inputs 2'!$C$25+VLOOKUP($AN65,StateTables!$A$6:$AB$56,13,FALSE)*$D65,2),IF(VLOOKUP($AN65,StateTables!$A$6:$AB$56,4,FALSE)="None",0,IF(ISNUMBER(SEARCH("MANUAL",VLOOKUP($AN65,StateTables!$A$6:$AB$56,5,FALSE))),'Inputs 2'!$C$28,ROUND(MAX(0,$BA65+$BB65)/'Inputs 2'!$C$8+'Inputs 2'!$C$25+$BC65,2))))))</f>
      </c>
      <c r="U65" s="7">
        <f>IF($B65="","",IF(VLOOKUP($AN65,StateTables!$A$6:$AB$56,24,FALSE)="flatq",IF(OR(MONTH($B65)=1,MONTH($B65)=4,MONTH($B65)=7,MONTH($B65)=10),VLOOKUP($AN65,StateTables!$A$6:$AB$56,25,FALSE),0),IF(VLOOKUP($AN65,StateTables!$A$6:$AB$56,24,FALSE)="dbl",MIN(ROUND(0.005*$N65,2),ROUND(0.6*52/'Inputs 2'!$C$8,2)),IF(OR(VLOOKUP($AN65,StateTables!$A$6:$AB$56,15,FALSE)="",VLOOKUP($AN65,StateTables!$A$6:$AB$56,15,FALSE)=0),0,ROUND(VLOOKUP($AN65,StateTables!$A$6:$AB$56,15,FALSE)*IF(OR(VLOOKUP($AN65,StateTables!$A$6:$AB$56,16,FALSE)="",VLOOKUP($AN65,StateTables!$A$6:$AB$56,16,FALSE)=0),$N65,MIN($N65,MAX(0,VLOOKUP($AN65,StateTables!$A$6:$AB$56,16,FALSE)-($AX65+$AB64-$AW65)))),2))))+IF(VLOOKUP($AN65,StateTables!$A$6:$AB$56,27,FALSE)="flatq",IF(OR(MONTH($B65)=1,MONTH($B65)=4,MONTH($B65)=7,MONTH($B65)=10),VLOOKUP($AN65,StateTables!$A$6:$AB$56,28,FALSE),0),IF(VLOOKUP($AN65,StateTables!$A$6:$AB$56,27,FALSE)="dbl",MIN(ROUND(0.005*$N65,2),ROUND(0.6*52/'Inputs 2'!$C$8,2)),IF(OR(VLOOKUP($AN65,StateTables!$A$6:$AB$56,18,FALSE)="",VLOOKUP($AN65,StateTables!$A$6:$AB$56,18,FALSE)=0),0,ROUND(VLOOKUP($AN65,StateTables!$A$6:$AB$56,18,FALSE)*IF(OR(VLOOKUP($AN65,StateTables!$A$6:$AB$56,19,FALSE)="",VLOOKUP($AN65,StateTables!$A$6:$AB$56,19,FALSE)=0),$N65,MIN($N65,MAX(0,VLOOKUP($AN65,StateTables!$A$6:$AB$56,19,FALSE)-($AX65+$AB64-$AW65)))),2)))))</f>
      </c>
      <c r="V65" s="7">
        <f>IF($B65="","",IF($AN65="NY",IF('Inputs 2'!$C$78,ROUND(SUMPRODUCT((MAX(0,($O65-$D65)*'Inputs 2'!$C$8-(IF($AU65="Married",5500,5000)+1000*$AS65))&gt;INDEX('Methodology &amp; Sources'!$B$184:$J$198,0,4))*(MAX(0,($O65-$D65)*'Inputs 2'!$C$8-(IF($AU65="Married",5500,5000)+1000*$AS65))-INDEX('Methodology &amp; Sources'!$B$184:$J$198,0,4))*INDEX('Methodology &amp; Sources'!$B$184:$J$198,0,4+2))/'Inputs 2'!$C$8+0.0425*$D65,2),0)+IF('Inputs 2'!$C$79="Resident",ROUND(0.1675*$T65,2),IF('Inputs 2'!$C$79="Nonresident",ROUND(0.005*MAX(0,($O65-$D65)-(IF($AU65="Married",7950,7400)+1000*$AS65)/'Inputs 2'!$C$8),2),0)),IF($AN65="PA",IF('Inputs 2'!$C$80="None",'Inputs 2'!$C$27+ROUND('Inputs 2'!$C$81*($C65+$D65),2),ROUND(IF('Inputs 2'!$C$80="Resident",IF($B65&lt;DATE(2027,7,1),0.03735,0.03735),IF($B65&lt;DATE(2027,7,1),0.03425,0.03425))*($C65+$D65),2)),IF($BF65=0,ROUND('Inputs 2'!$C$81*($C65+$D65),2),'Inputs 2'!$C$27+ROUND('Inputs 2'!$C$81*($C65+$D65),2)))))</f>
      </c>
      <c r="W65" s="7">
        <f>IF($B65="","",IF($BF65=0,0,$BP65))</f>
      </c>
      <c r="X65" s="7">
        <f>IF($B65="","",SUM($E65:$K65)+$P65+$Q65+$R65+$S65+$T65+$U65+$V65+$W65)</f>
      </c>
      <c r="Y65" s="22">
        <f>IF($B65="","",$C65+$D65-$X65)</f>
      </c>
      <c r="Z65" s="7">
        <f>IF($B65="","",$Z64+$C65+$D65)</f>
      </c>
      <c r="AA65" s="7">
        <f>IF($B65="","",$AA64+$Y65)</f>
      </c>
      <c r="AB65" s="7">
        <f>IF($B65="","",$AB64+MIN($N65,MAX(0,'Methodology &amp; Sources'!$C$3-($AX65+$AB64-$AW65))))</f>
      </c>
      <c r="AC65" s="7">
        <f>IF($B65="","",$AC64+$E65+$F65)</f>
      </c>
      <c r="AD65" s="3">
        <f>IF($B65="","",IF(AND($AB64&lt;'Methodology &amp; Sources'!$C$3,$AB65&gt;='Methodology &amp; Sources'!$C$3),"★ Social Security maxed on this check — from the next check your net rises by about $"&amp;TEXT(ROUND('Methodology &amp; Sources'!$C$4*$N65,2),"#,##0.00")&amp;". ","")&amp;IF(AND($AC64&lt;'Inputs 2'!$C$34,$AC65&gt;='Inputs 2'!$C$34),"★ 401(k) reaches the $"&amp;TEXT('Inputs 2'!$C$34,"#,##0")&amp;" cap on this check — deferrals stop and net pay rises. ","")&amp;IF(AND($AG64&lt;'Methodology &amp; Sources'!$C$7,$AG65&gt;='Methodology &amp; Sources'!$C$7),"★ Wages pass $200,000 — the 0.9% Additional Medicare Tax starts here. ","")&amp;IF(AND($BJ65&gt;0,$H65&gt;0,$BG64&lt;MIN($BJ65,'Methodology &amp; Sources'!$C$13),$BG64+$H65&gt;=MIN($BJ65,'Methodology &amp; Sources'!$C$13)),"★ Health FSA election is now fully deferred for the year. ",""))</f>
      </c>
      <c r="AE65" s="41" t="n"/>
      <c r="AF65" s="7">
        <f>IF(OR($B65="",$AE65=""),"",$AE65-$Y65)</f>
      </c>
      <c r="AG65" s="7">
        <f>IF($B65="","",$AG64+$N65)</f>
      </c>
      <c r="AH65" s="7">
        <f>IF($B65="","",MAX(0,($M65-$D65)*'Inputs 2'!$C$8+$AP65-$AQ65-IF('Inputs 2'!$C$13,0,IF('Inputs 2'!$C$12="MFJ",'Methodology &amp; Sources'!$C$8,'Methodology &amp; Sources'!$C$9))))</f>
      </c>
      <c r="AI65" s="7">
        <f>IF($B65="","",$O65*'Inputs 2'!$C$8)</f>
      </c>
      <c r="AJ65" s="7">
        <f>IF($B65="","",MAX(0,$AI65-VLOOKUP($AN65,StateTables!$A$6:$AB$56,12,FALSE)*$AT65-IF(($AS65+$AT65)&gt;=2,VLOOKUP($AN65,StateTables!$A$6:$AB$56,8,FALSE),VLOOKUP($AN65,StateTables!$A$6:$AB$56,7,FALSE))))</f>
      </c>
      <c r="AK65" s="7">
        <f>IF($B65="","",IFERROR(LOOKUP(2,1/(('Events 2'!$C$6:$C$17="Salary change")*('Events 2'!$B$6:$B$17&lt;=$B65)*('Events 2'!$B$6:$B$17&lt;&gt;"")),'Events 2'!$D$6:$D$17),IF('Inputs 2'!$C$4="Annual salary",'Inputs 2'!$C$5,'Inputs 2'!$C$6)))</f>
      </c>
      <c r="AL65">
        <f>IF($B65="","",IFERROR(LOOKUP(2,1/(('Events 2'!$C$6:$C$17="401(k) change")*('Events 2'!$B$6:$B$17&lt;=$B65)*('Events 2'!$B$6:$B$17&lt;&gt;"")),'Events 2'!$D$6:$D$17),'Inputs 2'!$C$30))</f>
      </c>
      <c r="AM65" s="7">
        <f>IF($B65="","",IFERROR(LOOKUP(2,1/(('Events 2'!$C$6:$C$17="401(k) change")*('Events 2'!$B$6:$B$17&lt;=$B65)*('Events 2'!$B$6:$B$17&lt;&gt;"")),'Events 2'!$E$6:$E$17),'Inputs 2'!$D$30))</f>
      </c>
      <c r="AN65">
        <f>IF($B65="","",IFERROR(LOOKUP(2,1/(('Events 2'!$C$6:$C$17="State move")*('Events 2'!$B$6:$B$17&lt;=$B65)*('Events 2'!$B$6:$B$17&lt;&gt;"")),'Events 2'!$D$6:$D$17),'Inputs 2'!$C$21))</f>
      </c>
      <c r="AO65" s="7">
        <f>IF($B65="","",IFERROR(LOOKUP(2,1/(('Events 2'!$C$6:$C$17="W-4 change")*('Events 2'!$B$6:$B$17&lt;=$B65)*('Events 2'!$B$6:$B$17&lt;&gt;"")),'Events 2'!$D$6:$D$17),'Inputs 2'!$C$14))</f>
      </c>
      <c r="AP65" s="7">
        <f>IF($B65="","",IFERROR(LOOKUP(2,1/(('Events 2'!$C$6:$C$17="W-4 change")*('Events 2'!$B$6:$B$17&lt;=$B65)*('Events 2'!$B$6:$B$17&lt;&gt;"")),'Events 2'!$E$6:$E$17),'Inputs 2'!$C$15))</f>
      </c>
      <c r="AQ65" s="7">
        <f>IF($B65="","",IFERROR(LOOKUP(2,1/(('Events 2'!$C$6:$C$17="W-4 change")*('Events 2'!$B$6:$B$17&lt;=$B65)*('Events 2'!$B$6:$B$17&lt;&gt;"")),'Events 2'!$F$6:$F$17),'Inputs 2'!$C$16))</f>
      </c>
      <c r="AR65" s="7">
        <f>IF($B65="","",IFERROR(LOOKUP(2,1/(('Events 2'!$C$6:$C$17="W-4 change")*('Events 2'!$B$6:$B$17&lt;=$B65)*('Events 2'!$B$6:$B$17&lt;&gt;"")),'Events 2'!$G$6:$G$17),'Inputs 2'!$C$17))</f>
      </c>
      <c r="AS65" s="6">
        <f>IF($B65="","",IFERROR(LOOKUP(2,1/((('Events 2'!$C$6:$C$17="State move")+('Events 2'!$C$6:$C$17="State cert change"))*('Events 2'!$B$6:$B$17&lt;=$B65)*('Events 2'!$B$6:$B$17&lt;&gt;"")),'Events 2'!$F$6:$F$17),'Inputs 2'!$C$23))</f>
      </c>
      <c r="AT65" s="6">
        <f>IF($B65="","",IFERROR(LOOKUP(2,1/((('Events 2'!$C$6:$C$17="State move")+('Events 2'!$C$6:$C$17="State cert change"))*('Events 2'!$B$6:$B$17&lt;=$B65)*('Events 2'!$B$6:$B$17&lt;&gt;"")),'Events 2'!$G$6:$G$17),'Inputs 2'!$C$24))</f>
      </c>
      <c r="AU65">
        <f>IF($B65="","",IFERROR(LOOKUP(2,1/(('Events 2'!$C$6:$C$17="State move")*('Events 2'!$B$6:$B$17&lt;=$B65)*('Events 2'!$B$6:$B$17&lt;&gt;"")),'Events 2'!$E$6:$E$17),'Inputs 2'!$C$22))</f>
      </c>
      <c r="AV65" s="6">
        <f>IF($B65="","",1+COUNTIFS('Events 2'!$C$6:$C$17,"Employer change",'Events 2'!$B$6:$B$17,"&lt;="&amp;$B65,'Events 2'!$B$6:$B$17,"&lt;&gt;"))</f>
      </c>
      <c r="AW65" s="7">
        <f>IF($B65="","",IF($AV65=1,'Inputs 2'!$C$49,IF(IFERROR(MATCH(IFERROR(LOOKUP(2,1/(('Events 2'!$C$6:$C$17="Employer change")*('Events 2'!$B$6:$B$17&lt;=$B65)*('Events 2'!$B$6:$B$17&lt;&gt;"")),'Events 2'!$B$6:$B$17),""),$B$6:$B$68,1),1)&lt;=1,'Inputs 2'!$C$49,INDEX($AB$6:$AB$68,MATCH(IFERROR(LOOKUP(2,1/(('Events 2'!$C$6:$C$17="Employer change")*('Events 2'!$B$6:$B$17&lt;=$B65)*('Events 2'!$B$6:$B$17&lt;&gt;"")),'Events 2'!$B$6:$B$17),""),$B$6:$B$68,1)-1))))</f>
      </c>
      <c r="AX65" s="7">
        <f>IF($B65="","",IF($AV65=1,'Inputs 2'!$C$49,IFERROR(LOOKUP(2,1/(('Events 2'!$C$6:$C$17="Employer change")*('Events 2'!$B$6:$B$17&lt;=$B65)*('Events 2'!$B$6:$B$17&lt;&gt;"")),'Events 2'!$D$6:$D$17),0)))</f>
      </c>
      <c r="AY65" s="7">
        <f>IF($B65="","",($O65-$D65)*'Inputs 2'!$C$8)</f>
      </c>
      <c r="AZ65" s="7">
        <f>IF($B65="","",IF($AN65="AL",MAX(0,$AY65-IF($AU65="Married",IF($AY65&lt;=25999,8500,MAX(5000,8500-175*CEILING(($AY65-25999)/500,1))),IF($AU65="Head of household",IF($AY65&lt;=25999,5200,MAX(2500,5200-135*CEILING(($AY65-25999)/500,1))),IF($AY65&lt;=25999,3000,MAX(2500,3000-25*CEILING(($AY65-25999)/500,1)))))-($P65-'Methodology &amp; Sources'!$C$10*$D65)*'Inputs 2'!$C$8-IF(OR($AU65="Married",$AU65="Head of household"),3000,1500)-$AT65*IF($AY65&lt;=50000,1000,IF($AY65&lt;=100000,500,300))),IF($AN65="AR",IF(MAX(0,$AY65-2470)&lt;97701,INT(MAX(0,$AY65-2470)/100)*100+50,MAX(0,$AY65-2470)),IF($AN65="DE",MAX(0,$AI65-3250),IF($AN65="HI",MAX(0,$AI65-1144*$AS65-4350),IF($AN65="KS",MAX(0,$AI65-(9160*IF($AU65="Married",2,1)+2320*$AT65+IF($AU65="Head of household",2320,0))),IF($AN65="MD",MAX(0,$AI65-3400-3200*$AS65),IF($AN65="MN",MAX(0,$AY65-5300*$AS65),IF($AN65="MO",MAX(0,$AI65-IF($AU65="Head of household",24150,IF($AU65="Married",IF('Inputs 2'!$C$83,16100,32200),16100))),IF($AN65="MT",$AY65,IF($AN65="ND",($C65+$L65)*'Inputs 2'!$C$8,IF($AN65="NE",MAX(0,$AY65-2440*$AS65),IF($AN65="NJ",MAX(0,$AY65-1000*$AS65),IF($AN65="NY",MAX(0,$AY65-(IF($AU65="Married",7950,7400)+1000*$AS65)),IF($AN65="OH",MAX(0,$AY65-650*$AS65),IF($AN65="OK",MAX(0,$AY65-1000*$AS65),IF($AN65="RI",MAX(0,$AI65-1000*$AS65),IF($AN65="SC",MAX(0,$AI65-5000*$AS65-IF($AS65=0,0,MIN(0.1*$AI65,7500))),IF($AN65="VA",MAX(0,$AI65-IF($AU65="Married",17500,8750)-930*$AS65-800*$AT65),IF($AN65="VT",MAX(0,$AI65-5400*$AS65),IF($AN65="WI",MAX(0,$AI65-MAX(0,IF($AU65="Married",9461-0.2*MAX(0,$AI65-25727),6702-0.12*MAX(0,$AI65-17780)))-400*$AS65),IF($AN65="WV",MAX(0,$AI65-2000*$AS65),$AI65))))))))))))))))))))))</f>
      </c>
      <c r="BA65" s="7">
        <f>IF($B65="","",IF($BW65&lt;&gt;"",$BW65,IF($BX65&lt;&gt;"",$BX65,IF($BY65&lt;&gt;"",$BY65,0))))</f>
      </c>
      <c r="BB65" s="7">
        <f>IF($B65="","",IF($AN65="AR",-29*$AS65,IF($AN65="DE",-110*$AS65,IF($AN65="MD",$AZ65*'Inputs 2'!$C$74,IF($AN65="AZ",'Inputs 2'!$C$82*($M65-$D65)*'Inputs 2'!$C$8,IF($AN65="CO",0.044*MAX(0,$AY65-IF($AU65="Married",10000,5000)),IF($AN65="IA",MAX(0,0.038*MAX(0,$AY65-IF($AU65="Head of household",19500,IF($AU65="Married",26000,13000)))-40*$AS65),IF($AN65="ID",0.053*MAX(0,$AY65-IF($AU65="Married",32000,16094)),IF($AN65="IL",0.0495*MAX(0,$AY65-(2925*$AS65+1000*$AT65)),IF($AN65="IN",(0.0295+'Inputs 2'!$C$76)*MAX(0,$AY65-(1000*$AS65+1500*$AT65+3000*'Inputs 2'!$C$86)),IF($AN65="KY",0.035*MAX(0,$AI65-3360),IF($AN65="LA",IF('Inputs 2'!$C$84="0",0.0309*$AI65,0.0309*MAX(0,$AI65-IF('Inputs 2'!$C$84="2",25750,12875))),IF($AN65="MA",0.05*MIN(MAX(0,$AY65-MIN(($BD64+$Q65+$R65+$S65),2000)-IF($AS65=0,0,IF($AS65=1,4400,1000*$AS65+3400))),1107750)+0.09*MAX(0,MAX(0,$AY65-MIN(($BD64+$Q65+$R65+$S65),2000)-IF($AS65=0,0,IF($AS65=1,4400,1000*$AS65+3400)))-1107750)-IF($AU65="Head of household",120,0)-110*'Inputs 2'!$C$75,IF($AN65="MI",0.0425*MAX(0,$AY65-5900*$AS65),IF($AN65="MS",0.04*MAX(0,$AI65-IF($AU65="Head of household",3400,IF($AU65="Married",4600,2300))-'Inputs 2'!$C$85-10000),IF($AN65="OR",IF(OR($AU65="Married",AND($AU65="Single",$AS65&gt;=3)),SUMPRODUCT((MAX(0,$AY65-MIN(($P65-'Methodology &amp; Sources'!$C$10*$D65)*'Inputs 2'!$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Sources'!$B$211:$J$214,0,4))*(MAX(0,$AY65-MIN(($P65-'Methodology &amp; Sources'!$C$10*$D65)*'Inputs 2'!$C$8,IF(OR($AU65="Married",AND($AU65="Single",$AS65&gt;=3)),IF($AY65&lt;250000,8750,IF($AY65&lt;260000,7000,IF($AY65&lt;270000,5250,IF($AY65&lt;280000,3500,IF($AY65&lt;290000,1750,0))))),IF($AY65&lt;125000,8750,IF($AY65&lt;130000,7000,IF($AY65&lt;135000,5250,IF($AY65&lt;140000,3500,IF($AY65&lt;145000,1750,0)))))))-IF(OR($AU65="Married",AND($AU65="Single",$AS65&gt;=3)),5820,2910))-INDEX('Methodology &amp; Sources'!$B$211:$J$214,0,4))*INDEX('Methodology &amp; Sources'!$B$211:$J$214,0,4+2)),SUMPRODUCT((MAX(0,$AY65-MIN(($P65-'Methodology &amp; Sources'!$C$10*$D65)*'Inputs 2'!$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Sources'!$B$211:$J$214,0,1))*(MAX(0,$AY65-MIN(($P65-'Methodology &amp; Sources'!$C$10*$D65)*'Inputs 2'!$C$8,IF(OR($AU65="Married",AND($AU65="Single",$AS65&gt;=3)),IF($AY65&lt;250000,8750,IF($AY65&lt;260000,7000,IF($AY65&lt;270000,5250,IF($AY65&lt;280000,3500,IF($AY65&lt;290000,1750,0))))),IF($AY65&lt;125000,8750,IF($AY65&lt;130000,7000,IF($AY65&lt;135000,5250,IF($AY65&lt;140000,3500,IF($AY65&lt;145000,1750,0)))))))-IF(OR($AU65="Married",AND($AU65="Single",$AS65&gt;=3)),5820,2910))-INDEX('Methodology &amp; Sources'!$B$211:$J$214,0,1))*INDEX('Methodology &amp; Sources'!$B$211:$J$214,0,1+2)))+263-263*IF(IF($AU65="Married",$AY65&gt;200000,$AY65&gt;100000),0,$AS65),IF($AN65="PA",0.0307*(($O65+$E65+$G65)*'Inputs 2'!$C$8),IF($AN65="NY",IF($AU65="Married",IF($AZ65&gt;=2155350,0,IF($AZ65&gt;=1077550,0.48,IF($AZ65&gt;=373200,1.21,IF($AZ65&gt;=323200,0.21,IF($AZ65&gt;=211550,-0.19,IF($AZ65&gt;=157650,-2.8,IF($AZ65&gt;=107650,-0.8,IF($AZ65&gt;=96800,0.05,IF($AZ65&gt;=80650,-0.1,IF($AZ65&gt;=13900,0.4,IF($AZ65&gt;=11700,-0.3,IF($AZ65&gt;=8500,0.5,0)))))))))))),IF($AZ65&gt;=1077550,0,IF($AZ65&gt;=265400,4.29,IF($AZ65&gt;=215400,2.29,IF($AZ65&gt;=157650,2.29,IF($AZ65&gt;=107650,0.29,IF($AZ65&gt;=96800,0.05,IF($AZ65&gt;=80650,-0.1,IF($AZ65&gt;=13900,0.4,IF($AZ65&gt;=11700,-0.3,IF($AZ65&gt;=8500,0.5,0))))))))))),0))))))))))))))))))</f>
      </c>
      <c r="BC65" s="7">
        <f>IF($B65="","",IF($AN65="AL",0.05*$D65,IF($AN65="AR",0.039*$D65,IF($AN65="ID",0.053*$D65,IF($AN65="IN",(0.0295+'Inputs 2'!$C$76)*$D65,IF($AN65="KS",0.05*$D65,IF($AN65="MA",0.09*MIN($D65,MAX(0,MAX(0,$AY65-MIN(($BD64+$Q65+$R65+$S65),2000)-IF($AS65=0,0,IF($AS65=1,4400,1000*$AS65+3400)))+$D65-1107750))+0.05*($D65-MIN($D65,MAX(0,MAX(0,$AY65-MIN(($BD64+$Q65+$R65+$S65),2000)-IF($AS65=0,0,IF($AS65=1,4400,1000*$AS65+3400)))+$D65-1107750))),IF($AN65="MD",(0.065+'Inputs 2'!$C$74)*$D65,IF($AN65="MI",0.0425*$D65,IF($AN65="MN",0.0625*$D65,IF($AN65="MO",0.047*$D65,IF($AN65="MT",0.05*$D65,IF($AN65="ND",0.015*$D65,IF($AN65="NE",0.035*$D65,IF($AN65="NJ",IF('Inputs 2'!$C$77="B",SUMPRODUCT(($D65*'Inputs 2'!$C$8&gt;INDEX('Methodology &amp; Sources'!$B$155:$J$162,0,4))*($D65*'Inputs 2'!$C$8-INDEX('Methodology &amp; Sources'!$B$155:$J$162,0,4))*INDEX('Methodology &amp; Sources'!$B$155:$J$162,0,4+2)),IF('Inputs 2'!$C$77="C",SUMPRODUCT(($D65*'Inputs 2'!$C$8&gt;INDEX('Methodology &amp; Sources'!$B$155:$J$162,0,7))*($D65*'Inputs 2'!$C$8-INDEX('Methodology &amp; Sources'!$B$155:$J$162,0,7))*INDEX('Methodology &amp; Sources'!$B$155:$J$162,0,7+2)),IF('Inputs 2'!$C$77="D",SUMPRODUCT(($D65*'Inputs 2'!$C$8&gt;INDEX('Methodology &amp; Sources'!$B$167:$J$179,0,1))*($D65*'Inputs 2'!$C$8-INDEX('Methodology &amp; Sources'!$B$167:$J$179,0,1))*INDEX('Methodology &amp; Sources'!$B$167:$J$179,0,1+2)),IF('Inputs 2'!$C$77="E",SUMPRODUCT(($D65*'Inputs 2'!$C$8&gt;INDEX('Methodology &amp; Sources'!$B$167:$J$179,0,4))*($D65*'Inputs 2'!$C$8-INDEX('Methodology &amp; Sources'!$B$167:$J$179,0,4))*INDEX('Methodology &amp; Sources'!$B$167:$J$179,0,4+2)),SUMPRODUCT(($D65*'Inputs 2'!$C$8&gt;INDEX('Methodology &amp; Sources'!$B$155:$J$162,0,1))*($D65*'Inputs 2'!$C$8-INDEX('Methodology &amp; Sources'!$B$155:$J$162,0,1))*INDEX('Methodology &amp; Sources'!$B$155:$J$162,0,1+2))))))/'Inputs 2'!$C$8,IF($AN65="NY",0.117*$D65,IF($AN65="OH",0.0275*$D65,IF($AN65="OK",0.045*$D65,IF($AN65="OR",0.08*$D65,IF($AN65="WI",IF($AY65&lt;12760,0.0354,IF($AY65&lt;25520,0.0465,IF($AY65&lt;280950,0.053,0.0765)))*$D65,0))))))))))))))))))))</f>
      </c>
      <c r="BD65" s="7">
        <f>IF($B65="","",$BD64+$Q65+$R65+$S65)</f>
      </c>
      <c r="BE65" s="6">
        <f>IF($B65="",$BE64,$BE64+$BF65)</f>
      </c>
      <c r="BF65" s="6">
        <f>IF($B65="","",IF(AND(IF(YEAR(IF('Inputs 2'!$C$7="Weekly",'Inputs 2'!$C$9+7*(($BE64+1)-1),IF('Inputs 2'!$C$7="Biweekly",'Inputs 2'!$C$9+14*(($BE64+1)-1),IF('Inputs 2'!$C$7="Semimonthly",DATE(YEAR('Inputs 2'!$C$9),MONTH('Inputs 2'!$C$9)+INT((($BE64+1)-1)/2),MIN(DAY('Inputs 2'!$C$9),DAY(EOMONTH(DATE(YEAR('Inputs 2'!$C$9),MONTH('Inputs 2'!$C$9)+INT((($BE64+1)-1)/2),1),0))))+IF(MOD(($BE64+1)-1,2)=1,15,0),EDATE('Inputs 2'!$C$9,($BE64+1)-1)))))&lt;&gt;'Inputs 2'!$C$10,"",IF('Inputs 2'!$C$7="Weekly",'Inputs 2'!$C$9+7*(($BE64+1)-1),IF('Inputs 2'!$C$7="Biweekly",'Inputs 2'!$C$9+14*(($BE64+1)-1),IF('Inputs 2'!$C$7="Semimonthly",DATE(YEAR('Inputs 2'!$C$9),MONTH('Inputs 2'!$C$9)+INT((($BE64+1)-1)/2),MIN(DAY('Inputs 2'!$C$9),DAY(EOMONTH(DATE(YEAR('Inputs 2'!$C$9),MONTH('Inputs 2'!$C$9)+INT((($BE64+1)-1)/2),1),0))))+IF(MOD(($BE64+1)-1,2)=1,15,0),EDATE('Inputs 2'!$C$9,($BE64+1)-1)))))&lt;&gt;"",$B65=IF(YEAR(IF('Inputs 2'!$C$7="Weekly",'Inputs 2'!$C$9+7*(($BE64+1)-1),IF('Inputs 2'!$C$7="Biweekly",'Inputs 2'!$C$9+14*(($BE64+1)-1),IF('Inputs 2'!$C$7="Semimonthly",DATE(YEAR('Inputs 2'!$C$9),MONTH('Inputs 2'!$C$9)+INT((($BE64+1)-1)/2),MIN(DAY('Inputs 2'!$C$9),DAY(EOMONTH(DATE(YEAR('Inputs 2'!$C$9),MONTH('Inputs 2'!$C$9)+INT((($BE64+1)-1)/2),1),0))))+IF(MOD(($BE64+1)-1,2)=1,15,0),EDATE('Inputs 2'!$C$9,($BE64+1)-1)))))&lt;&gt;'Inputs 2'!$C$10,"",IF('Inputs 2'!$C$7="Weekly",'Inputs 2'!$C$9+7*(($BE64+1)-1),IF('Inputs 2'!$C$7="Biweekly",'Inputs 2'!$C$9+14*(($BE64+1)-1),IF('Inputs 2'!$C$7="Semimonthly",DATE(YEAR('Inputs 2'!$C$9),MONTH('Inputs 2'!$C$9)+INT((($BE64+1)-1)/2),MIN(DAY('Inputs 2'!$C$9),DAY(EOMONTH(DATE(YEAR('Inputs 2'!$C$9),MONTH('Inputs 2'!$C$9)+INT((($BE64+1)-1)/2),1),0))))+IF(MOD(($BE64+1)-1,2)=1,15,0),EDATE('Inputs 2'!$C$9,($BE64+1)-1)))))),1,0))</f>
      </c>
      <c r="BG65" s="7">
        <f>IF($B65="","",$BG64+$H65)</f>
      </c>
      <c r="BH65" s="7">
        <f>IF($B65="","",$BH64+$I65)</f>
      </c>
      <c r="BI65" s="7">
        <f>IF($B65="","",$BI64+$G65)</f>
      </c>
      <c r="BJ65" s="7">
        <f>IF($B65="","",IFERROR(LOOKUP(2,1/(((('Events 2'!$C$6:$C$17="Deduction start"))*('Events 2'!$D$6:$D$17="Health FSA"))*('Events 2'!$B$6:$B$17&lt;=$B65)*('Events 2'!$B$6:$B$17&lt;&gt;"")),'Events 2'!$E$6:$E$17),'Inputs 2'!$D$38))</f>
      </c>
      <c r="BK65" s="7">
        <f>IF($B65="","",IFERROR(LOOKUP(2,1/(((('Events 2'!$C$6:$C$17="Deduction start"))*('Events 2'!$D$6:$D$17="Dependent-care FSA"))*('Events 2'!$B$6:$B$17&lt;=$B65)*('Events 2'!$B$6:$B$17&lt;&gt;"")),'Events 2'!$E$6:$E$17),'Inputs 2'!$D$39))</f>
      </c>
      <c r="BL65" s="7">
        <f>IF($B65="","",IFERROR(LOOKUP(2,1/(((('Events 2'!$C$6:$C$17="Deduction start")+('Events 2'!$C$6:$C$17="Deduction stop"))*('Events 2'!$D$6:$D$17="HSA"))*('Events 2'!$B$6:$B$17&lt;=$B65)*('Events 2'!$B$6:$B$17&lt;&gt;"")),'Events 2'!$I$6:$I$17),'Inputs 2'!$D$35))</f>
      </c>
      <c r="BM65" s="7">
        <f>IF($B65="","",IFERROR(LOOKUP(2,1/(((('Events 2'!$C$6:$C$17="Deduction start")+('Events 2'!$C$6:$C$17="Deduction stop"))*('Events 2'!$D$6:$D$17="Premiums"))*('Events 2'!$B$6:$B$17&lt;=$B65)*('Events 2'!$B$6:$B$17&lt;&gt;"")),'Events 2'!$I$6:$I$17),'Inputs 2'!$D$40+'Inputs 2'!$D$41+'Inputs 2'!$D$42))</f>
      </c>
      <c r="BN65" s="7">
        <f>IF($B65="","",IFERROR(LOOKUP(2,1/(((('Events 2'!$C$6:$C$17="Deduction start")+('Events 2'!$C$6:$C$17="Deduction stop"))*('Events 2'!$D$6:$D$17="Commuter"))*('Events 2'!$B$6:$B$17&lt;=$B65)*('Events 2'!$B$6:$B$17&lt;&gt;"")),'Events 2'!$I$6:$I$17),'Inputs 2'!$D$43))</f>
      </c>
      <c r="BO65" s="7">
        <f>IF($B65="","",IFERROR(LOOKUP(2,1/(((('Events 2'!$C$6:$C$17="Deduction start")+('Events 2'!$C$6:$C$17="Deduction stop"))*('Events 2'!$D$6:$D$17="Other pre-tax"))*('Events 2'!$B$6:$B$17&lt;=$B65)*('Events 2'!$B$6:$B$17&lt;&gt;"")),'Events 2'!$I$6:$I$17),'Inputs 2'!$D$44))</f>
      </c>
      <c r="BP65" s="7">
        <f>IF($B65="","",IFERROR(LOOKUP(2,1/(((('Events 2'!$C$6:$C$17="Deduction start")+('Events 2'!$C$6:$C$17="Deduction stop"))*('Events 2'!$D$6:$D$17="Other post-tax"))*('Events 2'!$B$6:$B$17&lt;=$B65)*('Events 2'!$B$6:$B$17&lt;&gt;"")),'Events 2'!$I$6:$I$17),'Inputs 2'!$D$45))</f>
      </c>
      <c r="BQ65" s="6">
        <f>IF($B65="","",IFERROR(LOOKUP(2,1/(((('Events 2'!$C$6:$C$17="Deduction start")+('Events 2'!$C$6:$C$17="Deduction stop"))*('Events 2'!$D$6:$D$17="Health FSA"))*('Events 2'!$B$6:$B$17&lt;=$B65)*('Events 2'!$B$6:$B$17&lt;&gt;"")),'Events 2'!$J$6:$J$17),0))</f>
      </c>
      <c r="BR65" s="6">
        <f>IF($B65="","",IFERROR(LOOKUP(2,1/(((('Events 2'!$C$6:$C$17="Deduction start")+('Events 2'!$C$6:$C$17="Deduction stop"))*('Events 2'!$D$6:$D$17="Dependent-care FSA"))*('Events 2'!$B$6:$B$17&lt;=$B65)*('Events 2'!$B$6:$B$17&lt;&gt;"")),'Events 2'!$J$6:$J$17),0))</f>
      </c>
      <c r="BS65" s="6">
        <f>IF($B65="","",IF(SUMPRODUCT(('Events 2'!$C$6:$C$17="Deduction start")*('Events 2'!$B$6:$B$17&lt;=$B65)*('Events 2'!$B$6:$B$17&lt;&gt;"")*('Events 2'!$D$6:$D$17="Health FSA"))&gt;0,1,0))</f>
      </c>
      <c r="BT65" s="6">
        <f>IF($B65="","",IF(SUMPRODUCT(('Events 2'!$C$6:$C$17="Deduction start")*('Events 2'!$B$6:$B$17&lt;=$B65)*('Events 2'!$B$6:$B$17&lt;&gt;"")*('Events 2'!$D$6:$D$17="Dependent-care FSA"))&gt;0,1,0))</f>
      </c>
      <c r="BU65" s="24">
        <f>IF($B65="","",IF('Inputs 2'!$C$13,SUMPRODUCT(($AH65&gt;=INDEX('Methodology &amp; Sources'!$B$29:$J$36,0,IF('Inputs 2'!$C$12="MFJ",1,IF('Inputs 2'!$C$12="HoH",7,4))))*INDEX('Methodology &amp; Sources'!$B$29:$J$36,0,IF('Inputs 2'!$C$12="MFJ",1,IF('Inputs 2'!$C$12="HoH",7,4))+2)),SUMPRODUCT(($AH65&gt;=INDEX('Methodology &amp; Sources'!$B$19:$J$26,0,IF('Inputs 2'!$C$12="MFJ",1,IF('Inputs 2'!$C$12="HoH",7,4))))*INDEX('Methodology &amp; Sources'!$B$19:$J$26,0,IF('Inputs 2'!$C$12="MFJ",1,IF('Inputs 2'!$C$12="HoH",7,4))+2))))</f>
      </c>
      <c r="BV65" s="24">
        <f>IF($B65="","",IF($BZ65&lt;&gt;"",$BZ65,IF($CA65&lt;&gt;"",$CA65,IF($CB65&lt;&gt;"",$CB65,IF($CC65&lt;&gt;"",$CC65,0)))))</f>
      </c>
      <c r="BW65" s="7">
        <f>IF($B65="","",IF($AN65="MD",IF(OR($AU65="Married",$AU65="Head of household"),SUMPRODUCT(($AZ65&gt;INDEX('Methodology &amp; Sources'!$B$114:$J$120,0,1))*($AZ65-INDEX('Methodology &amp; Sources'!$B$114:$J$120,0,1))*INDEX('Methodology &amp; Sources'!$B$114:$J$120,0,1+2)),SUMPRODUCT(($AZ65&gt;INDEX('Methodology &amp; Sources'!$B$103:$J$109,0,7))*($AZ65-INDEX('Methodology &amp; Sources'!$B$103:$J$109,0,7))*INDEX('Methodology &amp; Sources'!$B$103:$J$109,0,7+2))),IF($AN65="MO",SUMPRODUCT(($AZ65&gt;INDEX('Methodology &amp; Sources'!$B$125:$J$132,0,1))*($AZ65-INDEX('Methodology &amp; Sources'!$B$125:$J$132,0,1))*INDEX('Methodology &amp; Sources'!$B$125:$J$132,0,1+2)),IF($AN65="MT",IF($AU65="Head of household",SUMPRODUCT(($AZ65&gt;INDEX('Methodology &amp; Sources'!$B$137:$J$139,0,1))*($AZ65-INDEX('Methodology &amp; Sources'!$B$137:$J$139,0,1))*INDEX('Methodology &amp; Sources'!$B$137:$J$139,0,1+2)),IF($AU65="Married",SUMPRODUCT(($AZ65&gt;INDEX('Methodology &amp; Sources'!$B$125:$J$132,0,7))*($AZ65-INDEX('Methodology &amp; Sources'!$B$125:$J$132,0,7))*INDEX('Methodology &amp; Sources'!$B$125:$J$132,0,7+2)),SUMPRODUCT(($AZ65&gt;INDEX('Methodology &amp; Sources'!$B$125:$J$132,0,4))*($AZ65-INDEX('Methodology &amp; Sources'!$B$125:$J$132,0,4))*INDEX('Methodology &amp; Sources'!$B$125:$J$132,0,4+2)))),IF($AN65="ND",IF($AU65="Head of household",SUMPRODUCT(($AZ65&gt;INDEX('Methodology &amp; Sources'!$B$144:$J$150,0,1))*($AZ65-INDEX('Methodology &amp; Sources'!$B$144:$J$150,0,1))*INDEX('Methodology &amp; Sources'!$B$144:$J$150,0,1+2)),IF($AU65="Married",SUMPRODUCT(($AZ65&gt;INDEX('Methodology &amp; Sources'!$B$137:$J$139,0,7))*($AZ65-INDEX('Methodology &amp; Sources'!$B$137:$J$139,0,7))*INDEX('Methodology &amp; Sources'!$B$137:$J$139,0,7+2)),SUMPRODUCT(($AZ65&gt;INDEX('Methodology &amp; Sources'!$B$137:$J$139,0,4))*($AZ65-INDEX('Methodology &amp; Sources'!$B$137:$J$139,0,4))*INDEX('Methodology &amp; Sources'!$B$137:$J$139,0,4+2)))),IF($AN65="NJ",IF('Inputs 2'!$C$77="B",SUMPRODUCT(($AZ65&gt;INDEX('Methodology &amp; Sources'!$B$155:$J$162,0,4))*($AZ65-INDEX('Methodology &amp; Sources'!$B$155:$J$162,0,4))*INDEX('Methodology &amp; Sources'!$B$155:$J$162,0,4+2)),IF('Inputs 2'!$C$77="C",SUMPRODUCT(($AZ65&gt;INDEX('Methodology &amp; Sources'!$B$155:$J$162,0,7))*($AZ65-INDEX('Methodology &amp; Sources'!$B$155:$J$162,0,7))*INDEX('Methodology &amp; Sources'!$B$155:$J$162,0,7+2)),IF('Inputs 2'!$C$77="D",SUMPRODUCT(($AZ65&gt;INDEX('Methodology &amp; Sources'!$B$167:$J$179,0,1))*($AZ65-INDEX('Methodology &amp; Sources'!$B$167:$J$179,0,1))*INDEX('Methodology &amp; Sources'!$B$167:$J$179,0,1+2)),IF('Inputs 2'!$C$77="E",SUMPRODUCT(($AZ65&gt;INDEX('Methodology &amp; Sources'!$B$167:$J$179,0,4))*($AZ65-INDEX('Methodology &amp; Sources'!$B$167:$J$179,0,4))*INDEX('Methodology &amp; Sources'!$B$167:$J$179,0,4+2)),SUMPRODUCT(($AZ65&gt;INDEX('Methodology &amp; Sources'!$B$155:$J$162,0,1))*($AZ65-INDEX('Methodology &amp; Sources'!$B$155:$J$162,0,1))*INDEX('Methodology &amp; Sources'!$B$155:$J$162,0,1+2)))))),IF($AN65="NY",IF($AU65="Married",IF($AZ65&gt;=2155350,$AZ65*IF($AZ65&gt;25000000,0.117,IF($AZ65&gt;5000000,0.111,0.1045)),SUMPRODUCT(($AZ65&gt;INDEX('Methodology &amp; Sources'!$B$184:$J$198,0,1))*($AZ65-INDEX('Methodology &amp; Sources'!$B$184:$J$198,0,1))*INDEX('Methodology &amp; Sources'!$B$184:$J$198,0,1+2))),IF($AZ65&gt;=1077550,$AZ65*IF($AZ65&gt;25000000,0.117,IF($AZ65&gt;5000000,0.111,0.1045)),SUMPRODUCT(($AZ65&gt;INDEX('Methodology &amp; Sources'!$B$167:$J$179,0,7))*($AZ65-INDEX('Methodology &amp; Sources'!$B$167:$J$179,0,7))*INDEX('Methodology &amp; Sources'!$B$167:$J$179,0,7+2)))),"")))))))</f>
      </c>
      <c r="BX65" s="7">
        <f>IF($B65="","",IF($AN65="AL",IF(OR($AU65="Married",$AU65="Head of household"),SUMPRODUCT(($AZ65&gt;INDEX('Methodology &amp; Sources'!$B$82:$J$86,0,4))*($AZ65-INDEX('Methodology &amp; Sources'!$B$82:$J$86,0,4))*INDEX('Methodology &amp; Sources'!$B$82:$J$86,0,4+2)),SUMPRODUCT(($AZ65&gt;INDEX('Methodology &amp; Sources'!$B$82:$J$86,0,1))*($AZ65-INDEX('Methodology &amp; Sources'!$B$82:$J$86,0,1))*INDEX('Methodology &amp; Sources'!$B$82:$J$86,0,1+2))),IF($AN65="KS",IF($AU65="Married",SUMPRODUCT(($AZ65&gt;INDEX('Methodology &amp; Sources'!$B$103:$J$109,0,4))*($AZ65-INDEX('Methodology &amp; Sources'!$B$103:$J$109,0,4))*INDEX('Methodology &amp; Sources'!$B$103:$J$109,0,4+2)),SUMPRODUCT(($AZ65&gt;INDEX('Methodology &amp; Sources'!$B$103:$J$109,0,1))*($AZ65-INDEX('Methodology &amp; Sources'!$B$103:$J$109,0,1))*INDEX('Methodology &amp; Sources'!$B$103:$J$109,0,1+2))),IF($AN65="MN",IF($AU65="Married",SUMPRODUCT(($AZ65&gt;INDEX('Methodology &amp; Sources'!$B$114:$J$120,0,7))*($AZ65-INDEX('Methodology &amp; Sources'!$B$114:$J$120,0,7))*INDEX('Methodology &amp; Sources'!$B$114:$J$120,0,7+2)),SUMPRODUCT(($AZ65&gt;INDEX('Methodology &amp; Sources'!$B$114:$J$120,0,4))*($AZ65-INDEX('Methodology &amp; Sources'!$B$114:$J$120,0,4))*INDEX('Methodology &amp; Sources'!$B$114:$J$120,0,4+2))),IF($AN65="NE",MAX(IF($AU65="Married",SUMPRODUCT(($AZ65&gt;INDEX('Methodology &amp; Sources'!$B$144:$J$150,0,7))*($AZ65-INDEX('Methodology &amp; Sources'!$B$144:$J$150,0,7))*INDEX('Methodology &amp; Sources'!$B$144:$J$150,0,7+2)),SUMPRODUCT(($AZ65&gt;INDEX('Methodology &amp; Sources'!$B$144:$J$150,0,4))*($AZ65-INDEX('Methodology &amp; Sources'!$B$144:$J$150,0,4))*INDEX('Methodology &amp; Sources'!$B$144:$J$150,0,4+2))),0.015*$AZ65),IF($AN65="OH",IF($B65&gt;=DATE(2027,8,1),SUMPRODUCT(($AZ65&gt;INDEX('Methodology &amp; Sources'!$B$203:$J$206,0,1))*($AZ65-INDEX('Methodology &amp; Sources'!$B$203:$J$206,0,1))*INDEX('Methodology &amp; Sources'!$B$203:$J$206,0,1+2)),SUMPRODUCT(($AZ65&gt;INDEX('Methodology &amp; Sources'!$B$184:$J$198,0,7))*($AZ65-INDEX('Methodology &amp; Sources'!$B$184:$J$198,0,7))*INDEX('Methodology &amp; Sources'!$B$184:$J$198,0,7+2))),IF($AN65="OK",IF($AU65="Married",SUMPRODUCT(($AZ65&gt;INDEX('Methodology &amp; Sources'!$B$203:$J$206,0,7))*($AZ65-INDEX('Methodology &amp; Sources'!$B$203:$J$206,0,7))*INDEX('Methodology &amp; Sources'!$B$203:$J$206,0,7+2)),SUMPRODUCT(($AZ65&gt;INDEX('Methodology &amp; Sources'!$B$203:$J$206,0,4))*($AZ65-INDEX('Methodology &amp; Sources'!$B$203:$J$206,0,4))*INDEX('Methodology &amp; Sources'!$B$203:$J$206,0,4+2))),IF($AN65="RI",SUMPRODUCT(($AZ65&gt;INDEX('Methodology &amp; Sources'!$B$211:$J$214,0,7))*($AZ65-INDEX('Methodology &amp; Sources'!$B$211:$J$214,0,7))*INDEX('Methodology &amp; Sources'!$B$211:$J$214,0,7+2)),IF($AN65="VT",IF($AU65="Married",SUMPRODUCT(($AZ65&gt;INDEX('Methodology &amp; Sources'!$B$228:$J$232,0,1))*($AZ65-INDEX('Methodology &amp; Sources'!$B$228:$J$232,0,1))*INDEX('Methodology &amp; Sources'!$B$228:$J$232,0,1+2)),SUMPRODUCT(($AZ65&gt;INDEX('Methodology &amp; Sources'!$B$219:$J$223,0,7))*($AZ65-INDEX('Methodology &amp; Sources'!$B$219:$J$223,0,7))*INDEX('Methodology &amp; Sources'!$B$219:$J$223,0,7+2))),IF($AN65="WV",IF($AU65="Married",SUMPRODUCT(($AZ65&gt;INDEX('Methodology &amp; Sources'!$B$237:$J$241,0,7))*($AZ65-INDEX('Methodology &amp; Sources'!$B$237:$J$241,0,7))*INDEX('Methodology &amp; Sources'!$B$237:$J$241,0,7+2)),SUMPRODUCT(($AZ65&gt;INDEX('Methodology &amp; Sources'!$B$228:$J$232,0,7))*($AZ65-INDEX('Methodology &amp; Sources'!$B$228:$J$232,0,7))*INDEX('Methodology &amp; Sources'!$B$228:$J$232,0,7+2))),""))))))))))</f>
      </c>
      <c r="BY65" s="7">
        <f>IF($B65="","",IF($AN65="AR",SUMPRODUCT(($AZ65&gt;INDEX('Methodology &amp; Sources'!$B$82:$J$86,0,7))*($AZ65-INDEX('Methodology &amp; Sources'!$B$82:$J$86,0,7))*INDEX('Methodology &amp; Sources'!$B$82:$J$86,0,7+2)),IF($AN65="DE",SUMPRODUCT(($AZ65&gt;INDEX('Methodology &amp; Sources'!$B$91:$J$98,0,1))*($AZ65-INDEX('Methodology &amp; Sources'!$B$91:$J$98,0,1))*INDEX('Methodology &amp; Sources'!$B$91:$J$98,0,1+2)),IF($AN65="HI",IF($AU65="Married",SUMPRODUCT(($AZ65&gt;INDEX('Methodology &amp; Sources'!$B$91:$J$98,0,7))*($AZ65-INDEX('Methodology &amp; Sources'!$B$91:$J$98,0,7))*INDEX('Methodology &amp; Sources'!$B$91:$J$98,0,7+2)),SUMPRODUCT(($AZ65&gt;INDEX('Methodology &amp; Sources'!$B$91:$J$98,0,4))*($AZ65-INDEX('Methodology &amp; Sources'!$B$91:$J$98,0,4))*INDEX('Methodology &amp; Sources'!$B$91:$J$98,0,4+2))),IF($AN65="SC",SUMPRODUCT(($AZ65&gt;INDEX('Methodology &amp; Sources'!$B$219:$J$223,0,1))*($AZ65-INDEX('Methodology &amp; Sources'!$B$219:$J$223,0,1))*INDEX('Methodology &amp; Sources'!$B$219:$J$223,0,1+2)),IF($AN65="VA",SUMPRODUCT(($AZ65&gt;INDEX('Methodology &amp; Sources'!$B$219:$J$223,0,4))*($AZ65-INDEX('Methodology &amp; Sources'!$B$219:$J$223,0,4))*INDEX('Methodology &amp; Sources'!$B$219:$J$223,0,4+2)),IF($AN65="WI",SUMPRODUCT(($AZ65&gt;INDEX('Methodology &amp; Sources'!$B$228:$J$232,0,4))*($AZ65-INDEX('Methodology &amp; Sources'!$B$228:$J$232,0,4))*INDEX('Methodology &amp; Sources'!$B$228:$J$232,0,4+2)),"")))))))</f>
      </c>
      <c r="BZ65" s="24">
        <f>IF($B65="","",IF($AN65="NJ",IF('Inputs 2'!$C$77="B",SUMPRODUCT(($AZ65&gt;=INDEX('Methodology &amp; Sources'!$B$155:$J$162,0,4))*INDEX('Methodology &amp; Sources'!$B$155:$J$162,0,4+2)),IF('Inputs 2'!$C$77="C",SUMPRODUCT(($AZ65&gt;=INDEX('Methodology &amp; Sources'!$B$155:$J$162,0,7))*INDEX('Methodology &amp; Sources'!$B$155:$J$162,0,7+2)),IF('Inputs 2'!$C$77="D",SUMPRODUCT(($AZ65&gt;=INDEX('Methodology &amp; Sources'!$B$167:$J$179,0,1))*INDEX('Methodology &amp; Sources'!$B$167:$J$179,0,1+2)),IF('Inputs 2'!$C$77="E",SUMPRODUCT(($AZ65&gt;=INDEX('Methodology &amp; Sources'!$B$167:$J$179,0,4))*INDEX('Methodology &amp; Sources'!$B$167:$J$179,0,4+2)),SUMPRODUCT(($AZ65&gt;=INDEX('Methodology &amp; Sources'!$B$155:$J$162,0,1))*INDEX('Methodology &amp; Sources'!$B$155:$J$162,0,1+2)))))),IF($AN65="OR",IF(OR($AU65="Married",AND($AU65="Single",$AS65&gt;=3)),SUMPRODUCT((MAX(0,$AY65-MIN(($P65-'Methodology &amp; Sources'!$C$10*$D65)*'Inputs 2'!$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Sources'!$B$211:$J$214,0,4))*INDEX('Methodology &amp; Sources'!$B$211:$J$214,0,4+2)),SUMPRODUCT((MAX(0,$AY65-MIN(($P65-'Methodology &amp; Sources'!$C$10*$D65)*'Inputs 2'!$C$8,IF(OR($AU65="Married",AND($AU65="Single",$AS65&gt;=3)),IF($AY65&lt;250000,8750,IF($AY65&lt;260000,7000,IF($AY65&lt;270000,5250,IF($AY65&lt;280000,3500,IF($AY65&lt;290000,1750,0))))),IF($AY65&lt;125000,8750,IF($AY65&lt;130000,7000,IF($AY65&lt;135000,5250,IF($AY65&lt;140000,3500,IF($AY65&lt;145000,1750,0)))))))-IF(OR($AU65="Married",AND($AU65="Single",$AS65&gt;=3)),5820,2910))&gt;=INDEX('Methodology &amp; Sources'!$B$211:$J$214,0,1))*INDEX('Methodology &amp; Sources'!$B$211:$J$214,0,1+2)))*IF(($P65-'Methodology &amp; Sources'!$C$10*$D65)*'Inputs 2'!$C$8&gt;=IF(OR($AU65="Married",AND($AU65="Single",$AS65&gt;=3)),IF($AY65&lt;250000,8750,IF($AY65&lt;260000,7000,IF($AY65&lt;270000,5250,IF($AY65&lt;280000,3500,IF($AY65&lt;290000,1750,0))))),IF($AY65&lt;125000,8750,IF($AY65&lt;130000,7000,IF($AY65&lt;135000,5250,IF($AY65&lt;140000,3500,IF($AY65&lt;145000,1750,0)))))),1,1-IF('Inputs 2'!$C$13,SUMPRODUCT(($AH65&gt;=INDEX('Methodology &amp; Sources'!$B$29:$J$36,0,IF('Inputs 2'!$C$12="MFJ",1,IF('Inputs 2'!$C$12="HoH",7,4))))*INDEX('Methodology &amp; Sources'!$B$29:$J$36,0,IF('Inputs 2'!$C$12="MFJ",1,IF('Inputs 2'!$C$12="HoH",7,4))+2)),SUMPRODUCT(($AH65&gt;=INDEX('Methodology &amp; Sources'!$B$19:$J$26,0,IF('Inputs 2'!$C$12="MFJ",1,IF('Inputs 2'!$C$12="HoH",7,4))))*INDEX('Methodology &amp; Sources'!$B$19:$J$26,0,IF('Inputs 2'!$C$12="MFJ",1,IF('Inputs 2'!$C$12="HoH",7,4))+2)))),IF($AN65="MI",IF($AY65&gt;5900*$AS65,0.0425,0),""))))</f>
      </c>
      <c r="CA65" s="24">
        <f>IF($B65="","",IF($AN65="AL",IF(OR($AU65="Married",$AU65="Head of household"),SUMPRODUCT(($AZ65&gt;=INDEX('Methodology &amp; Sources'!$B$82:$J$86,0,4))*INDEX('Methodology &amp; Sources'!$B$82:$J$86,0,4+2)),SUMPRODUCT(($AZ65&gt;=INDEX('Methodology &amp; Sources'!$B$82:$J$86,0,1))*INDEX('Methodology &amp; Sources'!$B$82:$J$86,0,1+2)))*(1-IF('Inputs 2'!$C$13,SUMPRODUCT(($AH65&gt;=INDEX('Methodology &amp; Sources'!$B$29:$J$36,0,IF('Inputs 2'!$C$12="MFJ",1,IF('Inputs 2'!$C$12="HoH",7,4))))*INDEX('Methodology &amp; Sources'!$B$29:$J$36,0,IF('Inputs 2'!$C$12="MFJ",1,IF('Inputs 2'!$C$12="HoH",7,4))+2)),SUMPRODUCT(($AH65&gt;=INDEX('Methodology &amp; Sources'!$B$19:$J$26,0,IF('Inputs 2'!$C$12="MFJ",1,IF('Inputs 2'!$C$12="HoH",7,4))))*INDEX('Methodology &amp; Sources'!$B$19:$J$26,0,IF('Inputs 2'!$C$12="MFJ",1,IF('Inputs 2'!$C$12="HoH",7,4))+2)))),IF($AN65="KS",IF($AU65="Married",SUMPRODUCT(($AZ65&gt;=INDEX('Methodology &amp; Sources'!$B$103:$J$109,0,4))*INDEX('Methodology &amp; Sources'!$B$103:$J$109,0,4+2)),SUMPRODUCT(($AZ65&gt;=INDEX('Methodology &amp; Sources'!$B$103:$J$109,0,1))*INDEX('Methodology &amp; Sources'!$B$103:$J$109,0,1+2))),IF($AN65="MD",IF(OR($AU65="Married",$AU65="Head of household"),SUMPRODUCT(($AZ65&gt;=INDEX('Methodology &amp; Sources'!$B$114:$J$120,0,1))*INDEX('Methodology &amp; Sources'!$B$114:$J$120,0,1+2)),SUMPRODUCT(($AZ65&gt;=INDEX('Methodology &amp; Sources'!$B$103:$J$109,0,7))*INDEX('Methodology &amp; Sources'!$B$103:$J$109,0,7+2)))+'Inputs 2'!$C$74,IF($AN65="MT",IF($AU65="Head of household",SUMPRODUCT(($AZ65&gt;=INDEX('Methodology &amp; Sources'!$B$137:$J$139,0,1))*INDEX('Methodology &amp; Sources'!$B$137:$J$139,0,1+2)),IF($AU65="Married",SUMPRODUCT(($AZ65&gt;=INDEX('Methodology &amp; Sources'!$B$125:$J$132,0,7))*INDEX('Methodology &amp; Sources'!$B$125:$J$132,0,7+2)),SUMPRODUCT(($AZ65&gt;=INDEX('Methodology &amp; Sources'!$B$125:$J$132,0,4))*INDEX('Methodology &amp; Sources'!$B$125:$J$132,0,4+2)))),IF($AN65="ND",IF($AU65="Head of household",SUMPRODUCT(($AZ65&gt;=INDEX('Methodology &amp; Sources'!$B$144:$J$150,0,1))*INDEX('Methodology &amp; Sources'!$B$144:$J$150,0,1+2)),IF($AU65="Married",SUMPRODUCT(($AZ65&gt;=INDEX('Methodology &amp; Sources'!$B$137:$J$139,0,7))*INDEX('Methodology &amp; Sources'!$B$137:$J$139,0,7+2)),SUMPRODUCT(($AZ65&gt;=INDEX('Methodology &amp; Sources'!$B$137:$J$139,0,4))*INDEX('Methodology &amp; Sources'!$B$137:$J$139,0,4+2)))),IF($AN65="NY",IF($AU65="Married",IF($AZ65&gt;=2155350,IF($AZ65&gt;25000000,0.117,IF($AZ65&gt;5000000,0.111,0.1045)),SUMPRODUCT(($AZ65&gt;=INDEX('Methodology &amp; Sources'!$B$184:$J$198,0,1))*INDEX('Methodology &amp; Sources'!$B$184:$J$198,0,1+2))),IF($AZ65&gt;=1077550,IF($AZ65&gt;25000000,0.117,IF($AZ65&gt;5000000,0.111,0.1045)),SUMPRODUCT(($AZ65&gt;=INDEX('Methodology &amp; Sources'!$B$167:$J$179,0,7))*INDEX('Methodology &amp; Sources'!$B$167:$J$179,0,7+2)))),"")))))))</f>
      </c>
      <c r="CB65" s="24">
        <f>IF($B65="","",IF($AN65="CA",SUMPRODUCT(($AJ65&gt;=INDEX('Methodology &amp; Sources'!$B$39:$J$48,0,IF($AU65="Married",4,IF($AU65="Head of household",7,1))))*INDEX('Methodology &amp; Sources'!$B$39:$J$48,0,IF($AU65="Married",4,IF($AU65="Head of household",7,1))+2)),IF($AN65="HI",IF($AU65="Married",SUMPRODUCT(($AZ65&gt;=INDEX('Methodology &amp; Sources'!$B$91:$J$98,0,7))*INDEX('Methodology &amp; Sources'!$B$91:$J$98,0,7+2)),SUMPRODUCT(($AZ65&gt;=INDEX('Methodology &amp; Sources'!$B$91:$J$98,0,4))*INDEX('Methodology &amp; Sources'!$B$91:$J$98,0,4+2))),IF($AN65="MN",IF($AU65="Married",SUMPRODUCT(($AZ65&gt;=INDEX('Methodology &amp; Sources'!$B$114:$J$120,0,7))*INDEX('Methodology &amp; Sources'!$B$114:$J$120,0,7+2)),SUMPRODUCT(($AZ65&gt;=INDEX('Methodology &amp; Sources'!$B$114:$J$120,0,4))*INDEX('Methodology &amp; Sources'!$B$114:$J$120,0,4+2))),IF($AN65="MO",SUMPRODUCT(($AZ65&gt;=INDEX('Methodology &amp; Sources'!$B$125:$J$132,0,1))*INDEX('Methodology &amp; Sources'!$B$125:$J$132,0,1+2)),IF($AN65="NE",MAX(IF($AU65="Married",SUMPRODUCT(($AZ65&gt;=INDEX('Methodology &amp; Sources'!$B$144:$J$150,0,7))*INDEX('Methodology &amp; Sources'!$B$144:$J$150,0,7+2)),SUMPRODUCT(($AZ65&gt;=INDEX('Methodology &amp; Sources'!$B$144:$J$150,0,4))*INDEX('Methodology &amp; Sources'!$B$144:$J$150,0,4+2))),0.015),IF($AN65="OH",IF($B65&gt;=DATE(2027,8,1),SUMPRODUCT(($AZ65&gt;=INDEX('Methodology &amp; Sources'!$B$203:$J$206,0,1))*INDEX('Methodology &amp; Sources'!$B$203:$J$206,0,1+2)),SUMPRODUCT(($AZ65&gt;=INDEX('Methodology &amp; Sources'!$B$184:$J$198,0,7))*INDEX('Methodology &amp; Sources'!$B$184:$J$198,0,7+2))),IF($AN65="OK",IF($AU65="Married",SUMPRODUCT(($AZ65&gt;=INDEX('Methodology &amp; Sources'!$B$203:$J$206,0,7))*INDEX('Methodology &amp; Sources'!$B$203:$J$206,0,7+2)),SUMPRODUCT(($AZ65&gt;=INDEX('Methodology &amp; Sources'!$B$203:$J$206,0,4))*INDEX('Methodology &amp; Sources'!$B$203:$J$206,0,4+2))),IF($AN65="RI",SUMPRODUCT(($AZ65&gt;=INDEX('Methodology &amp; Sources'!$B$211:$J$214,0,7))*INDEX('Methodology &amp; Sources'!$B$211:$J$214,0,7+2)),IF($AN65="SC",SUMPRODUCT(($AZ65&gt;=INDEX('Methodology &amp; Sources'!$B$219:$J$223,0,1))*INDEX('Methodology &amp; Sources'!$B$219:$J$223,0,1+2)),IF($AN65="VT",IF($AU65="Married",SUMPRODUCT(($AZ65&gt;=INDEX('Methodology &amp; Sources'!$B$228:$J$232,0,1))*INDEX('Methodology &amp; Sources'!$B$228:$J$232,0,1+2)),SUMPRODUCT(($AZ65&gt;=INDEX('Methodology &amp; Sources'!$B$219:$J$223,0,7))*INDEX('Methodology &amp; Sources'!$B$219:$J$223,0,7+2))),IF($AN65="WV",IF($AU65="Married",SUMPRODUCT(($AZ65&gt;=INDEX('Methodology &amp; Sources'!$B$237:$J$241,0,7))*INDEX('Methodology &amp; Sources'!$B$237:$J$241,0,7+2)),SUMPRODUCT(($AZ65&gt;=INDEX('Methodology &amp; Sources'!$B$228:$J$232,0,7))*INDEX('Methodology &amp; Sources'!$B$228:$J$232,0,7+2))),IF($AN65="IN",(0.0295+'Inputs 2'!$C$76),"")))))))))))))</f>
      </c>
      <c r="CC65" s="24">
        <f>IF($B65="","",IF($AN65="AR",SUMPRODUCT(($AZ65&gt;=INDEX('Methodology &amp; Sources'!$B$82:$J$86,0,7))*INDEX('Methodology &amp; Sources'!$B$82:$J$86,0,7+2)),IF($AN65="DE",SUMPRODUCT(($AZ65&gt;=INDEX('Methodology &amp; Sources'!$B$91:$J$98,0,1))*INDEX('Methodology &amp; Sources'!$B$91:$J$98,0,1+2)),IF($AN65="VA",SUMPRODUCT(($AZ65&gt;=INDEX('Methodology &amp; Sources'!$B$219:$J$223,0,4))*INDEX('Methodology &amp; Sources'!$B$219:$J$223,0,4+2)),IF($AN65="WI",SUMPRODUCT(($AZ65&gt;=INDEX('Methodology &amp; Sources'!$B$228:$J$232,0,4))*INDEX('Methodology &amp; Sources'!$B$228:$J$232,0,4+2)),IF($AN65="AZ",'Inputs 2'!$C$82,IF($AN65="CO",IF($AY65&gt;IF($AU65="Married",10000,5000),0.044,0),IF($AN65="IA",IF($AY65&gt;IF($AU65="Head of household",19500,IF($AU65="Married",26000,13000)),0.038,0),IF($AN65="ID",IF($AY65&gt;IF($AU65="Married",32000,16094),0.053,0),IF($AN65="IL",IF($AY65&gt;(2925*$AS65+1000*$AT65),0.0495,0),IF($AN65="KY",IF($AI65&gt;3360,0.035,0),IF($AN65="LA",0.0309,IF($AN65="MA",IF(MAX(0,$AY65-MIN(($BD64+$Q65+$R65+$S65),2000)-IF($AS65=0,0,IF($AS65=1,4400,1000*$AS65+3400)))&gt;=1107750,0.09,0.05),IF($AN65="MS",IF($AI65-IF($AU65="Head of household",3400,IF($AU65="Married",4600,2300))-'Inputs 2'!$C$85&gt;10000,0.04,0),IF($AN65="PA",0.0307,"")))))))))))))))</f>
      </c>
      <c r="CD65" s="21">
        <f>IF(YEAR(IF('Inputs 2'!$C$7="Weekly",'Inputs 2'!$C$9+7*(($BE64+1)-1),IF('Inputs 2'!$C$7="Biweekly",'Inputs 2'!$C$9+14*(($BE64+1)-1),IF('Inputs 2'!$C$7="Semimonthly",DATE(YEAR('Inputs 2'!$C$9),MONTH('Inputs 2'!$C$9)+INT((($BE64+1)-1)/2),MIN(DAY('Inputs 2'!$C$9),DAY(EOMONTH(DATE(YEAR('Inputs 2'!$C$9),MONTH('Inputs 2'!$C$9)+INT((($BE64+1)-1)/2),1),0))))+IF(MOD(($BE64+1)-1,2)=1,15,0),EDATE('Inputs 2'!$C$9,($BE64+1)-1)))))&lt;&gt;'Inputs 2'!$C$10,"",IF('Inputs 2'!$C$7="Weekly",'Inputs 2'!$C$9+7*(($BE64+1)-1),IF('Inputs 2'!$C$7="Biweekly",'Inputs 2'!$C$9+14*(($BE64+1)-1),IF('Inputs 2'!$C$7="Semimonthly",DATE(YEAR('Inputs 2'!$C$9),MONTH('Inputs 2'!$C$9)+INT((($BE64+1)-1)/2),MIN(DAY('Inputs 2'!$C$9),DAY(EOMONTH(DATE(YEAR('Inputs 2'!$C$9),MONTH('Inputs 2'!$C$9)+INT((($BE64+1)-1)/2),1),0))))+IF(MOD(($BE64+1)-1,2)=1,15,0),EDATE('Inputs 2'!$C$9,($BE64+1)-1)))))</f>
      </c>
      <c r="CE65" s="21">
        <f>IF(SUMPRODUCT(MIN(IF(('Inputs 2'!$C$58:$C$67&gt;MAX($B$6:$B64))*('Inputs 2'!$C$58:$C$67&gt;=DATE('Inputs 2'!$C$10,1,1))*('Inputs 2'!$C$58:$C$67&lt;=DATE('Inputs 2'!$C$10,12,31)),'Inputs 2'!$C$58:$C$67,999999)))=999999,"",SUMPRODUCT(MIN(IF(('Inputs 2'!$C$58:$C$67&gt;MAX($B$6:$B64))*('Inputs 2'!$C$58:$C$67&gt;=DATE('Inputs 2'!$C$10,1,1))*('Inputs 2'!$C$58:$C$67&lt;=DATE('Inputs 2'!$C$10,12,31)),'Inputs 2'!$C$58:$C$67,999999))))</f>
      </c>
    </row>
    <row r="66">
      <c r="A66" t="n">
        <v>61</v>
      </c>
      <c r="B66" s="21">
        <f>IF(AND($CD66="",$CE66=""),"",IF($CE66="",$CD66,IF($CD66="",$CE66,MIN($CD66,$CE66))))</f>
      </c>
      <c r="C66" s="7">
        <f>IF($B66="","",IF($BF66=0,0,IF('Inputs 2'!$C$4="Annual salary",ROUND($AK66/IF(AND('Inputs 2'!$C$88="Actual paydays",MONTH('Inputs 2'!$C$9)=1),MAX(1,MAX($BE$6:$BE$68)),'Inputs 2'!$C$8),2),$AK66)))</f>
      </c>
      <c r="D66" s="7">
        <f>IF($B66="","",SUMIF('Inputs 2'!$C$58:$C$67,$B66,'Inputs 2'!$D$58:$D$67))</f>
      </c>
      <c r="E66" s="7">
        <f>IF($B66="","",ROUND(MAX(0,MIN(IF($AL66="Percent",$AM66*($C66+$D66),$AM66),MAX(0,'Inputs 2'!$C$34-$AC65))),2))</f>
      </c>
      <c r="F66" s="7">
        <f>IF($B66="","",ROUND(MAX(0,MIN(IF('Inputs 2'!$C$32="Percent",'Inputs 2'!$D$32*($C66+$D66),'Inputs 2'!$D$32),MAX(0,'Inputs 2'!$C$34-$AC65-$E66))),2))</f>
      </c>
      <c r="G66" s="7">
        <f>IF($B66="","",IF($BF66=0,0,ROUND(MAX(0,MIN($BL66,'Inputs 2'!$C$37-'Inputs 2'!$C$54-$BI65)),2)))</f>
      </c>
      <c r="H66" s="7">
        <f>IF($B66="","",IF(OR($BF66=0,$BQ66=1),0,ROUND(MAX(0,MIN(IF($BS66=1,ROUND(MAX(0,MIN($BJ66,'Methodology &amp; Sources'!$C$13)-$BG65)/MAX(1,MAX($BE$6:$BE$68)-($BE65)),2),ROUND(MIN($BJ66,'Methodology &amp; Sources'!$C$13)/'Inputs 2'!$C$8,2)),MIN($BJ66,'Methodology &amp; Sources'!$C$13)-$BG65)),2)))</f>
      </c>
      <c r="I66" s="7">
        <f>IF($B66="","",IF(OR($BF66=0,$BR66=1),0,ROUND(MAX(0,MIN(IF($BT66=1,ROUND(MAX(0,MIN($BK66,IF('Inputs 2'!$C$12="MFJ",'Methodology &amp; Sources'!$C$14,'Methodology &amp; Sources'!$C$15))-$BH65)/MAX(1,MAX($BE$6:$BE$68)-($BE65)),2),ROUND(MIN($BK66,IF('Inputs 2'!$C$12="MFJ",'Methodology &amp; Sources'!$C$14,'Methodology &amp; Sources'!$C$15))/'Inputs 2'!$C$8,2)),MIN($BK66,IF('Inputs 2'!$C$12="MFJ",'Methodology &amp; Sources'!$C$14,'Methodology &amp; Sources'!$C$15))-$BH65)),2)))</f>
      </c>
      <c r="J66" s="7">
        <f>IF($B66="","",IF($BF66=0,0,$BM66))</f>
      </c>
      <c r="K66" s="7">
        <f>IF($B66="","",IF($BF66=0,0,$BN66+$BO66))</f>
      </c>
      <c r="L66" s="7">
        <f>IF($B66="","",IF($BF66=0,0,'Inputs 2'!$D$46))</f>
      </c>
      <c r="M66" s="7">
        <f>IF($B66="","",$C66+$D66+$L66-$E66-$G66-$H66-$I66-$J66-$K66)</f>
      </c>
      <c r="N66" s="7">
        <f>IF($B66="","",$C66+$D66+$L66-$G66-$H66-$I66-$J66-$K66)</f>
      </c>
      <c r="O66" s="7">
        <f>IF($B66="","",$C66+$D66+$L66-$E66-$H66-$I66-$J66-$K66-IF(OR($AN66="CA",$AN66="NJ"),0,$G66))</f>
      </c>
      <c r="P66" s="7">
        <f>IF($B66="","",IF('Inputs 2'!$C$18,0,ROUND(MAX(0,IF('Inputs 2'!$C$13,SUMPRODUCT(($AH66&gt;INDEX('Methodology &amp; Sources'!$B$29:$J$36,0,IF('Inputs 2'!$C$12="MFJ",1,IF('Inputs 2'!$C$12="HoH",7,4))))*($AH66-INDEX('Methodology &amp; Sources'!$B$29:$J$36,0,IF('Inputs 2'!$C$12="MFJ",1,IF('Inputs 2'!$C$12="HoH",7,4))))*INDEX('Methodology &amp; Sources'!$B$29:$J$36,0,IF('Inputs 2'!$C$12="MFJ",1,IF('Inputs 2'!$C$12="HoH",7,4))+2)),SUMPRODUCT(($AH66&gt;INDEX('Methodology &amp; Sources'!$B$19:$J$26,0,IF('Inputs 2'!$C$12="MFJ",1,IF('Inputs 2'!$C$12="HoH",7,4))))*($AH66-INDEX('Methodology &amp; Sources'!$B$19:$J$26,0,IF('Inputs 2'!$C$12="MFJ",1,IF('Inputs 2'!$C$12="HoH",7,4))))*INDEX('Methodology &amp; Sources'!$B$19:$J$26,0,IF('Inputs 2'!$C$12="MFJ",1,IF('Inputs 2'!$C$12="HoH",7,4))+2)))/'Inputs 2'!$C$8-$AO66/'Inputs 2'!$C$8)+$AR66+IF('Inputs 2'!$C$89="Aggregate",MAX(0,IF('Inputs 2'!$C$13,SUMPRODUCT((($AH66+$D66)&gt;INDEX('Methodology &amp; Sources'!$B$29:$J$36,0,IF('Inputs 2'!$C$12="MFJ",1,IF('Inputs 2'!$C$12="HoH",7,4))))*(($AH66+$D66)-INDEX('Methodology &amp; Sources'!$B$29:$J$36,0,IF('Inputs 2'!$C$12="MFJ",1,IF('Inputs 2'!$C$12="HoH",7,4))))*INDEX('Methodology &amp; Sources'!$B$29:$J$36,0,IF('Inputs 2'!$C$12="MFJ",1,IF('Inputs 2'!$C$12="HoH",7,4))+2)),SUMPRODUCT((($AH66+$D66)&gt;INDEX('Methodology &amp; Sources'!$B$19:$J$26,0,IF('Inputs 2'!$C$12="MFJ",1,IF('Inputs 2'!$C$12="HoH",7,4))))*(($AH66+$D66)-INDEX('Methodology &amp; Sources'!$B$19:$J$26,0,IF('Inputs 2'!$C$12="MFJ",1,IF('Inputs 2'!$C$12="HoH",7,4))))*INDEX('Methodology &amp; Sources'!$B$19:$J$26,0,IF('Inputs 2'!$C$12="MFJ",1,IF('Inputs 2'!$C$12="HoH",7,4))+2)))-IF('Inputs 2'!$C$13,SUMPRODUCT(($AH66&gt;INDEX('Methodology &amp; Sources'!$B$29:$J$36,0,IF('Inputs 2'!$C$12="MFJ",1,IF('Inputs 2'!$C$12="HoH",7,4))))*($AH66-INDEX('Methodology &amp; Sources'!$B$29:$J$36,0,IF('Inputs 2'!$C$12="MFJ",1,IF('Inputs 2'!$C$12="HoH",7,4))))*INDEX('Methodology &amp; Sources'!$B$29:$J$36,0,IF('Inputs 2'!$C$12="MFJ",1,IF('Inputs 2'!$C$12="HoH",7,4))+2)),SUMPRODUCT(($AH66&gt;INDEX('Methodology &amp; Sources'!$B$19:$J$26,0,IF('Inputs 2'!$C$12="MFJ",1,IF('Inputs 2'!$C$12="HoH",7,4))))*($AH66-INDEX('Methodology &amp; Sources'!$B$19:$J$26,0,IF('Inputs 2'!$C$12="MFJ",1,IF('Inputs 2'!$C$12="HoH",7,4))))*INDEX('Methodology &amp; Sources'!$B$19:$J$26,0,IF('Inputs 2'!$C$12="MFJ",1,IF('Inputs 2'!$C$12="HoH",7,4))+2)))),'Methodology &amp; Sources'!$C$10*$D66),2)))</f>
      </c>
      <c r="Q66" s="7">
        <f>IF($B66="","",ROUND('Methodology &amp; Sources'!$C$4*MIN($N66,MAX(0,'Methodology &amp; Sources'!$C$3-($AX66+$AB65-$AW66))),2))</f>
      </c>
      <c r="R66" s="7">
        <f>IF($B66="","",ROUND('Methodology &amp; Sources'!$C$5*$N66,2))</f>
      </c>
      <c r="S66" s="7">
        <f>IF($B66="","",ROUND('Methodology &amp; Sources'!$C$6*MAX(0,MIN($N66,$AG65+$N66-'Methodology &amp; Sources'!$C$7)),2))</f>
      </c>
      <c r="T66" s="7">
        <f>IF($B66="","",IF('Inputs 2'!$C$26,0,IF($AN66="CA",ROUND(IF($AI66&lt;=IF(($AS66+$AT66)&gt;=2,VLOOKUP($AN66,StateTables!$A$6:$AB$56,10,FALSE),VLOOKUP($AN66,StateTables!$A$6:$AB$56,9,FALSE)),0,MAX(0,SUMPRODUCT(($AJ66&gt;INDEX('Methodology &amp; Sources'!$B$39:$J$48,0,IF($AU66="Married",4,IF($AU66="Head of household",7,1))))*($AJ66-INDEX('Methodology &amp; Sources'!$B$39:$J$48,0,IF($AU66="Married",4,IF($AU66="Head of household",7,1))))*INDEX('Methodology &amp; Sources'!$B$39:$J$48,0,IF($AU66="Married",4,IF($AU66="Head of household",7,1))+2))-VLOOKUP($AN66,StateTables!$A$6:$AB$56,11,FALSE)*$AS66)/'Inputs 2'!$C$8)+'Inputs 2'!$C$25+VLOOKUP($AN66,StateTables!$A$6:$AB$56,13,FALSE)*$D66,2),IF(VLOOKUP($AN66,StateTables!$A$6:$AB$56,4,FALSE)="None",0,IF(ISNUMBER(SEARCH("MANUAL",VLOOKUP($AN66,StateTables!$A$6:$AB$56,5,FALSE))),'Inputs 2'!$C$28,ROUND(MAX(0,$BA66+$BB66)/'Inputs 2'!$C$8+'Inputs 2'!$C$25+$BC66,2))))))</f>
      </c>
      <c r="U66" s="7">
        <f>IF($B66="","",IF(VLOOKUP($AN66,StateTables!$A$6:$AB$56,24,FALSE)="flatq",IF(OR(MONTH($B66)=1,MONTH($B66)=4,MONTH($B66)=7,MONTH($B66)=10),VLOOKUP($AN66,StateTables!$A$6:$AB$56,25,FALSE),0),IF(VLOOKUP($AN66,StateTables!$A$6:$AB$56,24,FALSE)="dbl",MIN(ROUND(0.005*$N66,2),ROUND(0.6*52/'Inputs 2'!$C$8,2)),IF(OR(VLOOKUP($AN66,StateTables!$A$6:$AB$56,15,FALSE)="",VLOOKUP($AN66,StateTables!$A$6:$AB$56,15,FALSE)=0),0,ROUND(VLOOKUP($AN66,StateTables!$A$6:$AB$56,15,FALSE)*IF(OR(VLOOKUP($AN66,StateTables!$A$6:$AB$56,16,FALSE)="",VLOOKUP($AN66,StateTables!$A$6:$AB$56,16,FALSE)=0),$N66,MIN($N66,MAX(0,VLOOKUP($AN66,StateTables!$A$6:$AB$56,16,FALSE)-($AX66+$AB65-$AW66)))),2))))+IF(VLOOKUP($AN66,StateTables!$A$6:$AB$56,27,FALSE)="flatq",IF(OR(MONTH($B66)=1,MONTH($B66)=4,MONTH($B66)=7,MONTH($B66)=10),VLOOKUP($AN66,StateTables!$A$6:$AB$56,28,FALSE),0),IF(VLOOKUP($AN66,StateTables!$A$6:$AB$56,27,FALSE)="dbl",MIN(ROUND(0.005*$N66,2),ROUND(0.6*52/'Inputs 2'!$C$8,2)),IF(OR(VLOOKUP($AN66,StateTables!$A$6:$AB$56,18,FALSE)="",VLOOKUP($AN66,StateTables!$A$6:$AB$56,18,FALSE)=0),0,ROUND(VLOOKUP($AN66,StateTables!$A$6:$AB$56,18,FALSE)*IF(OR(VLOOKUP($AN66,StateTables!$A$6:$AB$56,19,FALSE)="",VLOOKUP($AN66,StateTables!$A$6:$AB$56,19,FALSE)=0),$N66,MIN($N66,MAX(0,VLOOKUP($AN66,StateTables!$A$6:$AB$56,19,FALSE)-($AX66+$AB65-$AW66)))),2)))))</f>
      </c>
      <c r="V66" s="7">
        <f>IF($B66="","",IF($AN66="NY",IF('Inputs 2'!$C$78,ROUND(SUMPRODUCT((MAX(0,($O66-$D66)*'Inputs 2'!$C$8-(IF($AU66="Married",5500,5000)+1000*$AS66))&gt;INDEX('Methodology &amp; Sources'!$B$184:$J$198,0,4))*(MAX(0,($O66-$D66)*'Inputs 2'!$C$8-(IF($AU66="Married",5500,5000)+1000*$AS66))-INDEX('Methodology &amp; Sources'!$B$184:$J$198,0,4))*INDEX('Methodology &amp; Sources'!$B$184:$J$198,0,4+2))/'Inputs 2'!$C$8+0.0425*$D66,2),0)+IF('Inputs 2'!$C$79="Resident",ROUND(0.1675*$T66,2),IF('Inputs 2'!$C$79="Nonresident",ROUND(0.005*MAX(0,($O66-$D66)-(IF($AU66="Married",7950,7400)+1000*$AS66)/'Inputs 2'!$C$8),2),0)),IF($AN66="PA",IF('Inputs 2'!$C$80="None",'Inputs 2'!$C$27+ROUND('Inputs 2'!$C$81*($C66+$D66),2),ROUND(IF('Inputs 2'!$C$80="Resident",IF($B66&lt;DATE(2027,7,1),0.03735,0.03735),IF($B66&lt;DATE(2027,7,1),0.03425,0.03425))*($C66+$D66),2)),IF($BF66=0,ROUND('Inputs 2'!$C$81*($C66+$D66),2),'Inputs 2'!$C$27+ROUND('Inputs 2'!$C$81*($C66+$D66),2)))))</f>
      </c>
      <c r="W66" s="7">
        <f>IF($B66="","",IF($BF66=0,0,$BP66))</f>
      </c>
      <c r="X66" s="7">
        <f>IF($B66="","",SUM($E66:$K66)+$P66+$Q66+$R66+$S66+$T66+$U66+$V66+$W66)</f>
      </c>
      <c r="Y66" s="22">
        <f>IF($B66="","",$C66+$D66-$X66)</f>
      </c>
      <c r="Z66" s="7">
        <f>IF($B66="","",$Z65+$C66+$D66)</f>
      </c>
      <c r="AA66" s="7">
        <f>IF($B66="","",$AA65+$Y66)</f>
      </c>
      <c r="AB66" s="7">
        <f>IF($B66="","",$AB65+MIN($N66,MAX(0,'Methodology &amp; Sources'!$C$3-($AX66+$AB65-$AW66))))</f>
      </c>
      <c r="AC66" s="7">
        <f>IF($B66="","",$AC65+$E66+$F66)</f>
      </c>
      <c r="AD66" s="3">
        <f>IF($B66="","",IF(AND($AB65&lt;'Methodology &amp; Sources'!$C$3,$AB66&gt;='Methodology &amp; Sources'!$C$3),"★ Social Security maxed on this check — from the next check your net rises by about $"&amp;TEXT(ROUND('Methodology &amp; Sources'!$C$4*$N66,2),"#,##0.00")&amp;". ","")&amp;IF(AND($AC65&lt;'Inputs 2'!$C$34,$AC66&gt;='Inputs 2'!$C$34),"★ 401(k) reaches the $"&amp;TEXT('Inputs 2'!$C$34,"#,##0")&amp;" cap on this check — deferrals stop and net pay rises. ","")&amp;IF(AND($AG65&lt;'Methodology &amp; Sources'!$C$7,$AG66&gt;='Methodology &amp; Sources'!$C$7),"★ Wages pass $200,000 — the 0.9% Additional Medicare Tax starts here. ","")&amp;IF(AND($BJ66&gt;0,$H66&gt;0,$BG65&lt;MIN($BJ66,'Methodology &amp; Sources'!$C$13),$BG65+$H66&gt;=MIN($BJ66,'Methodology &amp; Sources'!$C$13)),"★ Health FSA election is now fully deferred for the year. ",""))</f>
      </c>
      <c r="AE66" s="41" t="n"/>
      <c r="AF66" s="7">
        <f>IF(OR($B66="",$AE66=""),"",$AE66-$Y66)</f>
      </c>
      <c r="AG66" s="7">
        <f>IF($B66="","",$AG65+$N66)</f>
      </c>
      <c r="AH66" s="7">
        <f>IF($B66="","",MAX(0,($M66-$D66)*'Inputs 2'!$C$8+$AP66-$AQ66-IF('Inputs 2'!$C$13,0,IF('Inputs 2'!$C$12="MFJ",'Methodology &amp; Sources'!$C$8,'Methodology &amp; Sources'!$C$9))))</f>
      </c>
      <c r="AI66" s="7">
        <f>IF($B66="","",$O66*'Inputs 2'!$C$8)</f>
      </c>
      <c r="AJ66" s="7">
        <f>IF($B66="","",MAX(0,$AI66-VLOOKUP($AN66,StateTables!$A$6:$AB$56,12,FALSE)*$AT66-IF(($AS66+$AT66)&gt;=2,VLOOKUP($AN66,StateTables!$A$6:$AB$56,8,FALSE),VLOOKUP($AN66,StateTables!$A$6:$AB$56,7,FALSE))))</f>
      </c>
      <c r="AK66" s="7">
        <f>IF($B66="","",IFERROR(LOOKUP(2,1/(('Events 2'!$C$6:$C$17="Salary change")*('Events 2'!$B$6:$B$17&lt;=$B66)*('Events 2'!$B$6:$B$17&lt;&gt;"")),'Events 2'!$D$6:$D$17),IF('Inputs 2'!$C$4="Annual salary",'Inputs 2'!$C$5,'Inputs 2'!$C$6)))</f>
      </c>
      <c r="AL66">
        <f>IF($B66="","",IFERROR(LOOKUP(2,1/(('Events 2'!$C$6:$C$17="401(k) change")*('Events 2'!$B$6:$B$17&lt;=$B66)*('Events 2'!$B$6:$B$17&lt;&gt;"")),'Events 2'!$D$6:$D$17),'Inputs 2'!$C$30))</f>
      </c>
      <c r="AM66" s="7">
        <f>IF($B66="","",IFERROR(LOOKUP(2,1/(('Events 2'!$C$6:$C$17="401(k) change")*('Events 2'!$B$6:$B$17&lt;=$B66)*('Events 2'!$B$6:$B$17&lt;&gt;"")),'Events 2'!$E$6:$E$17),'Inputs 2'!$D$30))</f>
      </c>
      <c r="AN66">
        <f>IF($B66="","",IFERROR(LOOKUP(2,1/(('Events 2'!$C$6:$C$17="State move")*('Events 2'!$B$6:$B$17&lt;=$B66)*('Events 2'!$B$6:$B$17&lt;&gt;"")),'Events 2'!$D$6:$D$17),'Inputs 2'!$C$21))</f>
      </c>
      <c r="AO66" s="7">
        <f>IF($B66="","",IFERROR(LOOKUP(2,1/(('Events 2'!$C$6:$C$17="W-4 change")*('Events 2'!$B$6:$B$17&lt;=$B66)*('Events 2'!$B$6:$B$17&lt;&gt;"")),'Events 2'!$D$6:$D$17),'Inputs 2'!$C$14))</f>
      </c>
      <c r="AP66" s="7">
        <f>IF($B66="","",IFERROR(LOOKUP(2,1/(('Events 2'!$C$6:$C$17="W-4 change")*('Events 2'!$B$6:$B$17&lt;=$B66)*('Events 2'!$B$6:$B$17&lt;&gt;"")),'Events 2'!$E$6:$E$17),'Inputs 2'!$C$15))</f>
      </c>
      <c r="AQ66" s="7">
        <f>IF($B66="","",IFERROR(LOOKUP(2,1/(('Events 2'!$C$6:$C$17="W-4 change")*('Events 2'!$B$6:$B$17&lt;=$B66)*('Events 2'!$B$6:$B$17&lt;&gt;"")),'Events 2'!$F$6:$F$17),'Inputs 2'!$C$16))</f>
      </c>
      <c r="AR66" s="7">
        <f>IF($B66="","",IFERROR(LOOKUP(2,1/(('Events 2'!$C$6:$C$17="W-4 change")*('Events 2'!$B$6:$B$17&lt;=$B66)*('Events 2'!$B$6:$B$17&lt;&gt;"")),'Events 2'!$G$6:$G$17),'Inputs 2'!$C$17))</f>
      </c>
      <c r="AS66" s="6">
        <f>IF($B66="","",IFERROR(LOOKUP(2,1/((('Events 2'!$C$6:$C$17="State move")+('Events 2'!$C$6:$C$17="State cert change"))*('Events 2'!$B$6:$B$17&lt;=$B66)*('Events 2'!$B$6:$B$17&lt;&gt;"")),'Events 2'!$F$6:$F$17),'Inputs 2'!$C$23))</f>
      </c>
      <c r="AT66" s="6">
        <f>IF($B66="","",IFERROR(LOOKUP(2,1/((('Events 2'!$C$6:$C$17="State move")+('Events 2'!$C$6:$C$17="State cert change"))*('Events 2'!$B$6:$B$17&lt;=$B66)*('Events 2'!$B$6:$B$17&lt;&gt;"")),'Events 2'!$G$6:$G$17),'Inputs 2'!$C$24))</f>
      </c>
      <c r="AU66">
        <f>IF($B66="","",IFERROR(LOOKUP(2,1/(('Events 2'!$C$6:$C$17="State move")*('Events 2'!$B$6:$B$17&lt;=$B66)*('Events 2'!$B$6:$B$17&lt;&gt;"")),'Events 2'!$E$6:$E$17),'Inputs 2'!$C$22))</f>
      </c>
      <c r="AV66" s="6">
        <f>IF($B66="","",1+COUNTIFS('Events 2'!$C$6:$C$17,"Employer change",'Events 2'!$B$6:$B$17,"&lt;="&amp;$B66,'Events 2'!$B$6:$B$17,"&lt;&gt;"))</f>
      </c>
      <c r="AW66" s="7">
        <f>IF($B66="","",IF($AV66=1,'Inputs 2'!$C$49,IF(IFERROR(MATCH(IFERROR(LOOKUP(2,1/(('Events 2'!$C$6:$C$17="Employer change")*('Events 2'!$B$6:$B$17&lt;=$B66)*('Events 2'!$B$6:$B$17&lt;&gt;"")),'Events 2'!$B$6:$B$17),""),$B$6:$B$68,1),1)&lt;=1,'Inputs 2'!$C$49,INDEX($AB$6:$AB$68,MATCH(IFERROR(LOOKUP(2,1/(('Events 2'!$C$6:$C$17="Employer change")*('Events 2'!$B$6:$B$17&lt;=$B66)*('Events 2'!$B$6:$B$17&lt;&gt;"")),'Events 2'!$B$6:$B$17),""),$B$6:$B$68,1)-1))))</f>
      </c>
      <c r="AX66" s="7">
        <f>IF($B66="","",IF($AV66=1,'Inputs 2'!$C$49,IFERROR(LOOKUP(2,1/(('Events 2'!$C$6:$C$17="Employer change")*('Events 2'!$B$6:$B$17&lt;=$B66)*('Events 2'!$B$6:$B$17&lt;&gt;"")),'Events 2'!$D$6:$D$17),0)))</f>
      </c>
      <c r="AY66" s="7">
        <f>IF($B66="","",($O66-$D66)*'Inputs 2'!$C$8)</f>
      </c>
      <c r="AZ66" s="7">
        <f>IF($B66="","",IF($AN66="AL",MAX(0,$AY66-IF($AU66="Married",IF($AY66&lt;=25999,8500,MAX(5000,8500-175*CEILING(($AY66-25999)/500,1))),IF($AU66="Head of household",IF($AY66&lt;=25999,5200,MAX(2500,5200-135*CEILING(($AY66-25999)/500,1))),IF($AY66&lt;=25999,3000,MAX(2500,3000-25*CEILING(($AY66-25999)/500,1)))))-($P66-'Methodology &amp; Sources'!$C$10*$D66)*'Inputs 2'!$C$8-IF(OR($AU66="Married",$AU66="Head of household"),3000,1500)-$AT66*IF($AY66&lt;=50000,1000,IF($AY66&lt;=100000,500,300))),IF($AN66="AR",IF(MAX(0,$AY66-2470)&lt;97701,INT(MAX(0,$AY66-2470)/100)*100+50,MAX(0,$AY66-2470)),IF($AN66="DE",MAX(0,$AI66-3250),IF($AN66="HI",MAX(0,$AI66-1144*$AS66-4350),IF($AN66="KS",MAX(0,$AI66-(9160*IF($AU66="Married",2,1)+2320*$AT66+IF($AU66="Head of household",2320,0))),IF($AN66="MD",MAX(0,$AI66-3400-3200*$AS66),IF($AN66="MN",MAX(0,$AY66-5300*$AS66),IF($AN66="MO",MAX(0,$AI66-IF($AU66="Head of household",24150,IF($AU66="Married",IF('Inputs 2'!$C$83,16100,32200),16100))),IF($AN66="MT",$AY66,IF($AN66="ND",($C66+$L66)*'Inputs 2'!$C$8,IF($AN66="NE",MAX(0,$AY66-2440*$AS66),IF($AN66="NJ",MAX(0,$AY66-1000*$AS66),IF($AN66="NY",MAX(0,$AY66-(IF($AU66="Married",7950,7400)+1000*$AS66)),IF($AN66="OH",MAX(0,$AY66-650*$AS66),IF($AN66="OK",MAX(0,$AY66-1000*$AS66),IF($AN66="RI",MAX(0,$AI66-1000*$AS66),IF($AN66="SC",MAX(0,$AI66-5000*$AS66-IF($AS66=0,0,MIN(0.1*$AI66,7500))),IF($AN66="VA",MAX(0,$AI66-IF($AU66="Married",17500,8750)-930*$AS66-800*$AT66),IF($AN66="VT",MAX(0,$AI66-5400*$AS66),IF($AN66="WI",MAX(0,$AI66-MAX(0,IF($AU66="Married",9461-0.2*MAX(0,$AI66-25727),6702-0.12*MAX(0,$AI66-17780)))-400*$AS66),IF($AN66="WV",MAX(0,$AI66-2000*$AS66),$AI66))))))))))))))))))))))</f>
      </c>
      <c r="BA66" s="7">
        <f>IF($B66="","",IF($BW66&lt;&gt;"",$BW66,IF($BX66&lt;&gt;"",$BX66,IF($BY66&lt;&gt;"",$BY66,0))))</f>
      </c>
      <c r="BB66" s="7">
        <f>IF($B66="","",IF($AN66="AR",-29*$AS66,IF($AN66="DE",-110*$AS66,IF($AN66="MD",$AZ66*'Inputs 2'!$C$74,IF($AN66="AZ",'Inputs 2'!$C$82*($M66-$D66)*'Inputs 2'!$C$8,IF($AN66="CO",0.044*MAX(0,$AY66-IF($AU66="Married",10000,5000)),IF($AN66="IA",MAX(0,0.038*MAX(0,$AY66-IF($AU66="Head of household",19500,IF($AU66="Married",26000,13000)))-40*$AS66),IF($AN66="ID",0.053*MAX(0,$AY66-IF($AU66="Married",32000,16094)),IF($AN66="IL",0.0495*MAX(0,$AY66-(2925*$AS66+1000*$AT66)),IF($AN66="IN",(0.0295+'Inputs 2'!$C$76)*MAX(0,$AY66-(1000*$AS66+1500*$AT66+3000*'Inputs 2'!$C$86)),IF($AN66="KY",0.035*MAX(0,$AI66-3360),IF($AN66="LA",IF('Inputs 2'!$C$84="0",0.0309*$AI66,0.0309*MAX(0,$AI66-IF('Inputs 2'!$C$84="2",25750,12875))),IF($AN66="MA",0.05*MIN(MAX(0,$AY66-MIN(($BD65+$Q66+$R66+$S66),2000)-IF($AS66=0,0,IF($AS66=1,4400,1000*$AS66+3400))),1107750)+0.09*MAX(0,MAX(0,$AY66-MIN(($BD65+$Q66+$R66+$S66),2000)-IF($AS66=0,0,IF($AS66=1,4400,1000*$AS66+3400)))-1107750)-IF($AU66="Head of household",120,0)-110*'Inputs 2'!$C$75,IF($AN66="MI",0.0425*MAX(0,$AY66-5900*$AS66),IF($AN66="MS",0.04*MAX(0,$AI66-IF($AU66="Head of household",3400,IF($AU66="Married",4600,2300))-'Inputs 2'!$C$85-10000),IF($AN66="OR",IF(OR($AU66="Married",AND($AU66="Single",$AS66&gt;=3)),SUMPRODUCT((MAX(0,$AY66-MIN(($P66-'Methodology &amp; Sources'!$C$10*$D66)*'Inputs 2'!$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Sources'!$B$211:$J$214,0,4))*(MAX(0,$AY66-MIN(($P66-'Methodology &amp; Sources'!$C$10*$D66)*'Inputs 2'!$C$8,IF(OR($AU66="Married",AND($AU66="Single",$AS66&gt;=3)),IF($AY66&lt;250000,8750,IF($AY66&lt;260000,7000,IF($AY66&lt;270000,5250,IF($AY66&lt;280000,3500,IF($AY66&lt;290000,1750,0))))),IF($AY66&lt;125000,8750,IF($AY66&lt;130000,7000,IF($AY66&lt;135000,5250,IF($AY66&lt;140000,3500,IF($AY66&lt;145000,1750,0)))))))-IF(OR($AU66="Married",AND($AU66="Single",$AS66&gt;=3)),5820,2910))-INDEX('Methodology &amp; Sources'!$B$211:$J$214,0,4))*INDEX('Methodology &amp; Sources'!$B$211:$J$214,0,4+2)),SUMPRODUCT((MAX(0,$AY66-MIN(($P66-'Methodology &amp; Sources'!$C$10*$D66)*'Inputs 2'!$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Sources'!$B$211:$J$214,0,1))*(MAX(0,$AY66-MIN(($P66-'Methodology &amp; Sources'!$C$10*$D66)*'Inputs 2'!$C$8,IF(OR($AU66="Married",AND($AU66="Single",$AS66&gt;=3)),IF($AY66&lt;250000,8750,IF($AY66&lt;260000,7000,IF($AY66&lt;270000,5250,IF($AY66&lt;280000,3500,IF($AY66&lt;290000,1750,0))))),IF($AY66&lt;125000,8750,IF($AY66&lt;130000,7000,IF($AY66&lt;135000,5250,IF($AY66&lt;140000,3500,IF($AY66&lt;145000,1750,0)))))))-IF(OR($AU66="Married",AND($AU66="Single",$AS66&gt;=3)),5820,2910))-INDEX('Methodology &amp; Sources'!$B$211:$J$214,0,1))*INDEX('Methodology &amp; Sources'!$B$211:$J$214,0,1+2)))+263-263*IF(IF($AU66="Married",$AY66&gt;200000,$AY66&gt;100000),0,$AS66),IF($AN66="PA",0.0307*(($O66+$E66+$G66)*'Inputs 2'!$C$8),IF($AN66="NY",IF($AU66="Married",IF($AZ66&gt;=2155350,0,IF($AZ66&gt;=1077550,0.48,IF($AZ66&gt;=373200,1.21,IF($AZ66&gt;=323200,0.21,IF($AZ66&gt;=211550,-0.19,IF($AZ66&gt;=157650,-2.8,IF($AZ66&gt;=107650,-0.8,IF($AZ66&gt;=96800,0.05,IF($AZ66&gt;=80650,-0.1,IF($AZ66&gt;=13900,0.4,IF($AZ66&gt;=11700,-0.3,IF($AZ66&gt;=8500,0.5,0)))))))))))),IF($AZ66&gt;=1077550,0,IF($AZ66&gt;=265400,4.29,IF($AZ66&gt;=215400,2.29,IF($AZ66&gt;=157650,2.29,IF($AZ66&gt;=107650,0.29,IF($AZ66&gt;=96800,0.05,IF($AZ66&gt;=80650,-0.1,IF($AZ66&gt;=13900,0.4,IF($AZ66&gt;=11700,-0.3,IF($AZ66&gt;=8500,0.5,0))))))))))),0))))))))))))))))))</f>
      </c>
      <c r="BC66" s="7">
        <f>IF($B66="","",IF($AN66="AL",0.05*$D66,IF($AN66="AR",0.039*$D66,IF($AN66="ID",0.053*$D66,IF($AN66="IN",(0.0295+'Inputs 2'!$C$76)*$D66,IF($AN66="KS",0.05*$D66,IF($AN66="MA",0.09*MIN($D66,MAX(0,MAX(0,$AY66-MIN(($BD65+$Q66+$R66+$S66),2000)-IF($AS66=0,0,IF($AS66=1,4400,1000*$AS66+3400)))+$D66-1107750))+0.05*($D66-MIN($D66,MAX(0,MAX(0,$AY66-MIN(($BD65+$Q66+$R66+$S66),2000)-IF($AS66=0,0,IF($AS66=1,4400,1000*$AS66+3400)))+$D66-1107750))),IF($AN66="MD",(0.065+'Inputs 2'!$C$74)*$D66,IF($AN66="MI",0.0425*$D66,IF($AN66="MN",0.0625*$D66,IF($AN66="MO",0.047*$D66,IF($AN66="MT",0.05*$D66,IF($AN66="ND",0.015*$D66,IF($AN66="NE",0.035*$D66,IF($AN66="NJ",IF('Inputs 2'!$C$77="B",SUMPRODUCT(($D66*'Inputs 2'!$C$8&gt;INDEX('Methodology &amp; Sources'!$B$155:$J$162,0,4))*($D66*'Inputs 2'!$C$8-INDEX('Methodology &amp; Sources'!$B$155:$J$162,0,4))*INDEX('Methodology &amp; Sources'!$B$155:$J$162,0,4+2)),IF('Inputs 2'!$C$77="C",SUMPRODUCT(($D66*'Inputs 2'!$C$8&gt;INDEX('Methodology &amp; Sources'!$B$155:$J$162,0,7))*($D66*'Inputs 2'!$C$8-INDEX('Methodology &amp; Sources'!$B$155:$J$162,0,7))*INDEX('Methodology &amp; Sources'!$B$155:$J$162,0,7+2)),IF('Inputs 2'!$C$77="D",SUMPRODUCT(($D66*'Inputs 2'!$C$8&gt;INDEX('Methodology &amp; Sources'!$B$167:$J$179,0,1))*($D66*'Inputs 2'!$C$8-INDEX('Methodology &amp; Sources'!$B$167:$J$179,0,1))*INDEX('Methodology &amp; Sources'!$B$167:$J$179,0,1+2)),IF('Inputs 2'!$C$77="E",SUMPRODUCT(($D66*'Inputs 2'!$C$8&gt;INDEX('Methodology &amp; Sources'!$B$167:$J$179,0,4))*($D66*'Inputs 2'!$C$8-INDEX('Methodology &amp; Sources'!$B$167:$J$179,0,4))*INDEX('Methodology &amp; Sources'!$B$167:$J$179,0,4+2)),SUMPRODUCT(($D66*'Inputs 2'!$C$8&gt;INDEX('Methodology &amp; Sources'!$B$155:$J$162,0,1))*($D66*'Inputs 2'!$C$8-INDEX('Methodology &amp; Sources'!$B$155:$J$162,0,1))*INDEX('Methodology &amp; Sources'!$B$155:$J$162,0,1+2))))))/'Inputs 2'!$C$8,IF($AN66="NY",0.117*$D66,IF($AN66="OH",0.0275*$D66,IF($AN66="OK",0.045*$D66,IF($AN66="OR",0.08*$D66,IF($AN66="WI",IF($AY66&lt;12760,0.0354,IF($AY66&lt;25520,0.0465,IF($AY66&lt;280950,0.053,0.0765)))*$D66,0))))))))))))))))))))</f>
      </c>
      <c r="BD66" s="7">
        <f>IF($B66="","",$BD65+$Q66+$R66+$S66)</f>
      </c>
      <c r="BE66" s="6">
        <f>IF($B66="",$BE65,$BE65+$BF66)</f>
      </c>
      <c r="BF66" s="6">
        <f>IF($B66="","",IF(AND(IF(YEAR(IF('Inputs 2'!$C$7="Weekly",'Inputs 2'!$C$9+7*(($BE65+1)-1),IF('Inputs 2'!$C$7="Biweekly",'Inputs 2'!$C$9+14*(($BE65+1)-1),IF('Inputs 2'!$C$7="Semimonthly",DATE(YEAR('Inputs 2'!$C$9),MONTH('Inputs 2'!$C$9)+INT((($BE65+1)-1)/2),MIN(DAY('Inputs 2'!$C$9),DAY(EOMONTH(DATE(YEAR('Inputs 2'!$C$9),MONTH('Inputs 2'!$C$9)+INT((($BE65+1)-1)/2),1),0))))+IF(MOD(($BE65+1)-1,2)=1,15,0),EDATE('Inputs 2'!$C$9,($BE65+1)-1)))))&lt;&gt;'Inputs 2'!$C$10,"",IF('Inputs 2'!$C$7="Weekly",'Inputs 2'!$C$9+7*(($BE65+1)-1),IF('Inputs 2'!$C$7="Biweekly",'Inputs 2'!$C$9+14*(($BE65+1)-1),IF('Inputs 2'!$C$7="Semimonthly",DATE(YEAR('Inputs 2'!$C$9),MONTH('Inputs 2'!$C$9)+INT((($BE65+1)-1)/2),MIN(DAY('Inputs 2'!$C$9),DAY(EOMONTH(DATE(YEAR('Inputs 2'!$C$9),MONTH('Inputs 2'!$C$9)+INT((($BE65+1)-1)/2),1),0))))+IF(MOD(($BE65+1)-1,2)=1,15,0),EDATE('Inputs 2'!$C$9,($BE65+1)-1)))))&lt;&gt;"",$B66=IF(YEAR(IF('Inputs 2'!$C$7="Weekly",'Inputs 2'!$C$9+7*(($BE65+1)-1),IF('Inputs 2'!$C$7="Biweekly",'Inputs 2'!$C$9+14*(($BE65+1)-1),IF('Inputs 2'!$C$7="Semimonthly",DATE(YEAR('Inputs 2'!$C$9),MONTH('Inputs 2'!$C$9)+INT((($BE65+1)-1)/2),MIN(DAY('Inputs 2'!$C$9),DAY(EOMONTH(DATE(YEAR('Inputs 2'!$C$9),MONTH('Inputs 2'!$C$9)+INT((($BE65+1)-1)/2),1),0))))+IF(MOD(($BE65+1)-1,2)=1,15,0),EDATE('Inputs 2'!$C$9,($BE65+1)-1)))))&lt;&gt;'Inputs 2'!$C$10,"",IF('Inputs 2'!$C$7="Weekly",'Inputs 2'!$C$9+7*(($BE65+1)-1),IF('Inputs 2'!$C$7="Biweekly",'Inputs 2'!$C$9+14*(($BE65+1)-1),IF('Inputs 2'!$C$7="Semimonthly",DATE(YEAR('Inputs 2'!$C$9),MONTH('Inputs 2'!$C$9)+INT((($BE65+1)-1)/2),MIN(DAY('Inputs 2'!$C$9),DAY(EOMONTH(DATE(YEAR('Inputs 2'!$C$9),MONTH('Inputs 2'!$C$9)+INT((($BE65+1)-1)/2),1),0))))+IF(MOD(($BE65+1)-1,2)=1,15,0),EDATE('Inputs 2'!$C$9,($BE65+1)-1)))))),1,0))</f>
      </c>
      <c r="BG66" s="7">
        <f>IF($B66="","",$BG65+$H66)</f>
      </c>
      <c r="BH66" s="7">
        <f>IF($B66="","",$BH65+$I66)</f>
      </c>
      <c r="BI66" s="7">
        <f>IF($B66="","",$BI65+$G66)</f>
      </c>
      <c r="BJ66" s="7">
        <f>IF($B66="","",IFERROR(LOOKUP(2,1/(((('Events 2'!$C$6:$C$17="Deduction start"))*('Events 2'!$D$6:$D$17="Health FSA"))*('Events 2'!$B$6:$B$17&lt;=$B66)*('Events 2'!$B$6:$B$17&lt;&gt;"")),'Events 2'!$E$6:$E$17),'Inputs 2'!$D$38))</f>
      </c>
      <c r="BK66" s="7">
        <f>IF($B66="","",IFERROR(LOOKUP(2,1/(((('Events 2'!$C$6:$C$17="Deduction start"))*('Events 2'!$D$6:$D$17="Dependent-care FSA"))*('Events 2'!$B$6:$B$17&lt;=$B66)*('Events 2'!$B$6:$B$17&lt;&gt;"")),'Events 2'!$E$6:$E$17),'Inputs 2'!$D$39))</f>
      </c>
      <c r="BL66" s="7">
        <f>IF($B66="","",IFERROR(LOOKUP(2,1/(((('Events 2'!$C$6:$C$17="Deduction start")+('Events 2'!$C$6:$C$17="Deduction stop"))*('Events 2'!$D$6:$D$17="HSA"))*('Events 2'!$B$6:$B$17&lt;=$B66)*('Events 2'!$B$6:$B$17&lt;&gt;"")),'Events 2'!$I$6:$I$17),'Inputs 2'!$D$35))</f>
      </c>
      <c r="BM66" s="7">
        <f>IF($B66="","",IFERROR(LOOKUP(2,1/(((('Events 2'!$C$6:$C$17="Deduction start")+('Events 2'!$C$6:$C$17="Deduction stop"))*('Events 2'!$D$6:$D$17="Premiums"))*('Events 2'!$B$6:$B$17&lt;=$B66)*('Events 2'!$B$6:$B$17&lt;&gt;"")),'Events 2'!$I$6:$I$17),'Inputs 2'!$D$40+'Inputs 2'!$D$41+'Inputs 2'!$D$42))</f>
      </c>
      <c r="BN66" s="7">
        <f>IF($B66="","",IFERROR(LOOKUP(2,1/(((('Events 2'!$C$6:$C$17="Deduction start")+('Events 2'!$C$6:$C$17="Deduction stop"))*('Events 2'!$D$6:$D$17="Commuter"))*('Events 2'!$B$6:$B$17&lt;=$B66)*('Events 2'!$B$6:$B$17&lt;&gt;"")),'Events 2'!$I$6:$I$17),'Inputs 2'!$D$43))</f>
      </c>
      <c r="BO66" s="7">
        <f>IF($B66="","",IFERROR(LOOKUP(2,1/(((('Events 2'!$C$6:$C$17="Deduction start")+('Events 2'!$C$6:$C$17="Deduction stop"))*('Events 2'!$D$6:$D$17="Other pre-tax"))*('Events 2'!$B$6:$B$17&lt;=$B66)*('Events 2'!$B$6:$B$17&lt;&gt;"")),'Events 2'!$I$6:$I$17),'Inputs 2'!$D$44))</f>
      </c>
      <c r="BP66" s="7">
        <f>IF($B66="","",IFERROR(LOOKUP(2,1/(((('Events 2'!$C$6:$C$17="Deduction start")+('Events 2'!$C$6:$C$17="Deduction stop"))*('Events 2'!$D$6:$D$17="Other post-tax"))*('Events 2'!$B$6:$B$17&lt;=$B66)*('Events 2'!$B$6:$B$17&lt;&gt;"")),'Events 2'!$I$6:$I$17),'Inputs 2'!$D$45))</f>
      </c>
      <c r="BQ66" s="6">
        <f>IF($B66="","",IFERROR(LOOKUP(2,1/(((('Events 2'!$C$6:$C$17="Deduction start")+('Events 2'!$C$6:$C$17="Deduction stop"))*('Events 2'!$D$6:$D$17="Health FSA"))*('Events 2'!$B$6:$B$17&lt;=$B66)*('Events 2'!$B$6:$B$17&lt;&gt;"")),'Events 2'!$J$6:$J$17),0))</f>
      </c>
      <c r="BR66" s="6">
        <f>IF($B66="","",IFERROR(LOOKUP(2,1/(((('Events 2'!$C$6:$C$17="Deduction start")+('Events 2'!$C$6:$C$17="Deduction stop"))*('Events 2'!$D$6:$D$17="Dependent-care FSA"))*('Events 2'!$B$6:$B$17&lt;=$B66)*('Events 2'!$B$6:$B$17&lt;&gt;"")),'Events 2'!$J$6:$J$17),0))</f>
      </c>
      <c r="BS66" s="6">
        <f>IF($B66="","",IF(SUMPRODUCT(('Events 2'!$C$6:$C$17="Deduction start")*('Events 2'!$B$6:$B$17&lt;=$B66)*('Events 2'!$B$6:$B$17&lt;&gt;"")*('Events 2'!$D$6:$D$17="Health FSA"))&gt;0,1,0))</f>
      </c>
      <c r="BT66" s="6">
        <f>IF($B66="","",IF(SUMPRODUCT(('Events 2'!$C$6:$C$17="Deduction start")*('Events 2'!$B$6:$B$17&lt;=$B66)*('Events 2'!$B$6:$B$17&lt;&gt;"")*('Events 2'!$D$6:$D$17="Dependent-care FSA"))&gt;0,1,0))</f>
      </c>
      <c r="BU66" s="24">
        <f>IF($B66="","",IF('Inputs 2'!$C$13,SUMPRODUCT(($AH66&gt;=INDEX('Methodology &amp; Sources'!$B$29:$J$36,0,IF('Inputs 2'!$C$12="MFJ",1,IF('Inputs 2'!$C$12="HoH",7,4))))*INDEX('Methodology &amp; Sources'!$B$29:$J$36,0,IF('Inputs 2'!$C$12="MFJ",1,IF('Inputs 2'!$C$12="HoH",7,4))+2)),SUMPRODUCT(($AH66&gt;=INDEX('Methodology &amp; Sources'!$B$19:$J$26,0,IF('Inputs 2'!$C$12="MFJ",1,IF('Inputs 2'!$C$12="HoH",7,4))))*INDEX('Methodology &amp; Sources'!$B$19:$J$26,0,IF('Inputs 2'!$C$12="MFJ",1,IF('Inputs 2'!$C$12="HoH",7,4))+2))))</f>
      </c>
      <c r="BV66" s="24">
        <f>IF($B66="","",IF($BZ66&lt;&gt;"",$BZ66,IF($CA66&lt;&gt;"",$CA66,IF($CB66&lt;&gt;"",$CB66,IF($CC66&lt;&gt;"",$CC66,0)))))</f>
      </c>
      <c r="BW66" s="7">
        <f>IF($B66="","",IF($AN66="MD",IF(OR($AU66="Married",$AU66="Head of household"),SUMPRODUCT(($AZ66&gt;INDEX('Methodology &amp; Sources'!$B$114:$J$120,0,1))*($AZ66-INDEX('Methodology &amp; Sources'!$B$114:$J$120,0,1))*INDEX('Methodology &amp; Sources'!$B$114:$J$120,0,1+2)),SUMPRODUCT(($AZ66&gt;INDEX('Methodology &amp; Sources'!$B$103:$J$109,0,7))*($AZ66-INDEX('Methodology &amp; Sources'!$B$103:$J$109,0,7))*INDEX('Methodology &amp; Sources'!$B$103:$J$109,0,7+2))),IF($AN66="MO",SUMPRODUCT(($AZ66&gt;INDEX('Methodology &amp; Sources'!$B$125:$J$132,0,1))*($AZ66-INDEX('Methodology &amp; Sources'!$B$125:$J$132,0,1))*INDEX('Methodology &amp; Sources'!$B$125:$J$132,0,1+2)),IF($AN66="MT",IF($AU66="Head of household",SUMPRODUCT(($AZ66&gt;INDEX('Methodology &amp; Sources'!$B$137:$J$139,0,1))*($AZ66-INDEX('Methodology &amp; Sources'!$B$137:$J$139,0,1))*INDEX('Methodology &amp; Sources'!$B$137:$J$139,0,1+2)),IF($AU66="Married",SUMPRODUCT(($AZ66&gt;INDEX('Methodology &amp; Sources'!$B$125:$J$132,0,7))*($AZ66-INDEX('Methodology &amp; Sources'!$B$125:$J$132,0,7))*INDEX('Methodology &amp; Sources'!$B$125:$J$132,0,7+2)),SUMPRODUCT(($AZ66&gt;INDEX('Methodology &amp; Sources'!$B$125:$J$132,0,4))*($AZ66-INDEX('Methodology &amp; Sources'!$B$125:$J$132,0,4))*INDEX('Methodology &amp; Sources'!$B$125:$J$132,0,4+2)))),IF($AN66="ND",IF($AU66="Head of household",SUMPRODUCT(($AZ66&gt;INDEX('Methodology &amp; Sources'!$B$144:$J$150,0,1))*($AZ66-INDEX('Methodology &amp; Sources'!$B$144:$J$150,0,1))*INDEX('Methodology &amp; Sources'!$B$144:$J$150,0,1+2)),IF($AU66="Married",SUMPRODUCT(($AZ66&gt;INDEX('Methodology &amp; Sources'!$B$137:$J$139,0,7))*($AZ66-INDEX('Methodology &amp; Sources'!$B$137:$J$139,0,7))*INDEX('Methodology &amp; Sources'!$B$137:$J$139,0,7+2)),SUMPRODUCT(($AZ66&gt;INDEX('Methodology &amp; Sources'!$B$137:$J$139,0,4))*($AZ66-INDEX('Methodology &amp; Sources'!$B$137:$J$139,0,4))*INDEX('Methodology &amp; Sources'!$B$137:$J$139,0,4+2)))),IF($AN66="NJ",IF('Inputs 2'!$C$77="B",SUMPRODUCT(($AZ66&gt;INDEX('Methodology &amp; Sources'!$B$155:$J$162,0,4))*($AZ66-INDEX('Methodology &amp; Sources'!$B$155:$J$162,0,4))*INDEX('Methodology &amp; Sources'!$B$155:$J$162,0,4+2)),IF('Inputs 2'!$C$77="C",SUMPRODUCT(($AZ66&gt;INDEX('Methodology &amp; Sources'!$B$155:$J$162,0,7))*($AZ66-INDEX('Methodology &amp; Sources'!$B$155:$J$162,0,7))*INDEX('Methodology &amp; Sources'!$B$155:$J$162,0,7+2)),IF('Inputs 2'!$C$77="D",SUMPRODUCT(($AZ66&gt;INDEX('Methodology &amp; Sources'!$B$167:$J$179,0,1))*($AZ66-INDEX('Methodology &amp; Sources'!$B$167:$J$179,0,1))*INDEX('Methodology &amp; Sources'!$B$167:$J$179,0,1+2)),IF('Inputs 2'!$C$77="E",SUMPRODUCT(($AZ66&gt;INDEX('Methodology &amp; Sources'!$B$167:$J$179,0,4))*($AZ66-INDEX('Methodology &amp; Sources'!$B$167:$J$179,0,4))*INDEX('Methodology &amp; Sources'!$B$167:$J$179,0,4+2)),SUMPRODUCT(($AZ66&gt;INDEX('Methodology &amp; Sources'!$B$155:$J$162,0,1))*($AZ66-INDEX('Methodology &amp; Sources'!$B$155:$J$162,0,1))*INDEX('Methodology &amp; Sources'!$B$155:$J$162,0,1+2)))))),IF($AN66="NY",IF($AU66="Married",IF($AZ66&gt;=2155350,$AZ66*IF($AZ66&gt;25000000,0.117,IF($AZ66&gt;5000000,0.111,0.1045)),SUMPRODUCT(($AZ66&gt;INDEX('Methodology &amp; Sources'!$B$184:$J$198,0,1))*($AZ66-INDEX('Methodology &amp; Sources'!$B$184:$J$198,0,1))*INDEX('Methodology &amp; Sources'!$B$184:$J$198,0,1+2))),IF($AZ66&gt;=1077550,$AZ66*IF($AZ66&gt;25000000,0.117,IF($AZ66&gt;5000000,0.111,0.1045)),SUMPRODUCT(($AZ66&gt;INDEX('Methodology &amp; Sources'!$B$167:$J$179,0,7))*($AZ66-INDEX('Methodology &amp; Sources'!$B$167:$J$179,0,7))*INDEX('Methodology &amp; Sources'!$B$167:$J$179,0,7+2)))),"")))))))</f>
      </c>
      <c r="BX66" s="7">
        <f>IF($B66="","",IF($AN66="AL",IF(OR($AU66="Married",$AU66="Head of household"),SUMPRODUCT(($AZ66&gt;INDEX('Methodology &amp; Sources'!$B$82:$J$86,0,4))*($AZ66-INDEX('Methodology &amp; Sources'!$B$82:$J$86,0,4))*INDEX('Methodology &amp; Sources'!$B$82:$J$86,0,4+2)),SUMPRODUCT(($AZ66&gt;INDEX('Methodology &amp; Sources'!$B$82:$J$86,0,1))*($AZ66-INDEX('Methodology &amp; Sources'!$B$82:$J$86,0,1))*INDEX('Methodology &amp; Sources'!$B$82:$J$86,0,1+2))),IF($AN66="KS",IF($AU66="Married",SUMPRODUCT(($AZ66&gt;INDEX('Methodology &amp; Sources'!$B$103:$J$109,0,4))*($AZ66-INDEX('Methodology &amp; Sources'!$B$103:$J$109,0,4))*INDEX('Methodology &amp; Sources'!$B$103:$J$109,0,4+2)),SUMPRODUCT(($AZ66&gt;INDEX('Methodology &amp; Sources'!$B$103:$J$109,0,1))*($AZ66-INDEX('Methodology &amp; Sources'!$B$103:$J$109,0,1))*INDEX('Methodology &amp; Sources'!$B$103:$J$109,0,1+2))),IF($AN66="MN",IF($AU66="Married",SUMPRODUCT(($AZ66&gt;INDEX('Methodology &amp; Sources'!$B$114:$J$120,0,7))*($AZ66-INDEX('Methodology &amp; Sources'!$B$114:$J$120,0,7))*INDEX('Methodology &amp; Sources'!$B$114:$J$120,0,7+2)),SUMPRODUCT(($AZ66&gt;INDEX('Methodology &amp; Sources'!$B$114:$J$120,0,4))*($AZ66-INDEX('Methodology &amp; Sources'!$B$114:$J$120,0,4))*INDEX('Methodology &amp; Sources'!$B$114:$J$120,0,4+2))),IF($AN66="NE",MAX(IF($AU66="Married",SUMPRODUCT(($AZ66&gt;INDEX('Methodology &amp; Sources'!$B$144:$J$150,0,7))*($AZ66-INDEX('Methodology &amp; Sources'!$B$144:$J$150,0,7))*INDEX('Methodology &amp; Sources'!$B$144:$J$150,0,7+2)),SUMPRODUCT(($AZ66&gt;INDEX('Methodology &amp; Sources'!$B$144:$J$150,0,4))*($AZ66-INDEX('Methodology &amp; Sources'!$B$144:$J$150,0,4))*INDEX('Methodology &amp; Sources'!$B$144:$J$150,0,4+2))),0.015*$AZ66),IF($AN66="OH",IF($B66&gt;=DATE(2027,8,1),SUMPRODUCT(($AZ66&gt;INDEX('Methodology &amp; Sources'!$B$203:$J$206,0,1))*($AZ66-INDEX('Methodology &amp; Sources'!$B$203:$J$206,0,1))*INDEX('Methodology &amp; Sources'!$B$203:$J$206,0,1+2)),SUMPRODUCT(($AZ66&gt;INDEX('Methodology &amp; Sources'!$B$184:$J$198,0,7))*($AZ66-INDEX('Methodology &amp; Sources'!$B$184:$J$198,0,7))*INDEX('Methodology &amp; Sources'!$B$184:$J$198,0,7+2))),IF($AN66="OK",IF($AU66="Married",SUMPRODUCT(($AZ66&gt;INDEX('Methodology &amp; Sources'!$B$203:$J$206,0,7))*($AZ66-INDEX('Methodology &amp; Sources'!$B$203:$J$206,0,7))*INDEX('Methodology &amp; Sources'!$B$203:$J$206,0,7+2)),SUMPRODUCT(($AZ66&gt;INDEX('Methodology &amp; Sources'!$B$203:$J$206,0,4))*($AZ66-INDEX('Methodology &amp; Sources'!$B$203:$J$206,0,4))*INDEX('Methodology &amp; Sources'!$B$203:$J$206,0,4+2))),IF($AN66="RI",SUMPRODUCT(($AZ66&gt;INDEX('Methodology &amp; Sources'!$B$211:$J$214,0,7))*($AZ66-INDEX('Methodology &amp; Sources'!$B$211:$J$214,0,7))*INDEX('Methodology &amp; Sources'!$B$211:$J$214,0,7+2)),IF($AN66="VT",IF($AU66="Married",SUMPRODUCT(($AZ66&gt;INDEX('Methodology &amp; Sources'!$B$228:$J$232,0,1))*($AZ66-INDEX('Methodology &amp; Sources'!$B$228:$J$232,0,1))*INDEX('Methodology &amp; Sources'!$B$228:$J$232,0,1+2)),SUMPRODUCT(($AZ66&gt;INDEX('Methodology &amp; Sources'!$B$219:$J$223,0,7))*($AZ66-INDEX('Methodology &amp; Sources'!$B$219:$J$223,0,7))*INDEX('Methodology &amp; Sources'!$B$219:$J$223,0,7+2))),IF($AN66="WV",IF($AU66="Married",SUMPRODUCT(($AZ66&gt;INDEX('Methodology &amp; Sources'!$B$237:$J$241,0,7))*($AZ66-INDEX('Methodology &amp; Sources'!$B$237:$J$241,0,7))*INDEX('Methodology &amp; Sources'!$B$237:$J$241,0,7+2)),SUMPRODUCT(($AZ66&gt;INDEX('Methodology &amp; Sources'!$B$228:$J$232,0,7))*($AZ66-INDEX('Methodology &amp; Sources'!$B$228:$J$232,0,7))*INDEX('Methodology &amp; Sources'!$B$228:$J$232,0,7+2))),""))))))))))</f>
      </c>
      <c r="BY66" s="7">
        <f>IF($B66="","",IF($AN66="AR",SUMPRODUCT(($AZ66&gt;INDEX('Methodology &amp; Sources'!$B$82:$J$86,0,7))*($AZ66-INDEX('Methodology &amp; Sources'!$B$82:$J$86,0,7))*INDEX('Methodology &amp; Sources'!$B$82:$J$86,0,7+2)),IF($AN66="DE",SUMPRODUCT(($AZ66&gt;INDEX('Methodology &amp; Sources'!$B$91:$J$98,0,1))*($AZ66-INDEX('Methodology &amp; Sources'!$B$91:$J$98,0,1))*INDEX('Methodology &amp; Sources'!$B$91:$J$98,0,1+2)),IF($AN66="HI",IF($AU66="Married",SUMPRODUCT(($AZ66&gt;INDEX('Methodology &amp; Sources'!$B$91:$J$98,0,7))*($AZ66-INDEX('Methodology &amp; Sources'!$B$91:$J$98,0,7))*INDEX('Methodology &amp; Sources'!$B$91:$J$98,0,7+2)),SUMPRODUCT(($AZ66&gt;INDEX('Methodology &amp; Sources'!$B$91:$J$98,0,4))*($AZ66-INDEX('Methodology &amp; Sources'!$B$91:$J$98,0,4))*INDEX('Methodology &amp; Sources'!$B$91:$J$98,0,4+2))),IF($AN66="SC",SUMPRODUCT(($AZ66&gt;INDEX('Methodology &amp; Sources'!$B$219:$J$223,0,1))*($AZ66-INDEX('Methodology &amp; Sources'!$B$219:$J$223,0,1))*INDEX('Methodology &amp; Sources'!$B$219:$J$223,0,1+2)),IF($AN66="VA",SUMPRODUCT(($AZ66&gt;INDEX('Methodology &amp; Sources'!$B$219:$J$223,0,4))*($AZ66-INDEX('Methodology &amp; Sources'!$B$219:$J$223,0,4))*INDEX('Methodology &amp; Sources'!$B$219:$J$223,0,4+2)),IF($AN66="WI",SUMPRODUCT(($AZ66&gt;INDEX('Methodology &amp; Sources'!$B$228:$J$232,0,4))*($AZ66-INDEX('Methodology &amp; Sources'!$B$228:$J$232,0,4))*INDEX('Methodology &amp; Sources'!$B$228:$J$232,0,4+2)),"")))))))</f>
      </c>
      <c r="BZ66" s="24">
        <f>IF($B66="","",IF($AN66="NJ",IF('Inputs 2'!$C$77="B",SUMPRODUCT(($AZ66&gt;=INDEX('Methodology &amp; Sources'!$B$155:$J$162,0,4))*INDEX('Methodology &amp; Sources'!$B$155:$J$162,0,4+2)),IF('Inputs 2'!$C$77="C",SUMPRODUCT(($AZ66&gt;=INDEX('Methodology &amp; Sources'!$B$155:$J$162,0,7))*INDEX('Methodology &amp; Sources'!$B$155:$J$162,0,7+2)),IF('Inputs 2'!$C$77="D",SUMPRODUCT(($AZ66&gt;=INDEX('Methodology &amp; Sources'!$B$167:$J$179,0,1))*INDEX('Methodology &amp; Sources'!$B$167:$J$179,0,1+2)),IF('Inputs 2'!$C$77="E",SUMPRODUCT(($AZ66&gt;=INDEX('Methodology &amp; Sources'!$B$167:$J$179,0,4))*INDEX('Methodology &amp; Sources'!$B$167:$J$179,0,4+2)),SUMPRODUCT(($AZ66&gt;=INDEX('Methodology &amp; Sources'!$B$155:$J$162,0,1))*INDEX('Methodology &amp; Sources'!$B$155:$J$162,0,1+2)))))),IF($AN66="OR",IF(OR($AU66="Married",AND($AU66="Single",$AS66&gt;=3)),SUMPRODUCT((MAX(0,$AY66-MIN(($P66-'Methodology &amp; Sources'!$C$10*$D66)*'Inputs 2'!$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Sources'!$B$211:$J$214,0,4))*INDEX('Methodology &amp; Sources'!$B$211:$J$214,0,4+2)),SUMPRODUCT((MAX(0,$AY66-MIN(($P66-'Methodology &amp; Sources'!$C$10*$D66)*'Inputs 2'!$C$8,IF(OR($AU66="Married",AND($AU66="Single",$AS66&gt;=3)),IF($AY66&lt;250000,8750,IF($AY66&lt;260000,7000,IF($AY66&lt;270000,5250,IF($AY66&lt;280000,3500,IF($AY66&lt;290000,1750,0))))),IF($AY66&lt;125000,8750,IF($AY66&lt;130000,7000,IF($AY66&lt;135000,5250,IF($AY66&lt;140000,3500,IF($AY66&lt;145000,1750,0)))))))-IF(OR($AU66="Married",AND($AU66="Single",$AS66&gt;=3)),5820,2910))&gt;=INDEX('Methodology &amp; Sources'!$B$211:$J$214,0,1))*INDEX('Methodology &amp; Sources'!$B$211:$J$214,0,1+2)))*IF(($P66-'Methodology &amp; Sources'!$C$10*$D66)*'Inputs 2'!$C$8&gt;=IF(OR($AU66="Married",AND($AU66="Single",$AS66&gt;=3)),IF($AY66&lt;250000,8750,IF($AY66&lt;260000,7000,IF($AY66&lt;270000,5250,IF($AY66&lt;280000,3500,IF($AY66&lt;290000,1750,0))))),IF($AY66&lt;125000,8750,IF($AY66&lt;130000,7000,IF($AY66&lt;135000,5250,IF($AY66&lt;140000,3500,IF($AY66&lt;145000,1750,0)))))),1,1-IF('Inputs 2'!$C$13,SUMPRODUCT(($AH66&gt;=INDEX('Methodology &amp; Sources'!$B$29:$J$36,0,IF('Inputs 2'!$C$12="MFJ",1,IF('Inputs 2'!$C$12="HoH",7,4))))*INDEX('Methodology &amp; Sources'!$B$29:$J$36,0,IF('Inputs 2'!$C$12="MFJ",1,IF('Inputs 2'!$C$12="HoH",7,4))+2)),SUMPRODUCT(($AH66&gt;=INDEX('Methodology &amp; Sources'!$B$19:$J$26,0,IF('Inputs 2'!$C$12="MFJ",1,IF('Inputs 2'!$C$12="HoH",7,4))))*INDEX('Methodology &amp; Sources'!$B$19:$J$26,0,IF('Inputs 2'!$C$12="MFJ",1,IF('Inputs 2'!$C$12="HoH",7,4))+2)))),IF($AN66="MI",IF($AY66&gt;5900*$AS66,0.0425,0),""))))</f>
      </c>
      <c r="CA66" s="24">
        <f>IF($B66="","",IF($AN66="AL",IF(OR($AU66="Married",$AU66="Head of household"),SUMPRODUCT(($AZ66&gt;=INDEX('Methodology &amp; Sources'!$B$82:$J$86,0,4))*INDEX('Methodology &amp; Sources'!$B$82:$J$86,0,4+2)),SUMPRODUCT(($AZ66&gt;=INDEX('Methodology &amp; Sources'!$B$82:$J$86,0,1))*INDEX('Methodology &amp; Sources'!$B$82:$J$86,0,1+2)))*(1-IF('Inputs 2'!$C$13,SUMPRODUCT(($AH66&gt;=INDEX('Methodology &amp; Sources'!$B$29:$J$36,0,IF('Inputs 2'!$C$12="MFJ",1,IF('Inputs 2'!$C$12="HoH",7,4))))*INDEX('Methodology &amp; Sources'!$B$29:$J$36,0,IF('Inputs 2'!$C$12="MFJ",1,IF('Inputs 2'!$C$12="HoH",7,4))+2)),SUMPRODUCT(($AH66&gt;=INDEX('Methodology &amp; Sources'!$B$19:$J$26,0,IF('Inputs 2'!$C$12="MFJ",1,IF('Inputs 2'!$C$12="HoH",7,4))))*INDEX('Methodology &amp; Sources'!$B$19:$J$26,0,IF('Inputs 2'!$C$12="MFJ",1,IF('Inputs 2'!$C$12="HoH",7,4))+2)))),IF($AN66="KS",IF($AU66="Married",SUMPRODUCT(($AZ66&gt;=INDEX('Methodology &amp; Sources'!$B$103:$J$109,0,4))*INDEX('Methodology &amp; Sources'!$B$103:$J$109,0,4+2)),SUMPRODUCT(($AZ66&gt;=INDEX('Methodology &amp; Sources'!$B$103:$J$109,0,1))*INDEX('Methodology &amp; Sources'!$B$103:$J$109,0,1+2))),IF($AN66="MD",IF(OR($AU66="Married",$AU66="Head of household"),SUMPRODUCT(($AZ66&gt;=INDEX('Methodology &amp; Sources'!$B$114:$J$120,0,1))*INDEX('Methodology &amp; Sources'!$B$114:$J$120,0,1+2)),SUMPRODUCT(($AZ66&gt;=INDEX('Methodology &amp; Sources'!$B$103:$J$109,0,7))*INDEX('Methodology &amp; Sources'!$B$103:$J$109,0,7+2)))+'Inputs 2'!$C$74,IF($AN66="MT",IF($AU66="Head of household",SUMPRODUCT(($AZ66&gt;=INDEX('Methodology &amp; Sources'!$B$137:$J$139,0,1))*INDEX('Methodology &amp; Sources'!$B$137:$J$139,0,1+2)),IF($AU66="Married",SUMPRODUCT(($AZ66&gt;=INDEX('Methodology &amp; Sources'!$B$125:$J$132,0,7))*INDEX('Methodology &amp; Sources'!$B$125:$J$132,0,7+2)),SUMPRODUCT(($AZ66&gt;=INDEX('Methodology &amp; Sources'!$B$125:$J$132,0,4))*INDEX('Methodology &amp; Sources'!$B$125:$J$132,0,4+2)))),IF($AN66="ND",IF($AU66="Head of household",SUMPRODUCT(($AZ66&gt;=INDEX('Methodology &amp; Sources'!$B$144:$J$150,0,1))*INDEX('Methodology &amp; Sources'!$B$144:$J$150,0,1+2)),IF($AU66="Married",SUMPRODUCT(($AZ66&gt;=INDEX('Methodology &amp; Sources'!$B$137:$J$139,0,7))*INDEX('Methodology &amp; Sources'!$B$137:$J$139,0,7+2)),SUMPRODUCT(($AZ66&gt;=INDEX('Methodology &amp; Sources'!$B$137:$J$139,0,4))*INDEX('Methodology &amp; Sources'!$B$137:$J$139,0,4+2)))),IF($AN66="NY",IF($AU66="Married",IF($AZ66&gt;=2155350,IF($AZ66&gt;25000000,0.117,IF($AZ66&gt;5000000,0.111,0.1045)),SUMPRODUCT(($AZ66&gt;=INDEX('Methodology &amp; Sources'!$B$184:$J$198,0,1))*INDEX('Methodology &amp; Sources'!$B$184:$J$198,0,1+2))),IF($AZ66&gt;=1077550,IF($AZ66&gt;25000000,0.117,IF($AZ66&gt;5000000,0.111,0.1045)),SUMPRODUCT(($AZ66&gt;=INDEX('Methodology &amp; Sources'!$B$167:$J$179,0,7))*INDEX('Methodology &amp; Sources'!$B$167:$J$179,0,7+2)))),"")))))))</f>
      </c>
      <c r="CB66" s="24">
        <f>IF($B66="","",IF($AN66="CA",SUMPRODUCT(($AJ66&gt;=INDEX('Methodology &amp; Sources'!$B$39:$J$48,0,IF($AU66="Married",4,IF($AU66="Head of household",7,1))))*INDEX('Methodology &amp; Sources'!$B$39:$J$48,0,IF($AU66="Married",4,IF($AU66="Head of household",7,1))+2)),IF($AN66="HI",IF($AU66="Married",SUMPRODUCT(($AZ66&gt;=INDEX('Methodology &amp; Sources'!$B$91:$J$98,0,7))*INDEX('Methodology &amp; Sources'!$B$91:$J$98,0,7+2)),SUMPRODUCT(($AZ66&gt;=INDEX('Methodology &amp; Sources'!$B$91:$J$98,0,4))*INDEX('Methodology &amp; Sources'!$B$91:$J$98,0,4+2))),IF($AN66="MN",IF($AU66="Married",SUMPRODUCT(($AZ66&gt;=INDEX('Methodology &amp; Sources'!$B$114:$J$120,0,7))*INDEX('Methodology &amp; Sources'!$B$114:$J$120,0,7+2)),SUMPRODUCT(($AZ66&gt;=INDEX('Methodology &amp; Sources'!$B$114:$J$120,0,4))*INDEX('Methodology &amp; Sources'!$B$114:$J$120,0,4+2))),IF($AN66="MO",SUMPRODUCT(($AZ66&gt;=INDEX('Methodology &amp; Sources'!$B$125:$J$132,0,1))*INDEX('Methodology &amp; Sources'!$B$125:$J$132,0,1+2)),IF($AN66="NE",MAX(IF($AU66="Married",SUMPRODUCT(($AZ66&gt;=INDEX('Methodology &amp; Sources'!$B$144:$J$150,0,7))*INDEX('Methodology &amp; Sources'!$B$144:$J$150,0,7+2)),SUMPRODUCT(($AZ66&gt;=INDEX('Methodology &amp; Sources'!$B$144:$J$150,0,4))*INDEX('Methodology &amp; Sources'!$B$144:$J$150,0,4+2))),0.015),IF($AN66="OH",IF($B66&gt;=DATE(2027,8,1),SUMPRODUCT(($AZ66&gt;=INDEX('Methodology &amp; Sources'!$B$203:$J$206,0,1))*INDEX('Methodology &amp; Sources'!$B$203:$J$206,0,1+2)),SUMPRODUCT(($AZ66&gt;=INDEX('Methodology &amp; Sources'!$B$184:$J$198,0,7))*INDEX('Methodology &amp; Sources'!$B$184:$J$198,0,7+2))),IF($AN66="OK",IF($AU66="Married",SUMPRODUCT(($AZ66&gt;=INDEX('Methodology &amp; Sources'!$B$203:$J$206,0,7))*INDEX('Methodology &amp; Sources'!$B$203:$J$206,0,7+2)),SUMPRODUCT(($AZ66&gt;=INDEX('Methodology &amp; Sources'!$B$203:$J$206,0,4))*INDEX('Methodology &amp; Sources'!$B$203:$J$206,0,4+2))),IF($AN66="RI",SUMPRODUCT(($AZ66&gt;=INDEX('Methodology &amp; Sources'!$B$211:$J$214,0,7))*INDEX('Methodology &amp; Sources'!$B$211:$J$214,0,7+2)),IF($AN66="SC",SUMPRODUCT(($AZ66&gt;=INDEX('Methodology &amp; Sources'!$B$219:$J$223,0,1))*INDEX('Methodology &amp; Sources'!$B$219:$J$223,0,1+2)),IF($AN66="VT",IF($AU66="Married",SUMPRODUCT(($AZ66&gt;=INDEX('Methodology &amp; Sources'!$B$228:$J$232,0,1))*INDEX('Methodology &amp; Sources'!$B$228:$J$232,0,1+2)),SUMPRODUCT(($AZ66&gt;=INDEX('Methodology &amp; Sources'!$B$219:$J$223,0,7))*INDEX('Methodology &amp; Sources'!$B$219:$J$223,0,7+2))),IF($AN66="WV",IF($AU66="Married",SUMPRODUCT(($AZ66&gt;=INDEX('Methodology &amp; Sources'!$B$237:$J$241,0,7))*INDEX('Methodology &amp; Sources'!$B$237:$J$241,0,7+2)),SUMPRODUCT(($AZ66&gt;=INDEX('Methodology &amp; Sources'!$B$228:$J$232,0,7))*INDEX('Methodology &amp; Sources'!$B$228:$J$232,0,7+2))),IF($AN66="IN",(0.0295+'Inputs 2'!$C$76),"")))))))))))))</f>
      </c>
      <c r="CC66" s="24">
        <f>IF($B66="","",IF($AN66="AR",SUMPRODUCT(($AZ66&gt;=INDEX('Methodology &amp; Sources'!$B$82:$J$86,0,7))*INDEX('Methodology &amp; Sources'!$B$82:$J$86,0,7+2)),IF($AN66="DE",SUMPRODUCT(($AZ66&gt;=INDEX('Methodology &amp; Sources'!$B$91:$J$98,0,1))*INDEX('Methodology &amp; Sources'!$B$91:$J$98,0,1+2)),IF($AN66="VA",SUMPRODUCT(($AZ66&gt;=INDEX('Methodology &amp; Sources'!$B$219:$J$223,0,4))*INDEX('Methodology &amp; Sources'!$B$219:$J$223,0,4+2)),IF($AN66="WI",SUMPRODUCT(($AZ66&gt;=INDEX('Methodology &amp; Sources'!$B$228:$J$232,0,4))*INDEX('Methodology &amp; Sources'!$B$228:$J$232,0,4+2)),IF($AN66="AZ",'Inputs 2'!$C$82,IF($AN66="CO",IF($AY66&gt;IF($AU66="Married",10000,5000),0.044,0),IF($AN66="IA",IF($AY66&gt;IF($AU66="Head of household",19500,IF($AU66="Married",26000,13000)),0.038,0),IF($AN66="ID",IF($AY66&gt;IF($AU66="Married",32000,16094),0.053,0),IF($AN66="IL",IF($AY66&gt;(2925*$AS66+1000*$AT66),0.0495,0),IF($AN66="KY",IF($AI66&gt;3360,0.035,0),IF($AN66="LA",0.0309,IF($AN66="MA",IF(MAX(0,$AY66-MIN(($BD65+$Q66+$R66+$S66),2000)-IF($AS66=0,0,IF($AS66=1,4400,1000*$AS66+3400)))&gt;=1107750,0.09,0.05),IF($AN66="MS",IF($AI66-IF($AU66="Head of household",3400,IF($AU66="Married",4600,2300))-'Inputs 2'!$C$85&gt;10000,0.04,0),IF($AN66="PA",0.0307,"")))))))))))))))</f>
      </c>
      <c r="CD66" s="21">
        <f>IF(YEAR(IF('Inputs 2'!$C$7="Weekly",'Inputs 2'!$C$9+7*(($BE65+1)-1),IF('Inputs 2'!$C$7="Biweekly",'Inputs 2'!$C$9+14*(($BE65+1)-1),IF('Inputs 2'!$C$7="Semimonthly",DATE(YEAR('Inputs 2'!$C$9),MONTH('Inputs 2'!$C$9)+INT((($BE65+1)-1)/2),MIN(DAY('Inputs 2'!$C$9),DAY(EOMONTH(DATE(YEAR('Inputs 2'!$C$9),MONTH('Inputs 2'!$C$9)+INT((($BE65+1)-1)/2),1),0))))+IF(MOD(($BE65+1)-1,2)=1,15,0),EDATE('Inputs 2'!$C$9,($BE65+1)-1)))))&lt;&gt;'Inputs 2'!$C$10,"",IF('Inputs 2'!$C$7="Weekly",'Inputs 2'!$C$9+7*(($BE65+1)-1),IF('Inputs 2'!$C$7="Biweekly",'Inputs 2'!$C$9+14*(($BE65+1)-1),IF('Inputs 2'!$C$7="Semimonthly",DATE(YEAR('Inputs 2'!$C$9),MONTH('Inputs 2'!$C$9)+INT((($BE65+1)-1)/2),MIN(DAY('Inputs 2'!$C$9),DAY(EOMONTH(DATE(YEAR('Inputs 2'!$C$9),MONTH('Inputs 2'!$C$9)+INT((($BE65+1)-1)/2),1),0))))+IF(MOD(($BE65+1)-1,2)=1,15,0),EDATE('Inputs 2'!$C$9,($BE65+1)-1)))))</f>
      </c>
      <c r="CE66" s="21">
        <f>IF(SUMPRODUCT(MIN(IF(('Inputs 2'!$C$58:$C$67&gt;MAX($B$6:$B65))*('Inputs 2'!$C$58:$C$67&gt;=DATE('Inputs 2'!$C$10,1,1))*('Inputs 2'!$C$58:$C$67&lt;=DATE('Inputs 2'!$C$10,12,31)),'Inputs 2'!$C$58:$C$67,999999)))=999999,"",SUMPRODUCT(MIN(IF(('Inputs 2'!$C$58:$C$67&gt;MAX($B$6:$B65))*('Inputs 2'!$C$58:$C$67&gt;=DATE('Inputs 2'!$C$10,1,1))*('Inputs 2'!$C$58:$C$67&lt;=DATE('Inputs 2'!$C$10,12,31)),'Inputs 2'!$C$58:$C$67,999999))))</f>
      </c>
    </row>
    <row r="67">
      <c r="A67" t="n">
        <v>62</v>
      </c>
      <c r="B67" s="21">
        <f>IF(AND($CD67="",$CE67=""),"",IF($CE67="",$CD67,IF($CD67="",$CE67,MIN($CD67,$CE67))))</f>
      </c>
      <c r="C67" s="7">
        <f>IF($B67="","",IF($BF67=0,0,IF('Inputs 2'!$C$4="Annual salary",ROUND($AK67/IF(AND('Inputs 2'!$C$88="Actual paydays",MONTH('Inputs 2'!$C$9)=1),MAX(1,MAX($BE$6:$BE$68)),'Inputs 2'!$C$8),2),$AK67)))</f>
      </c>
      <c r="D67" s="7">
        <f>IF($B67="","",SUMIF('Inputs 2'!$C$58:$C$67,$B67,'Inputs 2'!$D$58:$D$67))</f>
      </c>
      <c r="E67" s="7">
        <f>IF($B67="","",ROUND(MAX(0,MIN(IF($AL67="Percent",$AM67*($C67+$D67),$AM67),MAX(0,'Inputs 2'!$C$34-$AC66))),2))</f>
      </c>
      <c r="F67" s="7">
        <f>IF($B67="","",ROUND(MAX(0,MIN(IF('Inputs 2'!$C$32="Percent",'Inputs 2'!$D$32*($C67+$D67),'Inputs 2'!$D$32),MAX(0,'Inputs 2'!$C$34-$AC66-$E67))),2))</f>
      </c>
      <c r="G67" s="7">
        <f>IF($B67="","",IF($BF67=0,0,ROUND(MAX(0,MIN($BL67,'Inputs 2'!$C$37-'Inputs 2'!$C$54-$BI66)),2)))</f>
      </c>
      <c r="H67" s="7">
        <f>IF($B67="","",IF(OR($BF67=0,$BQ67=1),0,ROUND(MAX(0,MIN(IF($BS67=1,ROUND(MAX(0,MIN($BJ67,'Methodology &amp; Sources'!$C$13)-$BG66)/MAX(1,MAX($BE$6:$BE$68)-($BE66)),2),ROUND(MIN($BJ67,'Methodology &amp; Sources'!$C$13)/'Inputs 2'!$C$8,2)),MIN($BJ67,'Methodology &amp; Sources'!$C$13)-$BG66)),2)))</f>
      </c>
      <c r="I67" s="7">
        <f>IF($B67="","",IF(OR($BF67=0,$BR67=1),0,ROUND(MAX(0,MIN(IF($BT67=1,ROUND(MAX(0,MIN($BK67,IF('Inputs 2'!$C$12="MFJ",'Methodology &amp; Sources'!$C$14,'Methodology &amp; Sources'!$C$15))-$BH66)/MAX(1,MAX($BE$6:$BE$68)-($BE66)),2),ROUND(MIN($BK67,IF('Inputs 2'!$C$12="MFJ",'Methodology &amp; Sources'!$C$14,'Methodology &amp; Sources'!$C$15))/'Inputs 2'!$C$8,2)),MIN($BK67,IF('Inputs 2'!$C$12="MFJ",'Methodology &amp; Sources'!$C$14,'Methodology &amp; Sources'!$C$15))-$BH66)),2)))</f>
      </c>
      <c r="J67" s="7">
        <f>IF($B67="","",IF($BF67=0,0,$BM67))</f>
      </c>
      <c r="K67" s="7">
        <f>IF($B67="","",IF($BF67=0,0,$BN67+$BO67))</f>
      </c>
      <c r="L67" s="7">
        <f>IF($B67="","",IF($BF67=0,0,'Inputs 2'!$D$46))</f>
      </c>
      <c r="M67" s="7">
        <f>IF($B67="","",$C67+$D67+$L67-$E67-$G67-$H67-$I67-$J67-$K67)</f>
      </c>
      <c r="N67" s="7">
        <f>IF($B67="","",$C67+$D67+$L67-$G67-$H67-$I67-$J67-$K67)</f>
      </c>
      <c r="O67" s="7">
        <f>IF($B67="","",$C67+$D67+$L67-$E67-$H67-$I67-$J67-$K67-IF(OR($AN67="CA",$AN67="NJ"),0,$G67))</f>
      </c>
      <c r="P67" s="7">
        <f>IF($B67="","",IF('Inputs 2'!$C$18,0,ROUND(MAX(0,IF('Inputs 2'!$C$13,SUMPRODUCT(($AH67&gt;INDEX('Methodology &amp; Sources'!$B$29:$J$36,0,IF('Inputs 2'!$C$12="MFJ",1,IF('Inputs 2'!$C$12="HoH",7,4))))*($AH67-INDEX('Methodology &amp; Sources'!$B$29:$J$36,0,IF('Inputs 2'!$C$12="MFJ",1,IF('Inputs 2'!$C$12="HoH",7,4))))*INDEX('Methodology &amp; Sources'!$B$29:$J$36,0,IF('Inputs 2'!$C$12="MFJ",1,IF('Inputs 2'!$C$12="HoH",7,4))+2)),SUMPRODUCT(($AH67&gt;INDEX('Methodology &amp; Sources'!$B$19:$J$26,0,IF('Inputs 2'!$C$12="MFJ",1,IF('Inputs 2'!$C$12="HoH",7,4))))*($AH67-INDEX('Methodology &amp; Sources'!$B$19:$J$26,0,IF('Inputs 2'!$C$12="MFJ",1,IF('Inputs 2'!$C$12="HoH",7,4))))*INDEX('Methodology &amp; Sources'!$B$19:$J$26,0,IF('Inputs 2'!$C$12="MFJ",1,IF('Inputs 2'!$C$12="HoH",7,4))+2)))/'Inputs 2'!$C$8-$AO67/'Inputs 2'!$C$8)+$AR67+IF('Inputs 2'!$C$89="Aggregate",MAX(0,IF('Inputs 2'!$C$13,SUMPRODUCT((($AH67+$D67)&gt;INDEX('Methodology &amp; Sources'!$B$29:$J$36,0,IF('Inputs 2'!$C$12="MFJ",1,IF('Inputs 2'!$C$12="HoH",7,4))))*(($AH67+$D67)-INDEX('Methodology &amp; Sources'!$B$29:$J$36,0,IF('Inputs 2'!$C$12="MFJ",1,IF('Inputs 2'!$C$12="HoH",7,4))))*INDEX('Methodology &amp; Sources'!$B$29:$J$36,0,IF('Inputs 2'!$C$12="MFJ",1,IF('Inputs 2'!$C$12="HoH",7,4))+2)),SUMPRODUCT((($AH67+$D67)&gt;INDEX('Methodology &amp; Sources'!$B$19:$J$26,0,IF('Inputs 2'!$C$12="MFJ",1,IF('Inputs 2'!$C$12="HoH",7,4))))*(($AH67+$D67)-INDEX('Methodology &amp; Sources'!$B$19:$J$26,0,IF('Inputs 2'!$C$12="MFJ",1,IF('Inputs 2'!$C$12="HoH",7,4))))*INDEX('Methodology &amp; Sources'!$B$19:$J$26,0,IF('Inputs 2'!$C$12="MFJ",1,IF('Inputs 2'!$C$12="HoH",7,4))+2)))-IF('Inputs 2'!$C$13,SUMPRODUCT(($AH67&gt;INDEX('Methodology &amp; Sources'!$B$29:$J$36,0,IF('Inputs 2'!$C$12="MFJ",1,IF('Inputs 2'!$C$12="HoH",7,4))))*($AH67-INDEX('Methodology &amp; Sources'!$B$29:$J$36,0,IF('Inputs 2'!$C$12="MFJ",1,IF('Inputs 2'!$C$12="HoH",7,4))))*INDEX('Methodology &amp; Sources'!$B$29:$J$36,0,IF('Inputs 2'!$C$12="MFJ",1,IF('Inputs 2'!$C$12="HoH",7,4))+2)),SUMPRODUCT(($AH67&gt;INDEX('Methodology &amp; Sources'!$B$19:$J$26,0,IF('Inputs 2'!$C$12="MFJ",1,IF('Inputs 2'!$C$12="HoH",7,4))))*($AH67-INDEX('Methodology &amp; Sources'!$B$19:$J$26,0,IF('Inputs 2'!$C$12="MFJ",1,IF('Inputs 2'!$C$12="HoH",7,4))))*INDEX('Methodology &amp; Sources'!$B$19:$J$26,0,IF('Inputs 2'!$C$12="MFJ",1,IF('Inputs 2'!$C$12="HoH",7,4))+2)))),'Methodology &amp; Sources'!$C$10*$D67),2)))</f>
      </c>
      <c r="Q67" s="7">
        <f>IF($B67="","",ROUND('Methodology &amp; Sources'!$C$4*MIN($N67,MAX(0,'Methodology &amp; Sources'!$C$3-($AX67+$AB66-$AW67))),2))</f>
      </c>
      <c r="R67" s="7">
        <f>IF($B67="","",ROUND('Methodology &amp; Sources'!$C$5*$N67,2))</f>
      </c>
      <c r="S67" s="7">
        <f>IF($B67="","",ROUND('Methodology &amp; Sources'!$C$6*MAX(0,MIN($N67,$AG66+$N67-'Methodology &amp; Sources'!$C$7)),2))</f>
      </c>
      <c r="T67" s="7">
        <f>IF($B67="","",IF('Inputs 2'!$C$26,0,IF($AN67="CA",ROUND(IF($AI67&lt;=IF(($AS67+$AT67)&gt;=2,VLOOKUP($AN67,StateTables!$A$6:$AB$56,10,FALSE),VLOOKUP($AN67,StateTables!$A$6:$AB$56,9,FALSE)),0,MAX(0,SUMPRODUCT(($AJ67&gt;INDEX('Methodology &amp; Sources'!$B$39:$J$48,0,IF($AU67="Married",4,IF($AU67="Head of household",7,1))))*($AJ67-INDEX('Methodology &amp; Sources'!$B$39:$J$48,0,IF($AU67="Married",4,IF($AU67="Head of household",7,1))))*INDEX('Methodology &amp; Sources'!$B$39:$J$48,0,IF($AU67="Married",4,IF($AU67="Head of household",7,1))+2))-VLOOKUP($AN67,StateTables!$A$6:$AB$56,11,FALSE)*$AS67)/'Inputs 2'!$C$8)+'Inputs 2'!$C$25+VLOOKUP($AN67,StateTables!$A$6:$AB$56,13,FALSE)*$D67,2),IF(VLOOKUP($AN67,StateTables!$A$6:$AB$56,4,FALSE)="None",0,IF(ISNUMBER(SEARCH("MANUAL",VLOOKUP($AN67,StateTables!$A$6:$AB$56,5,FALSE))),'Inputs 2'!$C$28,ROUND(MAX(0,$BA67+$BB67)/'Inputs 2'!$C$8+'Inputs 2'!$C$25+$BC67,2))))))</f>
      </c>
      <c r="U67" s="7">
        <f>IF($B67="","",IF(VLOOKUP($AN67,StateTables!$A$6:$AB$56,24,FALSE)="flatq",IF(OR(MONTH($B67)=1,MONTH($B67)=4,MONTH($B67)=7,MONTH($B67)=10),VLOOKUP($AN67,StateTables!$A$6:$AB$56,25,FALSE),0),IF(VLOOKUP($AN67,StateTables!$A$6:$AB$56,24,FALSE)="dbl",MIN(ROUND(0.005*$N67,2),ROUND(0.6*52/'Inputs 2'!$C$8,2)),IF(OR(VLOOKUP($AN67,StateTables!$A$6:$AB$56,15,FALSE)="",VLOOKUP($AN67,StateTables!$A$6:$AB$56,15,FALSE)=0),0,ROUND(VLOOKUP($AN67,StateTables!$A$6:$AB$56,15,FALSE)*IF(OR(VLOOKUP($AN67,StateTables!$A$6:$AB$56,16,FALSE)="",VLOOKUP($AN67,StateTables!$A$6:$AB$56,16,FALSE)=0),$N67,MIN($N67,MAX(0,VLOOKUP($AN67,StateTables!$A$6:$AB$56,16,FALSE)-($AX67+$AB66-$AW67)))),2))))+IF(VLOOKUP($AN67,StateTables!$A$6:$AB$56,27,FALSE)="flatq",IF(OR(MONTH($B67)=1,MONTH($B67)=4,MONTH($B67)=7,MONTH($B67)=10),VLOOKUP($AN67,StateTables!$A$6:$AB$56,28,FALSE),0),IF(VLOOKUP($AN67,StateTables!$A$6:$AB$56,27,FALSE)="dbl",MIN(ROUND(0.005*$N67,2),ROUND(0.6*52/'Inputs 2'!$C$8,2)),IF(OR(VLOOKUP($AN67,StateTables!$A$6:$AB$56,18,FALSE)="",VLOOKUP($AN67,StateTables!$A$6:$AB$56,18,FALSE)=0),0,ROUND(VLOOKUP($AN67,StateTables!$A$6:$AB$56,18,FALSE)*IF(OR(VLOOKUP($AN67,StateTables!$A$6:$AB$56,19,FALSE)="",VLOOKUP($AN67,StateTables!$A$6:$AB$56,19,FALSE)=0),$N67,MIN($N67,MAX(0,VLOOKUP($AN67,StateTables!$A$6:$AB$56,19,FALSE)-($AX67+$AB66-$AW67)))),2)))))</f>
      </c>
      <c r="V67" s="7">
        <f>IF($B67="","",IF($AN67="NY",IF('Inputs 2'!$C$78,ROUND(SUMPRODUCT((MAX(0,($O67-$D67)*'Inputs 2'!$C$8-(IF($AU67="Married",5500,5000)+1000*$AS67))&gt;INDEX('Methodology &amp; Sources'!$B$184:$J$198,0,4))*(MAX(0,($O67-$D67)*'Inputs 2'!$C$8-(IF($AU67="Married",5500,5000)+1000*$AS67))-INDEX('Methodology &amp; Sources'!$B$184:$J$198,0,4))*INDEX('Methodology &amp; Sources'!$B$184:$J$198,0,4+2))/'Inputs 2'!$C$8+0.0425*$D67,2),0)+IF('Inputs 2'!$C$79="Resident",ROUND(0.1675*$T67,2),IF('Inputs 2'!$C$79="Nonresident",ROUND(0.005*MAX(0,($O67-$D67)-(IF($AU67="Married",7950,7400)+1000*$AS67)/'Inputs 2'!$C$8),2),0)),IF($AN67="PA",IF('Inputs 2'!$C$80="None",'Inputs 2'!$C$27+ROUND('Inputs 2'!$C$81*($C67+$D67),2),ROUND(IF('Inputs 2'!$C$80="Resident",IF($B67&lt;DATE(2027,7,1),0.03735,0.03735),IF($B67&lt;DATE(2027,7,1),0.03425,0.03425))*($C67+$D67),2)),IF($BF67=0,ROUND('Inputs 2'!$C$81*($C67+$D67),2),'Inputs 2'!$C$27+ROUND('Inputs 2'!$C$81*($C67+$D67),2)))))</f>
      </c>
      <c r="W67" s="7">
        <f>IF($B67="","",IF($BF67=0,0,$BP67))</f>
      </c>
      <c r="X67" s="7">
        <f>IF($B67="","",SUM($E67:$K67)+$P67+$Q67+$R67+$S67+$T67+$U67+$V67+$W67)</f>
      </c>
      <c r="Y67" s="22">
        <f>IF($B67="","",$C67+$D67-$X67)</f>
      </c>
      <c r="Z67" s="7">
        <f>IF($B67="","",$Z66+$C67+$D67)</f>
      </c>
      <c r="AA67" s="7">
        <f>IF($B67="","",$AA66+$Y67)</f>
      </c>
      <c r="AB67" s="7">
        <f>IF($B67="","",$AB66+MIN($N67,MAX(0,'Methodology &amp; Sources'!$C$3-($AX67+$AB66-$AW67))))</f>
      </c>
      <c r="AC67" s="7">
        <f>IF($B67="","",$AC66+$E67+$F67)</f>
      </c>
      <c r="AD67" s="3">
        <f>IF($B67="","",IF(AND($AB66&lt;'Methodology &amp; Sources'!$C$3,$AB67&gt;='Methodology &amp; Sources'!$C$3),"★ Social Security maxed on this check — from the next check your net rises by about $"&amp;TEXT(ROUND('Methodology &amp; Sources'!$C$4*$N67,2),"#,##0.00")&amp;". ","")&amp;IF(AND($AC66&lt;'Inputs 2'!$C$34,$AC67&gt;='Inputs 2'!$C$34),"★ 401(k) reaches the $"&amp;TEXT('Inputs 2'!$C$34,"#,##0")&amp;" cap on this check — deferrals stop and net pay rises. ","")&amp;IF(AND($AG66&lt;'Methodology &amp; Sources'!$C$7,$AG67&gt;='Methodology &amp; Sources'!$C$7),"★ Wages pass $200,000 — the 0.9% Additional Medicare Tax starts here. ","")&amp;IF(AND($BJ67&gt;0,$H67&gt;0,$BG66&lt;MIN($BJ67,'Methodology &amp; Sources'!$C$13),$BG66+$H67&gt;=MIN($BJ67,'Methodology &amp; Sources'!$C$13)),"★ Health FSA election is now fully deferred for the year. ",""))</f>
      </c>
      <c r="AE67" s="41" t="n"/>
      <c r="AF67" s="7">
        <f>IF(OR($B67="",$AE67=""),"",$AE67-$Y67)</f>
      </c>
      <c r="AG67" s="7">
        <f>IF($B67="","",$AG66+$N67)</f>
      </c>
      <c r="AH67" s="7">
        <f>IF($B67="","",MAX(0,($M67-$D67)*'Inputs 2'!$C$8+$AP67-$AQ67-IF('Inputs 2'!$C$13,0,IF('Inputs 2'!$C$12="MFJ",'Methodology &amp; Sources'!$C$8,'Methodology &amp; Sources'!$C$9))))</f>
      </c>
      <c r="AI67" s="7">
        <f>IF($B67="","",$O67*'Inputs 2'!$C$8)</f>
      </c>
      <c r="AJ67" s="7">
        <f>IF($B67="","",MAX(0,$AI67-VLOOKUP($AN67,StateTables!$A$6:$AB$56,12,FALSE)*$AT67-IF(($AS67+$AT67)&gt;=2,VLOOKUP($AN67,StateTables!$A$6:$AB$56,8,FALSE),VLOOKUP($AN67,StateTables!$A$6:$AB$56,7,FALSE))))</f>
      </c>
      <c r="AK67" s="7">
        <f>IF($B67="","",IFERROR(LOOKUP(2,1/(('Events 2'!$C$6:$C$17="Salary change")*('Events 2'!$B$6:$B$17&lt;=$B67)*('Events 2'!$B$6:$B$17&lt;&gt;"")),'Events 2'!$D$6:$D$17),IF('Inputs 2'!$C$4="Annual salary",'Inputs 2'!$C$5,'Inputs 2'!$C$6)))</f>
      </c>
      <c r="AL67">
        <f>IF($B67="","",IFERROR(LOOKUP(2,1/(('Events 2'!$C$6:$C$17="401(k) change")*('Events 2'!$B$6:$B$17&lt;=$B67)*('Events 2'!$B$6:$B$17&lt;&gt;"")),'Events 2'!$D$6:$D$17),'Inputs 2'!$C$30))</f>
      </c>
      <c r="AM67" s="7">
        <f>IF($B67="","",IFERROR(LOOKUP(2,1/(('Events 2'!$C$6:$C$17="401(k) change")*('Events 2'!$B$6:$B$17&lt;=$B67)*('Events 2'!$B$6:$B$17&lt;&gt;"")),'Events 2'!$E$6:$E$17),'Inputs 2'!$D$30))</f>
      </c>
      <c r="AN67">
        <f>IF($B67="","",IFERROR(LOOKUP(2,1/(('Events 2'!$C$6:$C$17="State move")*('Events 2'!$B$6:$B$17&lt;=$B67)*('Events 2'!$B$6:$B$17&lt;&gt;"")),'Events 2'!$D$6:$D$17),'Inputs 2'!$C$21))</f>
      </c>
      <c r="AO67" s="7">
        <f>IF($B67="","",IFERROR(LOOKUP(2,1/(('Events 2'!$C$6:$C$17="W-4 change")*('Events 2'!$B$6:$B$17&lt;=$B67)*('Events 2'!$B$6:$B$17&lt;&gt;"")),'Events 2'!$D$6:$D$17),'Inputs 2'!$C$14))</f>
      </c>
      <c r="AP67" s="7">
        <f>IF($B67="","",IFERROR(LOOKUP(2,1/(('Events 2'!$C$6:$C$17="W-4 change")*('Events 2'!$B$6:$B$17&lt;=$B67)*('Events 2'!$B$6:$B$17&lt;&gt;"")),'Events 2'!$E$6:$E$17),'Inputs 2'!$C$15))</f>
      </c>
      <c r="AQ67" s="7">
        <f>IF($B67="","",IFERROR(LOOKUP(2,1/(('Events 2'!$C$6:$C$17="W-4 change")*('Events 2'!$B$6:$B$17&lt;=$B67)*('Events 2'!$B$6:$B$17&lt;&gt;"")),'Events 2'!$F$6:$F$17),'Inputs 2'!$C$16))</f>
      </c>
      <c r="AR67" s="7">
        <f>IF($B67="","",IFERROR(LOOKUP(2,1/(('Events 2'!$C$6:$C$17="W-4 change")*('Events 2'!$B$6:$B$17&lt;=$B67)*('Events 2'!$B$6:$B$17&lt;&gt;"")),'Events 2'!$G$6:$G$17),'Inputs 2'!$C$17))</f>
      </c>
      <c r="AS67" s="6">
        <f>IF($B67="","",IFERROR(LOOKUP(2,1/((('Events 2'!$C$6:$C$17="State move")+('Events 2'!$C$6:$C$17="State cert change"))*('Events 2'!$B$6:$B$17&lt;=$B67)*('Events 2'!$B$6:$B$17&lt;&gt;"")),'Events 2'!$F$6:$F$17),'Inputs 2'!$C$23))</f>
      </c>
      <c r="AT67" s="6">
        <f>IF($B67="","",IFERROR(LOOKUP(2,1/((('Events 2'!$C$6:$C$17="State move")+('Events 2'!$C$6:$C$17="State cert change"))*('Events 2'!$B$6:$B$17&lt;=$B67)*('Events 2'!$B$6:$B$17&lt;&gt;"")),'Events 2'!$G$6:$G$17),'Inputs 2'!$C$24))</f>
      </c>
      <c r="AU67">
        <f>IF($B67="","",IFERROR(LOOKUP(2,1/(('Events 2'!$C$6:$C$17="State move")*('Events 2'!$B$6:$B$17&lt;=$B67)*('Events 2'!$B$6:$B$17&lt;&gt;"")),'Events 2'!$E$6:$E$17),'Inputs 2'!$C$22))</f>
      </c>
      <c r="AV67" s="6">
        <f>IF($B67="","",1+COUNTIFS('Events 2'!$C$6:$C$17,"Employer change",'Events 2'!$B$6:$B$17,"&lt;="&amp;$B67,'Events 2'!$B$6:$B$17,"&lt;&gt;"))</f>
      </c>
      <c r="AW67" s="7">
        <f>IF($B67="","",IF($AV67=1,'Inputs 2'!$C$49,IF(IFERROR(MATCH(IFERROR(LOOKUP(2,1/(('Events 2'!$C$6:$C$17="Employer change")*('Events 2'!$B$6:$B$17&lt;=$B67)*('Events 2'!$B$6:$B$17&lt;&gt;"")),'Events 2'!$B$6:$B$17),""),$B$6:$B$68,1),1)&lt;=1,'Inputs 2'!$C$49,INDEX($AB$6:$AB$68,MATCH(IFERROR(LOOKUP(2,1/(('Events 2'!$C$6:$C$17="Employer change")*('Events 2'!$B$6:$B$17&lt;=$B67)*('Events 2'!$B$6:$B$17&lt;&gt;"")),'Events 2'!$B$6:$B$17),""),$B$6:$B$68,1)-1))))</f>
      </c>
      <c r="AX67" s="7">
        <f>IF($B67="","",IF($AV67=1,'Inputs 2'!$C$49,IFERROR(LOOKUP(2,1/(('Events 2'!$C$6:$C$17="Employer change")*('Events 2'!$B$6:$B$17&lt;=$B67)*('Events 2'!$B$6:$B$17&lt;&gt;"")),'Events 2'!$D$6:$D$17),0)))</f>
      </c>
      <c r="AY67" s="7">
        <f>IF($B67="","",($O67-$D67)*'Inputs 2'!$C$8)</f>
      </c>
      <c r="AZ67" s="7">
        <f>IF($B67="","",IF($AN67="AL",MAX(0,$AY67-IF($AU67="Married",IF($AY67&lt;=25999,8500,MAX(5000,8500-175*CEILING(($AY67-25999)/500,1))),IF($AU67="Head of household",IF($AY67&lt;=25999,5200,MAX(2500,5200-135*CEILING(($AY67-25999)/500,1))),IF($AY67&lt;=25999,3000,MAX(2500,3000-25*CEILING(($AY67-25999)/500,1)))))-($P67-'Methodology &amp; Sources'!$C$10*$D67)*'Inputs 2'!$C$8-IF(OR($AU67="Married",$AU67="Head of household"),3000,1500)-$AT67*IF($AY67&lt;=50000,1000,IF($AY67&lt;=100000,500,300))),IF($AN67="AR",IF(MAX(0,$AY67-2470)&lt;97701,INT(MAX(0,$AY67-2470)/100)*100+50,MAX(0,$AY67-2470)),IF($AN67="DE",MAX(0,$AI67-3250),IF($AN67="HI",MAX(0,$AI67-1144*$AS67-4350),IF($AN67="KS",MAX(0,$AI67-(9160*IF($AU67="Married",2,1)+2320*$AT67+IF($AU67="Head of household",2320,0))),IF($AN67="MD",MAX(0,$AI67-3400-3200*$AS67),IF($AN67="MN",MAX(0,$AY67-5300*$AS67),IF($AN67="MO",MAX(0,$AI67-IF($AU67="Head of household",24150,IF($AU67="Married",IF('Inputs 2'!$C$83,16100,32200),16100))),IF($AN67="MT",$AY67,IF($AN67="ND",($C67+$L67)*'Inputs 2'!$C$8,IF($AN67="NE",MAX(0,$AY67-2440*$AS67),IF($AN67="NJ",MAX(0,$AY67-1000*$AS67),IF($AN67="NY",MAX(0,$AY67-(IF($AU67="Married",7950,7400)+1000*$AS67)),IF($AN67="OH",MAX(0,$AY67-650*$AS67),IF($AN67="OK",MAX(0,$AY67-1000*$AS67),IF($AN67="RI",MAX(0,$AI67-1000*$AS67),IF($AN67="SC",MAX(0,$AI67-5000*$AS67-IF($AS67=0,0,MIN(0.1*$AI67,7500))),IF($AN67="VA",MAX(0,$AI67-IF($AU67="Married",17500,8750)-930*$AS67-800*$AT67),IF($AN67="VT",MAX(0,$AI67-5400*$AS67),IF($AN67="WI",MAX(0,$AI67-MAX(0,IF($AU67="Married",9461-0.2*MAX(0,$AI67-25727),6702-0.12*MAX(0,$AI67-17780)))-400*$AS67),IF($AN67="WV",MAX(0,$AI67-2000*$AS67),$AI67))))))))))))))))))))))</f>
      </c>
      <c r="BA67" s="7">
        <f>IF($B67="","",IF($BW67&lt;&gt;"",$BW67,IF($BX67&lt;&gt;"",$BX67,IF($BY67&lt;&gt;"",$BY67,0))))</f>
      </c>
      <c r="BB67" s="7">
        <f>IF($B67="","",IF($AN67="AR",-29*$AS67,IF($AN67="DE",-110*$AS67,IF($AN67="MD",$AZ67*'Inputs 2'!$C$74,IF($AN67="AZ",'Inputs 2'!$C$82*($M67-$D67)*'Inputs 2'!$C$8,IF($AN67="CO",0.044*MAX(0,$AY67-IF($AU67="Married",10000,5000)),IF($AN67="IA",MAX(0,0.038*MAX(0,$AY67-IF($AU67="Head of household",19500,IF($AU67="Married",26000,13000)))-40*$AS67),IF($AN67="ID",0.053*MAX(0,$AY67-IF($AU67="Married",32000,16094)),IF($AN67="IL",0.0495*MAX(0,$AY67-(2925*$AS67+1000*$AT67)),IF($AN67="IN",(0.0295+'Inputs 2'!$C$76)*MAX(0,$AY67-(1000*$AS67+1500*$AT67+3000*'Inputs 2'!$C$86)),IF($AN67="KY",0.035*MAX(0,$AI67-3360),IF($AN67="LA",IF('Inputs 2'!$C$84="0",0.0309*$AI67,0.0309*MAX(0,$AI67-IF('Inputs 2'!$C$84="2",25750,12875))),IF($AN67="MA",0.05*MIN(MAX(0,$AY67-MIN(($BD66+$Q67+$R67+$S67),2000)-IF($AS67=0,0,IF($AS67=1,4400,1000*$AS67+3400))),1107750)+0.09*MAX(0,MAX(0,$AY67-MIN(($BD66+$Q67+$R67+$S67),2000)-IF($AS67=0,0,IF($AS67=1,4400,1000*$AS67+3400)))-1107750)-IF($AU67="Head of household",120,0)-110*'Inputs 2'!$C$75,IF($AN67="MI",0.0425*MAX(0,$AY67-5900*$AS67),IF($AN67="MS",0.04*MAX(0,$AI67-IF($AU67="Head of household",3400,IF($AU67="Married",4600,2300))-'Inputs 2'!$C$85-10000),IF($AN67="OR",IF(OR($AU67="Married",AND($AU67="Single",$AS67&gt;=3)),SUMPRODUCT((MAX(0,$AY67-MIN(($P67-'Methodology &amp; Sources'!$C$10*$D67)*'Inputs 2'!$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Sources'!$B$211:$J$214,0,4))*(MAX(0,$AY67-MIN(($P67-'Methodology &amp; Sources'!$C$10*$D67)*'Inputs 2'!$C$8,IF(OR($AU67="Married",AND($AU67="Single",$AS67&gt;=3)),IF($AY67&lt;250000,8750,IF($AY67&lt;260000,7000,IF($AY67&lt;270000,5250,IF($AY67&lt;280000,3500,IF($AY67&lt;290000,1750,0))))),IF($AY67&lt;125000,8750,IF($AY67&lt;130000,7000,IF($AY67&lt;135000,5250,IF($AY67&lt;140000,3500,IF($AY67&lt;145000,1750,0)))))))-IF(OR($AU67="Married",AND($AU67="Single",$AS67&gt;=3)),5820,2910))-INDEX('Methodology &amp; Sources'!$B$211:$J$214,0,4))*INDEX('Methodology &amp; Sources'!$B$211:$J$214,0,4+2)),SUMPRODUCT((MAX(0,$AY67-MIN(($P67-'Methodology &amp; Sources'!$C$10*$D67)*'Inputs 2'!$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Sources'!$B$211:$J$214,0,1))*(MAX(0,$AY67-MIN(($P67-'Methodology &amp; Sources'!$C$10*$D67)*'Inputs 2'!$C$8,IF(OR($AU67="Married",AND($AU67="Single",$AS67&gt;=3)),IF($AY67&lt;250000,8750,IF($AY67&lt;260000,7000,IF($AY67&lt;270000,5250,IF($AY67&lt;280000,3500,IF($AY67&lt;290000,1750,0))))),IF($AY67&lt;125000,8750,IF($AY67&lt;130000,7000,IF($AY67&lt;135000,5250,IF($AY67&lt;140000,3500,IF($AY67&lt;145000,1750,0)))))))-IF(OR($AU67="Married",AND($AU67="Single",$AS67&gt;=3)),5820,2910))-INDEX('Methodology &amp; Sources'!$B$211:$J$214,0,1))*INDEX('Methodology &amp; Sources'!$B$211:$J$214,0,1+2)))+263-263*IF(IF($AU67="Married",$AY67&gt;200000,$AY67&gt;100000),0,$AS67),IF($AN67="PA",0.0307*(($O67+$E67+$G67)*'Inputs 2'!$C$8),IF($AN67="NY",IF($AU67="Married",IF($AZ67&gt;=2155350,0,IF($AZ67&gt;=1077550,0.48,IF($AZ67&gt;=373200,1.21,IF($AZ67&gt;=323200,0.21,IF($AZ67&gt;=211550,-0.19,IF($AZ67&gt;=157650,-2.8,IF($AZ67&gt;=107650,-0.8,IF($AZ67&gt;=96800,0.05,IF($AZ67&gt;=80650,-0.1,IF($AZ67&gt;=13900,0.4,IF($AZ67&gt;=11700,-0.3,IF($AZ67&gt;=8500,0.5,0)))))))))))),IF($AZ67&gt;=1077550,0,IF($AZ67&gt;=265400,4.29,IF($AZ67&gt;=215400,2.29,IF($AZ67&gt;=157650,2.29,IF($AZ67&gt;=107650,0.29,IF($AZ67&gt;=96800,0.05,IF($AZ67&gt;=80650,-0.1,IF($AZ67&gt;=13900,0.4,IF($AZ67&gt;=11700,-0.3,IF($AZ67&gt;=8500,0.5,0))))))))))),0))))))))))))))))))</f>
      </c>
      <c r="BC67" s="7">
        <f>IF($B67="","",IF($AN67="AL",0.05*$D67,IF($AN67="AR",0.039*$D67,IF($AN67="ID",0.053*$D67,IF($AN67="IN",(0.0295+'Inputs 2'!$C$76)*$D67,IF($AN67="KS",0.05*$D67,IF($AN67="MA",0.09*MIN($D67,MAX(0,MAX(0,$AY67-MIN(($BD66+$Q67+$R67+$S67),2000)-IF($AS67=0,0,IF($AS67=1,4400,1000*$AS67+3400)))+$D67-1107750))+0.05*($D67-MIN($D67,MAX(0,MAX(0,$AY67-MIN(($BD66+$Q67+$R67+$S67),2000)-IF($AS67=0,0,IF($AS67=1,4400,1000*$AS67+3400)))+$D67-1107750))),IF($AN67="MD",(0.065+'Inputs 2'!$C$74)*$D67,IF($AN67="MI",0.0425*$D67,IF($AN67="MN",0.0625*$D67,IF($AN67="MO",0.047*$D67,IF($AN67="MT",0.05*$D67,IF($AN67="ND",0.015*$D67,IF($AN67="NE",0.035*$D67,IF($AN67="NJ",IF('Inputs 2'!$C$77="B",SUMPRODUCT(($D67*'Inputs 2'!$C$8&gt;INDEX('Methodology &amp; Sources'!$B$155:$J$162,0,4))*($D67*'Inputs 2'!$C$8-INDEX('Methodology &amp; Sources'!$B$155:$J$162,0,4))*INDEX('Methodology &amp; Sources'!$B$155:$J$162,0,4+2)),IF('Inputs 2'!$C$77="C",SUMPRODUCT(($D67*'Inputs 2'!$C$8&gt;INDEX('Methodology &amp; Sources'!$B$155:$J$162,0,7))*($D67*'Inputs 2'!$C$8-INDEX('Methodology &amp; Sources'!$B$155:$J$162,0,7))*INDEX('Methodology &amp; Sources'!$B$155:$J$162,0,7+2)),IF('Inputs 2'!$C$77="D",SUMPRODUCT(($D67*'Inputs 2'!$C$8&gt;INDEX('Methodology &amp; Sources'!$B$167:$J$179,0,1))*($D67*'Inputs 2'!$C$8-INDEX('Methodology &amp; Sources'!$B$167:$J$179,0,1))*INDEX('Methodology &amp; Sources'!$B$167:$J$179,0,1+2)),IF('Inputs 2'!$C$77="E",SUMPRODUCT(($D67*'Inputs 2'!$C$8&gt;INDEX('Methodology &amp; Sources'!$B$167:$J$179,0,4))*($D67*'Inputs 2'!$C$8-INDEX('Methodology &amp; Sources'!$B$167:$J$179,0,4))*INDEX('Methodology &amp; Sources'!$B$167:$J$179,0,4+2)),SUMPRODUCT(($D67*'Inputs 2'!$C$8&gt;INDEX('Methodology &amp; Sources'!$B$155:$J$162,0,1))*($D67*'Inputs 2'!$C$8-INDEX('Methodology &amp; Sources'!$B$155:$J$162,0,1))*INDEX('Methodology &amp; Sources'!$B$155:$J$162,0,1+2))))))/'Inputs 2'!$C$8,IF($AN67="NY",0.117*$D67,IF($AN67="OH",0.0275*$D67,IF($AN67="OK",0.045*$D67,IF($AN67="OR",0.08*$D67,IF($AN67="WI",IF($AY67&lt;12760,0.0354,IF($AY67&lt;25520,0.0465,IF($AY67&lt;280950,0.053,0.0765)))*$D67,0))))))))))))))))))))</f>
      </c>
      <c r="BD67" s="7">
        <f>IF($B67="","",$BD66+$Q67+$R67+$S67)</f>
      </c>
      <c r="BE67" s="6">
        <f>IF($B67="",$BE66,$BE66+$BF67)</f>
      </c>
      <c r="BF67" s="6">
        <f>IF($B67="","",IF(AND(IF(YEAR(IF('Inputs 2'!$C$7="Weekly",'Inputs 2'!$C$9+7*(($BE66+1)-1),IF('Inputs 2'!$C$7="Biweekly",'Inputs 2'!$C$9+14*(($BE66+1)-1),IF('Inputs 2'!$C$7="Semimonthly",DATE(YEAR('Inputs 2'!$C$9),MONTH('Inputs 2'!$C$9)+INT((($BE66+1)-1)/2),MIN(DAY('Inputs 2'!$C$9),DAY(EOMONTH(DATE(YEAR('Inputs 2'!$C$9),MONTH('Inputs 2'!$C$9)+INT((($BE66+1)-1)/2),1),0))))+IF(MOD(($BE66+1)-1,2)=1,15,0),EDATE('Inputs 2'!$C$9,($BE66+1)-1)))))&lt;&gt;'Inputs 2'!$C$10,"",IF('Inputs 2'!$C$7="Weekly",'Inputs 2'!$C$9+7*(($BE66+1)-1),IF('Inputs 2'!$C$7="Biweekly",'Inputs 2'!$C$9+14*(($BE66+1)-1),IF('Inputs 2'!$C$7="Semimonthly",DATE(YEAR('Inputs 2'!$C$9),MONTH('Inputs 2'!$C$9)+INT((($BE66+1)-1)/2),MIN(DAY('Inputs 2'!$C$9),DAY(EOMONTH(DATE(YEAR('Inputs 2'!$C$9),MONTH('Inputs 2'!$C$9)+INT((($BE66+1)-1)/2),1),0))))+IF(MOD(($BE66+1)-1,2)=1,15,0),EDATE('Inputs 2'!$C$9,($BE66+1)-1)))))&lt;&gt;"",$B67=IF(YEAR(IF('Inputs 2'!$C$7="Weekly",'Inputs 2'!$C$9+7*(($BE66+1)-1),IF('Inputs 2'!$C$7="Biweekly",'Inputs 2'!$C$9+14*(($BE66+1)-1),IF('Inputs 2'!$C$7="Semimonthly",DATE(YEAR('Inputs 2'!$C$9),MONTH('Inputs 2'!$C$9)+INT((($BE66+1)-1)/2),MIN(DAY('Inputs 2'!$C$9),DAY(EOMONTH(DATE(YEAR('Inputs 2'!$C$9),MONTH('Inputs 2'!$C$9)+INT((($BE66+1)-1)/2),1),0))))+IF(MOD(($BE66+1)-1,2)=1,15,0),EDATE('Inputs 2'!$C$9,($BE66+1)-1)))))&lt;&gt;'Inputs 2'!$C$10,"",IF('Inputs 2'!$C$7="Weekly",'Inputs 2'!$C$9+7*(($BE66+1)-1),IF('Inputs 2'!$C$7="Biweekly",'Inputs 2'!$C$9+14*(($BE66+1)-1),IF('Inputs 2'!$C$7="Semimonthly",DATE(YEAR('Inputs 2'!$C$9),MONTH('Inputs 2'!$C$9)+INT((($BE66+1)-1)/2),MIN(DAY('Inputs 2'!$C$9),DAY(EOMONTH(DATE(YEAR('Inputs 2'!$C$9),MONTH('Inputs 2'!$C$9)+INT((($BE66+1)-1)/2),1),0))))+IF(MOD(($BE66+1)-1,2)=1,15,0),EDATE('Inputs 2'!$C$9,($BE66+1)-1)))))),1,0))</f>
      </c>
      <c r="BG67" s="7">
        <f>IF($B67="","",$BG66+$H67)</f>
      </c>
      <c r="BH67" s="7">
        <f>IF($B67="","",$BH66+$I67)</f>
      </c>
      <c r="BI67" s="7">
        <f>IF($B67="","",$BI66+$G67)</f>
      </c>
      <c r="BJ67" s="7">
        <f>IF($B67="","",IFERROR(LOOKUP(2,1/(((('Events 2'!$C$6:$C$17="Deduction start"))*('Events 2'!$D$6:$D$17="Health FSA"))*('Events 2'!$B$6:$B$17&lt;=$B67)*('Events 2'!$B$6:$B$17&lt;&gt;"")),'Events 2'!$E$6:$E$17),'Inputs 2'!$D$38))</f>
      </c>
      <c r="BK67" s="7">
        <f>IF($B67="","",IFERROR(LOOKUP(2,1/(((('Events 2'!$C$6:$C$17="Deduction start"))*('Events 2'!$D$6:$D$17="Dependent-care FSA"))*('Events 2'!$B$6:$B$17&lt;=$B67)*('Events 2'!$B$6:$B$17&lt;&gt;"")),'Events 2'!$E$6:$E$17),'Inputs 2'!$D$39))</f>
      </c>
      <c r="BL67" s="7">
        <f>IF($B67="","",IFERROR(LOOKUP(2,1/(((('Events 2'!$C$6:$C$17="Deduction start")+('Events 2'!$C$6:$C$17="Deduction stop"))*('Events 2'!$D$6:$D$17="HSA"))*('Events 2'!$B$6:$B$17&lt;=$B67)*('Events 2'!$B$6:$B$17&lt;&gt;"")),'Events 2'!$I$6:$I$17),'Inputs 2'!$D$35))</f>
      </c>
      <c r="BM67" s="7">
        <f>IF($B67="","",IFERROR(LOOKUP(2,1/(((('Events 2'!$C$6:$C$17="Deduction start")+('Events 2'!$C$6:$C$17="Deduction stop"))*('Events 2'!$D$6:$D$17="Premiums"))*('Events 2'!$B$6:$B$17&lt;=$B67)*('Events 2'!$B$6:$B$17&lt;&gt;"")),'Events 2'!$I$6:$I$17),'Inputs 2'!$D$40+'Inputs 2'!$D$41+'Inputs 2'!$D$42))</f>
      </c>
      <c r="BN67" s="7">
        <f>IF($B67="","",IFERROR(LOOKUP(2,1/(((('Events 2'!$C$6:$C$17="Deduction start")+('Events 2'!$C$6:$C$17="Deduction stop"))*('Events 2'!$D$6:$D$17="Commuter"))*('Events 2'!$B$6:$B$17&lt;=$B67)*('Events 2'!$B$6:$B$17&lt;&gt;"")),'Events 2'!$I$6:$I$17),'Inputs 2'!$D$43))</f>
      </c>
      <c r="BO67" s="7">
        <f>IF($B67="","",IFERROR(LOOKUP(2,1/(((('Events 2'!$C$6:$C$17="Deduction start")+('Events 2'!$C$6:$C$17="Deduction stop"))*('Events 2'!$D$6:$D$17="Other pre-tax"))*('Events 2'!$B$6:$B$17&lt;=$B67)*('Events 2'!$B$6:$B$17&lt;&gt;"")),'Events 2'!$I$6:$I$17),'Inputs 2'!$D$44))</f>
      </c>
      <c r="BP67" s="7">
        <f>IF($B67="","",IFERROR(LOOKUP(2,1/(((('Events 2'!$C$6:$C$17="Deduction start")+('Events 2'!$C$6:$C$17="Deduction stop"))*('Events 2'!$D$6:$D$17="Other post-tax"))*('Events 2'!$B$6:$B$17&lt;=$B67)*('Events 2'!$B$6:$B$17&lt;&gt;"")),'Events 2'!$I$6:$I$17),'Inputs 2'!$D$45))</f>
      </c>
      <c r="BQ67" s="6">
        <f>IF($B67="","",IFERROR(LOOKUP(2,1/(((('Events 2'!$C$6:$C$17="Deduction start")+('Events 2'!$C$6:$C$17="Deduction stop"))*('Events 2'!$D$6:$D$17="Health FSA"))*('Events 2'!$B$6:$B$17&lt;=$B67)*('Events 2'!$B$6:$B$17&lt;&gt;"")),'Events 2'!$J$6:$J$17),0))</f>
      </c>
      <c r="BR67" s="6">
        <f>IF($B67="","",IFERROR(LOOKUP(2,1/(((('Events 2'!$C$6:$C$17="Deduction start")+('Events 2'!$C$6:$C$17="Deduction stop"))*('Events 2'!$D$6:$D$17="Dependent-care FSA"))*('Events 2'!$B$6:$B$17&lt;=$B67)*('Events 2'!$B$6:$B$17&lt;&gt;"")),'Events 2'!$J$6:$J$17),0))</f>
      </c>
      <c r="BS67" s="6">
        <f>IF($B67="","",IF(SUMPRODUCT(('Events 2'!$C$6:$C$17="Deduction start")*('Events 2'!$B$6:$B$17&lt;=$B67)*('Events 2'!$B$6:$B$17&lt;&gt;"")*('Events 2'!$D$6:$D$17="Health FSA"))&gt;0,1,0))</f>
      </c>
      <c r="BT67" s="6">
        <f>IF($B67="","",IF(SUMPRODUCT(('Events 2'!$C$6:$C$17="Deduction start")*('Events 2'!$B$6:$B$17&lt;=$B67)*('Events 2'!$B$6:$B$17&lt;&gt;"")*('Events 2'!$D$6:$D$17="Dependent-care FSA"))&gt;0,1,0))</f>
      </c>
      <c r="BU67" s="24">
        <f>IF($B67="","",IF('Inputs 2'!$C$13,SUMPRODUCT(($AH67&gt;=INDEX('Methodology &amp; Sources'!$B$29:$J$36,0,IF('Inputs 2'!$C$12="MFJ",1,IF('Inputs 2'!$C$12="HoH",7,4))))*INDEX('Methodology &amp; Sources'!$B$29:$J$36,0,IF('Inputs 2'!$C$12="MFJ",1,IF('Inputs 2'!$C$12="HoH",7,4))+2)),SUMPRODUCT(($AH67&gt;=INDEX('Methodology &amp; Sources'!$B$19:$J$26,0,IF('Inputs 2'!$C$12="MFJ",1,IF('Inputs 2'!$C$12="HoH",7,4))))*INDEX('Methodology &amp; Sources'!$B$19:$J$26,0,IF('Inputs 2'!$C$12="MFJ",1,IF('Inputs 2'!$C$12="HoH",7,4))+2))))</f>
      </c>
      <c r="BV67" s="24">
        <f>IF($B67="","",IF($BZ67&lt;&gt;"",$BZ67,IF($CA67&lt;&gt;"",$CA67,IF($CB67&lt;&gt;"",$CB67,IF($CC67&lt;&gt;"",$CC67,0)))))</f>
      </c>
      <c r="BW67" s="7">
        <f>IF($B67="","",IF($AN67="MD",IF(OR($AU67="Married",$AU67="Head of household"),SUMPRODUCT(($AZ67&gt;INDEX('Methodology &amp; Sources'!$B$114:$J$120,0,1))*($AZ67-INDEX('Methodology &amp; Sources'!$B$114:$J$120,0,1))*INDEX('Methodology &amp; Sources'!$B$114:$J$120,0,1+2)),SUMPRODUCT(($AZ67&gt;INDEX('Methodology &amp; Sources'!$B$103:$J$109,0,7))*($AZ67-INDEX('Methodology &amp; Sources'!$B$103:$J$109,0,7))*INDEX('Methodology &amp; Sources'!$B$103:$J$109,0,7+2))),IF($AN67="MO",SUMPRODUCT(($AZ67&gt;INDEX('Methodology &amp; Sources'!$B$125:$J$132,0,1))*($AZ67-INDEX('Methodology &amp; Sources'!$B$125:$J$132,0,1))*INDEX('Methodology &amp; Sources'!$B$125:$J$132,0,1+2)),IF($AN67="MT",IF($AU67="Head of household",SUMPRODUCT(($AZ67&gt;INDEX('Methodology &amp; Sources'!$B$137:$J$139,0,1))*($AZ67-INDEX('Methodology &amp; Sources'!$B$137:$J$139,0,1))*INDEX('Methodology &amp; Sources'!$B$137:$J$139,0,1+2)),IF($AU67="Married",SUMPRODUCT(($AZ67&gt;INDEX('Methodology &amp; Sources'!$B$125:$J$132,0,7))*($AZ67-INDEX('Methodology &amp; Sources'!$B$125:$J$132,0,7))*INDEX('Methodology &amp; Sources'!$B$125:$J$132,0,7+2)),SUMPRODUCT(($AZ67&gt;INDEX('Methodology &amp; Sources'!$B$125:$J$132,0,4))*($AZ67-INDEX('Methodology &amp; Sources'!$B$125:$J$132,0,4))*INDEX('Methodology &amp; Sources'!$B$125:$J$132,0,4+2)))),IF($AN67="ND",IF($AU67="Head of household",SUMPRODUCT(($AZ67&gt;INDEX('Methodology &amp; Sources'!$B$144:$J$150,0,1))*($AZ67-INDEX('Methodology &amp; Sources'!$B$144:$J$150,0,1))*INDEX('Methodology &amp; Sources'!$B$144:$J$150,0,1+2)),IF($AU67="Married",SUMPRODUCT(($AZ67&gt;INDEX('Methodology &amp; Sources'!$B$137:$J$139,0,7))*($AZ67-INDEX('Methodology &amp; Sources'!$B$137:$J$139,0,7))*INDEX('Methodology &amp; Sources'!$B$137:$J$139,0,7+2)),SUMPRODUCT(($AZ67&gt;INDEX('Methodology &amp; Sources'!$B$137:$J$139,0,4))*($AZ67-INDEX('Methodology &amp; Sources'!$B$137:$J$139,0,4))*INDEX('Methodology &amp; Sources'!$B$137:$J$139,0,4+2)))),IF($AN67="NJ",IF('Inputs 2'!$C$77="B",SUMPRODUCT(($AZ67&gt;INDEX('Methodology &amp; Sources'!$B$155:$J$162,0,4))*($AZ67-INDEX('Methodology &amp; Sources'!$B$155:$J$162,0,4))*INDEX('Methodology &amp; Sources'!$B$155:$J$162,0,4+2)),IF('Inputs 2'!$C$77="C",SUMPRODUCT(($AZ67&gt;INDEX('Methodology &amp; Sources'!$B$155:$J$162,0,7))*($AZ67-INDEX('Methodology &amp; Sources'!$B$155:$J$162,0,7))*INDEX('Methodology &amp; Sources'!$B$155:$J$162,0,7+2)),IF('Inputs 2'!$C$77="D",SUMPRODUCT(($AZ67&gt;INDEX('Methodology &amp; Sources'!$B$167:$J$179,0,1))*($AZ67-INDEX('Methodology &amp; Sources'!$B$167:$J$179,0,1))*INDEX('Methodology &amp; Sources'!$B$167:$J$179,0,1+2)),IF('Inputs 2'!$C$77="E",SUMPRODUCT(($AZ67&gt;INDEX('Methodology &amp; Sources'!$B$167:$J$179,0,4))*($AZ67-INDEX('Methodology &amp; Sources'!$B$167:$J$179,0,4))*INDEX('Methodology &amp; Sources'!$B$167:$J$179,0,4+2)),SUMPRODUCT(($AZ67&gt;INDEX('Methodology &amp; Sources'!$B$155:$J$162,0,1))*($AZ67-INDEX('Methodology &amp; Sources'!$B$155:$J$162,0,1))*INDEX('Methodology &amp; Sources'!$B$155:$J$162,0,1+2)))))),IF($AN67="NY",IF($AU67="Married",IF($AZ67&gt;=2155350,$AZ67*IF($AZ67&gt;25000000,0.117,IF($AZ67&gt;5000000,0.111,0.1045)),SUMPRODUCT(($AZ67&gt;INDEX('Methodology &amp; Sources'!$B$184:$J$198,0,1))*($AZ67-INDEX('Methodology &amp; Sources'!$B$184:$J$198,0,1))*INDEX('Methodology &amp; Sources'!$B$184:$J$198,0,1+2))),IF($AZ67&gt;=1077550,$AZ67*IF($AZ67&gt;25000000,0.117,IF($AZ67&gt;5000000,0.111,0.1045)),SUMPRODUCT(($AZ67&gt;INDEX('Methodology &amp; Sources'!$B$167:$J$179,0,7))*($AZ67-INDEX('Methodology &amp; Sources'!$B$167:$J$179,0,7))*INDEX('Methodology &amp; Sources'!$B$167:$J$179,0,7+2)))),"")))))))</f>
      </c>
      <c r="BX67" s="7">
        <f>IF($B67="","",IF($AN67="AL",IF(OR($AU67="Married",$AU67="Head of household"),SUMPRODUCT(($AZ67&gt;INDEX('Methodology &amp; Sources'!$B$82:$J$86,0,4))*($AZ67-INDEX('Methodology &amp; Sources'!$B$82:$J$86,0,4))*INDEX('Methodology &amp; Sources'!$B$82:$J$86,0,4+2)),SUMPRODUCT(($AZ67&gt;INDEX('Methodology &amp; Sources'!$B$82:$J$86,0,1))*($AZ67-INDEX('Methodology &amp; Sources'!$B$82:$J$86,0,1))*INDEX('Methodology &amp; Sources'!$B$82:$J$86,0,1+2))),IF($AN67="KS",IF($AU67="Married",SUMPRODUCT(($AZ67&gt;INDEX('Methodology &amp; Sources'!$B$103:$J$109,0,4))*($AZ67-INDEX('Methodology &amp; Sources'!$B$103:$J$109,0,4))*INDEX('Methodology &amp; Sources'!$B$103:$J$109,0,4+2)),SUMPRODUCT(($AZ67&gt;INDEX('Methodology &amp; Sources'!$B$103:$J$109,0,1))*($AZ67-INDEX('Methodology &amp; Sources'!$B$103:$J$109,0,1))*INDEX('Methodology &amp; Sources'!$B$103:$J$109,0,1+2))),IF($AN67="MN",IF($AU67="Married",SUMPRODUCT(($AZ67&gt;INDEX('Methodology &amp; Sources'!$B$114:$J$120,0,7))*($AZ67-INDEX('Methodology &amp; Sources'!$B$114:$J$120,0,7))*INDEX('Methodology &amp; Sources'!$B$114:$J$120,0,7+2)),SUMPRODUCT(($AZ67&gt;INDEX('Methodology &amp; Sources'!$B$114:$J$120,0,4))*($AZ67-INDEX('Methodology &amp; Sources'!$B$114:$J$120,0,4))*INDEX('Methodology &amp; Sources'!$B$114:$J$120,0,4+2))),IF($AN67="NE",MAX(IF($AU67="Married",SUMPRODUCT(($AZ67&gt;INDEX('Methodology &amp; Sources'!$B$144:$J$150,0,7))*($AZ67-INDEX('Methodology &amp; Sources'!$B$144:$J$150,0,7))*INDEX('Methodology &amp; Sources'!$B$144:$J$150,0,7+2)),SUMPRODUCT(($AZ67&gt;INDEX('Methodology &amp; Sources'!$B$144:$J$150,0,4))*($AZ67-INDEX('Methodology &amp; Sources'!$B$144:$J$150,0,4))*INDEX('Methodology &amp; Sources'!$B$144:$J$150,0,4+2))),0.015*$AZ67),IF($AN67="OH",IF($B67&gt;=DATE(2027,8,1),SUMPRODUCT(($AZ67&gt;INDEX('Methodology &amp; Sources'!$B$203:$J$206,0,1))*($AZ67-INDEX('Methodology &amp; Sources'!$B$203:$J$206,0,1))*INDEX('Methodology &amp; Sources'!$B$203:$J$206,0,1+2)),SUMPRODUCT(($AZ67&gt;INDEX('Methodology &amp; Sources'!$B$184:$J$198,0,7))*($AZ67-INDEX('Methodology &amp; Sources'!$B$184:$J$198,0,7))*INDEX('Methodology &amp; Sources'!$B$184:$J$198,0,7+2))),IF($AN67="OK",IF($AU67="Married",SUMPRODUCT(($AZ67&gt;INDEX('Methodology &amp; Sources'!$B$203:$J$206,0,7))*($AZ67-INDEX('Methodology &amp; Sources'!$B$203:$J$206,0,7))*INDEX('Methodology &amp; Sources'!$B$203:$J$206,0,7+2)),SUMPRODUCT(($AZ67&gt;INDEX('Methodology &amp; Sources'!$B$203:$J$206,0,4))*($AZ67-INDEX('Methodology &amp; Sources'!$B$203:$J$206,0,4))*INDEX('Methodology &amp; Sources'!$B$203:$J$206,0,4+2))),IF($AN67="RI",SUMPRODUCT(($AZ67&gt;INDEX('Methodology &amp; Sources'!$B$211:$J$214,0,7))*($AZ67-INDEX('Methodology &amp; Sources'!$B$211:$J$214,0,7))*INDEX('Methodology &amp; Sources'!$B$211:$J$214,0,7+2)),IF($AN67="VT",IF($AU67="Married",SUMPRODUCT(($AZ67&gt;INDEX('Methodology &amp; Sources'!$B$228:$J$232,0,1))*($AZ67-INDEX('Methodology &amp; Sources'!$B$228:$J$232,0,1))*INDEX('Methodology &amp; Sources'!$B$228:$J$232,0,1+2)),SUMPRODUCT(($AZ67&gt;INDEX('Methodology &amp; Sources'!$B$219:$J$223,0,7))*($AZ67-INDEX('Methodology &amp; Sources'!$B$219:$J$223,0,7))*INDEX('Methodology &amp; Sources'!$B$219:$J$223,0,7+2))),IF($AN67="WV",IF($AU67="Married",SUMPRODUCT(($AZ67&gt;INDEX('Methodology &amp; Sources'!$B$237:$J$241,0,7))*($AZ67-INDEX('Methodology &amp; Sources'!$B$237:$J$241,0,7))*INDEX('Methodology &amp; Sources'!$B$237:$J$241,0,7+2)),SUMPRODUCT(($AZ67&gt;INDEX('Methodology &amp; Sources'!$B$228:$J$232,0,7))*($AZ67-INDEX('Methodology &amp; Sources'!$B$228:$J$232,0,7))*INDEX('Methodology &amp; Sources'!$B$228:$J$232,0,7+2))),""))))))))))</f>
      </c>
      <c r="BY67" s="7">
        <f>IF($B67="","",IF($AN67="AR",SUMPRODUCT(($AZ67&gt;INDEX('Methodology &amp; Sources'!$B$82:$J$86,0,7))*($AZ67-INDEX('Methodology &amp; Sources'!$B$82:$J$86,0,7))*INDEX('Methodology &amp; Sources'!$B$82:$J$86,0,7+2)),IF($AN67="DE",SUMPRODUCT(($AZ67&gt;INDEX('Methodology &amp; Sources'!$B$91:$J$98,0,1))*($AZ67-INDEX('Methodology &amp; Sources'!$B$91:$J$98,0,1))*INDEX('Methodology &amp; Sources'!$B$91:$J$98,0,1+2)),IF($AN67="HI",IF($AU67="Married",SUMPRODUCT(($AZ67&gt;INDEX('Methodology &amp; Sources'!$B$91:$J$98,0,7))*($AZ67-INDEX('Methodology &amp; Sources'!$B$91:$J$98,0,7))*INDEX('Methodology &amp; Sources'!$B$91:$J$98,0,7+2)),SUMPRODUCT(($AZ67&gt;INDEX('Methodology &amp; Sources'!$B$91:$J$98,0,4))*($AZ67-INDEX('Methodology &amp; Sources'!$B$91:$J$98,0,4))*INDEX('Methodology &amp; Sources'!$B$91:$J$98,0,4+2))),IF($AN67="SC",SUMPRODUCT(($AZ67&gt;INDEX('Methodology &amp; Sources'!$B$219:$J$223,0,1))*($AZ67-INDEX('Methodology &amp; Sources'!$B$219:$J$223,0,1))*INDEX('Methodology &amp; Sources'!$B$219:$J$223,0,1+2)),IF($AN67="VA",SUMPRODUCT(($AZ67&gt;INDEX('Methodology &amp; Sources'!$B$219:$J$223,0,4))*($AZ67-INDEX('Methodology &amp; Sources'!$B$219:$J$223,0,4))*INDEX('Methodology &amp; Sources'!$B$219:$J$223,0,4+2)),IF($AN67="WI",SUMPRODUCT(($AZ67&gt;INDEX('Methodology &amp; Sources'!$B$228:$J$232,0,4))*($AZ67-INDEX('Methodology &amp; Sources'!$B$228:$J$232,0,4))*INDEX('Methodology &amp; Sources'!$B$228:$J$232,0,4+2)),"")))))))</f>
      </c>
      <c r="BZ67" s="24">
        <f>IF($B67="","",IF($AN67="NJ",IF('Inputs 2'!$C$77="B",SUMPRODUCT(($AZ67&gt;=INDEX('Methodology &amp; Sources'!$B$155:$J$162,0,4))*INDEX('Methodology &amp; Sources'!$B$155:$J$162,0,4+2)),IF('Inputs 2'!$C$77="C",SUMPRODUCT(($AZ67&gt;=INDEX('Methodology &amp; Sources'!$B$155:$J$162,0,7))*INDEX('Methodology &amp; Sources'!$B$155:$J$162,0,7+2)),IF('Inputs 2'!$C$77="D",SUMPRODUCT(($AZ67&gt;=INDEX('Methodology &amp; Sources'!$B$167:$J$179,0,1))*INDEX('Methodology &amp; Sources'!$B$167:$J$179,0,1+2)),IF('Inputs 2'!$C$77="E",SUMPRODUCT(($AZ67&gt;=INDEX('Methodology &amp; Sources'!$B$167:$J$179,0,4))*INDEX('Methodology &amp; Sources'!$B$167:$J$179,0,4+2)),SUMPRODUCT(($AZ67&gt;=INDEX('Methodology &amp; Sources'!$B$155:$J$162,0,1))*INDEX('Methodology &amp; Sources'!$B$155:$J$162,0,1+2)))))),IF($AN67="OR",IF(OR($AU67="Married",AND($AU67="Single",$AS67&gt;=3)),SUMPRODUCT((MAX(0,$AY67-MIN(($P67-'Methodology &amp; Sources'!$C$10*$D67)*'Inputs 2'!$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Sources'!$B$211:$J$214,0,4))*INDEX('Methodology &amp; Sources'!$B$211:$J$214,0,4+2)),SUMPRODUCT((MAX(0,$AY67-MIN(($P67-'Methodology &amp; Sources'!$C$10*$D67)*'Inputs 2'!$C$8,IF(OR($AU67="Married",AND($AU67="Single",$AS67&gt;=3)),IF($AY67&lt;250000,8750,IF($AY67&lt;260000,7000,IF($AY67&lt;270000,5250,IF($AY67&lt;280000,3500,IF($AY67&lt;290000,1750,0))))),IF($AY67&lt;125000,8750,IF($AY67&lt;130000,7000,IF($AY67&lt;135000,5250,IF($AY67&lt;140000,3500,IF($AY67&lt;145000,1750,0)))))))-IF(OR($AU67="Married",AND($AU67="Single",$AS67&gt;=3)),5820,2910))&gt;=INDEX('Methodology &amp; Sources'!$B$211:$J$214,0,1))*INDEX('Methodology &amp; Sources'!$B$211:$J$214,0,1+2)))*IF(($P67-'Methodology &amp; Sources'!$C$10*$D67)*'Inputs 2'!$C$8&gt;=IF(OR($AU67="Married",AND($AU67="Single",$AS67&gt;=3)),IF($AY67&lt;250000,8750,IF($AY67&lt;260000,7000,IF($AY67&lt;270000,5250,IF($AY67&lt;280000,3500,IF($AY67&lt;290000,1750,0))))),IF($AY67&lt;125000,8750,IF($AY67&lt;130000,7000,IF($AY67&lt;135000,5250,IF($AY67&lt;140000,3500,IF($AY67&lt;145000,1750,0)))))),1,1-IF('Inputs 2'!$C$13,SUMPRODUCT(($AH67&gt;=INDEX('Methodology &amp; Sources'!$B$29:$J$36,0,IF('Inputs 2'!$C$12="MFJ",1,IF('Inputs 2'!$C$12="HoH",7,4))))*INDEX('Methodology &amp; Sources'!$B$29:$J$36,0,IF('Inputs 2'!$C$12="MFJ",1,IF('Inputs 2'!$C$12="HoH",7,4))+2)),SUMPRODUCT(($AH67&gt;=INDEX('Methodology &amp; Sources'!$B$19:$J$26,0,IF('Inputs 2'!$C$12="MFJ",1,IF('Inputs 2'!$C$12="HoH",7,4))))*INDEX('Methodology &amp; Sources'!$B$19:$J$26,0,IF('Inputs 2'!$C$12="MFJ",1,IF('Inputs 2'!$C$12="HoH",7,4))+2)))),IF($AN67="MI",IF($AY67&gt;5900*$AS67,0.0425,0),""))))</f>
      </c>
      <c r="CA67" s="24">
        <f>IF($B67="","",IF($AN67="AL",IF(OR($AU67="Married",$AU67="Head of household"),SUMPRODUCT(($AZ67&gt;=INDEX('Methodology &amp; Sources'!$B$82:$J$86,0,4))*INDEX('Methodology &amp; Sources'!$B$82:$J$86,0,4+2)),SUMPRODUCT(($AZ67&gt;=INDEX('Methodology &amp; Sources'!$B$82:$J$86,0,1))*INDEX('Methodology &amp; Sources'!$B$82:$J$86,0,1+2)))*(1-IF('Inputs 2'!$C$13,SUMPRODUCT(($AH67&gt;=INDEX('Methodology &amp; Sources'!$B$29:$J$36,0,IF('Inputs 2'!$C$12="MFJ",1,IF('Inputs 2'!$C$12="HoH",7,4))))*INDEX('Methodology &amp; Sources'!$B$29:$J$36,0,IF('Inputs 2'!$C$12="MFJ",1,IF('Inputs 2'!$C$12="HoH",7,4))+2)),SUMPRODUCT(($AH67&gt;=INDEX('Methodology &amp; Sources'!$B$19:$J$26,0,IF('Inputs 2'!$C$12="MFJ",1,IF('Inputs 2'!$C$12="HoH",7,4))))*INDEX('Methodology &amp; Sources'!$B$19:$J$26,0,IF('Inputs 2'!$C$12="MFJ",1,IF('Inputs 2'!$C$12="HoH",7,4))+2)))),IF($AN67="KS",IF($AU67="Married",SUMPRODUCT(($AZ67&gt;=INDEX('Methodology &amp; Sources'!$B$103:$J$109,0,4))*INDEX('Methodology &amp; Sources'!$B$103:$J$109,0,4+2)),SUMPRODUCT(($AZ67&gt;=INDEX('Methodology &amp; Sources'!$B$103:$J$109,0,1))*INDEX('Methodology &amp; Sources'!$B$103:$J$109,0,1+2))),IF($AN67="MD",IF(OR($AU67="Married",$AU67="Head of household"),SUMPRODUCT(($AZ67&gt;=INDEX('Methodology &amp; Sources'!$B$114:$J$120,0,1))*INDEX('Methodology &amp; Sources'!$B$114:$J$120,0,1+2)),SUMPRODUCT(($AZ67&gt;=INDEX('Methodology &amp; Sources'!$B$103:$J$109,0,7))*INDEX('Methodology &amp; Sources'!$B$103:$J$109,0,7+2)))+'Inputs 2'!$C$74,IF($AN67="MT",IF($AU67="Head of household",SUMPRODUCT(($AZ67&gt;=INDEX('Methodology &amp; Sources'!$B$137:$J$139,0,1))*INDEX('Methodology &amp; Sources'!$B$137:$J$139,0,1+2)),IF($AU67="Married",SUMPRODUCT(($AZ67&gt;=INDEX('Methodology &amp; Sources'!$B$125:$J$132,0,7))*INDEX('Methodology &amp; Sources'!$B$125:$J$132,0,7+2)),SUMPRODUCT(($AZ67&gt;=INDEX('Methodology &amp; Sources'!$B$125:$J$132,0,4))*INDEX('Methodology &amp; Sources'!$B$125:$J$132,0,4+2)))),IF($AN67="ND",IF($AU67="Head of household",SUMPRODUCT(($AZ67&gt;=INDEX('Methodology &amp; Sources'!$B$144:$J$150,0,1))*INDEX('Methodology &amp; Sources'!$B$144:$J$150,0,1+2)),IF($AU67="Married",SUMPRODUCT(($AZ67&gt;=INDEX('Methodology &amp; Sources'!$B$137:$J$139,0,7))*INDEX('Methodology &amp; Sources'!$B$137:$J$139,0,7+2)),SUMPRODUCT(($AZ67&gt;=INDEX('Methodology &amp; Sources'!$B$137:$J$139,0,4))*INDEX('Methodology &amp; Sources'!$B$137:$J$139,0,4+2)))),IF($AN67="NY",IF($AU67="Married",IF($AZ67&gt;=2155350,IF($AZ67&gt;25000000,0.117,IF($AZ67&gt;5000000,0.111,0.1045)),SUMPRODUCT(($AZ67&gt;=INDEX('Methodology &amp; Sources'!$B$184:$J$198,0,1))*INDEX('Methodology &amp; Sources'!$B$184:$J$198,0,1+2))),IF($AZ67&gt;=1077550,IF($AZ67&gt;25000000,0.117,IF($AZ67&gt;5000000,0.111,0.1045)),SUMPRODUCT(($AZ67&gt;=INDEX('Methodology &amp; Sources'!$B$167:$J$179,0,7))*INDEX('Methodology &amp; Sources'!$B$167:$J$179,0,7+2)))),"")))))))</f>
      </c>
      <c r="CB67" s="24">
        <f>IF($B67="","",IF($AN67="CA",SUMPRODUCT(($AJ67&gt;=INDEX('Methodology &amp; Sources'!$B$39:$J$48,0,IF($AU67="Married",4,IF($AU67="Head of household",7,1))))*INDEX('Methodology &amp; Sources'!$B$39:$J$48,0,IF($AU67="Married",4,IF($AU67="Head of household",7,1))+2)),IF($AN67="HI",IF($AU67="Married",SUMPRODUCT(($AZ67&gt;=INDEX('Methodology &amp; Sources'!$B$91:$J$98,0,7))*INDEX('Methodology &amp; Sources'!$B$91:$J$98,0,7+2)),SUMPRODUCT(($AZ67&gt;=INDEX('Methodology &amp; Sources'!$B$91:$J$98,0,4))*INDEX('Methodology &amp; Sources'!$B$91:$J$98,0,4+2))),IF($AN67="MN",IF($AU67="Married",SUMPRODUCT(($AZ67&gt;=INDEX('Methodology &amp; Sources'!$B$114:$J$120,0,7))*INDEX('Methodology &amp; Sources'!$B$114:$J$120,0,7+2)),SUMPRODUCT(($AZ67&gt;=INDEX('Methodology &amp; Sources'!$B$114:$J$120,0,4))*INDEX('Methodology &amp; Sources'!$B$114:$J$120,0,4+2))),IF($AN67="MO",SUMPRODUCT(($AZ67&gt;=INDEX('Methodology &amp; Sources'!$B$125:$J$132,0,1))*INDEX('Methodology &amp; Sources'!$B$125:$J$132,0,1+2)),IF($AN67="NE",MAX(IF($AU67="Married",SUMPRODUCT(($AZ67&gt;=INDEX('Methodology &amp; Sources'!$B$144:$J$150,0,7))*INDEX('Methodology &amp; Sources'!$B$144:$J$150,0,7+2)),SUMPRODUCT(($AZ67&gt;=INDEX('Methodology &amp; Sources'!$B$144:$J$150,0,4))*INDEX('Methodology &amp; Sources'!$B$144:$J$150,0,4+2))),0.015),IF($AN67="OH",IF($B67&gt;=DATE(2027,8,1),SUMPRODUCT(($AZ67&gt;=INDEX('Methodology &amp; Sources'!$B$203:$J$206,0,1))*INDEX('Methodology &amp; Sources'!$B$203:$J$206,0,1+2)),SUMPRODUCT(($AZ67&gt;=INDEX('Methodology &amp; Sources'!$B$184:$J$198,0,7))*INDEX('Methodology &amp; Sources'!$B$184:$J$198,0,7+2))),IF($AN67="OK",IF($AU67="Married",SUMPRODUCT(($AZ67&gt;=INDEX('Methodology &amp; Sources'!$B$203:$J$206,0,7))*INDEX('Methodology &amp; Sources'!$B$203:$J$206,0,7+2)),SUMPRODUCT(($AZ67&gt;=INDEX('Methodology &amp; Sources'!$B$203:$J$206,0,4))*INDEX('Methodology &amp; Sources'!$B$203:$J$206,0,4+2))),IF($AN67="RI",SUMPRODUCT(($AZ67&gt;=INDEX('Methodology &amp; Sources'!$B$211:$J$214,0,7))*INDEX('Methodology &amp; Sources'!$B$211:$J$214,0,7+2)),IF($AN67="SC",SUMPRODUCT(($AZ67&gt;=INDEX('Methodology &amp; Sources'!$B$219:$J$223,0,1))*INDEX('Methodology &amp; Sources'!$B$219:$J$223,0,1+2)),IF($AN67="VT",IF($AU67="Married",SUMPRODUCT(($AZ67&gt;=INDEX('Methodology &amp; Sources'!$B$228:$J$232,0,1))*INDEX('Methodology &amp; Sources'!$B$228:$J$232,0,1+2)),SUMPRODUCT(($AZ67&gt;=INDEX('Methodology &amp; Sources'!$B$219:$J$223,0,7))*INDEX('Methodology &amp; Sources'!$B$219:$J$223,0,7+2))),IF($AN67="WV",IF($AU67="Married",SUMPRODUCT(($AZ67&gt;=INDEX('Methodology &amp; Sources'!$B$237:$J$241,0,7))*INDEX('Methodology &amp; Sources'!$B$237:$J$241,0,7+2)),SUMPRODUCT(($AZ67&gt;=INDEX('Methodology &amp; Sources'!$B$228:$J$232,0,7))*INDEX('Methodology &amp; Sources'!$B$228:$J$232,0,7+2))),IF($AN67="IN",(0.0295+'Inputs 2'!$C$76),"")))))))))))))</f>
      </c>
      <c r="CC67" s="24">
        <f>IF($B67="","",IF($AN67="AR",SUMPRODUCT(($AZ67&gt;=INDEX('Methodology &amp; Sources'!$B$82:$J$86,0,7))*INDEX('Methodology &amp; Sources'!$B$82:$J$86,0,7+2)),IF($AN67="DE",SUMPRODUCT(($AZ67&gt;=INDEX('Methodology &amp; Sources'!$B$91:$J$98,0,1))*INDEX('Methodology &amp; Sources'!$B$91:$J$98,0,1+2)),IF($AN67="VA",SUMPRODUCT(($AZ67&gt;=INDEX('Methodology &amp; Sources'!$B$219:$J$223,0,4))*INDEX('Methodology &amp; Sources'!$B$219:$J$223,0,4+2)),IF($AN67="WI",SUMPRODUCT(($AZ67&gt;=INDEX('Methodology &amp; Sources'!$B$228:$J$232,0,4))*INDEX('Methodology &amp; Sources'!$B$228:$J$232,0,4+2)),IF($AN67="AZ",'Inputs 2'!$C$82,IF($AN67="CO",IF($AY67&gt;IF($AU67="Married",10000,5000),0.044,0),IF($AN67="IA",IF($AY67&gt;IF($AU67="Head of household",19500,IF($AU67="Married",26000,13000)),0.038,0),IF($AN67="ID",IF($AY67&gt;IF($AU67="Married",32000,16094),0.053,0),IF($AN67="IL",IF($AY67&gt;(2925*$AS67+1000*$AT67),0.0495,0),IF($AN67="KY",IF($AI67&gt;3360,0.035,0),IF($AN67="LA",0.0309,IF($AN67="MA",IF(MAX(0,$AY67-MIN(($BD66+$Q67+$R67+$S67),2000)-IF($AS67=0,0,IF($AS67=1,4400,1000*$AS67+3400)))&gt;=1107750,0.09,0.05),IF($AN67="MS",IF($AI67-IF($AU67="Head of household",3400,IF($AU67="Married",4600,2300))-'Inputs 2'!$C$85&gt;10000,0.04,0),IF($AN67="PA",0.0307,"")))))))))))))))</f>
      </c>
      <c r="CD67" s="21">
        <f>IF(YEAR(IF('Inputs 2'!$C$7="Weekly",'Inputs 2'!$C$9+7*(($BE66+1)-1),IF('Inputs 2'!$C$7="Biweekly",'Inputs 2'!$C$9+14*(($BE66+1)-1),IF('Inputs 2'!$C$7="Semimonthly",DATE(YEAR('Inputs 2'!$C$9),MONTH('Inputs 2'!$C$9)+INT((($BE66+1)-1)/2),MIN(DAY('Inputs 2'!$C$9),DAY(EOMONTH(DATE(YEAR('Inputs 2'!$C$9),MONTH('Inputs 2'!$C$9)+INT((($BE66+1)-1)/2),1),0))))+IF(MOD(($BE66+1)-1,2)=1,15,0),EDATE('Inputs 2'!$C$9,($BE66+1)-1)))))&lt;&gt;'Inputs 2'!$C$10,"",IF('Inputs 2'!$C$7="Weekly",'Inputs 2'!$C$9+7*(($BE66+1)-1),IF('Inputs 2'!$C$7="Biweekly",'Inputs 2'!$C$9+14*(($BE66+1)-1),IF('Inputs 2'!$C$7="Semimonthly",DATE(YEAR('Inputs 2'!$C$9),MONTH('Inputs 2'!$C$9)+INT((($BE66+1)-1)/2),MIN(DAY('Inputs 2'!$C$9),DAY(EOMONTH(DATE(YEAR('Inputs 2'!$C$9),MONTH('Inputs 2'!$C$9)+INT((($BE66+1)-1)/2),1),0))))+IF(MOD(($BE66+1)-1,2)=1,15,0),EDATE('Inputs 2'!$C$9,($BE66+1)-1)))))</f>
      </c>
      <c r="CE67" s="21">
        <f>IF(SUMPRODUCT(MIN(IF(('Inputs 2'!$C$58:$C$67&gt;MAX($B$6:$B66))*('Inputs 2'!$C$58:$C$67&gt;=DATE('Inputs 2'!$C$10,1,1))*('Inputs 2'!$C$58:$C$67&lt;=DATE('Inputs 2'!$C$10,12,31)),'Inputs 2'!$C$58:$C$67,999999)))=999999,"",SUMPRODUCT(MIN(IF(('Inputs 2'!$C$58:$C$67&gt;MAX($B$6:$B66))*('Inputs 2'!$C$58:$C$67&gt;=DATE('Inputs 2'!$C$10,1,1))*('Inputs 2'!$C$58:$C$67&lt;=DATE('Inputs 2'!$C$10,12,31)),'Inputs 2'!$C$58:$C$67,999999))))</f>
      </c>
    </row>
    <row r="68">
      <c r="A68" t="n">
        <v>63</v>
      </c>
      <c r="B68" s="21">
        <f>IF(AND($CD68="",$CE68=""),"",IF($CE68="",$CD68,IF($CD68="",$CE68,MIN($CD68,$CE68))))</f>
      </c>
      <c r="C68" s="7">
        <f>IF($B68="","",IF($BF68=0,0,IF('Inputs 2'!$C$4="Annual salary",ROUND($AK68/IF(AND('Inputs 2'!$C$88="Actual paydays",MONTH('Inputs 2'!$C$9)=1),MAX(1,MAX($BE$6:$BE$68)),'Inputs 2'!$C$8),2),$AK68)))</f>
      </c>
      <c r="D68" s="7">
        <f>IF($B68="","",SUMIF('Inputs 2'!$C$58:$C$67,$B68,'Inputs 2'!$D$58:$D$67))</f>
      </c>
      <c r="E68" s="7">
        <f>IF($B68="","",ROUND(MAX(0,MIN(IF($AL68="Percent",$AM68*($C68+$D68),$AM68),MAX(0,'Inputs 2'!$C$34-$AC67))),2))</f>
      </c>
      <c r="F68" s="7">
        <f>IF($B68="","",ROUND(MAX(0,MIN(IF('Inputs 2'!$C$32="Percent",'Inputs 2'!$D$32*($C68+$D68),'Inputs 2'!$D$32),MAX(0,'Inputs 2'!$C$34-$AC67-$E68))),2))</f>
      </c>
      <c r="G68" s="7">
        <f>IF($B68="","",IF($BF68=0,0,ROUND(MAX(0,MIN($BL68,'Inputs 2'!$C$37-'Inputs 2'!$C$54-$BI67)),2)))</f>
      </c>
      <c r="H68" s="7">
        <f>IF($B68="","",IF(OR($BF68=0,$BQ68=1),0,ROUND(MAX(0,MIN(IF($BS68=1,ROUND(MAX(0,MIN($BJ68,'Methodology &amp; Sources'!$C$13)-$BG67)/MAX(1,MAX($BE$6:$BE$68)-($BE67)),2),ROUND(MIN($BJ68,'Methodology &amp; Sources'!$C$13)/'Inputs 2'!$C$8,2)),MIN($BJ68,'Methodology &amp; Sources'!$C$13)-$BG67)),2)))</f>
      </c>
      <c r="I68" s="7">
        <f>IF($B68="","",IF(OR($BF68=0,$BR68=1),0,ROUND(MAX(0,MIN(IF($BT68=1,ROUND(MAX(0,MIN($BK68,IF('Inputs 2'!$C$12="MFJ",'Methodology &amp; Sources'!$C$14,'Methodology &amp; Sources'!$C$15))-$BH67)/MAX(1,MAX($BE$6:$BE$68)-($BE67)),2),ROUND(MIN($BK68,IF('Inputs 2'!$C$12="MFJ",'Methodology &amp; Sources'!$C$14,'Methodology &amp; Sources'!$C$15))/'Inputs 2'!$C$8,2)),MIN($BK68,IF('Inputs 2'!$C$12="MFJ",'Methodology &amp; Sources'!$C$14,'Methodology &amp; Sources'!$C$15))-$BH67)),2)))</f>
      </c>
      <c r="J68" s="7">
        <f>IF($B68="","",IF($BF68=0,0,$BM68))</f>
      </c>
      <c r="K68" s="7">
        <f>IF($B68="","",IF($BF68=0,0,$BN68+$BO68))</f>
      </c>
      <c r="L68" s="7">
        <f>IF($B68="","",IF($BF68=0,0,'Inputs 2'!$D$46))</f>
      </c>
      <c r="M68" s="7">
        <f>IF($B68="","",$C68+$D68+$L68-$E68-$G68-$H68-$I68-$J68-$K68)</f>
      </c>
      <c r="N68" s="7">
        <f>IF($B68="","",$C68+$D68+$L68-$G68-$H68-$I68-$J68-$K68)</f>
      </c>
      <c r="O68" s="7">
        <f>IF($B68="","",$C68+$D68+$L68-$E68-$H68-$I68-$J68-$K68-IF(OR($AN68="CA",$AN68="NJ"),0,$G68))</f>
      </c>
      <c r="P68" s="7">
        <f>IF($B68="","",IF('Inputs 2'!$C$18,0,ROUND(MAX(0,IF('Inputs 2'!$C$13,SUMPRODUCT(($AH68&gt;INDEX('Methodology &amp; Sources'!$B$29:$J$36,0,IF('Inputs 2'!$C$12="MFJ",1,IF('Inputs 2'!$C$12="HoH",7,4))))*($AH68-INDEX('Methodology &amp; Sources'!$B$29:$J$36,0,IF('Inputs 2'!$C$12="MFJ",1,IF('Inputs 2'!$C$12="HoH",7,4))))*INDEX('Methodology &amp; Sources'!$B$29:$J$36,0,IF('Inputs 2'!$C$12="MFJ",1,IF('Inputs 2'!$C$12="HoH",7,4))+2)),SUMPRODUCT(($AH68&gt;INDEX('Methodology &amp; Sources'!$B$19:$J$26,0,IF('Inputs 2'!$C$12="MFJ",1,IF('Inputs 2'!$C$12="HoH",7,4))))*($AH68-INDEX('Methodology &amp; Sources'!$B$19:$J$26,0,IF('Inputs 2'!$C$12="MFJ",1,IF('Inputs 2'!$C$12="HoH",7,4))))*INDEX('Methodology &amp; Sources'!$B$19:$J$26,0,IF('Inputs 2'!$C$12="MFJ",1,IF('Inputs 2'!$C$12="HoH",7,4))+2)))/'Inputs 2'!$C$8-$AO68/'Inputs 2'!$C$8)+$AR68+IF('Inputs 2'!$C$89="Aggregate",MAX(0,IF('Inputs 2'!$C$13,SUMPRODUCT((($AH68+$D68)&gt;INDEX('Methodology &amp; Sources'!$B$29:$J$36,0,IF('Inputs 2'!$C$12="MFJ",1,IF('Inputs 2'!$C$12="HoH",7,4))))*(($AH68+$D68)-INDEX('Methodology &amp; Sources'!$B$29:$J$36,0,IF('Inputs 2'!$C$12="MFJ",1,IF('Inputs 2'!$C$12="HoH",7,4))))*INDEX('Methodology &amp; Sources'!$B$29:$J$36,0,IF('Inputs 2'!$C$12="MFJ",1,IF('Inputs 2'!$C$12="HoH",7,4))+2)),SUMPRODUCT((($AH68+$D68)&gt;INDEX('Methodology &amp; Sources'!$B$19:$J$26,0,IF('Inputs 2'!$C$12="MFJ",1,IF('Inputs 2'!$C$12="HoH",7,4))))*(($AH68+$D68)-INDEX('Methodology &amp; Sources'!$B$19:$J$26,0,IF('Inputs 2'!$C$12="MFJ",1,IF('Inputs 2'!$C$12="HoH",7,4))))*INDEX('Methodology &amp; Sources'!$B$19:$J$26,0,IF('Inputs 2'!$C$12="MFJ",1,IF('Inputs 2'!$C$12="HoH",7,4))+2)))-IF('Inputs 2'!$C$13,SUMPRODUCT(($AH68&gt;INDEX('Methodology &amp; Sources'!$B$29:$J$36,0,IF('Inputs 2'!$C$12="MFJ",1,IF('Inputs 2'!$C$12="HoH",7,4))))*($AH68-INDEX('Methodology &amp; Sources'!$B$29:$J$36,0,IF('Inputs 2'!$C$12="MFJ",1,IF('Inputs 2'!$C$12="HoH",7,4))))*INDEX('Methodology &amp; Sources'!$B$29:$J$36,0,IF('Inputs 2'!$C$12="MFJ",1,IF('Inputs 2'!$C$12="HoH",7,4))+2)),SUMPRODUCT(($AH68&gt;INDEX('Methodology &amp; Sources'!$B$19:$J$26,0,IF('Inputs 2'!$C$12="MFJ",1,IF('Inputs 2'!$C$12="HoH",7,4))))*($AH68-INDEX('Methodology &amp; Sources'!$B$19:$J$26,0,IF('Inputs 2'!$C$12="MFJ",1,IF('Inputs 2'!$C$12="HoH",7,4))))*INDEX('Methodology &amp; Sources'!$B$19:$J$26,0,IF('Inputs 2'!$C$12="MFJ",1,IF('Inputs 2'!$C$12="HoH",7,4))+2)))),'Methodology &amp; Sources'!$C$10*$D68),2)))</f>
      </c>
      <c r="Q68" s="7">
        <f>IF($B68="","",ROUND('Methodology &amp; Sources'!$C$4*MIN($N68,MAX(0,'Methodology &amp; Sources'!$C$3-($AX68+$AB67-$AW68))),2))</f>
      </c>
      <c r="R68" s="7">
        <f>IF($B68="","",ROUND('Methodology &amp; Sources'!$C$5*$N68,2))</f>
      </c>
      <c r="S68" s="7">
        <f>IF($B68="","",ROUND('Methodology &amp; Sources'!$C$6*MAX(0,MIN($N68,$AG67+$N68-'Methodology &amp; Sources'!$C$7)),2))</f>
      </c>
      <c r="T68" s="7">
        <f>IF($B68="","",IF('Inputs 2'!$C$26,0,IF($AN68="CA",ROUND(IF($AI68&lt;=IF(($AS68+$AT68)&gt;=2,VLOOKUP($AN68,StateTables!$A$6:$AB$56,10,FALSE),VLOOKUP($AN68,StateTables!$A$6:$AB$56,9,FALSE)),0,MAX(0,SUMPRODUCT(($AJ68&gt;INDEX('Methodology &amp; Sources'!$B$39:$J$48,0,IF($AU68="Married",4,IF($AU68="Head of household",7,1))))*($AJ68-INDEX('Methodology &amp; Sources'!$B$39:$J$48,0,IF($AU68="Married",4,IF($AU68="Head of household",7,1))))*INDEX('Methodology &amp; Sources'!$B$39:$J$48,0,IF($AU68="Married",4,IF($AU68="Head of household",7,1))+2))-VLOOKUP($AN68,StateTables!$A$6:$AB$56,11,FALSE)*$AS68)/'Inputs 2'!$C$8)+'Inputs 2'!$C$25+VLOOKUP($AN68,StateTables!$A$6:$AB$56,13,FALSE)*$D68,2),IF(VLOOKUP($AN68,StateTables!$A$6:$AB$56,4,FALSE)="None",0,IF(ISNUMBER(SEARCH("MANUAL",VLOOKUP($AN68,StateTables!$A$6:$AB$56,5,FALSE))),'Inputs 2'!$C$28,ROUND(MAX(0,$BA68+$BB68)/'Inputs 2'!$C$8+'Inputs 2'!$C$25+$BC68,2))))))</f>
      </c>
      <c r="U68" s="7">
        <f>IF($B68="","",IF(VLOOKUP($AN68,StateTables!$A$6:$AB$56,24,FALSE)="flatq",IF(OR(MONTH($B68)=1,MONTH($B68)=4,MONTH($B68)=7,MONTH($B68)=10),VLOOKUP($AN68,StateTables!$A$6:$AB$56,25,FALSE),0),IF(VLOOKUP($AN68,StateTables!$A$6:$AB$56,24,FALSE)="dbl",MIN(ROUND(0.005*$N68,2),ROUND(0.6*52/'Inputs 2'!$C$8,2)),IF(OR(VLOOKUP($AN68,StateTables!$A$6:$AB$56,15,FALSE)="",VLOOKUP($AN68,StateTables!$A$6:$AB$56,15,FALSE)=0),0,ROUND(VLOOKUP($AN68,StateTables!$A$6:$AB$56,15,FALSE)*IF(OR(VLOOKUP($AN68,StateTables!$A$6:$AB$56,16,FALSE)="",VLOOKUP($AN68,StateTables!$A$6:$AB$56,16,FALSE)=0),$N68,MIN($N68,MAX(0,VLOOKUP($AN68,StateTables!$A$6:$AB$56,16,FALSE)-($AX68+$AB67-$AW68)))),2))))+IF(VLOOKUP($AN68,StateTables!$A$6:$AB$56,27,FALSE)="flatq",IF(OR(MONTH($B68)=1,MONTH($B68)=4,MONTH($B68)=7,MONTH($B68)=10),VLOOKUP($AN68,StateTables!$A$6:$AB$56,28,FALSE),0),IF(VLOOKUP($AN68,StateTables!$A$6:$AB$56,27,FALSE)="dbl",MIN(ROUND(0.005*$N68,2),ROUND(0.6*52/'Inputs 2'!$C$8,2)),IF(OR(VLOOKUP($AN68,StateTables!$A$6:$AB$56,18,FALSE)="",VLOOKUP($AN68,StateTables!$A$6:$AB$56,18,FALSE)=0),0,ROUND(VLOOKUP($AN68,StateTables!$A$6:$AB$56,18,FALSE)*IF(OR(VLOOKUP($AN68,StateTables!$A$6:$AB$56,19,FALSE)="",VLOOKUP($AN68,StateTables!$A$6:$AB$56,19,FALSE)=0),$N68,MIN($N68,MAX(0,VLOOKUP($AN68,StateTables!$A$6:$AB$56,19,FALSE)-($AX68+$AB67-$AW68)))),2)))))</f>
      </c>
      <c r="V68" s="7">
        <f>IF($B68="","",IF($AN68="NY",IF('Inputs 2'!$C$78,ROUND(SUMPRODUCT((MAX(0,($O68-$D68)*'Inputs 2'!$C$8-(IF($AU68="Married",5500,5000)+1000*$AS68))&gt;INDEX('Methodology &amp; Sources'!$B$184:$J$198,0,4))*(MAX(0,($O68-$D68)*'Inputs 2'!$C$8-(IF($AU68="Married",5500,5000)+1000*$AS68))-INDEX('Methodology &amp; Sources'!$B$184:$J$198,0,4))*INDEX('Methodology &amp; Sources'!$B$184:$J$198,0,4+2))/'Inputs 2'!$C$8+0.0425*$D68,2),0)+IF('Inputs 2'!$C$79="Resident",ROUND(0.1675*$T68,2),IF('Inputs 2'!$C$79="Nonresident",ROUND(0.005*MAX(0,($O68-$D68)-(IF($AU68="Married",7950,7400)+1000*$AS68)/'Inputs 2'!$C$8),2),0)),IF($AN68="PA",IF('Inputs 2'!$C$80="None",'Inputs 2'!$C$27+ROUND('Inputs 2'!$C$81*($C68+$D68),2),ROUND(IF('Inputs 2'!$C$80="Resident",IF($B68&lt;DATE(2027,7,1),0.03735,0.03735),IF($B68&lt;DATE(2027,7,1),0.03425,0.03425))*($C68+$D68),2)),IF($BF68=0,ROUND('Inputs 2'!$C$81*($C68+$D68),2),'Inputs 2'!$C$27+ROUND('Inputs 2'!$C$81*($C68+$D68),2)))))</f>
      </c>
      <c r="W68" s="7">
        <f>IF($B68="","",IF($BF68=0,0,$BP68))</f>
      </c>
      <c r="X68" s="7">
        <f>IF($B68="","",SUM($E68:$K68)+$P68+$Q68+$R68+$S68+$T68+$U68+$V68+$W68)</f>
      </c>
      <c r="Y68" s="22">
        <f>IF($B68="","",$C68+$D68-$X68)</f>
      </c>
      <c r="Z68" s="7">
        <f>IF($B68="","",$Z67+$C68+$D68)</f>
      </c>
      <c r="AA68" s="7">
        <f>IF($B68="","",$AA67+$Y68)</f>
      </c>
      <c r="AB68" s="7">
        <f>IF($B68="","",$AB67+MIN($N68,MAX(0,'Methodology &amp; Sources'!$C$3-($AX68+$AB67-$AW68))))</f>
      </c>
      <c r="AC68" s="7">
        <f>IF($B68="","",$AC67+$E68+$F68)</f>
      </c>
      <c r="AD68" s="3">
        <f>IF($B68="","",IF(AND($AB67&lt;'Methodology &amp; Sources'!$C$3,$AB68&gt;='Methodology &amp; Sources'!$C$3),"★ Social Security maxed on this check — from the next check your net rises by about $"&amp;TEXT(ROUND('Methodology &amp; Sources'!$C$4*$N68,2),"#,##0.00")&amp;". ","")&amp;IF(AND($AC67&lt;'Inputs 2'!$C$34,$AC68&gt;='Inputs 2'!$C$34),"★ 401(k) reaches the $"&amp;TEXT('Inputs 2'!$C$34,"#,##0")&amp;" cap on this check — deferrals stop and net pay rises. ","")&amp;IF(AND($AG67&lt;'Methodology &amp; Sources'!$C$7,$AG68&gt;='Methodology &amp; Sources'!$C$7),"★ Wages pass $200,000 — the 0.9% Additional Medicare Tax starts here. ","")&amp;IF(AND($BJ68&gt;0,$H68&gt;0,$BG67&lt;MIN($BJ68,'Methodology &amp; Sources'!$C$13),$BG67+$H68&gt;=MIN($BJ68,'Methodology &amp; Sources'!$C$13)),"★ Health FSA election is now fully deferred for the year. ",""))</f>
      </c>
      <c r="AE68" s="41" t="n"/>
      <c r="AF68" s="7">
        <f>IF(OR($B68="",$AE68=""),"",$AE68-$Y68)</f>
      </c>
      <c r="AG68" s="7">
        <f>IF($B68="","",$AG67+$N68)</f>
      </c>
      <c r="AH68" s="7">
        <f>IF($B68="","",MAX(0,($M68-$D68)*'Inputs 2'!$C$8+$AP68-$AQ68-IF('Inputs 2'!$C$13,0,IF('Inputs 2'!$C$12="MFJ",'Methodology &amp; Sources'!$C$8,'Methodology &amp; Sources'!$C$9))))</f>
      </c>
      <c r="AI68" s="7">
        <f>IF($B68="","",$O68*'Inputs 2'!$C$8)</f>
      </c>
      <c r="AJ68" s="7">
        <f>IF($B68="","",MAX(0,$AI68-VLOOKUP($AN68,StateTables!$A$6:$AB$56,12,FALSE)*$AT68-IF(($AS68+$AT68)&gt;=2,VLOOKUP($AN68,StateTables!$A$6:$AB$56,8,FALSE),VLOOKUP($AN68,StateTables!$A$6:$AB$56,7,FALSE))))</f>
      </c>
      <c r="AK68" s="7">
        <f>IF($B68="","",IFERROR(LOOKUP(2,1/(('Events 2'!$C$6:$C$17="Salary change")*('Events 2'!$B$6:$B$17&lt;=$B68)*('Events 2'!$B$6:$B$17&lt;&gt;"")),'Events 2'!$D$6:$D$17),IF('Inputs 2'!$C$4="Annual salary",'Inputs 2'!$C$5,'Inputs 2'!$C$6)))</f>
      </c>
      <c r="AL68">
        <f>IF($B68="","",IFERROR(LOOKUP(2,1/(('Events 2'!$C$6:$C$17="401(k) change")*('Events 2'!$B$6:$B$17&lt;=$B68)*('Events 2'!$B$6:$B$17&lt;&gt;"")),'Events 2'!$D$6:$D$17),'Inputs 2'!$C$30))</f>
      </c>
      <c r="AM68" s="7">
        <f>IF($B68="","",IFERROR(LOOKUP(2,1/(('Events 2'!$C$6:$C$17="401(k) change")*('Events 2'!$B$6:$B$17&lt;=$B68)*('Events 2'!$B$6:$B$17&lt;&gt;"")),'Events 2'!$E$6:$E$17),'Inputs 2'!$D$30))</f>
      </c>
      <c r="AN68">
        <f>IF($B68="","",IFERROR(LOOKUP(2,1/(('Events 2'!$C$6:$C$17="State move")*('Events 2'!$B$6:$B$17&lt;=$B68)*('Events 2'!$B$6:$B$17&lt;&gt;"")),'Events 2'!$D$6:$D$17),'Inputs 2'!$C$21))</f>
      </c>
      <c r="AO68" s="7">
        <f>IF($B68="","",IFERROR(LOOKUP(2,1/(('Events 2'!$C$6:$C$17="W-4 change")*('Events 2'!$B$6:$B$17&lt;=$B68)*('Events 2'!$B$6:$B$17&lt;&gt;"")),'Events 2'!$D$6:$D$17),'Inputs 2'!$C$14))</f>
      </c>
      <c r="AP68" s="7">
        <f>IF($B68="","",IFERROR(LOOKUP(2,1/(('Events 2'!$C$6:$C$17="W-4 change")*('Events 2'!$B$6:$B$17&lt;=$B68)*('Events 2'!$B$6:$B$17&lt;&gt;"")),'Events 2'!$E$6:$E$17),'Inputs 2'!$C$15))</f>
      </c>
      <c r="AQ68" s="7">
        <f>IF($B68="","",IFERROR(LOOKUP(2,1/(('Events 2'!$C$6:$C$17="W-4 change")*('Events 2'!$B$6:$B$17&lt;=$B68)*('Events 2'!$B$6:$B$17&lt;&gt;"")),'Events 2'!$F$6:$F$17),'Inputs 2'!$C$16))</f>
      </c>
      <c r="AR68" s="7">
        <f>IF($B68="","",IFERROR(LOOKUP(2,1/(('Events 2'!$C$6:$C$17="W-4 change")*('Events 2'!$B$6:$B$17&lt;=$B68)*('Events 2'!$B$6:$B$17&lt;&gt;"")),'Events 2'!$G$6:$G$17),'Inputs 2'!$C$17))</f>
      </c>
      <c r="AS68" s="6">
        <f>IF($B68="","",IFERROR(LOOKUP(2,1/((('Events 2'!$C$6:$C$17="State move")+('Events 2'!$C$6:$C$17="State cert change"))*('Events 2'!$B$6:$B$17&lt;=$B68)*('Events 2'!$B$6:$B$17&lt;&gt;"")),'Events 2'!$F$6:$F$17),'Inputs 2'!$C$23))</f>
      </c>
      <c r="AT68" s="6">
        <f>IF($B68="","",IFERROR(LOOKUP(2,1/((('Events 2'!$C$6:$C$17="State move")+('Events 2'!$C$6:$C$17="State cert change"))*('Events 2'!$B$6:$B$17&lt;=$B68)*('Events 2'!$B$6:$B$17&lt;&gt;"")),'Events 2'!$G$6:$G$17),'Inputs 2'!$C$24))</f>
      </c>
      <c r="AU68">
        <f>IF($B68="","",IFERROR(LOOKUP(2,1/(('Events 2'!$C$6:$C$17="State move")*('Events 2'!$B$6:$B$17&lt;=$B68)*('Events 2'!$B$6:$B$17&lt;&gt;"")),'Events 2'!$E$6:$E$17),'Inputs 2'!$C$22))</f>
      </c>
      <c r="AV68" s="6">
        <f>IF($B68="","",1+COUNTIFS('Events 2'!$C$6:$C$17,"Employer change",'Events 2'!$B$6:$B$17,"&lt;="&amp;$B68,'Events 2'!$B$6:$B$17,"&lt;&gt;"))</f>
      </c>
      <c r="AW68" s="7">
        <f>IF($B68="","",IF($AV68=1,'Inputs 2'!$C$49,IF(IFERROR(MATCH(IFERROR(LOOKUP(2,1/(('Events 2'!$C$6:$C$17="Employer change")*('Events 2'!$B$6:$B$17&lt;=$B68)*('Events 2'!$B$6:$B$17&lt;&gt;"")),'Events 2'!$B$6:$B$17),""),$B$6:$B$68,1),1)&lt;=1,'Inputs 2'!$C$49,INDEX($AB$6:$AB$68,MATCH(IFERROR(LOOKUP(2,1/(('Events 2'!$C$6:$C$17="Employer change")*('Events 2'!$B$6:$B$17&lt;=$B68)*('Events 2'!$B$6:$B$17&lt;&gt;"")),'Events 2'!$B$6:$B$17),""),$B$6:$B$68,1)-1))))</f>
      </c>
      <c r="AX68" s="7">
        <f>IF($B68="","",IF($AV68=1,'Inputs 2'!$C$49,IFERROR(LOOKUP(2,1/(('Events 2'!$C$6:$C$17="Employer change")*('Events 2'!$B$6:$B$17&lt;=$B68)*('Events 2'!$B$6:$B$17&lt;&gt;"")),'Events 2'!$D$6:$D$17),0)))</f>
      </c>
      <c r="AY68" s="7">
        <f>IF($B68="","",($O68-$D68)*'Inputs 2'!$C$8)</f>
      </c>
      <c r="AZ68" s="7">
        <f>IF($B68="","",IF($AN68="AL",MAX(0,$AY68-IF($AU68="Married",IF($AY68&lt;=25999,8500,MAX(5000,8500-175*CEILING(($AY68-25999)/500,1))),IF($AU68="Head of household",IF($AY68&lt;=25999,5200,MAX(2500,5200-135*CEILING(($AY68-25999)/500,1))),IF($AY68&lt;=25999,3000,MAX(2500,3000-25*CEILING(($AY68-25999)/500,1)))))-($P68-'Methodology &amp; Sources'!$C$10*$D68)*'Inputs 2'!$C$8-IF(OR($AU68="Married",$AU68="Head of household"),3000,1500)-$AT68*IF($AY68&lt;=50000,1000,IF($AY68&lt;=100000,500,300))),IF($AN68="AR",IF(MAX(0,$AY68-2470)&lt;97701,INT(MAX(0,$AY68-2470)/100)*100+50,MAX(0,$AY68-2470)),IF($AN68="DE",MAX(0,$AI68-3250),IF($AN68="HI",MAX(0,$AI68-1144*$AS68-4350),IF($AN68="KS",MAX(0,$AI68-(9160*IF($AU68="Married",2,1)+2320*$AT68+IF($AU68="Head of household",2320,0))),IF($AN68="MD",MAX(0,$AI68-3400-3200*$AS68),IF($AN68="MN",MAX(0,$AY68-5300*$AS68),IF($AN68="MO",MAX(0,$AI68-IF($AU68="Head of household",24150,IF($AU68="Married",IF('Inputs 2'!$C$83,16100,32200),16100))),IF($AN68="MT",$AY68,IF($AN68="ND",($C68+$L68)*'Inputs 2'!$C$8,IF($AN68="NE",MAX(0,$AY68-2440*$AS68),IF($AN68="NJ",MAX(0,$AY68-1000*$AS68),IF($AN68="NY",MAX(0,$AY68-(IF($AU68="Married",7950,7400)+1000*$AS68)),IF($AN68="OH",MAX(0,$AY68-650*$AS68),IF($AN68="OK",MAX(0,$AY68-1000*$AS68),IF($AN68="RI",MAX(0,$AI68-1000*$AS68),IF($AN68="SC",MAX(0,$AI68-5000*$AS68-IF($AS68=0,0,MIN(0.1*$AI68,7500))),IF($AN68="VA",MAX(0,$AI68-IF($AU68="Married",17500,8750)-930*$AS68-800*$AT68),IF($AN68="VT",MAX(0,$AI68-5400*$AS68),IF($AN68="WI",MAX(0,$AI68-MAX(0,IF($AU68="Married",9461-0.2*MAX(0,$AI68-25727),6702-0.12*MAX(0,$AI68-17780)))-400*$AS68),IF($AN68="WV",MAX(0,$AI68-2000*$AS68),$AI68))))))))))))))))))))))</f>
      </c>
      <c r="BA68" s="7">
        <f>IF($B68="","",IF($BW68&lt;&gt;"",$BW68,IF($BX68&lt;&gt;"",$BX68,IF($BY68&lt;&gt;"",$BY68,0))))</f>
      </c>
      <c r="BB68" s="7">
        <f>IF($B68="","",IF($AN68="AR",-29*$AS68,IF($AN68="DE",-110*$AS68,IF($AN68="MD",$AZ68*'Inputs 2'!$C$74,IF($AN68="AZ",'Inputs 2'!$C$82*($M68-$D68)*'Inputs 2'!$C$8,IF($AN68="CO",0.044*MAX(0,$AY68-IF($AU68="Married",10000,5000)),IF($AN68="IA",MAX(0,0.038*MAX(0,$AY68-IF($AU68="Head of household",19500,IF($AU68="Married",26000,13000)))-40*$AS68),IF($AN68="ID",0.053*MAX(0,$AY68-IF($AU68="Married",32000,16094)),IF($AN68="IL",0.0495*MAX(0,$AY68-(2925*$AS68+1000*$AT68)),IF($AN68="IN",(0.0295+'Inputs 2'!$C$76)*MAX(0,$AY68-(1000*$AS68+1500*$AT68+3000*'Inputs 2'!$C$86)),IF($AN68="KY",0.035*MAX(0,$AI68-3360),IF($AN68="LA",IF('Inputs 2'!$C$84="0",0.0309*$AI68,0.0309*MAX(0,$AI68-IF('Inputs 2'!$C$84="2",25750,12875))),IF($AN68="MA",0.05*MIN(MAX(0,$AY68-MIN(($BD67+$Q68+$R68+$S68),2000)-IF($AS68=0,0,IF($AS68=1,4400,1000*$AS68+3400))),1107750)+0.09*MAX(0,MAX(0,$AY68-MIN(($BD67+$Q68+$R68+$S68),2000)-IF($AS68=0,0,IF($AS68=1,4400,1000*$AS68+3400)))-1107750)-IF($AU68="Head of household",120,0)-110*'Inputs 2'!$C$75,IF($AN68="MI",0.0425*MAX(0,$AY68-5900*$AS68),IF($AN68="MS",0.04*MAX(0,$AI68-IF($AU68="Head of household",3400,IF($AU68="Married",4600,2300))-'Inputs 2'!$C$85-10000),IF($AN68="OR",IF(OR($AU68="Married",AND($AU68="Single",$AS68&gt;=3)),SUMPRODUCT((MAX(0,$AY68-MIN(($P68-'Methodology &amp; Sources'!$C$10*$D68)*'Inputs 2'!$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Sources'!$B$211:$J$214,0,4))*(MAX(0,$AY68-MIN(($P68-'Methodology &amp; Sources'!$C$10*$D68)*'Inputs 2'!$C$8,IF(OR($AU68="Married",AND($AU68="Single",$AS68&gt;=3)),IF($AY68&lt;250000,8750,IF($AY68&lt;260000,7000,IF($AY68&lt;270000,5250,IF($AY68&lt;280000,3500,IF($AY68&lt;290000,1750,0))))),IF($AY68&lt;125000,8750,IF($AY68&lt;130000,7000,IF($AY68&lt;135000,5250,IF($AY68&lt;140000,3500,IF($AY68&lt;145000,1750,0)))))))-IF(OR($AU68="Married",AND($AU68="Single",$AS68&gt;=3)),5820,2910))-INDEX('Methodology &amp; Sources'!$B$211:$J$214,0,4))*INDEX('Methodology &amp; Sources'!$B$211:$J$214,0,4+2)),SUMPRODUCT((MAX(0,$AY68-MIN(($P68-'Methodology &amp; Sources'!$C$10*$D68)*'Inputs 2'!$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Sources'!$B$211:$J$214,0,1))*(MAX(0,$AY68-MIN(($P68-'Methodology &amp; Sources'!$C$10*$D68)*'Inputs 2'!$C$8,IF(OR($AU68="Married",AND($AU68="Single",$AS68&gt;=3)),IF($AY68&lt;250000,8750,IF($AY68&lt;260000,7000,IF($AY68&lt;270000,5250,IF($AY68&lt;280000,3500,IF($AY68&lt;290000,1750,0))))),IF($AY68&lt;125000,8750,IF($AY68&lt;130000,7000,IF($AY68&lt;135000,5250,IF($AY68&lt;140000,3500,IF($AY68&lt;145000,1750,0)))))))-IF(OR($AU68="Married",AND($AU68="Single",$AS68&gt;=3)),5820,2910))-INDEX('Methodology &amp; Sources'!$B$211:$J$214,0,1))*INDEX('Methodology &amp; Sources'!$B$211:$J$214,0,1+2)))+263-263*IF(IF($AU68="Married",$AY68&gt;200000,$AY68&gt;100000),0,$AS68),IF($AN68="PA",0.0307*(($O68+$E68+$G68)*'Inputs 2'!$C$8),IF($AN68="NY",IF($AU68="Married",IF($AZ68&gt;=2155350,0,IF($AZ68&gt;=1077550,0.48,IF($AZ68&gt;=373200,1.21,IF($AZ68&gt;=323200,0.21,IF($AZ68&gt;=211550,-0.19,IF($AZ68&gt;=157650,-2.8,IF($AZ68&gt;=107650,-0.8,IF($AZ68&gt;=96800,0.05,IF($AZ68&gt;=80650,-0.1,IF($AZ68&gt;=13900,0.4,IF($AZ68&gt;=11700,-0.3,IF($AZ68&gt;=8500,0.5,0)))))))))))),IF($AZ68&gt;=1077550,0,IF($AZ68&gt;=265400,4.29,IF($AZ68&gt;=215400,2.29,IF($AZ68&gt;=157650,2.29,IF($AZ68&gt;=107650,0.29,IF($AZ68&gt;=96800,0.05,IF($AZ68&gt;=80650,-0.1,IF($AZ68&gt;=13900,0.4,IF($AZ68&gt;=11700,-0.3,IF($AZ68&gt;=8500,0.5,0))))))))))),0))))))))))))))))))</f>
      </c>
      <c r="BC68" s="7">
        <f>IF($B68="","",IF($AN68="AL",0.05*$D68,IF($AN68="AR",0.039*$D68,IF($AN68="ID",0.053*$D68,IF($AN68="IN",(0.0295+'Inputs 2'!$C$76)*$D68,IF($AN68="KS",0.05*$D68,IF($AN68="MA",0.09*MIN($D68,MAX(0,MAX(0,$AY68-MIN(($BD67+$Q68+$R68+$S68),2000)-IF($AS68=0,0,IF($AS68=1,4400,1000*$AS68+3400)))+$D68-1107750))+0.05*($D68-MIN($D68,MAX(0,MAX(0,$AY68-MIN(($BD67+$Q68+$R68+$S68),2000)-IF($AS68=0,0,IF($AS68=1,4400,1000*$AS68+3400)))+$D68-1107750))),IF($AN68="MD",(0.065+'Inputs 2'!$C$74)*$D68,IF($AN68="MI",0.0425*$D68,IF($AN68="MN",0.0625*$D68,IF($AN68="MO",0.047*$D68,IF($AN68="MT",0.05*$D68,IF($AN68="ND",0.015*$D68,IF($AN68="NE",0.035*$D68,IF($AN68="NJ",IF('Inputs 2'!$C$77="B",SUMPRODUCT(($D68*'Inputs 2'!$C$8&gt;INDEX('Methodology &amp; Sources'!$B$155:$J$162,0,4))*($D68*'Inputs 2'!$C$8-INDEX('Methodology &amp; Sources'!$B$155:$J$162,0,4))*INDEX('Methodology &amp; Sources'!$B$155:$J$162,0,4+2)),IF('Inputs 2'!$C$77="C",SUMPRODUCT(($D68*'Inputs 2'!$C$8&gt;INDEX('Methodology &amp; Sources'!$B$155:$J$162,0,7))*($D68*'Inputs 2'!$C$8-INDEX('Methodology &amp; Sources'!$B$155:$J$162,0,7))*INDEX('Methodology &amp; Sources'!$B$155:$J$162,0,7+2)),IF('Inputs 2'!$C$77="D",SUMPRODUCT(($D68*'Inputs 2'!$C$8&gt;INDEX('Methodology &amp; Sources'!$B$167:$J$179,0,1))*($D68*'Inputs 2'!$C$8-INDEX('Methodology &amp; Sources'!$B$167:$J$179,0,1))*INDEX('Methodology &amp; Sources'!$B$167:$J$179,0,1+2)),IF('Inputs 2'!$C$77="E",SUMPRODUCT(($D68*'Inputs 2'!$C$8&gt;INDEX('Methodology &amp; Sources'!$B$167:$J$179,0,4))*($D68*'Inputs 2'!$C$8-INDEX('Methodology &amp; Sources'!$B$167:$J$179,0,4))*INDEX('Methodology &amp; Sources'!$B$167:$J$179,0,4+2)),SUMPRODUCT(($D68*'Inputs 2'!$C$8&gt;INDEX('Methodology &amp; Sources'!$B$155:$J$162,0,1))*($D68*'Inputs 2'!$C$8-INDEX('Methodology &amp; Sources'!$B$155:$J$162,0,1))*INDEX('Methodology &amp; Sources'!$B$155:$J$162,0,1+2))))))/'Inputs 2'!$C$8,IF($AN68="NY",0.117*$D68,IF($AN68="OH",0.0275*$D68,IF($AN68="OK",0.045*$D68,IF($AN68="OR",0.08*$D68,IF($AN68="WI",IF($AY68&lt;12760,0.0354,IF($AY68&lt;25520,0.0465,IF($AY68&lt;280950,0.053,0.0765)))*$D68,0))))))))))))))))))))</f>
      </c>
      <c r="BD68" s="7">
        <f>IF($B68="","",$BD67+$Q68+$R68+$S68)</f>
      </c>
      <c r="BE68" s="6">
        <f>IF($B68="",$BE67,$BE67+$BF68)</f>
      </c>
      <c r="BF68" s="6">
        <f>IF($B68="","",IF(AND(IF(YEAR(IF('Inputs 2'!$C$7="Weekly",'Inputs 2'!$C$9+7*(($BE67+1)-1),IF('Inputs 2'!$C$7="Biweekly",'Inputs 2'!$C$9+14*(($BE67+1)-1),IF('Inputs 2'!$C$7="Semimonthly",DATE(YEAR('Inputs 2'!$C$9),MONTH('Inputs 2'!$C$9)+INT((($BE67+1)-1)/2),MIN(DAY('Inputs 2'!$C$9),DAY(EOMONTH(DATE(YEAR('Inputs 2'!$C$9),MONTH('Inputs 2'!$C$9)+INT((($BE67+1)-1)/2),1),0))))+IF(MOD(($BE67+1)-1,2)=1,15,0),EDATE('Inputs 2'!$C$9,($BE67+1)-1)))))&lt;&gt;'Inputs 2'!$C$10,"",IF('Inputs 2'!$C$7="Weekly",'Inputs 2'!$C$9+7*(($BE67+1)-1),IF('Inputs 2'!$C$7="Biweekly",'Inputs 2'!$C$9+14*(($BE67+1)-1),IF('Inputs 2'!$C$7="Semimonthly",DATE(YEAR('Inputs 2'!$C$9),MONTH('Inputs 2'!$C$9)+INT((($BE67+1)-1)/2),MIN(DAY('Inputs 2'!$C$9),DAY(EOMONTH(DATE(YEAR('Inputs 2'!$C$9),MONTH('Inputs 2'!$C$9)+INT((($BE67+1)-1)/2),1),0))))+IF(MOD(($BE67+1)-1,2)=1,15,0),EDATE('Inputs 2'!$C$9,($BE67+1)-1)))))&lt;&gt;"",$B68=IF(YEAR(IF('Inputs 2'!$C$7="Weekly",'Inputs 2'!$C$9+7*(($BE67+1)-1),IF('Inputs 2'!$C$7="Biweekly",'Inputs 2'!$C$9+14*(($BE67+1)-1),IF('Inputs 2'!$C$7="Semimonthly",DATE(YEAR('Inputs 2'!$C$9),MONTH('Inputs 2'!$C$9)+INT((($BE67+1)-1)/2),MIN(DAY('Inputs 2'!$C$9),DAY(EOMONTH(DATE(YEAR('Inputs 2'!$C$9),MONTH('Inputs 2'!$C$9)+INT((($BE67+1)-1)/2),1),0))))+IF(MOD(($BE67+1)-1,2)=1,15,0),EDATE('Inputs 2'!$C$9,($BE67+1)-1)))))&lt;&gt;'Inputs 2'!$C$10,"",IF('Inputs 2'!$C$7="Weekly",'Inputs 2'!$C$9+7*(($BE67+1)-1),IF('Inputs 2'!$C$7="Biweekly",'Inputs 2'!$C$9+14*(($BE67+1)-1),IF('Inputs 2'!$C$7="Semimonthly",DATE(YEAR('Inputs 2'!$C$9),MONTH('Inputs 2'!$C$9)+INT((($BE67+1)-1)/2),MIN(DAY('Inputs 2'!$C$9),DAY(EOMONTH(DATE(YEAR('Inputs 2'!$C$9),MONTH('Inputs 2'!$C$9)+INT((($BE67+1)-1)/2),1),0))))+IF(MOD(($BE67+1)-1,2)=1,15,0),EDATE('Inputs 2'!$C$9,($BE67+1)-1)))))),1,0))</f>
      </c>
      <c r="BG68" s="7">
        <f>IF($B68="","",$BG67+$H68)</f>
      </c>
      <c r="BH68" s="7">
        <f>IF($B68="","",$BH67+$I68)</f>
      </c>
      <c r="BI68" s="7">
        <f>IF($B68="","",$BI67+$G68)</f>
      </c>
      <c r="BJ68" s="7">
        <f>IF($B68="","",IFERROR(LOOKUP(2,1/(((('Events 2'!$C$6:$C$17="Deduction start"))*('Events 2'!$D$6:$D$17="Health FSA"))*('Events 2'!$B$6:$B$17&lt;=$B68)*('Events 2'!$B$6:$B$17&lt;&gt;"")),'Events 2'!$E$6:$E$17),'Inputs 2'!$D$38))</f>
      </c>
      <c r="BK68" s="7">
        <f>IF($B68="","",IFERROR(LOOKUP(2,1/(((('Events 2'!$C$6:$C$17="Deduction start"))*('Events 2'!$D$6:$D$17="Dependent-care FSA"))*('Events 2'!$B$6:$B$17&lt;=$B68)*('Events 2'!$B$6:$B$17&lt;&gt;"")),'Events 2'!$E$6:$E$17),'Inputs 2'!$D$39))</f>
      </c>
      <c r="BL68" s="7">
        <f>IF($B68="","",IFERROR(LOOKUP(2,1/(((('Events 2'!$C$6:$C$17="Deduction start")+('Events 2'!$C$6:$C$17="Deduction stop"))*('Events 2'!$D$6:$D$17="HSA"))*('Events 2'!$B$6:$B$17&lt;=$B68)*('Events 2'!$B$6:$B$17&lt;&gt;"")),'Events 2'!$I$6:$I$17),'Inputs 2'!$D$35))</f>
      </c>
      <c r="BM68" s="7">
        <f>IF($B68="","",IFERROR(LOOKUP(2,1/(((('Events 2'!$C$6:$C$17="Deduction start")+('Events 2'!$C$6:$C$17="Deduction stop"))*('Events 2'!$D$6:$D$17="Premiums"))*('Events 2'!$B$6:$B$17&lt;=$B68)*('Events 2'!$B$6:$B$17&lt;&gt;"")),'Events 2'!$I$6:$I$17),'Inputs 2'!$D$40+'Inputs 2'!$D$41+'Inputs 2'!$D$42))</f>
      </c>
      <c r="BN68" s="7">
        <f>IF($B68="","",IFERROR(LOOKUP(2,1/(((('Events 2'!$C$6:$C$17="Deduction start")+('Events 2'!$C$6:$C$17="Deduction stop"))*('Events 2'!$D$6:$D$17="Commuter"))*('Events 2'!$B$6:$B$17&lt;=$B68)*('Events 2'!$B$6:$B$17&lt;&gt;"")),'Events 2'!$I$6:$I$17),'Inputs 2'!$D$43))</f>
      </c>
      <c r="BO68" s="7">
        <f>IF($B68="","",IFERROR(LOOKUP(2,1/(((('Events 2'!$C$6:$C$17="Deduction start")+('Events 2'!$C$6:$C$17="Deduction stop"))*('Events 2'!$D$6:$D$17="Other pre-tax"))*('Events 2'!$B$6:$B$17&lt;=$B68)*('Events 2'!$B$6:$B$17&lt;&gt;"")),'Events 2'!$I$6:$I$17),'Inputs 2'!$D$44))</f>
      </c>
      <c r="BP68" s="7">
        <f>IF($B68="","",IFERROR(LOOKUP(2,1/(((('Events 2'!$C$6:$C$17="Deduction start")+('Events 2'!$C$6:$C$17="Deduction stop"))*('Events 2'!$D$6:$D$17="Other post-tax"))*('Events 2'!$B$6:$B$17&lt;=$B68)*('Events 2'!$B$6:$B$17&lt;&gt;"")),'Events 2'!$I$6:$I$17),'Inputs 2'!$D$45))</f>
      </c>
      <c r="BQ68" s="6">
        <f>IF($B68="","",IFERROR(LOOKUP(2,1/(((('Events 2'!$C$6:$C$17="Deduction start")+('Events 2'!$C$6:$C$17="Deduction stop"))*('Events 2'!$D$6:$D$17="Health FSA"))*('Events 2'!$B$6:$B$17&lt;=$B68)*('Events 2'!$B$6:$B$17&lt;&gt;"")),'Events 2'!$J$6:$J$17),0))</f>
      </c>
      <c r="BR68" s="6">
        <f>IF($B68="","",IFERROR(LOOKUP(2,1/(((('Events 2'!$C$6:$C$17="Deduction start")+('Events 2'!$C$6:$C$17="Deduction stop"))*('Events 2'!$D$6:$D$17="Dependent-care FSA"))*('Events 2'!$B$6:$B$17&lt;=$B68)*('Events 2'!$B$6:$B$17&lt;&gt;"")),'Events 2'!$J$6:$J$17),0))</f>
      </c>
      <c r="BS68" s="6">
        <f>IF($B68="","",IF(SUMPRODUCT(('Events 2'!$C$6:$C$17="Deduction start")*('Events 2'!$B$6:$B$17&lt;=$B68)*('Events 2'!$B$6:$B$17&lt;&gt;"")*('Events 2'!$D$6:$D$17="Health FSA"))&gt;0,1,0))</f>
      </c>
      <c r="BT68" s="6">
        <f>IF($B68="","",IF(SUMPRODUCT(('Events 2'!$C$6:$C$17="Deduction start")*('Events 2'!$B$6:$B$17&lt;=$B68)*('Events 2'!$B$6:$B$17&lt;&gt;"")*('Events 2'!$D$6:$D$17="Dependent-care FSA"))&gt;0,1,0))</f>
      </c>
      <c r="BU68" s="24">
        <f>IF($B68="","",IF('Inputs 2'!$C$13,SUMPRODUCT(($AH68&gt;=INDEX('Methodology &amp; Sources'!$B$29:$J$36,0,IF('Inputs 2'!$C$12="MFJ",1,IF('Inputs 2'!$C$12="HoH",7,4))))*INDEX('Methodology &amp; Sources'!$B$29:$J$36,0,IF('Inputs 2'!$C$12="MFJ",1,IF('Inputs 2'!$C$12="HoH",7,4))+2)),SUMPRODUCT(($AH68&gt;=INDEX('Methodology &amp; Sources'!$B$19:$J$26,0,IF('Inputs 2'!$C$12="MFJ",1,IF('Inputs 2'!$C$12="HoH",7,4))))*INDEX('Methodology &amp; Sources'!$B$19:$J$26,0,IF('Inputs 2'!$C$12="MFJ",1,IF('Inputs 2'!$C$12="HoH",7,4))+2))))</f>
      </c>
      <c r="BV68" s="24">
        <f>IF($B68="","",IF($BZ68&lt;&gt;"",$BZ68,IF($CA68&lt;&gt;"",$CA68,IF($CB68&lt;&gt;"",$CB68,IF($CC68&lt;&gt;"",$CC68,0)))))</f>
      </c>
      <c r="BW68" s="7">
        <f>IF($B68="","",IF($AN68="MD",IF(OR($AU68="Married",$AU68="Head of household"),SUMPRODUCT(($AZ68&gt;INDEX('Methodology &amp; Sources'!$B$114:$J$120,0,1))*($AZ68-INDEX('Methodology &amp; Sources'!$B$114:$J$120,0,1))*INDEX('Methodology &amp; Sources'!$B$114:$J$120,0,1+2)),SUMPRODUCT(($AZ68&gt;INDEX('Methodology &amp; Sources'!$B$103:$J$109,0,7))*($AZ68-INDEX('Methodology &amp; Sources'!$B$103:$J$109,0,7))*INDEX('Methodology &amp; Sources'!$B$103:$J$109,0,7+2))),IF($AN68="MO",SUMPRODUCT(($AZ68&gt;INDEX('Methodology &amp; Sources'!$B$125:$J$132,0,1))*($AZ68-INDEX('Methodology &amp; Sources'!$B$125:$J$132,0,1))*INDEX('Methodology &amp; Sources'!$B$125:$J$132,0,1+2)),IF($AN68="MT",IF($AU68="Head of household",SUMPRODUCT(($AZ68&gt;INDEX('Methodology &amp; Sources'!$B$137:$J$139,0,1))*($AZ68-INDEX('Methodology &amp; Sources'!$B$137:$J$139,0,1))*INDEX('Methodology &amp; Sources'!$B$137:$J$139,0,1+2)),IF($AU68="Married",SUMPRODUCT(($AZ68&gt;INDEX('Methodology &amp; Sources'!$B$125:$J$132,0,7))*($AZ68-INDEX('Methodology &amp; Sources'!$B$125:$J$132,0,7))*INDEX('Methodology &amp; Sources'!$B$125:$J$132,0,7+2)),SUMPRODUCT(($AZ68&gt;INDEX('Methodology &amp; Sources'!$B$125:$J$132,0,4))*($AZ68-INDEX('Methodology &amp; Sources'!$B$125:$J$132,0,4))*INDEX('Methodology &amp; Sources'!$B$125:$J$132,0,4+2)))),IF($AN68="ND",IF($AU68="Head of household",SUMPRODUCT(($AZ68&gt;INDEX('Methodology &amp; Sources'!$B$144:$J$150,0,1))*($AZ68-INDEX('Methodology &amp; Sources'!$B$144:$J$150,0,1))*INDEX('Methodology &amp; Sources'!$B$144:$J$150,0,1+2)),IF($AU68="Married",SUMPRODUCT(($AZ68&gt;INDEX('Methodology &amp; Sources'!$B$137:$J$139,0,7))*($AZ68-INDEX('Methodology &amp; Sources'!$B$137:$J$139,0,7))*INDEX('Methodology &amp; Sources'!$B$137:$J$139,0,7+2)),SUMPRODUCT(($AZ68&gt;INDEX('Methodology &amp; Sources'!$B$137:$J$139,0,4))*($AZ68-INDEX('Methodology &amp; Sources'!$B$137:$J$139,0,4))*INDEX('Methodology &amp; Sources'!$B$137:$J$139,0,4+2)))),IF($AN68="NJ",IF('Inputs 2'!$C$77="B",SUMPRODUCT(($AZ68&gt;INDEX('Methodology &amp; Sources'!$B$155:$J$162,0,4))*($AZ68-INDEX('Methodology &amp; Sources'!$B$155:$J$162,0,4))*INDEX('Methodology &amp; Sources'!$B$155:$J$162,0,4+2)),IF('Inputs 2'!$C$77="C",SUMPRODUCT(($AZ68&gt;INDEX('Methodology &amp; Sources'!$B$155:$J$162,0,7))*($AZ68-INDEX('Methodology &amp; Sources'!$B$155:$J$162,0,7))*INDEX('Methodology &amp; Sources'!$B$155:$J$162,0,7+2)),IF('Inputs 2'!$C$77="D",SUMPRODUCT(($AZ68&gt;INDEX('Methodology &amp; Sources'!$B$167:$J$179,0,1))*($AZ68-INDEX('Methodology &amp; Sources'!$B$167:$J$179,0,1))*INDEX('Methodology &amp; Sources'!$B$167:$J$179,0,1+2)),IF('Inputs 2'!$C$77="E",SUMPRODUCT(($AZ68&gt;INDEX('Methodology &amp; Sources'!$B$167:$J$179,0,4))*($AZ68-INDEX('Methodology &amp; Sources'!$B$167:$J$179,0,4))*INDEX('Methodology &amp; Sources'!$B$167:$J$179,0,4+2)),SUMPRODUCT(($AZ68&gt;INDEX('Methodology &amp; Sources'!$B$155:$J$162,0,1))*($AZ68-INDEX('Methodology &amp; Sources'!$B$155:$J$162,0,1))*INDEX('Methodology &amp; Sources'!$B$155:$J$162,0,1+2)))))),IF($AN68="NY",IF($AU68="Married",IF($AZ68&gt;=2155350,$AZ68*IF($AZ68&gt;25000000,0.117,IF($AZ68&gt;5000000,0.111,0.1045)),SUMPRODUCT(($AZ68&gt;INDEX('Methodology &amp; Sources'!$B$184:$J$198,0,1))*($AZ68-INDEX('Methodology &amp; Sources'!$B$184:$J$198,0,1))*INDEX('Methodology &amp; Sources'!$B$184:$J$198,0,1+2))),IF($AZ68&gt;=1077550,$AZ68*IF($AZ68&gt;25000000,0.117,IF($AZ68&gt;5000000,0.111,0.1045)),SUMPRODUCT(($AZ68&gt;INDEX('Methodology &amp; Sources'!$B$167:$J$179,0,7))*($AZ68-INDEX('Methodology &amp; Sources'!$B$167:$J$179,0,7))*INDEX('Methodology &amp; Sources'!$B$167:$J$179,0,7+2)))),"")))))))</f>
      </c>
      <c r="BX68" s="7">
        <f>IF($B68="","",IF($AN68="AL",IF(OR($AU68="Married",$AU68="Head of household"),SUMPRODUCT(($AZ68&gt;INDEX('Methodology &amp; Sources'!$B$82:$J$86,0,4))*($AZ68-INDEX('Methodology &amp; Sources'!$B$82:$J$86,0,4))*INDEX('Methodology &amp; Sources'!$B$82:$J$86,0,4+2)),SUMPRODUCT(($AZ68&gt;INDEX('Methodology &amp; Sources'!$B$82:$J$86,0,1))*($AZ68-INDEX('Methodology &amp; Sources'!$B$82:$J$86,0,1))*INDEX('Methodology &amp; Sources'!$B$82:$J$86,0,1+2))),IF($AN68="KS",IF($AU68="Married",SUMPRODUCT(($AZ68&gt;INDEX('Methodology &amp; Sources'!$B$103:$J$109,0,4))*($AZ68-INDEX('Methodology &amp; Sources'!$B$103:$J$109,0,4))*INDEX('Methodology &amp; Sources'!$B$103:$J$109,0,4+2)),SUMPRODUCT(($AZ68&gt;INDEX('Methodology &amp; Sources'!$B$103:$J$109,0,1))*($AZ68-INDEX('Methodology &amp; Sources'!$B$103:$J$109,0,1))*INDEX('Methodology &amp; Sources'!$B$103:$J$109,0,1+2))),IF($AN68="MN",IF($AU68="Married",SUMPRODUCT(($AZ68&gt;INDEX('Methodology &amp; Sources'!$B$114:$J$120,0,7))*($AZ68-INDEX('Methodology &amp; Sources'!$B$114:$J$120,0,7))*INDEX('Methodology &amp; Sources'!$B$114:$J$120,0,7+2)),SUMPRODUCT(($AZ68&gt;INDEX('Methodology &amp; Sources'!$B$114:$J$120,0,4))*($AZ68-INDEX('Methodology &amp; Sources'!$B$114:$J$120,0,4))*INDEX('Methodology &amp; Sources'!$B$114:$J$120,0,4+2))),IF($AN68="NE",MAX(IF($AU68="Married",SUMPRODUCT(($AZ68&gt;INDEX('Methodology &amp; Sources'!$B$144:$J$150,0,7))*($AZ68-INDEX('Methodology &amp; Sources'!$B$144:$J$150,0,7))*INDEX('Methodology &amp; Sources'!$B$144:$J$150,0,7+2)),SUMPRODUCT(($AZ68&gt;INDEX('Methodology &amp; Sources'!$B$144:$J$150,0,4))*($AZ68-INDEX('Methodology &amp; Sources'!$B$144:$J$150,0,4))*INDEX('Methodology &amp; Sources'!$B$144:$J$150,0,4+2))),0.015*$AZ68),IF($AN68="OH",IF($B68&gt;=DATE(2027,8,1),SUMPRODUCT(($AZ68&gt;INDEX('Methodology &amp; Sources'!$B$203:$J$206,0,1))*($AZ68-INDEX('Methodology &amp; Sources'!$B$203:$J$206,0,1))*INDEX('Methodology &amp; Sources'!$B$203:$J$206,0,1+2)),SUMPRODUCT(($AZ68&gt;INDEX('Methodology &amp; Sources'!$B$184:$J$198,0,7))*($AZ68-INDEX('Methodology &amp; Sources'!$B$184:$J$198,0,7))*INDEX('Methodology &amp; Sources'!$B$184:$J$198,0,7+2))),IF($AN68="OK",IF($AU68="Married",SUMPRODUCT(($AZ68&gt;INDEX('Methodology &amp; Sources'!$B$203:$J$206,0,7))*($AZ68-INDEX('Methodology &amp; Sources'!$B$203:$J$206,0,7))*INDEX('Methodology &amp; Sources'!$B$203:$J$206,0,7+2)),SUMPRODUCT(($AZ68&gt;INDEX('Methodology &amp; Sources'!$B$203:$J$206,0,4))*($AZ68-INDEX('Methodology &amp; Sources'!$B$203:$J$206,0,4))*INDEX('Methodology &amp; Sources'!$B$203:$J$206,0,4+2))),IF($AN68="RI",SUMPRODUCT(($AZ68&gt;INDEX('Methodology &amp; Sources'!$B$211:$J$214,0,7))*($AZ68-INDEX('Methodology &amp; Sources'!$B$211:$J$214,0,7))*INDEX('Methodology &amp; Sources'!$B$211:$J$214,0,7+2)),IF($AN68="VT",IF($AU68="Married",SUMPRODUCT(($AZ68&gt;INDEX('Methodology &amp; Sources'!$B$228:$J$232,0,1))*($AZ68-INDEX('Methodology &amp; Sources'!$B$228:$J$232,0,1))*INDEX('Methodology &amp; Sources'!$B$228:$J$232,0,1+2)),SUMPRODUCT(($AZ68&gt;INDEX('Methodology &amp; Sources'!$B$219:$J$223,0,7))*($AZ68-INDEX('Methodology &amp; Sources'!$B$219:$J$223,0,7))*INDEX('Methodology &amp; Sources'!$B$219:$J$223,0,7+2))),IF($AN68="WV",IF($AU68="Married",SUMPRODUCT(($AZ68&gt;INDEX('Methodology &amp; Sources'!$B$237:$J$241,0,7))*($AZ68-INDEX('Methodology &amp; Sources'!$B$237:$J$241,0,7))*INDEX('Methodology &amp; Sources'!$B$237:$J$241,0,7+2)),SUMPRODUCT(($AZ68&gt;INDEX('Methodology &amp; Sources'!$B$228:$J$232,0,7))*($AZ68-INDEX('Methodology &amp; Sources'!$B$228:$J$232,0,7))*INDEX('Methodology &amp; Sources'!$B$228:$J$232,0,7+2))),""))))))))))</f>
      </c>
      <c r="BY68" s="7">
        <f>IF($B68="","",IF($AN68="AR",SUMPRODUCT(($AZ68&gt;INDEX('Methodology &amp; Sources'!$B$82:$J$86,0,7))*($AZ68-INDEX('Methodology &amp; Sources'!$B$82:$J$86,0,7))*INDEX('Methodology &amp; Sources'!$B$82:$J$86,0,7+2)),IF($AN68="DE",SUMPRODUCT(($AZ68&gt;INDEX('Methodology &amp; Sources'!$B$91:$J$98,0,1))*($AZ68-INDEX('Methodology &amp; Sources'!$B$91:$J$98,0,1))*INDEX('Methodology &amp; Sources'!$B$91:$J$98,0,1+2)),IF($AN68="HI",IF($AU68="Married",SUMPRODUCT(($AZ68&gt;INDEX('Methodology &amp; Sources'!$B$91:$J$98,0,7))*($AZ68-INDEX('Methodology &amp; Sources'!$B$91:$J$98,0,7))*INDEX('Methodology &amp; Sources'!$B$91:$J$98,0,7+2)),SUMPRODUCT(($AZ68&gt;INDEX('Methodology &amp; Sources'!$B$91:$J$98,0,4))*($AZ68-INDEX('Methodology &amp; Sources'!$B$91:$J$98,0,4))*INDEX('Methodology &amp; Sources'!$B$91:$J$98,0,4+2))),IF($AN68="SC",SUMPRODUCT(($AZ68&gt;INDEX('Methodology &amp; Sources'!$B$219:$J$223,0,1))*($AZ68-INDEX('Methodology &amp; Sources'!$B$219:$J$223,0,1))*INDEX('Methodology &amp; Sources'!$B$219:$J$223,0,1+2)),IF($AN68="VA",SUMPRODUCT(($AZ68&gt;INDEX('Methodology &amp; Sources'!$B$219:$J$223,0,4))*($AZ68-INDEX('Methodology &amp; Sources'!$B$219:$J$223,0,4))*INDEX('Methodology &amp; Sources'!$B$219:$J$223,0,4+2)),IF($AN68="WI",SUMPRODUCT(($AZ68&gt;INDEX('Methodology &amp; Sources'!$B$228:$J$232,0,4))*($AZ68-INDEX('Methodology &amp; Sources'!$B$228:$J$232,0,4))*INDEX('Methodology &amp; Sources'!$B$228:$J$232,0,4+2)),"")))))))</f>
      </c>
      <c r="BZ68" s="24">
        <f>IF($B68="","",IF($AN68="NJ",IF('Inputs 2'!$C$77="B",SUMPRODUCT(($AZ68&gt;=INDEX('Methodology &amp; Sources'!$B$155:$J$162,0,4))*INDEX('Methodology &amp; Sources'!$B$155:$J$162,0,4+2)),IF('Inputs 2'!$C$77="C",SUMPRODUCT(($AZ68&gt;=INDEX('Methodology &amp; Sources'!$B$155:$J$162,0,7))*INDEX('Methodology &amp; Sources'!$B$155:$J$162,0,7+2)),IF('Inputs 2'!$C$77="D",SUMPRODUCT(($AZ68&gt;=INDEX('Methodology &amp; Sources'!$B$167:$J$179,0,1))*INDEX('Methodology &amp; Sources'!$B$167:$J$179,0,1+2)),IF('Inputs 2'!$C$77="E",SUMPRODUCT(($AZ68&gt;=INDEX('Methodology &amp; Sources'!$B$167:$J$179,0,4))*INDEX('Methodology &amp; Sources'!$B$167:$J$179,0,4+2)),SUMPRODUCT(($AZ68&gt;=INDEX('Methodology &amp; Sources'!$B$155:$J$162,0,1))*INDEX('Methodology &amp; Sources'!$B$155:$J$162,0,1+2)))))),IF($AN68="OR",IF(OR($AU68="Married",AND($AU68="Single",$AS68&gt;=3)),SUMPRODUCT((MAX(0,$AY68-MIN(($P68-'Methodology &amp; Sources'!$C$10*$D68)*'Inputs 2'!$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Sources'!$B$211:$J$214,0,4))*INDEX('Methodology &amp; Sources'!$B$211:$J$214,0,4+2)),SUMPRODUCT((MAX(0,$AY68-MIN(($P68-'Methodology &amp; Sources'!$C$10*$D68)*'Inputs 2'!$C$8,IF(OR($AU68="Married",AND($AU68="Single",$AS68&gt;=3)),IF($AY68&lt;250000,8750,IF($AY68&lt;260000,7000,IF($AY68&lt;270000,5250,IF($AY68&lt;280000,3500,IF($AY68&lt;290000,1750,0))))),IF($AY68&lt;125000,8750,IF($AY68&lt;130000,7000,IF($AY68&lt;135000,5250,IF($AY68&lt;140000,3500,IF($AY68&lt;145000,1750,0)))))))-IF(OR($AU68="Married",AND($AU68="Single",$AS68&gt;=3)),5820,2910))&gt;=INDEX('Methodology &amp; Sources'!$B$211:$J$214,0,1))*INDEX('Methodology &amp; Sources'!$B$211:$J$214,0,1+2)))*IF(($P68-'Methodology &amp; Sources'!$C$10*$D68)*'Inputs 2'!$C$8&gt;=IF(OR($AU68="Married",AND($AU68="Single",$AS68&gt;=3)),IF($AY68&lt;250000,8750,IF($AY68&lt;260000,7000,IF($AY68&lt;270000,5250,IF($AY68&lt;280000,3500,IF($AY68&lt;290000,1750,0))))),IF($AY68&lt;125000,8750,IF($AY68&lt;130000,7000,IF($AY68&lt;135000,5250,IF($AY68&lt;140000,3500,IF($AY68&lt;145000,1750,0)))))),1,1-IF('Inputs 2'!$C$13,SUMPRODUCT(($AH68&gt;=INDEX('Methodology &amp; Sources'!$B$29:$J$36,0,IF('Inputs 2'!$C$12="MFJ",1,IF('Inputs 2'!$C$12="HoH",7,4))))*INDEX('Methodology &amp; Sources'!$B$29:$J$36,0,IF('Inputs 2'!$C$12="MFJ",1,IF('Inputs 2'!$C$12="HoH",7,4))+2)),SUMPRODUCT(($AH68&gt;=INDEX('Methodology &amp; Sources'!$B$19:$J$26,0,IF('Inputs 2'!$C$12="MFJ",1,IF('Inputs 2'!$C$12="HoH",7,4))))*INDEX('Methodology &amp; Sources'!$B$19:$J$26,0,IF('Inputs 2'!$C$12="MFJ",1,IF('Inputs 2'!$C$12="HoH",7,4))+2)))),IF($AN68="MI",IF($AY68&gt;5900*$AS68,0.0425,0),""))))</f>
      </c>
      <c r="CA68" s="24">
        <f>IF($B68="","",IF($AN68="AL",IF(OR($AU68="Married",$AU68="Head of household"),SUMPRODUCT(($AZ68&gt;=INDEX('Methodology &amp; Sources'!$B$82:$J$86,0,4))*INDEX('Methodology &amp; Sources'!$B$82:$J$86,0,4+2)),SUMPRODUCT(($AZ68&gt;=INDEX('Methodology &amp; Sources'!$B$82:$J$86,0,1))*INDEX('Methodology &amp; Sources'!$B$82:$J$86,0,1+2)))*(1-IF('Inputs 2'!$C$13,SUMPRODUCT(($AH68&gt;=INDEX('Methodology &amp; Sources'!$B$29:$J$36,0,IF('Inputs 2'!$C$12="MFJ",1,IF('Inputs 2'!$C$12="HoH",7,4))))*INDEX('Methodology &amp; Sources'!$B$29:$J$36,0,IF('Inputs 2'!$C$12="MFJ",1,IF('Inputs 2'!$C$12="HoH",7,4))+2)),SUMPRODUCT(($AH68&gt;=INDEX('Methodology &amp; Sources'!$B$19:$J$26,0,IF('Inputs 2'!$C$12="MFJ",1,IF('Inputs 2'!$C$12="HoH",7,4))))*INDEX('Methodology &amp; Sources'!$B$19:$J$26,0,IF('Inputs 2'!$C$12="MFJ",1,IF('Inputs 2'!$C$12="HoH",7,4))+2)))),IF($AN68="KS",IF($AU68="Married",SUMPRODUCT(($AZ68&gt;=INDEX('Methodology &amp; Sources'!$B$103:$J$109,0,4))*INDEX('Methodology &amp; Sources'!$B$103:$J$109,0,4+2)),SUMPRODUCT(($AZ68&gt;=INDEX('Methodology &amp; Sources'!$B$103:$J$109,0,1))*INDEX('Methodology &amp; Sources'!$B$103:$J$109,0,1+2))),IF($AN68="MD",IF(OR($AU68="Married",$AU68="Head of household"),SUMPRODUCT(($AZ68&gt;=INDEX('Methodology &amp; Sources'!$B$114:$J$120,0,1))*INDEX('Methodology &amp; Sources'!$B$114:$J$120,0,1+2)),SUMPRODUCT(($AZ68&gt;=INDEX('Methodology &amp; Sources'!$B$103:$J$109,0,7))*INDEX('Methodology &amp; Sources'!$B$103:$J$109,0,7+2)))+'Inputs 2'!$C$74,IF($AN68="MT",IF($AU68="Head of household",SUMPRODUCT(($AZ68&gt;=INDEX('Methodology &amp; Sources'!$B$137:$J$139,0,1))*INDEX('Methodology &amp; Sources'!$B$137:$J$139,0,1+2)),IF($AU68="Married",SUMPRODUCT(($AZ68&gt;=INDEX('Methodology &amp; Sources'!$B$125:$J$132,0,7))*INDEX('Methodology &amp; Sources'!$B$125:$J$132,0,7+2)),SUMPRODUCT(($AZ68&gt;=INDEX('Methodology &amp; Sources'!$B$125:$J$132,0,4))*INDEX('Methodology &amp; Sources'!$B$125:$J$132,0,4+2)))),IF($AN68="ND",IF($AU68="Head of household",SUMPRODUCT(($AZ68&gt;=INDEX('Methodology &amp; Sources'!$B$144:$J$150,0,1))*INDEX('Methodology &amp; Sources'!$B$144:$J$150,0,1+2)),IF($AU68="Married",SUMPRODUCT(($AZ68&gt;=INDEX('Methodology &amp; Sources'!$B$137:$J$139,0,7))*INDEX('Methodology &amp; Sources'!$B$137:$J$139,0,7+2)),SUMPRODUCT(($AZ68&gt;=INDEX('Methodology &amp; Sources'!$B$137:$J$139,0,4))*INDEX('Methodology &amp; Sources'!$B$137:$J$139,0,4+2)))),IF($AN68="NY",IF($AU68="Married",IF($AZ68&gt;=2155350,IF($AZ68&gt;25000000,0.117,IF($AZ68&gt;5000000,0.111,0.1045)),SUMPRODUCT(($AZ68&gt;=INDEX('Methodology &amp; Sources'!$B$184:$J$198,0,1))*INDEX('Methodology &amp; Sources'!$B$184:$J$198,0,1+2))),IF($AZ68&gt;=1077550,IF($AZ68&gt;25000000,0.117,IF($AZ68&gt;5000000,0.111,0.1045)),SUMPRODUCT(($AZ68&gt;=INDEX('Methodology &amp; Sources'!$B$167:$J$179,0,7))*INDEX('Methodology &amp; Sources'!$B$167:$J$179,0,7+2)))),"")))))))</f>
      </c>
      <c r="CB68" s="24">
        <f>IF($B68="","",IF($AN68="CA",SUMPRODUCT(($AJ68&gt;=INDEX('Methodology &amp; Sources'!$B$39:$J$48,0,IF($AU68="Married",4,IF($AU68="Head of household",7,1))))*INDEX('Methodology &amp; Sources'!$B$39:$J$48,0,IF($AU68="Married",4,IF($AU68="Head of household",7,1))+2)),IF($AN68="HI",IF($AU68="Married",SUMPRODUCT(($AZ68&gt;=INDEX('Methodology &amp; Sources'!$B$91:$J$98,0,7))*INDEX('Methodology &amp; Sources'!$B$91:$J$98,0,7+2)),SUMPRODUCT(($AZ68&gt;=INDEX('Methodology &amp; Sources'!$B$91:$J$98,0,4))*INDEX('Methodology &amp; Sources'!$B$91:$J$98,0,4+2))),IF($AN68="MN",IF($AU68="Married",SUMPRODUCT(($AZ68&gt;=INDEX('Methodology &amp; Sources'!$B$114:$J$120,0,7))*INDEX('Methodology &amp; Sources'!$B$114:$J$120,0,7+2)),SUMPRODUCT(($AZ68&gt;=INDEX('Methodology &amp; Sources'!$B$114:$J$120,0,4))*INDEX('Methodology &amp; Sources'!$B$114:$J$120,0,4+2))),IF($AN68="MO",SUMPRODUCT(($AZ68&gt;=INDEX('Methodology &amp; Sources'!$B$125:$J$132,0,1))*INDEX('Methodology &amp; Sources'!$B$125:$J$132,0,1+2)),IF($AN68="NE",MAX(IF($AU68="Married",SUMPRODUCT(($AZ68&gt;=INDEX('Methodology &amp; Sources'!$B$144:$J$150,0,7))*INDEX('Methodology &amp; Sources'!$B$144:$J$150,0,7+2)),SUMPRODUCT(($AZ68&gt;=INDEX('Methodology &amp; Sources'!$B$144:$J$150,0,4))*INDEX('Methodology &amp; Sources'!$B$144:$J$150,0,4+2))),0.015),IF($AN68="OH",IF($B68&gt;=DATE(2027,8,1),SUMPRODUCT(($AZ68&gt;=INDEX('Methodology &amp; Sources'!$B$203:$J$206,0,1))*INDEX('Methodology &amp; Sources'!$B$203:$J$206,0,1+2)),SUMPRODUCT(($AZ68&gt;=INDEX('Methodology &amp; Sources'!$B$184:$J$198,0,7))*INDEX('Methodology &amp; Sources'!$B$184:$J$198,0,7+2))),IF($AN68="OK",IF($AU68="Married",SUMPRODUCT(($AZ68&gt;=INDEX('Methodology &amp; Sources'!$B$203:$J$206,0,7))*INDEX('Methodology &amp; Sources'!$B$203:$J$206,0,7+2)),SUMPRODUCT(($AZ68&gt;=INDEX('Methodology &amp; Sources'!$B$203:$J$206,0,4))*INDEX('Methodology &amp; Sources'!$B$203:$J$206,0,4+2))),IF($AN68="RI",SUMPRODUCT(($AZ68&gt;=INDEX('Methodology &amp; Sources'!$B$211:$J$214,0,7))*INDEX('Methodology &amp; Sources'!$B$211:$J$214,0,7+2)),IF($AN68="SC",SUMPRODUCT(($AZ68&gt;=INDEX('Methodology &amp; Sources'!$B$219:$J$223,0,1))*INDEX('Methodology &amp; Sources'!$B$219:$J$223,0,1+2)),IF($AN68="VT",IF($AU68="Married",SUMPRODUCT(($AZ68&gt;=INDEX('Methodology &amp; Sources'!$B$228:$J$232,0,1))*INDEX('Methodology &amp; Sources'!$B$228:$J$232,0,1+2)),SUMPRODUCT(($AZ68&gt;=INDEX('Methodology &amp; Sources'!$B$219:$J$223,0,7))*INDEX('Methodology &amp; Sources'!$B$219:$J$223,0,7+2))),IF($AN68="WV",IF($AU68="Married",SUMPRODUCT(($AZ68&gt;=INDEX('Methodology &amp; Sources'!$B$237:$J$241,0,7))*INDEX('Methodology &amp; Sources'!$B$237:$J$241,0,7+2)),SUMPRODUCT(($AZ68&gt;=INDEX('Methodology &amp; Sources'!$B$228:$J$232,0,7))*INDEX('Methodology &amp; Sources'!$B$228:$J$232,0,7+2))),IF($AN68="IN",(0.0295+'Inputs 2'!$C$76),"")))))))))))))</f>
      </c>
      <c r="CC68" s="24">
        <f>IF($B68="","",IF($AN68="AR",SUMPRODUCT(($AZ68&gt;=INDEX('Methodology &amp; Sources'!$B$82:$J$86,0,7))*INDEX('Methodology &amp; Sources'!$B$82:$J$86,0,7+2)),IF($AN68="DE",SUMPRODUCT(($AZ68&gt;=INDEX('Methodology &amp; Sources'!$B$91:$J$98,0,1))*INDEX('Methodology &amp; Sources'!$B$91:$J$98,0,1+2)),IF($AN68="VA",SUMPRODUCT(($AZ68&gt;=INDEX('Methodology &amp; Sources'!$B$219:$J$223,0,4))*INDEX('Methodology &amp; Sources'!$B$219:$J$223,0,4+2)),IF($AN68="WI",SUMPRODUCT(($AZ68&gt;=INDEX('Methodology &amp; Sources'!$B$228:$J$232,0,4))*INDEX('Methodology &amp; Sources'!$B$228:$J$232,0,4+2)),IF($AN68="AZ",'Inputs 2'!$C$82,IF($AN68="CO",IF($AY68&gt;IF($AU68="Married",10000,5000),0.044,0),IF($AN68="IA",IF($AY68&gt;IF($AU68="Head of household",19500,IF($AU68="Married",26000,13000)),0.038,0),IF($AN68="ID",IF($AY68&gt;IF($AU68="Married",32000,16094),0.053,0),IF($AN68="IL",IF($AY68&gt;(2925*$AS68+1000*$AT68),0.0495,0),IF($AN68="KY",IF($AI68&gt;3360,0.035,0),IF($AN68="LA",0.0309,IF($AN68="MA",IF(MAX(0,$AY68-MIN(($BD67+$Q68+$R68+$S68),2000)-IF($AS68=0,0,IF($AS68=1,4400,1000*$AS68+3400)))&gt;=1107750,0.09,0.05),IF($AN68="MS",IF($AI68-IF($AU68="Head of household",3400,IF($AU68="Married",4600,2300))-'Inputs 2'!$C$85&gt;10000,0.04,0),IF($AN68="PA",0.0307,"")))))))))))))))</f>
      </c>
      <c r="CD68" s="21">
        <f>IF(YEAR(IF('Inputs 2'!$C$7="Weekly",'Inputs 2'!$C$9+7*(($BE67+1)-1),IF('Inputs 2'!$C$7="Biweekly",'Inputs 2'!$C$9+14*(($BE67+1)-1),IF('Inputs 2'!$C$7="Semimonthly",DATE(YEAR('Inputs 2'!$C$9),MONTH('Inputs 2'!$C$9)+INT((($BE67+1)-1)/2),MIN(DAY('Inputs 2'!$C$9),DAY(EOMONTH(DATE(YEAR('Inputs 2'!$C$9),MONTH('Inputs 2'!$C$9)+INT((($BE67+1)-1)/2),1),0))))+IF(MOD(($BE67+1)-1,2)=1,15,0),EDATE('Inputs 2'!$C$9,($BE67+1)-1)))))&lt;&gt;'Inputs 2'!$C$10,"",IF('Inputs 2'!$C$7="Weekly",'Inputs 2'!$C$9+7*(($BE67+1)-1),IF('Inputs 2'!$C$7="Biweekly",'Inputs 2'!$C$9+14*(($BE67+1)-1),IF('Inputs 2'!$C$7="Semimonthly",DATE(YEAR('Inputs 2'!$C$9),MONTH('Inputs 2'!$C$9)+INT((($BE67+1)-1)/2),MIN(DAY('Inputs 2'!$C$9),DAY(EOMONTH(DATE(YEAR('Inputs 2'!$C$9),MONTH('Inputs 2'!$C$9)+INT((($BE67+1)-1)/2),1),0))))+IF(MOD(($BE67+1)-1,2)=1,15,0),EDATE('Inputs 2'!$C$9,($BE67+1)-1)))))</f>
      </c>
      <c r="CE68" s="21">
        <f>IF(SUMPRODUCT(MIN(IF(('Inputs 2'!$C$58:$C$67&gt;MAX($B$6:$B67))*('Inputs 2'!$C$58:$C$67&gt;=DATE('Inputs 2'!$C$10,1,1))*('Inputs 2'!$C$58:$C$67&lt;=DATE('Inputs 2'!$C$10,12,31)),'Inputs 2'!$C$58:$C$67,999999)))=999999,"",SUMPRODUCT(MIN(IF(('Inputs 2'!$C$58:$C$67&gt;MAX($B$6:$B67))*('Inputs 2'!$C$58:$C$67&gt;=DATE('Inputs 2'!$C$10,1,1))*('Inputs 2'!$C$58:$C$67&lt;=DATE('Inputs 2'!$C$10,12,31)),'Inputs 2'!$C$58:$C$67,999999))))</f>
      </c>
    </row>
  </sheetData>
  <sheetProtection selectLockedCells="0" selectUnlockedCells="0" sheet="1" objects="0" insertRows="1" insertHyperlinks="1" autoFilter="1" scenarios="0" formatColumns="1" deleteColumns="1" insertColumns="1" pivotTables="1" deleteRows="1" formatCells="1" formatRows="1" sort="1"/>
  <mergeCells count="1">
    <mergeCell ref="B4:J4"/>
  </mergeCells>
  <conditionalFormatting sqref="T6:T68">
    <cfRule type="expression" priority="1" dxfId="1">
      <formula>AND($B6&lt;&gt;"",ISNUMBER(SEARCH("MANUAL",IFERROR(VLOOKUP($AN6,StateTables!$A$6:$AB$56,5,FALSE),""))),NOT('Inputs 2'!$C$26),OR('Inputs 2'!$C$28="",'Inputs 2'!$C$28&lt;=0))</formula>
    </cfRule>
  </conditionalFormatting>
  <pageMargins left="0.75" right="0.75" top="1" bottom="1" header="0.5" footer="0.5"/>
</worksheet>
</file>

<file path=xl/worksheets/sheet9.xml><?xml version="1.0" encoding="utf-8"?>
<worksheet xmlns="http://schemas.openxmlformats.org/spreadsheetml/2006/main">
  <sheetPr>
    <tabColor rgb="007030A0"/>
    <outlinePr summaryBelow="1" summaryRight="1"/>
    <pageSetUpPr/>
  </sheetPr>
  <dimension ref="B1:F38"/>
  <sheetViews>
    <sheetView workbookViewId="0">
      <selection activeCell="A1" sqref="A1"/>
    </sheetView>
  </sheetViews>
  <sheetFormatPr baseColWidth="8" defaultRowHeight="15"/>
  <cols>
    <col width="2" customWidth="1" min="1" max="1"/>
    <col width="44" customWidth="1" min="2" max="2"/>
    <col width="16" customWidth="1" min="3" max="3"/>
    <col width="16" customWidth="1" min="4" max="4"/>
    <col width="16" customWidth="1" min="5" max="5"/>
    <col width="18" customWidth="1" min="6" max="6"/>
    <col width="60" customWidth="1" min="7" max="7"/>
  </cols>
  <sheetData>
    <row r="1">
      <c r="B1" s="9" t="inlineStr">
        <is>
          <t>Household — two earners, one calendar</t>
        </is>
      </c>
    </row>
    <row r="2">
      <c r="B2" s="2" t="inlineStr">
        <is>
          <t>Earner 1 is the Pay Schedule tab; Earner 2 is Pay Schedule 2 (fill in Inputs 2 to switch the second earner on). This tab merges both pay calendars into the household's real cash rhythm.</t>
        </is>
      </c>
    </row>
    <row r="4">
      <c r="B4" s="5" t="inlineStr">
        <is>
          <t>Combined annual take-home (both earners)</t>
        </is>
      </c>
      <c r="C4" s="16">
        <f>SUM('Pay Schedule'!Y6:Y68)+SUM('Pay Schedule 2'!Y6:Y68)</f>
      </c>
    </row>
    <row r="5">
      <c r="B5" t="inlineStr">
        <is>
          <t>Combined annual gross</t>
        </is>
      </c>
      <c r="C5" s="16">
        <f>SUM('Pay Schedule'!C6:C68)+SUM('Pay Schedule'!D6:D68)+SUM('Pay Schedule 2'!C6:C68)+SUM('Pay Schedule 2'!D6:D68)</f>
      </c>
    </row>
    <row r="6">
      <c r="B6" t="inlineStr">
        <is>
          <t>Average combined take-home per month</t>
        </is>
      </c>
      <c r="C6" s="16">
        <f>C4/12</f>
      </c>
    </row>
    <row r="7">
      <c r="B7" t="inlineStr">
        <is>
          <t>Earner 1 annual take-home</t>
        </is>
      </c>
      <c r="C7" s="16">
        <f>SUM('Pay Schedule'!Y6:Y68)</f>
      </c>
    </row>
    <row r="8">
      <c r="B8" t="inlineStr">
        <is>
          <t>Earner 2 annual take-home</t>
        </is>
      </c>
      <c r="C8" s="16">
        <f>SUM('Pay Schedule 2'!Y6:Y68)</f>
      </c>
    </row>
    <row r="10">
      <c r="B10" s="10" t="inlineStr">
        <is>
          <t>Take-home by month</t>
        </is>
      </c>
    </row>
    <row r="11">
      <c r="B11" s="25" t="inlineStr">
        <is>
          <t>Month</t>
        </is>
      </c>
      <c r="C11" s="25" t="inlineStr">
        <is>
          <t>Earner 1 net</t>
        </is>
      </c>
      <c r="D11" s="25" t="inlineStr">
        <is>
          <t>Earner 2 net</t>
        </is>
      </c>
      <c r="E11" s="25" t="inlineStr">
        <is>
          <t>Combined</t>
        </is>
      </c>
      <c r="F11" s="25" t="inlineStr">
        <is>
          <t>Combined YTD</t>
        </is>
      </c>
    </row>
    <row r="12">
      <c r="B12" s="13" t="inlineStr">
        <is>
          <t>January</t>
        </is>
      </c>
      <c r="C12" s="16">
        <f>SUMIFS('Pay Schedule'!$Y$6:$Y$68,'Pay Schedule'!$B$6:$B$68,"&gt;="&amp;DATE(Inputs!$C$10,1,1),'Pay Schedule'!$B$6:$B$68,"&lt;"&amp;EDATE(DATE(Inputs!$C$10,1,1),1))</f>
      </c>
      <c r="D12" s="16">
        <f>SUMIFS('Pay Schedule 2'!$Y$6:$Y$68,'Pay Schedule 2'!$B$6:$B$68,"&gt;="&amp;DATE(Inputs!$C$10,1,1),'Pay Schedule 2'!$B$6:$B$68,"&lt;"&amp;EDATE(DATE(Inputs!$C$10,1,1),1))</f>
      </c>
      <c r="E12" s="16">
        <f>C12+D12</f>
      </c>
      <c r="F12" s="16">
        <f>E12</f>
      </c>
    </row>
    <row r="13">
      <c r="B13" s="13" t="inlineStr">
        <is>
          <t>February</t>
        </is>
      </c>
      <c r="C13" s="16">
        <f>SUMIFS('Pay Schedule'!$Y$6:$Y$68,'Pay Schedule'!$B$6:$B$68,"&gt;="&amp;DATE(Inputs!$C$10,2,1),'Pay Schedule'!$B$6:$B$68,"&lt;"&amp;EDATE(DATE(Inputs!$C$10,2,1),1))</f>
      </c>
      <c r="D13" s="16">
        <f>SUMIFS('Pay Schedule 2'!$Y$6:$Y$68,'Pay Schedule 2'!$B$6:$B$68,"&gt;="&amp;DATE(Inputs!$C$10,2,1),'Pay Schedule 2'!$B$6:$B$68,"&lt;"&amp;EDATE(DATE(Inputs!$C$10,2,1),1))</f>
      </c>
      <c r="E13" s="16">
        <f>C13+D13</f>
      </c>
      <c r="F13" s="16">
        <f>F12+E13</f>
      </c>
    </row>
    <row r="14">
      <c r="B14" s="13" t="inlineStr">
        <is>
          <t>March</t>
        </is>
      </c>
      <c r="C14" s="16">
        <f>SUMIFS('Pay Schedule'!$Y$6:$Y$68,'Pay Schedule'!$B$6:$B$68,"&gt;="&amp;DATE(Inputs!$C$10,3,1),'Pay Schedule'!$B$6:$B$68,"&lt;"&amp;EDATE(DATE(Inputs!$C$10,3,1),1))</f>
      </c>
      <c r="D14" s="16">
        <f>SUMIFS('Pay Schedule 2'!$Y$6:$Y$68,'Pay Schedule 2'!$B$6:$B$68,"&gt;="&amp;DATE(Inputs!$C$10,3,1),'Pay Schedule 2'!$B$6:$B$68,"&lt;"&amp;EDATE(DATE(Inputs!$C$10,3,1),1))</f>
      </c>
      <c r="E14" s="16">
        <f>C14+D14</f>
      </c>
      <c r="F14" s="16">
        <f>F13+E14</f>
      </c>
    </row>
    <row r="15">
      <c r="B15" s="13" t="inlineStr">
        <is>
          <t>April</t>
        </is>
      </c>
      <c r="C15" s="16">
        <f>SUMIFS('Pay Schedule'!$Y$6:$Y$68,'Pay Schedule'!$B$6:$B$68,"&gt;="&amp;DATE(Inputs!$C$10,4,1),'Pay Schedule'!$B$6:$B$68,"&lt;"&amp;EDATE(DATE(Inputs!$C$10,4,1),1))</f>
      </c>
      <c r="D15" s="16">
        <f>SUMIFS('Pay Schedule 2'!$Y$6:$Y$68,'Pay Schedule 2'!$B$6:$B$68,"&gt;="&amp;DATE(Inputs!$C$10,4,1),'Pay Schedule 2'!$B$6:$B$68,"&lt;"&amp;EDATE(DATE(Inputs!$C$10,4,1),1))</f>
      </c>
      <c r="E15" s="16">
        <f>C15+D15</f>
      </c>
      <c r="F15" s="16">
        <f>F14+E15</f>
      </c>
    </row>
    <row r="16">
      <c r="B16" s="13" t="inlineStr">
        <is>
          <t>May</t>
        </is>
      </c>
      <c r="C16" s="16">
        <f>SUMIFS('Pay Schedule'!$Y$6:$Y$68,'Pay Schedule'!$B$6:$B$68,"&gt;="&amp;DATE(Inputs!$C$10,5,1),'Pay Schedule'!$B$6:$B$68,"&lt;"&amp;EDATE(DATE(Inputs!$C$10,5,1),1))</f>
      </c>
      <c r="D16" s="16">
        <f>SUMIFS('Pay Schedule 2'!$Y$6:$Y$68,'Pay Schedule 2'!$B$6:$B$68,"&gt;="&amp;DATE(Inputs!$C$10,5,1),'Pay Schedule 2'!$B$6:$B$68,"&lt;"&amp;EDATE(DATE(Inputs!$C$10,5,1),1))</f>
      </c>
      <c r="E16" s="16">
        <f>C16+D16</f>
      </c>
      <c r="F16" s="16">
        <f>F15+E16</f>
      </c>
    </row>
    <row r="17">
      <c r="B17" s="13" t="inlineStr">
        <is>
          <t>June</t>
        </is>
      </c>
      <c r="C17" s="16">
        <f>SUMIFS('Pay Schedule'!$Y$6:$Y$68,'Pay Schedule'!$B$6:$B$68,"&gt;="&amp;DATE(Inputs!$C$10,6,1),'Pay Schedule'!$B$6:$B$68,"&lt;"&amp;EDATE(DATE(Inputs!$C$10,6,1),1))</f>
      </c>
      <c r="D17" s="16">
        <f>SUMIFS('Pay Schedule 2'!$Y$6:$Y$68,'Pay Schedule 2'!$B$6:$B$68,"&gt;="&amp;DATE(Inputs!$C$10,6,1),'Pay Schedule 2'!$B$6:$B$68,"&lt;"&amp;EDATE(DATE(Inputs!$C$10,6,1),1))</f>
      </c>
      <c r="E17" s="16">
        <f>C17+D17</f>
      </c>
      <c r="F17" s="16">
        <f>F16+E17</f>
      </c>
    </row>
    <row r="18">
      <c r="B18" s="13" t="inlineStr">
        <is>
          <t>July</t>
        </is>
      </c>
      <c r="C18" s="16">
        <f>SUMIFS('Pay Schedule'!$Y$6:$Y$68,'Pay Schedule'!$B$6:$B$68,"&gt;="&amp;DATE(Inputs!$C$10,7,1),'Pay Schedule'!$B$6:$B$68,"&lt;"&amp;EDATE(DATE(Inputs!$C$10,7,1),1))</f>
      </c>
      <c r="D18" s="16">
        <f>SUMIFS('Pay Schedule 2'!$Y$6:$Y$68,'Pay Schedule 2'!$B$6:$B$68,"&gt;="&amp;DATE(Inputs!$C$10,7,1),'Pay Schedule 2'!$B$6:$B$68,"&lt;"&amp;EDATE(DATE(Inputs!$C$10,7,1),1))</f>
      </c>
      <c r="E18" s="16">
        <f>C18+D18</f>
      </c>
      <c r="F18" s="16">
        <f>F17+E18</f>
      </c>
    </row>
    <row r="19">
      <c r="B19" s="13" t="inlineStr">
        <is>
          <t>August</t>
        </is>
      </c>
      <c r="C19" s="16">
        <f>SUMIFS('Pay Schedule'!$Y$6:$Y$68,'Pay Schedule'!$B$6:$B$68,"&gt;="&amp;DATE(Inputs!$C$10,8,1),'Pay Schedule'!$B$6:$B$68,"&lt;"&amp;EDATE(DATE(Inputs!$C$10,8,1),1))</f>
      </c>
      <c r="D19" s="16">
        <f>SUMIFS('Pay Schedule 2'!$Y$6:$Y$68,'Pay Schedule 2'!$B$6:$B$68,"&gt;="&amp;DATE(Inputs!$C$10,8,1),'Pay Schedule 2'!$B$6:$B$68,"&lt;"&amp;EDATE(DATE(Inputs!$C$10,8,1),1))</f>
      </c>
      <c r="E19" s="16">
        <f>C19+D19</f>
      </c>
      <c r="F19" s="16">
        <f>F18+E19</f>
      </c>
    </row>
    <row r="20">
      <c r="B20" s="13" t="inlineStr">
        <is>
          <t>September</t>
        </is>
      </c>
      <c r="C20" s="16">
        <f>SUMIFS('Pay Schedule'!$Y$6:$Y$68,'Pay Schedule'!$B$6:$B$68,"&gt;="&amp;DATE(Inputs!$C$10,9,1),'Pay Schedule'!$B$6:$B$68,"&lt;"&amp;EDATE(DATE(Inputs!$C$10,9,1),1))</f>
      </c>
      <c r="D20" s="16">
        <f>SUMIFS('Pay Schedule 2'!$Y$6:$Y$68,'Pay Schedule 2'!$B$6:$B$68,"&gt;="&amp;DATE(Inputs!$C$10,9,1),'Pay Schedule 2'!$B$6:$B$68,"&lt;"&amp;EDATE(DATE(Inputs!$C$10,9,1),1))</f>
      </c>
      <c r="E20" s="16">
        <f>C20+D20</f>
      </c>
      <c r="F20" s="16">
        <f>F19+E20</f>
      </c>
    </row>
    <row r="21">
      <c r="B21" s="13" t="inlineStr">
        <is>
          <t>October</t>
        </is>
      </c>
      <c r="C21" s="16">
        <f>SUMIFS('Pay Schedule'!$Y$6:$Y$68,'Pay Schedule'!$B$6:$B$68,"&gt;="&amp;DATE(Inputs!$C$10,10,1),'Pay Schedule'!$B$6:$B$68,"&lt;"&amp;EDATE(DATE(Inputs!$C$10,10,1),1))</f>
      </c>
      <c r="D21" s="16">
        <f>SUMIFS('Pay Schedule 2'!$Y$6:$Y$68,'Pay Schedule 2'!$B$6:$B$68,"&gt;="&amp;DATE(Inputs!$C$10,10,1),'Pay Schedule 2'!$B$6:$B$68,"&lt;"&amp;EDATE(DATE(Inputs!$C$10,10,1),1))</f>
      </c>
      <c r="E21" s="16">
        <f>C21+D21</f>
      </c>
      <c r="F21" s="16">
        <f>F20+E21</f>
      </c>
    </row>
    <row r="22">
      <c r="B22" s="13" t="inlineStr">
        <is>
          <t>November</t>
        </is>
      </c>
      <c r="C22" s="16">
        <f>SUMIFS('Pay Schedule'!$Y$6:$Y$68,'Pay Schedule'!$B$6:$B$68,"&gt;="&amp;DATE(Inputs!$C$10,11,1),'Pay Schedule'!$B$6:$B$68,"&lt;"&amp;EDATE(DATE(Inputs!$C$10,11,1),1))</f>
      </c>
      <c r="D22" s="16">
        <f>SUMIFS('Pay Schedule 2'!$Y$6:$Y$68,'Pay Schedule 2'!$B$6:$B$68,"&gt;="&amp;DATE(Inputs!$C$10,11,1),'Pay Schedule 2'!$B$6:$B$68,"&lt;"&amp;EDATE(DATE(Inputs!$C$10,11,1),1))</f>
      </c>
      <c r="E22" s="16">
        <f>C22+D22</f>
      </c>
      <c r="F22" s="16">
        <f>F21+E22</f>
      </c>
    </row>
    <row r="23">
      <c r="B23" s="13" t="inlineStr">
        <is>
          <t>December</t>
        </is>
      </c>
      <c r="C23" s="16">
        <f>SUMIFS('Pay Schedule'!$Y$6:$Y$68,'Pay Schedule'!$B$6:$B$68,"&gt;="&amp;DATE(Inputs!$C$10,12,1),'Pay Schedule'!$B$6:$B$68,"&lt;"&amp;EDATE(DATE(Inputs!$C$10,12,1),1))</f>
      </c>
      <c r="D23" s="16">
        <f>SUMIFS('Pay Schedule 2'!$Y$6:$Y$68,'Pay Schedule 2'!$B$6:$B$68,"&gt;="&amp;DATE(Inputs!$C$10,12,1),'Pay Schedule 2'!$B$6:$B$68,"&lt;"&amp;EDATE(DATE(Inputs!$C$10,12,1),1))</f>
      </c>
      <c r="E23" s="16">
        <f>C23+D23</f>
      </c>
      <c r="F23" s="16">
        <f>F22+E23</f>
      </c>
    </row>
    <row r="25">
      <c r="B25" s="10" t="inlineStr">
        <is>
          <t>Cap-event dates, by earner</t>
        </is>
      </c>
    </row>
    <row r="26">
      <c r="B26" s="2" t="inlineStr">
        <is>
          <t>The checks where each earner's pay steps up. Social Security and the 401(k) cap apply per person (Social Security also per employer — see the Events tab); the household feels each step-up on the date shown.</t>
        </is>
      </c>
    </row>
    <row r="27">
      <c r="B27" s="25" t="n"/>
      <c r="C27" s="25" t="inlineStr">
        <is>
          <t>Earner 1</t>
        </is>
      </c>
      <c r="D27" s="25" t="inlineStr">
        <is>
          <t>Earner 2</t>
        </is>
      </c>
    </row>
    <row r="28">
      <c r="B28" t="inlineStr">
        <is>
          <t>Social Security wage cap reached</t>
        </is>
      </c>
      <c r="C28" s="26">
        <f>IF(Inputs!$C$49&gt;='Methodology &amp; Sources'!$C$3,"Already at the cap on Jan 1",IF(SUMPRODUCT(('Pay Schedule'!$AB$6:$AB$68&lt;&gt;"")*('Pay Schedule'!$AB$6:$AB$68&lt;'Methodology &amp; Sources'!$C$3))&gt;=SUMPRODUCT(('Pay Schedule'!$B$6:$B$68&lt;&gt;"")*1),"Does not reach it this year",INDEX('Pay Schedule'!$B$6:$B$68,SUMPRODUCT(('Pay Schedule'!$AB$6:$AB$68&lt;&gt;"")*('Pay Schedule'!$AB$6:$AB$68&lt;'Methodology &amp; Sources'!$C$3))+1)))</f>
      </c>
      <c r="D28" s="26">
        <f>IF('Inputs 2'!$C$49&gt;='Methodology &amp; Sources'!$C$3,"Already at the cap on Jan 1",IF(SUMPRODUCT(('Pay Schedule 2'!$AB$6:$AB$68&lt;&gt;"")*('Pay Schedule 2'!$AB$6:$AB$68&lt;'Methodology &amp; Sources'!$C$3))&gt;=SUMPRODUCT(('Pay Schedule 2'!$B$6:$B$68&lt;&gt;"")*1),"Does not reach it this year",INDEX('Pay Schedule 2'!$B$6:$B$68,SUMPRODUCT(('Pay Schedule 2'!$AB$6:$AB$68&lt;&gt;"")*('Pay Schedule 2'!$AB$6:$AB$68&lt;'Methodology &amp; Sources'!$C$3))+1)))</f>
      </c>
    </row>
    <row r="29">
      <c r="B29" t="inlineStr">
        <is>
          <t>401(k) deferral cap reached</t>
        </is>
      </c>
      <c r="C29" s="26">
        <f>IF(Inputs!$C$51&gt;=Inputs!$C$34,"Already at the cap on Jan 1",IF(SUMPRODUCT(('Pay Schedule'!$AC$6:$AC$68&lt;&gt;"")*('Pay Schedule'!$AC$6:$AC$68&lt;Inputs!$C$34))&gt;=SUMPRODUCT(('Pay Schedule'!$B$6:$B$68&lt;&gt;"")*1),"Does not reach it this year",INDEX('Pay Schedule'!$B$6:$B$68,SUMPRODUCT(('Pay Schedule'!$AC$6:$AC$68&lt;&gt;"")*('Pay Schedule'!$AC$6:$AC$68&lt;Inputs!$C$34))+1)))</f>
      </c>
      <c r="D29" s="26">
        <f>IF('Inputs 2'!$C$51&gt;='Inputs 2'!$C$34,"Already at the cap on Jan 1",IF(SUMPRODUCT(('Pay Schedule 2'!$AC$6:$AC$68&lt;&gt;"")*('Pay Schedule 2'!$AC$6:$AC$68&lt;'Inputs 2'!$C$34))&gt;=SUMPRODUCT(('Pay Schedule 2'!$B$6:$B$68&lt;&gt;"")*1),"Does not reach it this year",INDEX('Pay Schedule 2'!$B$6:$B$68,SUMPRODUCT(('Pay Schedule 2'!$AC$6:$AC$68&lt;&gt;"")*('Pay Schedule 2'!$AC$6:$AC$68&lt;'Inputs 2'!$C$34))+1)))</f>
      </c>
    </row>
    <row r="30">
      <c r="B30" t="inlineStr">
        <is>
          <t>Additional Medicare withholding starts ($200,000)</t>
        </is>
      </c>
      <c r="C30" s="26">
        <f>IF(Inputs!$C$50&gt;='Methodology &amp; Sources'!$C$7,"Already at the cap on Jan 1",IF(SUMPRODUCT(('Pay Schedule'!$AG$6:$AG$68&lt;&gt;"")*('Pay Schedule'!$AG$6:$AG$68&lt;'Methodology &amp; Sources'!$C$7))&gt;=SUMPRODUCT(('Pay Schedule'!$B$6:$B$68&lt;&gt;"")*1),"Does not reach it this year",INDEX('Pay Schedule'!$B$6:$B$68,SUMPRODUCT(('Pay Schedule'!$AG$6:$AG$68&lt;&gt;"")*('Pay Schedule'!$AG$6:$AG$68&lt;'Methodology &amp; Sources'!$C$7))+1)))</f>
      </c>
      <c r="D30" s="26">
        <f>IF('Inputs 2'!$C$50&gt;='Methodology &amp; Sources'!$C$7,"Already at the cap on Jan 1",IF(SUMPRODUCT(('Pay Schedule 2'!$AG$6:$AG$68&lt;&gt;"")*('Pay Schedule 2'!$AG$6:$AG$68&lt;'Methodology &amp; Sources'!$C$7))&gt;=SUMPRODUCT(('Pay Schedule 2'!$B$6:$B$68&lt;&gt;"")*1),"Does not reach it this year",INDEX('Pay Schedule 2'!$B$6:$B$68,SUMPRODUCT(('Pay Schedule 2'!$AG$6:$AG$68&lt;&gt;"")*('Pay Schedule 2'!$AG$6:$AG$68&lt;'Methodology &amp; Sources'!$C$7))+1)))</f>
      </c>
    </row>
    <row r="31">
      <c r="B31" s="3">
        <f>IF(AND(ISNUMBER(C28),ISNUMBER(D28)),"First Social Security step-up in the household: "&amp;TEXT(MIN(C28,D28),"mmmm d"),IF(ISNUMBER(C28),"First Social Security step-up in the household: "&amp;TEXT(C28,"mmmm d"),IF(ISNUMBER(D28),"First Social Security step-up in the household: "&amp;TEXT(D28,"mmmm d"),"")))</f>
      </c>
    </row>
    <row r="33">
      <c r="B33" s="10" t="inlineStr">
        <is>
          <t>Additional Medicare — the household read</t>
        </is>
      </c>
    </row>
    <row r="34">
      <c r="B34" t="inlineStr">
        <is>
          <t>Combined Medicare wages (both earners)</t>
        </is>
      </c>
      <c r="C34" s="16">
        <f>LOOKUP(2,1/('Pay Schedule'!$AG$6:$AG$68&lt;&gt;""),'Pay Schedule'!$AG$6:$AG$68)+LOOKUP(2,1/('Pay Schedule 2'!$AG$6:$AG$68&lt;&gt;""),'Pay Schedule 2'!$AG$6:$AG$68)</f>
      </c>
    </row>
    <row r="35">
      <c r="B35" t="inlineStr">
        <is>
          <t>Filing threshold for the 0.9% tax (by filing status)</t>
        </is>
      </c>
      <c r="C35" s="16">
        <f>IF(Inputs!$C$12="MFJ",250000,200000)</f>
      </c>
    </row>
    <row r="36">
      <c r="B36" s="3">
        <f>IF(C34&lt;=C35,"Combined Medicare wages stay under the filing threshold, so no Additional Medicare Tax is expected on the return. Withholding, if any, reconciles at filing.","Combined Medicare wages pass the filing threshold: the 0.9% Additional Medicare Tax applies at filing to the excess. Withholding only starts at $200,000 per employer, so a two-earner household can owe some of it at filing even when neither employer withheld it — the True-Up tab is where to watch it.")</f>
      </c>
    </row>
    <row r="38">
      <c r="B38" s="2" t="inlineStr">
        <is>
          <t>Planning with the combined stream: the Goals tab reads the average combined monthly take-home (cell C6) for its capacity helper, because 'can we afford it' is a household question. Set-asides there are still scheduled per Earner-1 payday — the combined calendar above is the rhythm they land in.</t>
        </is>
      </c>
    </row>
  </sheetData>
  <sheetProtection selectLockedCells="0" selectUnlockedCells="0" sheet="1" objects="0" insertRows="1" insertHyperlinks="1" autoFilter="1" scenarios="0" formatColumns="1" deleteColumns="1" insertColumns="1" pivotTables="1" deleteRows="1" formatCells="1" formatRows="1" sort="1"/>
  <mergeCells count="3">
    <mergeCell ref="B31:F31"/>
    <mergeCell ref="B36:F36"/>
    <mergeCell ref="B38:F38"/>
  </mergeCells>
  <pageMargins left="0.75" right="0.75" top="1" bottom="1" header="0.5" footer="0.5"/>
</worksheet>
</file>

<file path=xl/worksheets/sheet10.xml><?xml version="1.0" encoding="utf-8"?>
<worksheet xmlns="http://schemas.openxmlformats.org/spreadsheetml/2006/main">
  <sheetPr>
    <tabColor rgb="0070AD47"/>
    <outlinePr summaryBelow="1" summaryRight="1"/>
    <pageSetUpPr/>
  </sheetPr>
  <dimension ref="A1:AB56"/>
  <sheetViews>
    <sheetView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20" customWidth="1" min="2" max="2"/>
    <col width="26" customWidth="1" min="3" max="3"/>
    <col width="24" customWidth="1" min="4" max="4"/>
    <col width="30" customWidth="1" min="5" max="5"/>
    <col width="9" customWidth="1" min="6" max="6"/>
    <col width="14" customWidth="1" min="7" max="7"/>
    <col width="14" customWidth="1" min="8" max="8"/>
    <col width="14" customWidth="1" min="9" max="9"/>
    <col width="14" customWidth="1" min="10" max="10"/>
    <col width="13" customWidth="1" min="11" max="11"/>
    <col width="13" customWidth="1" min="12" max="12"/>
    <col width="10" customWidth="1" min="13" max="13"/>
    <col width="30" customWidth="1" min="14" max="14"/>
    <col width="9" customWidth="1" min="15" max="15"/>
    <col width="11" customWidth="1" min="16" max="16"/>
    <col width="26" customWidth="1" min="17" max="17"/>
    <col width="9" customWidth="1" min="18" max="18"/>
    <col width="11" customWidth="1" min="19" max="19"/>
    <col width="44" customWidth="1" min="20" max="20"/>
    <col width="11" customWidth="1" min="21" max="21"/>
    <col width="52" customWidth="1" min="22" max="22"/>
    <col width="11" customWidth="1" min="23" max="23"/>
    <col width="8" customWidth="1" min="24" max="24"/>
    <col width="10" customWidth="1" min="25" max="25"/>
    <col width="11" customWidth="1" min="26" max="26"/>
    <col width="8" customWidth="1" min="27" max="27"/>
    <col width="10" customWidth="1" min="28" max="28"/>
  </cols>
  <sheetData>
    <row r="1">
      <c r="A1" s="9" t="inlineStr">
        <is>
          <t>StateTables — the annual-maintenance surface</t>
        </is>
      </c>
    </row>
    <row r="2">
      <c r="A2" s="2" t="inlineStr">
        <is>
          <t>One row per state: method, parameters, employee-paid programs, source, and verification date. Rows marked LIVE compute withholding by formula; rows marked MANUAL ENTRY use the per-check amount on Inputs (spec §6 integrity rule — no unverified formulas).</t>
        </is>
      </c>
    </row>
    <row r="5">
      <c r="A5" s="19" t="inlineStr">
        <is>
          <t>Code</t>
        </is>
      </c>
      <c r="B5" s="19" t="inlineStr">
        <is>
          <t>State</t>
        </is>
      </c>
      <c r="C5" s="19" t="inlineStr">
        <is>
          <t>Withholding certificate</t>
        </is>
      </c>
      <c r="D5" s="19" t="inlineStr">
        <is>
          <t>Method</t>
        </is>
      </c>
      <c r="E5" s="19" t="inlineStr">
        <is>
          <t>Live in v0.2?</t>
        </is>
      </c>
      <c r="F5" s="19" t="inlineStr">
        <is>
          <t>Table key</t>
        </is>
      </c>
      <c r="G5" s="19" t="inlineStr">
        <is>
          <t>Std deduction (&lt;2 allow.)</t>
        </is>
      </c>
      <c r="H5" s="19" t="inlineStr">
        <is>
          <t>Std deduction (2+ allow.)</t>
        </is>
      </c>
      <c r="I5" s="19" t="inlineStr">
        <is>
          <t>Low-income threshold (&lt;2)</t>
        </is>
      </c>
      <c r="J5" s="19" t="inlineStr">
        <is>
          <t>Low-income threshold (2+)</t>
        </is>
      </c>
      <c r="K5" s="19" t="inlineStr">
        <is>
          <t>Exemption credit / allowance</t>
        </is>
      </c>
      <c r="L5" s="19" t="inlineStr">
        <is>
          <t>Est.-deduction per allowance</t>
        </is>
      </c>
      <c r="M5" s="19" t="inlineStr">
        <is>
          <t>Supplemental rate</t>
        </is>
      </c>
      <c r="N5" s="19" t="inlineStr">
        <is>
          <t>Program 1</t>
        </is>
      </c>
      <c r="O5" s="19" t="inlineStr">
        <is>
          <t>P1 rate</t>
        </is>
      </c>
      <c r="P5" s="19" t="inlineStr">
        <is>
          <t>P1 wage cap</t>
        </is>
      </c>
      <c r="Q5" s="19" t="inlineStr">
        <is>
          <t>Program 2</t>
        </is>
      </c>
      <c r="R5" s="19" t="inlineStr">
        <is>
          <t>P2 rate</t>
        </is>
      </c>
      <c r="S5" s="19" t="inlineStr">
        <is>
          <t>P2 wage cap</t>
        </is>
      </c>
      <c r="T5" s="19" t="inlineStr">
        <is>
          <t>Source (official publication)</t>
        </is>
      </c>
      <c r="U5" s="19" t="inlineStr">
        <is>
          <t>Date verified</t>
        </is>
      </c>
      <c r="V5" s="19" t="inlineStr">
        <is>
          <t>Notes / QA status</t>
        </is>
      </c>
      <c r="W5" s="19" t="inlineStr">
        <is>
          <t>P1 annual $ cap</t>
        </is>
      </c>
      <c r="X5" s="19" t="inlineStr">
        <is>
          <t>P1 type</t>
        </is>
      </c>
      <c r="Y5" s="19" t="inlineStr">
        <is>
          <t>P1 flat $/qtr</t>
        </is>
      </c>
      <c r="Z5" s="19" t="inlineStr">
        <is>
          <t>P2 annual $ cap</t>
        </is>
      </c>
      <c r="AA5" s="19" t="inlineStr">
        <is>
          <t>P2 type</t>
        </is>
      </c>
      <c r="AB5" s="19" t="inlineStr">
        <is>
          <t>P2 flat $/qtr</t>
        </is>
      </c>
    </row>
    <row r="6">
      <c r="A6" s="13" t="inlineStr">
        <is>
          <t>AK</t>
        </is>
      </c>
      <c r="B6" s="13" t="inlineStr">
        <is>
          <t>Alaska</t>
        </is>
      </c>
      <c r="C6" s="13" t="inlineStr">
        <is>
          <t>— (no income tax)</t>
        </is>
      </c>
      <c r="D6" s="13" t="inlineStr">
        <is>
          <t>None</t>
        </is>
      </c>
      <c r="E6" s="13" t="inlineStr">
        <is>
          <t>LIVE — $0 (no wage income tax)</t>
        </is>
      </c>
      <c r="F6" s="13" t="inlineStr">
        <is>
          <t>None</t>
        </is>
      </c>
      <c r="G6" s="13" t="n"/>
      <c r="H6" s="13" t="n"/>
      <c r="I6" s="13" t="n"/>
      <c r="J6" s="13" t="n"/>
      <c r="K6" s="13" t="n"/>
      <c r="L6" s="13" t="n"/>
      <c r="M6" s="13" t="n"/>
      <c r="N6" s="13" t="inlineStr">
        <is>
          <t>AK Employment Security Tax</t>
        </is>
      </c>
      <c r="O6" s="27" t="n">
        <v>0.005</v>
      </c>
      <c r="P6" s="16" t="n">
        <v>54200</v>
      </c>
      <c r="Q6" s="13" t="n"/>
      <c r="R6" s="13" t="n"/>
      <c r="S6" s="13" t="n"/>
      <c r="T6" s="28" t="inlineStr">
        <is>
          <t>State law — no wage income tax (regional research files, planner-build/states-*.md)</t>
        </is>
      </c>
      <c r="U6" s="13" t="inlineStr">
        <is>
          <t>2026-10-14</t>
        </is>
      </c>
      <c r="V6" s="28" t="inlineStr">
        <is>
          <t>Employee-paid programs at left still apply where listed.</t>
        </is>
      </c>
      <c r="W6" s="13" t="n"/>
      <c r="X6" s="13" t="inlineStr">
        <is>
          <t>rate</t>
        </is>
      </c>
      <c r="Y6" s="13" t="n"/>
      <c r="Z6" s="13" t="n"/>
      <c r="AA6" s="13" t="n"/>
      <c r="AB6" s="13" t="n"/>
    </row>
    <row r="7">
      <c r="A7" s="13" t="inlineStr">
        <is>
          <t>AL</t>
        </is>
      </c>
      <c r="B7" s="13" t="inlineStr">
        <is>
          <t>Alabama</t>
        </is>
      </c>
      <c r="C7" s="13" t="inlineStr">
        <is>
          <t>Form A-4</t>
        </is>
      </c>
      <c r="D7" s="13" t="inlineStr">
        <is>
          <t>Graduated</t>
        </is>
      </c>
      <c r="E7" s="13" t="inlineStr">
        <is>
          <t>LIVE — formula (Phase B)</t>
        </is>
      </c>
      <c r="F7" s="13" t="inlineStr">
        <is>
          <t>GEN</t>
        </is>
      </c>
      <c r="G7" s="13" t="n"/>
      <c r="H7" s="13" t="n"/>
      <c r="I7" s="13" t="n"/>
      <c r="J7" s="13" t="n"/>
      <c r="K7" s="13" t="n"/>
      <c r="L7" s="13" t="n"/>
      <c r="M7" s="29" t="n">
        <v>0.05</v>
      </c>
      <c r="N7" s="13" t="n"/>
      <c r="O7" s="13" t="n"/>
      <c r="P7" s="13" t="n"/>
      <c r="Q7" s="13" t="n"/>
      <c r="R7" s="13" t="n"/>
      <c r="S7" s="13" t="n"/>
      <c r="T7" s="28" t="inlineStr">
        <is>
          <t>2027 status: PROVISIONAL — the state's verified 2026 rule carried forward as a planning assumption; official 2027 guidance not yet published as of 2026-10-14. 2026 source: ALDOR Withholding Tax Tables &amp; Instructions, Rev. Jan 2026 (read via mirror of the official booklet)</t>
        </is>
      </c>
      <c r="U7" s="13" t="inlineStr">
        <is>
          <t>2026-10-14</t>
        </is>
      </c>
      <c r="V7" s="28" t="inlineStr">
        <is>
          <t>Graduated 2/4/5%; sliding standard deduction; deducts annualized federal withholding from the state base; $1,500/$3,000 personal exemption; dependent amount steps down with income. QA: booklet formula example verified arithmetically (fed WH is an exogenous input there).</t>
        </is>
      </c>
      <c r="W7" s="13" t="n"/>
      <c r="X7" s="13" t="n"/>
      <c r="Y7" s="13" t="n"/>
      <c r="Z7" s="13" t="n"/>
      <c r="AA7" s="13" t="n"/>
      <c r="AB7" s="13" t="n"/>
    </row>
    <row r="8">
      <c r="A8" s="13" t="inlineStr">
        <is>
          <t>AR</t>
        </is>
      </c>
      <c r="B8" s="13" t="inlineStr">
        <is>
          <t>Arkansas</t>
        </is>
      </c>
      <c r="C8" s="13" t="inlineStr">
        <is>
          <t>Form AR4EC</t>
        </is>
      </c>
      <c r="D8" s="13" t="inlineStr">
        <is>
          <t>Graduated</t>
        </is>
      </c>
      <c r="E8" s="13" t="inlineStr">
        <is>
          <t>LIVE — formula (Phase B)</t>
        </is>
      </c>
      <c r="F8" s="13" t="inlineStr">
        <is>
          <t>GEN</t>
        </is>
      </c>
      <c r="G8" s="13" t="n"/>
      <c r="H8" s="13" t="n"/>
      <c r="I8" s="13" t="n"/>
      <c r="J8" s="13" t="n"/>
      <c r="K8" s="13" t="n"/>
      <c r="L8" s="13" t="n"/>
      <c r="M8" s="29" t="n">
        <v>0.039</v>
      </c>
      <c r="N8" s="13" t="n"/>
      <c r="O8" s="13" t="n"/>
      <c r="P8" s="13" t="n"/>
      <c r="Q8" s="13" t="n"/>
      <c r="R8" s="13" t="n"/>
      <c r="S8" s="13" t="n"/>
      <c r="T8" s="28" t="inlineStr">
        <is>
          <t>2027 status: PROVISIONAL — the state's verified 2026 rule carried forward as a planning assumption; official 2027 guidance not yet published as of 2026-10-14. 2026 source: AR DFA Withholding Tax Formula, eff. 01/01/2026 (post-HB 1001 top rate 3.7%)</t>
        </is>
      </c>
      <c r="U8" s="13" t="inlineStr">
        <is>
          <t>2026-10-14</t>
        </is>
      </c>
      <c r="V8" s="28" t="inlineStr">
        <is>
          <t>SD $2,470; $50-midrange rounding under $97,701; $29 credit per exemption. Supplemental 3.9% as printed in the Jan 2026 DFA instructions (post-cut supplemental rate not re-published — flagged). QA: DFA 'Gary' example PASS (−$0.02, guide rounds annual tax to whole dollars).</t>
        </is>
      </c>
      <c r="W8" s="13" t="n"/>
      <c r="X8" s="13" t="n"/>
      <c r="Y8" s="13" t="n"/>
      <c r="Z8" s="13" t="n"/>
      <c r="AA8" s="13" t="n"/>
      <c r="AB8" s="13" t="n"/>
    </row>
    <row r="9">
      <c r="A9" s="13" t="inlineStr">
        <is>
          <t>AZ</t>
        </is>
      </c>
      <c r="B9" s="13" t="inlineStr">
        <is>
          <t>Arizona</t>
        </is>
      </c>
      <c r="C9" s="13" t="inlineStr">
        <is>
          <t>Form A-4</t>
        </is>
      </c>
      <c r="D9" s="13" t="inlineStr">
        <is>
          <t>Percent-of-gross (elected %)</t>
        </is>
      </c>
      <c r="E9" s="13" t="inlineStr">
        <is>
          <t>LIVE — formula (Phase B)</t>
        </is>
      </c>
      <c r="F9" s="13" t="inlineStr">
        <is>
          <t>DIR</t>
        </is>
      </c>
      <c r="G9" s="13" t="n"/>
      <c r="H9" s="13" t="n"/>
      <c r="I9" s="13" t="n"/>
      <c r="J9" s="13" t="n"/>
      <c r="K9" s="13" t="n"/>
      <c r="L9" s="13" t="n"/>
      <c r="M9" s="13" t="n"/>
      <c r="N9" s="13" t="n"/>
      <c r="O9" s="13" t="n"/>
      <c r="P9" s="13" t="n"/>
      <c r="Q9" s="13" t="n"/>
      <c r="R9" s="13" t="n"/>
      <c r="S9" s="13" t="n"/>
      <c r="T9" s="28" t="inlineStr">
        <is>
          <t>2027 status: PROVISIONAL — the state's verified 2026 rule carried forward as a planning assumption; official 2027 guidance not yet published as of 2026-10-14. 2026 source: ADOR Form A-4 (2026) + azdor.gov withholding pages</t>
        </is>
      </c>
      <c r="U9" s="13" t="inlineStr">
        <is>
          <t>2026-10-14</t>
        </is>
      </c>
      <c r="V9" s="28" t="inlineStr">
        <is>
          <t>Employee-elected % of federal taxable wages (Inputs row 82; default 2.0%). Bonuses are wages at the same elected %. QA: 2.0% x $2,000 = $40.00 anchor PASS.</t>
        </is>
      </c>
      <c r="W9" s="13" t="n"/>
      <c r="X9" s="13" t="n"/>
      <c r="Y9" s="13" t="n"/>
      <c r="Z9" s="13" t="n"/>
      <c r="AA9" s="13" t="n"/>
      <c r="AB9" s="13" t="n"/>
    </row>
    <row r="10">
      <c r="A10" s="13" t="inlineStr">
        <is>
          <t>CA</t>
        </is>
      </c>
      <c r="B10" s="13" t="inlineStr">
        <is>
          <t>California</t>
        </is>
      </c>
      <c r="C10" s="13" t="inlineStr">
        <is>
          <t>Form DE 4</t>
        </is>
      </c>
      <c r="D10" s="13" t="inlineStr">
        <is>
          <t>Graduated — Method B</t>
        </is>
      </c>
      <c r="E10" s="13" t="inlineStr">
        <is>
          <t>LIVE — Method B (annualized)</t>
        </is>
      </c>
      <c r="F10" s="13" t="inlineStr">
        <is>
          <t>CA-B</t>
        </is>
      </c>
      <c r="G10" s="16" t="n">
        <v>5706</v>
      </c>
      <c r="H10" s="16" t="n">
        <v>11412</v>
      </c>
      <c r="I10" s="16" t="n">
        <v>18896</v>
      </c>
      <c r="J10" s="16" t="n">
        <v>37791</v>
      </c>
      <c r="K10" s="16" t="n">
        <v>168.3</v>
      </c>
      <c r="L10" s="16" t="n">
        <v>1000</v>
      </c>
      <c r="M10" s="29" t="n">
        <v>0.1023</v>
      </c>
      <c r="N10" s="13" t="inlineStr">
        <is>
          <t>CA SDI</t>
        </is>
      </c>
      <c r="O10" s="27" t="n">
        <v>0.013</v>
      </c>
      <c r="P10" s="13" t="n"/>
      <c r="Q10" s="13" t="n"/>
      <c r="R10" s="13" t="n"/>
      <c r="S10" s="13" t="n"/>
      <c r="T10" s="28" t="inlineStr">
        <is>
          <t>2027 status: PROVISIONAL — the state's verified 2026 rule carried forward as a planning assumption; official 2027 guidance not yet published as of 2026-10-14. 2026 source: CA EDD DE 44 (2026) + 2026 Withholding Schedules Method B (26methb.pdf), Tables 1–7; SDI 1.3% per DE 44 / DE 3395</t>
        </is>
      </c>
      <c r="U10" s="13" t="inlineStr">
        <is>
          <t>2026-10-14</t>
        </is>
      </c>
      <c r="V10" s="28" t="inlineStr">
        <is>
          <t>Validated against EDD worked Examples B &amp; E and the Profile R-1 stub (SDI exact; PIT within payroll-method variance).</t>
        </is>
      </c>
      <c r="W10" s="13" t="n"/>
      <c r="X10" s="13" t="inlineStr">
        <is>
          <t>rate</t>
        </is>
      </c>
      <c r="Y10" s="13" t="n"/>
      <c r="Z10" s="13" t="n"/>
      <c r="AA10" s="13" t="n"/>
      <c r="AB10" s="13" t="n"/>
    </row>
    <row r="11">
      <c r="A11" s="13" t="inlineStr">
        <is>
          <t>CO</t>
        </is>
      </c>
      <c r="B11" s="13" t="inlineStr">
        <is>
          <t>Colorado</t>
        </is>
      </c>
      <c r="C11" s="13" t="inlineStr">
        <is>
          <t>Form DR 0004 (optional)</t>
        </is>
      </c>
      <c r="D11" s="13" t="inlineStr">
        <is>
          <t>Flat</t>
        </is>
      </c>
      <c r="E11" s="13" t="inlineStr">
        <is>
          <t>LIVE — formula (Phase B)</t>
        </is>
      </c>
      <c r="F11" s="13" t="inlineStr">
        <is>
          <t>DIR</t>
        </is>
      </c>
      <c r="G11" s="13" t="n"/>
      <c r="H11" s="13" t="n"/>
      <c r="I11" s="13" t="n"/>
      <c r="J11" s="13" t="n"/>
      <c r="K11" s="13" t="n"/>
      <c r="L11" s="13" t="n"/>
      <c r="M11" s="13" t="n"/>
      <c r="N11" s="13" t="inlineStr">
        <is>
          <t>CO FAMLI (employee share)</t>
        </is>
      </c>
      <c r="O11" s="27" t="n">
        <v>0.0043</v>
      </c>
      <c r="P11" s="16" t="n">
        <v>192300</v>
      </c>
      <c r="Q11" s="13" t="n"/>
      <c r="R11" s="13" t="n"/>
      <c r="S11" s="13" t="n"/>
      <c r="T11" s="28" t="inlineStr">
        <is>
          <t>2027 status: PROVISIONAL — the state's verified 2026 rule carried forward as a planning assumption; official 2027 guidance not yet published as of 2026-10-14. 2026 source: CO DOR DR 1098 Withholding Worksheet; Wage Withholding Tax Guide (Jan 2026)</t>
        </is>
      </c>
      <c r="U11" s="13" t="inlineStr">
        <is>
          <t>2026-10-14</t>
        </is>
      </c>
      <c r="V11" s="28" t="inlineStr">
        <is>
          <t>Flat 4.40% over a $5,000 allowance ($10,000 MFJ). No separate supplemental rate is published — one-offs run through the formula. No official dollar example exists (formula arithmetic QA).</t>
        </is>
      </c>
      <c r="W11" s="13" t="n"/>
      <c r="X11" s="13" t="inlineStr">
        <is>
          <t>rate</t>
        </is>
      </c>
      <c r="Y11" s="13" t="n"/>
      <c r="Z11" s="13" t="n"/>
      <c r="AA11" s="13" t="n"/>
      <c r="AB11" s="13" t="n"/>
    </row>
    <row r="12">
      <c r="A12" s="13" t="inlineStr">
        <is>
          <t>CT</t>
        </is>
      </c>
      <c r="B12" s="13" t="inlineStr">
        <is>
          <t>Connecticut</t>
        </is>
      </c>
      <c r="C12" s="13" t="inlineStr">
        <is>
          <t>Form CT-W4</t>
        </is>
      </c>
      <c r="D12" s="13" t="inlineStr">
        <is>
          <t>Graduated</t>
        </is>
      </c>
      <c r="E12" s="13" t="inlineStr">
        <is>
          <t>MANUAL ENTRY — see Notes</t>
        </is>
      </c>
      <c r="F12" s="13" t="inlineStr">
        <is>
          <t>—</t>
        </is>
      </c>
      <c r="G12" s="13" t="n"/>
      <c r="H12" s="13" t="n"/>
      <c r="I12" s="13" t="n"/>
      <c r="J12" s="13" t="n"/>
      <c r="K12" s="13" t="n"/>
      <c r="L12" s="13" t="n"/>
      <c r="M12" s="13" t="n"/>
      <c r="N12" s="13" t="inlineStr">
        <is>
          <t>CT Paid Leave</t>
        </is>
      </c>
      <c r="O12" s="27" t="n">
        <v>0.005</v>
      </c>
      <c r="P12" s="16" t="n">
        <v>192300</v>
      </c>
      <c r="Q12" s="13" t="n"/>
      <c r="R12" s="13" t="n"/>
      <c r="S12" s="13" t="n"/>
      <c r="T12" s="28" t="inlineStr">
        <is>
          <t>2027 status: MANUAL — unchanged from 2026 (see Notes). 2026 source: CT DRS IP 2025(1) / TPG-211 Withholding Calculation Rules (2026 unchanged)</t>
        </is>
      </c>
      <c r="U12" s="13" t="inlineStr">
        <is>
          <t>2026-10-14</t>
        </is>
      </c>
      <c r="V12" s="28" t="inlineStr">
        <is>
          <t>MANUAL — integrity rule: the TPG-211 Tables A/C/D/E stepped grids were not transcribed in the research, and the three published examples ($39.97 / $78.82 / $17.65) cannot be reproduced exactly from the verified anchors alone. CT Paid Leave program at left IS live. Revisit when the grids are transcribed and the examples reproduce.</t>
        </is>
      </c>
      <c r="W12" s="13" t="n"/>
      <c r="X12" s="13" t="inlineStr">
        <is>
          <t>rate</t>
        </is>
      </c>
      <c r="Y12" s="13" t="n"/>
      <c r="Z12" s="13" t="n"/>
      <c r="AA12" s="13" t="n"/>
      <c r="AB12" s="13" t="n"/>
    </row>
    <row r="13">
      <c r="A13" s="13" t="inlineStr">
        <is>
          <t>DC</t>
        </is>
      </c>
      <c r="B13" s="13" t="inlineStr">
        <is>
          <t>District of Columbia</t>
        </is>
      </c>
      <c r="C13" s="13" t="inlineStr">
        <is>
          <t>Form D-4</t>
        </is>
      </c>
      <c r="D13" s="13" t="inlineStr">
        <is>
          <t>Graduated</t>
        </is>
      </c>
      <c r="E13" s="13" t="inlineStr">
        <is>
          <t>MANUAL ENTRY — see Notes</t>
        </is>
      </c>
      <c r="F13" s="13" t="inlineStr">
        <is>
          <t>—</t>
        </is>
      </c>
      <c r="G13" s="13" t="n"/>
      <c r="H13" s="13" t="n"/>
      <c r="I13" s="13" t="n"/>
      <c r="J13" s="13" t="n"/>
      <c r="K13" s="13" t="n"/>
      <c r="L13" s="13" t="n"/>
      <c r="M13" s="13" t="n"/>
      <c r="N13" s="13" t="n"/>
      <c r="O13" s="13" t="n"/>
      <c r="P13" s="13" t="n"/>
      <c r="Q13" s="13" t="n"/>
      <c r="R13" s="13" t="n"/>
      <c r="S13" s="13" t="n"/>
      <c r="T13" s="28" t="inlineStr">
        <is>
          <t>2027 status: MANUAL — unchanged from 2026 (see Notes). 2026 source: DC OTR FR-230 (latest located edition: 2017); DC Code 47-1806.03 rate schedule</t>
        </is>
      </c>
      <c r="U13" s="13" t="inlineStr">
        <is>
          <t>2026-10-14</t>
        </is>
      </c>
      <c r="V13" s="28" t="inlineStr">
        <is>
          <t>MANUAL — integrity rule: the statutory brackets are verified, but the 2026 withholding allowance value is UNVERIFIED (FR-230 not reissued since 2017; secondary sources conflict $1,675 vs $1,775). A core method parameter cannot be guessed.</t>
        </is>
      </c>
      <c r="W13" s="13" t="n"/>
      <c r="X13" s="13" t="n"/>
      <c r="Y13" s="13" t="n"/>
      <c r="Z13" s="13" t="n"/>
      <c r="AA13" s="13" t="n"/>
      <c r="AB13" s="13" t="n"/>
    </row>
    <row r="14">
      <c r="A14" s="13" t="inlineStr">
        <is>
          <t>DE</t>
        </is>
      </c>
      <c r="B14" s="13" t="inlineStr">
        <is>
          <t>Delaware</t>
        </is>
      </c>
      <c r="C14" s="13" t="inlineStr">
        <is>
          <t>Federal W-4 / W-4A worksheet</t>
        </is>
      </c>
      <c r="D14" s="13" t="inlineStr">
        <is>
          <t>Graduated</t>
        </is>
      </c>
      <c r="E14" s="13" t="inlineStr">
        <is>
          <t>LIVE — formula (Phase B)</t>
        </is>
      </c>
      <c r="F14" s="13" t="inlineStr">
        <is>
          <t>GEN</t>
        </is>
      </c>
      <c r="G14" s="13" t="n"/>
      <c r="H14" s="13" t="n"/>
      <c r="I14" s="13" t="n"/>
      <c r="J14" s="13" t="n"/>
      <c r="K14" s="13" t="n"/>
      <c r="L14" s="13" t="n"/>
      <c r="M14" s="13" t="n"/>
      <c r="N14" s="13" t="inlineStr">
        <is>
          <t>DE Paid Leave (employee share, up to)</t>
        </is>
      </c>
      <c r="O14" s="27" t="n">
        <v>0.004</v>
      </c>
      <c r="P14" s="13" t="n"/>
      <c r="Q14" s="13" t="n"/>
      <c r="R14" s="13" t="n"/>
      <c r="S14" s="13" t="n"/>
      <c r="T14" s="28" t="inlineStr">
        <is>
          <t>2027 status: PROVISIONAL — the state's verified 2026 rule carried forward as a planning assumption; official 2027 guidance not yet published as of 2026-10-14. 2026 source: Delaware Division of Revenue / Dept. of Finance PIT schedule; Form W-4A worksheet</t>
        </is>
      </c>
      <c r="U14" s="13" t="inlineStr">
        <is>
          <t>2026-10-14</t>
        </is>
      </c>
      <c r="V14" s="28" t="inlineStr">
        <is>
          <t>Graduated schedule (top 6.6% over $60,000); $3,250 worksheet standard deduction (single verified; joint $6,500 unverified — engine uses $3,250 for all statuses); $110 credit per exemption. No official supplemental rate — one-offs aggregate. Wilmington 1.25% via Inputs row 81 if applicable.</t>
        </is>
      </c>
      <c r="W14" s="13" t="n"/>
      <c r="X14" s="13" t="inlineStr">
        <is>
          <t>rate</t>
        </is>
      </c>
      <c r="Y14" s="13" t="n"/>
      <c r="Z14" s="13" t="n"/>
      <c r="AA14" s="13" t="n"/>
      <c r="AB14" s="13" t="n"/>
    </row>
    <row r="15">
      <c r="A15" s="13" t="inlineStr">
        <is>
          <t>FL</t>
        </is>
      </c>
      <c r="B15" s="13" t="inlineStr">
        <is>
          <t>Florida</t>
        </is>
      </c>
      <c r="C15" s="13" t="inlineStr">
        <is>
          <t>— (no income tax)</t>
        </is>
      </c>
      <c r="D15" s="13" t="inlineStr">
        <is>
          <t>None</t>
        </is>
      </c>
      <c r="E15" s="13" t="inlineStr">
        <is>
          <t>LIVE — $0 (no wage income tax)</t>
        </is>
      </c>
      <c r="F15" s="13" t="inlineStr">
        <is>
          <t>None</t>
        </is>
      </c>
      <c r="G15" s="13" t="n"/>
      <c r="H15" s="13" t="n"/>
      <c r="I15" s="13" t="n"/>
      <c r="J15" s="13" t="n"/>
      <c r="K15" s="13" t="n"/>
      <c r="L15" s="13" t="n"/>
      <c r="M15" s="13" t="n"/>
      <c r="N15" s="13" t="n"/>
      <c r="O15" s="13" t="n"/>
      <c r="P15" s="13" t="n"/>
      <c r="Q15" s="13" t="n"/>
      <c r="R15" s="13" t="n"/>
      <c r="S15" s="13" t="n"/>
      <c r="T15" s="28" t="inlineStr">
        <is>
          <t>State law — no wage income tax (regional research files, planner-build/states-*.md)</t>
        </is>
      </c>
      <c r="U15" s="13" t="inlineStr">
        <is>
          <t>2026-10-14</t>
        </is>
      </c>
      <c r="V15" s="28" t="inlineStr">
        <is>
          <t>Employee-paid programs at left still apply where listed.</t>
        </is>
      </c>
      <c r="W15" s="13" t="n"/>
      <c r="X15" s="13" t="n"/>
      <c r="Y15" s="13" t="n"/>
      <c r="Z15" s="13" t="n"/>
      <c r="AA15" s="13" t="n"/>
      <c r="AB15" s="13" t="n"/>
    </row>
    <row r="16">
      <c r="A16" s="13" t="inlineStr">
        <is>
          <t>GA</t>
        </is>
      </c>
      <c r="B16" s="13" t="inlineStr">
        <is>
          <t>Georgia</t>
        </is>
      </c>
      <c r="C16" s="13" t="inlineStr">
        <is>
          <t>Form G-4</t>
        </is>
      </c>
      <c r="D16" s="13" t="inlineStr">
        <is>
          <t>Flat</t>
        </is>
      </c>
      <c r="E16" s="13" t="inlineStr">
        <is>
          <t>MANUAL ENTRY — see Notes</t>
        </is>
      </c>
      <c r="F16" s="13" t="inlineStr">
        <is>
          <t>—</t>
        </is>
      </c>
      <c r="G16" s="13" t="n"/>
      <c r="H16" s="13" t="n"/>
      <c r="I16" s="13" t="n"/>
      <c r="J16" s="13" t="n"/>
      <c r="K16" s="13" t="n"/>
      <c r="L16" s="13" t="n"/>
      <c r="M16" s="13" t="n"/>
      <c r="N16" s="13" t="n"/>
      <c r="O16" s="13" t="n"/>
      <c r="P16" s="13" t="n"/>
      <c r="Q16" s="13" t="n"/>
      <c r="R16" s="13" t="n"/>
      <c r="S16" s="13" t="n"/>
      <c r="T16" s="28" t="inlineStr">
        <is>
          <t>2027 status: MANUAL — unchanged from 2026 (see Notes). 2026 source: GA DOR Form G-4 (Rev. 06/03/26); Employer's Withholding Tax Guide</t>
        </is>
      </c>
      <c r="U16" s="13" t="inlineStr">
        <is>
          <t>2026-10-14</t>
        </is>
      </c>
      <c r="V16" s="28" t="inlineStr">
        <is>
          <t>MANUAL — integrity rule: standard deductions ($15,000/$30,000) and $5,000 dependent allowance are verified on the official G-4, but the revised 4.99% rate and its May 11, 2026 start are UNVERIFIED from an official DOR page (secondary reports only); the prior verified rate (5.19%) was superseded. Shipping either would be a guess.</t>
        </is>
      </c>
      <c r="W16" s="13" t="n"/>
      <c r="X16" s="13" t="n"/>
      <c r="Y16" s="13" t="n"/>
      <c r="Z16" s="13" t="n"/>
      <c r="AA16" s="13" t="n"/>
      <c r="AB16" s="13" t="n"/>
    </row>
    <row r="17">
      <c r="A17" s="13" t="inlineStr">
        <is>
          <t>HI</t>
        </is>
      </c>
      <c r="B17" s="13" t="inlineStr">
        <is>
          <t>Hawaii</t>
        </is>
      </c>
      <c r="C17" s="13" t="inlineStr">
        <is>
          <t>Form HW-4</t>
        </is>
      </c>
      <c r="D17" s="13" t="inlineStr">
        <is>
          <t>Graduated</t>
        </is>
      </c>
      <c r="E17" s="13" t="inlineStr">
        <is>
          <t>LIVE — formula (Phase B)</t>
        </is>
      </c>
      <c r="F17" s="13" t="inlineStr">
        <is>
          <t>GEN</t>
        </is>
      </c>
      <c r="G17" s="13" t="n"/>
      <c r="H17" s="13" t="n"/>
      <c r="I17" s="13" t="n"/>
      <c r="J17" s="13" t="n"/>
      <c r="K17" s="13" t="n"/>
      <c r="L17" s="13" t="n"/>
      <c r="M17" s="13" t="n"/>
      <c r="N17" s="13" t="n"/>
      <c r="O17" s="13" t="n"/>
      <c r="P17" s="13" t="n"/>
      <c r="Q17" s="13" t="n"/>
      <c r="R17" s="13" t="n"/>
      <c r="S17" s="13" t="n"/>
      <c r="T17" s="28" t="inlineStr">
        <is>
          <t>2027 status: PROVISIONAL — the state's verified 2026 rule carried forward as a planning assumption; official 2027 guidance not yet published as of 2026-10-14. 2026 source: HI DOTAX Booklet A, Employer's Tax Guide (Rev. 2025), Appendix eff. 1/1/2026</t>
        </is>
      </c>
      <c r="U17" s="13" t="inlineStr">
        <is>
          <t>2026-10-14</t>
        </is>
      </c>
      <c r="V17" s="28" t="inlineStr">
        <is>
          <t>Graduated withholding schedules (top 7.9% — NOT the 11% return rates); $1,144/allowance + $4,350 lump sum. No flat supplemental — one-offs aggregate. HI TDI has no statewide employee rate (min(50% of premium, 0.5% of weekly wages, DLIR max); 2026 DLIR $ max unverified) — enter any TDI deduction as a flat deduction instead. QA: Booklet A example PASS (exact).</t>
        </is>
      </c>
      <c r="W17" s="13" t="n"/>
      <c r="X17" s="13" t="n"/>
      <c r="Y17" s="13" t="n"/>
      <c r="Z17" s="13" t="n"/>
      <c r="AA17" s="13" t="n"/>
      <c r="AB17" s="13" t="n"/>
    </row>
    <row r="18">
      <c r="A18" s="13" t="inlineStr">
        <is>
          <t>IA</t>
        </is>
      </c>
      <c r="B18" s="13" t="inlineStr">
        <is>
          <t>Iowa</t>
        </is>
      </c>
      <c r="C18" s="13" t="inlineStr">
        <is>
          <t>IA W-4</t>
        </is>
      </c>
      <c r="D18" s="13" t="inlineStr">
        <is>
          <t>Flat (formula)</t>
        </is>
      </c>
      <c r="E18" s="13" t="inlineStr">
        <is>
          <t>LIVE — formula (Phase B)</t>
        </is>
      </c>
      <c r="F18" s="13" t="inlineStr">
        <is>
          <t>DIR</t>
        </is>
      </c>
      <c r="G18" s="13" t="n"/>
      <c r="H18" s="13" t="n"/>
      <c r="I18" s="13" t="n"/>
      <c r="J18" s="13" t="n"/>
      <c r="K18" s="13" t="n"/>
      <c r="L18" s="13" t="n"/>
      <c r="M18" s="13" t="n"/>
      <c r="N18" s="13" t="n"/>
      <c r="O18" s="13" t="n"/>
      <c r="P18" s="13" t="n"/>
      <c r="Q18" s="13" t="n"/>
      <c r="R18" s="13" t="n"/>
      <c r="S18" s="13" t="n"/>
      <c r="T18" s="28" t="inlineStr">
        <is>
          <t>2027 status: PROVISIONAL — the state's verified 2026 rule carried forward as a planning assumption; official 2027 guidance not yet published as of 2026-10-14. 2026 source: Iowa DOR, Iowa Withholding Formula eff. 1/1/2026</t>
        </is>
      </c>
      <c r="U18" s="13" t="inlineStr">
        <is>
          <t>2026-10-14</t>
        </is>
      </c>
      <c r="V18" s="28" t="inlineStr">
        <is>
          <t>Flat 3.80% over a status deduction ($13,000 other / $19,500 HoH / $26,000 MFJ — MFJ figure assumes spouse has no earned income), minus a $40-per-unit allowance credit (row 23 = units). Supplemental treatment UNVERIFIED in the official formula — one-offs aggregate. QA: Formula Examples 1 &amp; 2 PASS (exact).</t>
        </is>
      </c>
      <c r="W18" s="13" t="n"/>
      <c r="X18" s="13" t="n"/>
      <c r="Y18" s="13" t="n"/>
      <c r="Z18" s="13" t="n"/>
      <c r="AA18" s="13" t="n"/>
      <c r="AB18" s="13" t="n"/>
    </row>
    <row r="19">
      <c r="A19" s="13" t="inlineStr">
        <is>
          <t>ID</t>
        </is>
      </c>
      <c r="B19" s="13" t="inlineStr">
        <is>
          <t>Idaho</t>
        </is>
      </c>
      <c r="C19" s="13" t="inlineStr">
        <is>
          <t>Form ID W-4</t>
        </is>
      </c>
      <c r="D19" s="13" t="inlineStr">
        <is>
          <t>Flat</t>
        </is>
      </c>
      <c r="E19" s="13" t="inlineStr">
        <is>
          <t>LIVE — formula (Phase B)</t>
        </is>
      </c>
      <c r="F19" s="13" t="inlineStr">
        <is>
          <t>DIR</t>
        </is>
      </c>
      <c r="G19" s="13" t="n"/>
      <c r="H19" s="13" t="n"/>
      <c r="I19" s="13" t="n"/>
      <c r="J19" s="13" t="n"/>
      <c r="K19" s="13" t="n"/>
      <c r="L19" s="13" t="n"/>
      <c r="M19" s="29" t="n">
        <v>0.053</v>
      </c>
      <c r="N19" s="13" t="n"/>
      <c r="O19" s="13" t="n"/>
      <c r="P19" s="13" t="n"/>
      <c r="Q19" s="13" t="n"/>
      <c r="R19" s="13" t="n"/>
      <c r="S19" s="13" t="n"/>
      <c r="T19" s="28" t="inlineStr">
        <is>
          <t>2027 status: PROVISIONAL — the state's verified 2026 rule carried forward as a planning assumption; official 2027 guidance not yet published as of 2026-10-14. 2026 source: ID Tax Commission, Computing Withholding page + revised 2026 tables (July 31, 2026 notice; Child Tax Credit sunset)</t>
        </is>
      </c>
      <c r="U19" s="13" t="inlineStr">
        <is>
          <t>2026-10-14</t>
        </is>
      </c>
      <c r="V19" s="28" t="inlineStr">
        <is>
          <t>Flat 5.3% over the status threshold (Married $32,000 verified in the official example; Single $16,094 derived from the verified $619 biweekly figure). Allowance value is $0 under the revised tables. QA: both official examples PASS within guide rounding.</t>
        </is>
      </c>
      <c r="W19" s="13" t="n"/>
      <c r="X19" s="13" t="n"/>
      <c r="Y19" s="13" t="n"/>
      <c r="Z19" s="13" t="n"/>
      <c r="AA19" s="13" t="n"/>
      <c r="AB19" s="13" t="n"/>
    </row>
    <row r="20">
      <c r="A20" s="13" t="inlineStr">
        <is>
          <t>IL</t>
        </is>
      </c>
      <c r="B20" s="13" t="inlineStr">
        <is>
          <t>Illinois</t>
        </is>
      </c>
      <c r="C20" s="13" t="inlineStr">
        <is>
          <t>Form IL-W-4</t>
        </is>
      </c>
      <c r="D20" s="13" t="inlineStr">
        <is>
          <t>Flat</t>
        </is>
      </c>
      <c r="E20" s="13" t="inlineStr">
        <is>
          <t>LIVE — formula (Phase B)</t>
        </is>
      </c>
      <c r="F20" s="13" t="inlineStr">
        <is>
          <t>DIR</t>
        </is>
      </c>
      <c r="G20" s="13" t="n"/>
      <c r="H20" s="13" t="n"/>
      <c r="I20" s="13" t="n"/>
      <c r="J20" s="13" t="n"/>
      <c r="K20" s="13" t="n"/>
      <c r="L20" s="13" t="n"/>
      <c r="M20" s="13" t="n"/>
      <c r="N20" s="13" t="n"/>
      <c r="O20" s="13" t="n"/>
      <c r="P20" s="13" t="n"/>
      <c r="Q20" s="13" t="n"/>
      <c r="R20" s="13" t="n"/>
      <c r="S20" s="13" t="n"/>
      <c r="T20" s="28" t="inlineStr">
        <is>
          <t>2027 status: PROVISIONAL — the state's verified 2026 rule carried forward as a planning assumption; official 2027 guidance not yet published as of 2026-10-14. 2026 source: IL DOR Booklet IL-700-T (R-12/25), eff. 1/1/2026</t>
        </is>
      </c>
      <c r="U20" s="13" t="inlineStr">
        <is>
          <t>2026-10-14</t>
        </is>
      </c>
      <c r="V20" s="28" t="inlineStr">
        <is>
          <t>Flat 4.95%; Line 1 allowances $2,925 (row 23), Line 2 $1,000 (row 24). No separate supplemental rate — same computation. QA: automated-method example PASS (exact); the $8.38 example uses the wage tables, not the formula.</t>
        </is>
      </c>
      <c r="W20" s="13" t="n"/>
      <c r="X20" s="13" t="n"/>
      <c r="Y20" s="13" t="n"/>
      <c r="Z20" s="13" t="n"/>
      <c r="AA20" s="13" t="n"/>
      <c r="AB20" s="13" t="n"/>
    </row>
    <row r="21">
      <c r="A21" s="13" t="inlineStr">
        <is>
          <t>IN</t>
        </is>
      </c>
      <c r="B21" s="13" t="inlineStr">
        <is>
          <t>Indiana</t>
        </is>
      </c>
      <c r="C21" s="13" t="inlineStr">
        <is>
          <t>Form WH-4</t>
        </is>
      </c>
      <c r="D21" s="13" t="inlineStr">
        <is>
          <t>Flat + county</t>
        </is>
      </c>
      <c r="E21" s="13" t="inlineStr">
        <is>
          <t>LIVE — formula (Phase B)</t>
        </is>
      </c>
      <c r="F21" s="13" t="inlineStr">
        <is>
          <t>DIR</t>
        </is>
      </c>
      <c r="G21" s="13" t="n"/>
      <c r="H21" s="13" t="n"/>
      <c r="I21" s="13" t="n"/>
      <c r="J21" s="13" t="n"/>
      <c r="K21" s="13" t="n"/>
      <c r="L21" s="13" t="n"/>
      <c r="M21" s="13" t="n"/>
      <c r="N21" s="13" t="n"/>
      <c r="O21" s="13" t="n"/>
      <c r="P21" s="13" t="n"/>
      <c r="Q21" s="13" t="n"/>
      <c r="R21" s="13" t="n"/>
      <c r="S21" s="13" t="n"/>
      <c r="T21" s="28" t="inlineStr">
        <is>
          <t>2027 status: PROVISIONAL — the state's verified 2026 rule carried forward as a planning assumption; official 2027 guidance not yet published as of 2026-10-14. 2026 source: IN DOR Departmental Notice #1 (R46/01-26), eff. 1/1/2026</t>
        </is>
      </c>
      <c r="U21" s="13" t="inlineStr">
        <is>
          <t>2026-10-14</t>
        </is>
      </c>
      <c r="V21" s="28" t="inlineStr">
        <is>
          <t>State 2.95% + your county rate (row 76), on wages minus $1,000 personal (row 23), $1,500 dependent (row 24), $3,000 adopted-child (row 86) exemptions. Bonuses: same rates with NO exemptions. QA: DN1 example PASS (state $13.96 + county $4.73).</t>
        </is>
      </c>
      <c r="W21" s="13" t="n"/>
      <c r="X21" s="13" t="n"/>
      <c r="Y21" s="13" t="n"/>
      <c r="Z21" s="13" t="n"/>
      <c r="AA21" s="13" t="n"/>
      <c r="AB21" s="13" t="n"/>
    </row>
    <row r="22">
      <c r="A22" s="13" t="inlineStr">
        <is>
          <t>KS</t>
        </is>
      </c>
      <c r="B22" s="13" t="inlineStr">
        <is>
          <t>Kansas</t>
        </is>
      </c>
      <c r="C22" s="13" t="inlineStr">
        <is>
          <t>Form K-4</t>
        </is>
      </c>
      <c r="D22" s="13" t="inlineStr">
        <is>
          <t>Graduated</t>
        </is>
      </c>
      <c r="E22" s="13" t="inlineStr">
        <is>
          <t>LIVE — formula (Phase B)</t>
        </is>
      </c>
      <c r="F22" s="13" t="inlineStr">
        <is>
          <t>GEN</t>
        </is>
      </c>
      <c r="G22" s="13" t="n"/>
      <c r="H22" s="13" t="n"/>
      <c r="I22" s="13" t="n"/>
      <c r="J22" s="13" t="n"/>
      <c r="K22" s="13" t="n"/>
      <c r="L22" s="13" t="n"/>
      <c r="M22" s="29" t="n">
        <v>0.05</v>
      </c>
      <c r="N22" s="13" t="n"/>
      <c r="O22" s="13" t="n"/>
      <c r="P22" s="13" t="n"/>
      <c r="Q22" s="13" t="n"/>
      <c r="R22" s="13" t="n"/>
      <c r="S22" s="13" t="n"/>
      <c r="T22" s="28" t="inlineStr">
        <is>
          <t>2027 status: PROVISIONAL — the state's verified 2026 rule carried forward as a planning assumption; official 2027 guidance not yet published as of 2026-10-14. 2026 source: KS DOR KW-100 Withholding Tax Guide (Rev. 10-24; current for 2026)</t>
        </is>
      </c>
      <c r="U22" s="13" t="inlineStr">
        <is>
          <t>2026-10-14</t>
        </is>
      </c>
      <c r="V22" s="28" t="inlineStr">
        <is>
          <t>Exemption $9,160 (x2 MFJ built in) + $2,320 per dependent (row 24; +1 for HoH). QA: KW-100 example PASS within guide's whole-dollar rounding (+$0.44).</t>
        </is>
      </c>
      <c r="W22" s="13" t="n"/>
      <c r="X22" s="13" t="n"/>
      <c r="Y22" s="13" t="n"/>
      <c r="Z22" s="13" t="n"/>
      <c r="AA22" s="13" t="n"/>
      <c r="AB22" s="13" t="n"/>
    </row>
    <row r="23">
      <c r="A23" s="13" t="inlineStr">
        <is>
          <t>KY</t>
        </is>
      </c>
      <c r="B23" s="13" t="inlineStr">
        <is>
          <t>Kentucky</t>
        </is>
      </c>
      <c r="C23" s="13" t="inlineStr">
        <is>
          <t>Form K-4 (exempt/extra only)</t>
        </is>
      </c>
      <c r="D23" s="13" t="inlineStr">
        <is>
          <t>Flat</t>
        </is>
      </c>
      <c r="E23" s="13" t="inlineStr">
        <is>
          <t>LIVE — formula (Phase B)</t>
        </is>
      </c>
      <c r="F23" s="13" t="inlineStr">
        <is>
          <t>DIR</t>
        </is>
      </c>
      <c r="G23" s="13" t="n"/>
      <c r="H23" s="13" t="n"/>
      <c r="I23" s="13" t="n"/>
      <c r="J23" s="13" t="n"/>
      <c r="K23" s="13" t="n"/>
      <c r="L23" s="13" t="n"/>
      <c r="M23" s="13" t="n"/>
      <c r="N23" s="13" t="n"/>
      <c r="O23" s="13" t="n"/>
      <c r="P23" s="13" t="n"/>
      <c r="Q23" s="13" t="n"/>
      <c r="R23" s="13" t="n"/>
      <c r="S23" s="13" t="n"/>
      <c r="T23" s="28" t="inlineStr">
        <is>
          <t>2027 status: PROVISIONAL — the state's verified 2026 rule carried forward as a planning assumption; official 2027 guidance not yet published as of 2026-10-14. 2026 source: KY DOR Form 42A003 (TCF) 2026 Withholding Tax Formula; Employer Payroll Withholding page (rate 3.5%)</t>
        </is>
      </c>
      <c r="U23" s="13" t="inlineStr">
        <is>
          <t>2026-10-14</t>
        </is>
      </c>
      <c r="V23" s="28" t="inlineStr">
        <is>
          <t>Flat 3.5% over a $3,360 standard deduction; no personal exemptions. Local occupational taxes (Louisville, Lexington, many others) via Inputs row 81/27. QA: 42A003 monthly example PASS (exact). The same sheet's biweekly example contains two printed misprints — not used.</t>
        </is>
      </c>
      <c r="W23" s="13" t="n"/>
      <c r="X23" s="13" t="n"/>
      <c r="Y23" s="13" t="n"/>
      <c r="Z23" s="13" t="n"/>
      <c r="AA23" s="13" t="n"/>
      <c r="AB23" s="13" t="n"/>
    </row>
    <row r="24">
      <c r="A24" s="13" t="inlineStr">
        <is>
          <t>LA</t>
        </is>
      </c>
      <c r="B24" s="13" t="inlineStr">
        <is>
          <t>Louisiana</t>
        </is>
      </c>
      <c r="C24" s="13" t="inlineStr">
        <is>
          <t>Form R-1300 (L-4)</t>
        </is>
      </c>
      <c r="D24" s="13" t="inlineStr">
        <is>
          <t>Flat</t>
        </is>
      </c>
      <c r="E24" s="13" t="inlineStr">
        <is>
          <t>LIVE — formula (Phase B)</t>
        </is>
      </c>
      <c r="F24" s="13" t="inlineStr">
        <is>
          <t>DIR</t>
        </is>
      </c>
      <c r="G24" s="13" t="n"/>
      <c r="H24" s="13" t="n"/>
      <c r="I24" s="13" t="n"/>
      <c r="J24" s="13" t="n"/>
      <c r="K24" s="13" t="n"/>
      <c r="L24" s="13" t="n"/>
      <c r="M24" s="13" t="n"/>
      <c r="N24" s="13" t="n"/>
      <c r="O24" s="13" t="n"/>
      <c r="P24" s="13" t="n"/>
      <c r="Q24" s="13" t="n"/>
      <c r="R24" s="13" t="n"/>
      <c r="S24" s="13" t="n"/>
      <c r="T24" s="28" t="inlineStr">
        <is>
          <t>2027 status: PROVISIONAL — the state's verified 2026 rule carried forward as a planning assumption; official 2027 guidance not yet published as of 2026-10-14. 2026 source: LA LDR Form R-1306 (1/26) formulas; LAC 61:I.1501 NOI (2026 SDs $12,875/$25,750)</t>
        </is>
      </c>
      <c r="U24" s="13" t="inlineStr">
        <is>
          <t>2026-10-14</t>
        </is>
      </c>
      <c r="V24" s="28" t="inlineStr">
        <is>
          <t>Flat 3.09% (3.0% statute + 0.09% cushion) over the L-4 standard-deduction claim (row 84). No separate supplemental rate — same formula. QA: both R-1306 examples PASS (exact).</t>
        </is>
      </c>
      <c r="W24" s="13" t="n"/>
      <c r="X24" s="13" t="n"/>
      <c r="Y24" s="13" t="n"/>
      <c r="Z24" s="13" t="n"/>
      <c r="AA24" s="13" t="n"/>
      <c r="AB24" s="13" t="n"/>
    </row>
    <row r="25">
      <c r="A25" s="13" t="inlineStr">
        <is>
          <t>MA</t>
        </is>
      </c>
      <c r="B25" s="13" t="inlineStr">
        <is>
          <t>Massachusetts</t>
        </is>
      </c>
      <c r="C25" s="13" t="inlineStr">
        <is>
          <t>Form M-4</t>
        </is>
      </c>
      <c r="D25" s="13" t="inlineStr">
        <is>
          <t>Flat</t>
        </is>
      </c>
      <c r="E25" s="13" t="inlineStr">
        <is>
          <t>LIVE — formula (Phase B)</t>
        </is>
      </c>
      <c r="F25" s="13" t="inlineStr">
        <is>
          <t>DIR</t>
        </is>
      </c>
      <c r="G25" s="13" t="n"/>
      <c r="H25" s="13" t="n"/>
      <c r="I25" s="13" t="n"/>
      <c r="J25" s="13" t="n"/>
      <c r="K25" s="13" t="n"/>
      <c r="L25" s="13" t="n"/>
      <c r="M25" s="13" t="n"/>
      <c r="N25" s="13" t="inlineStr">
        <is>
          <t>MA PFML (employee max)</t>
        </is>
      </c>
      <c r="O25" s="27" t="n">
        <v>0.0046</v>
      </c>
      <c r="P25" s="16" t="n">
        <v>192300</v>
      </c>
      <c r="Q25" s="13" t="n"/>
      <c r="R25" s="13" t="n"/>
      <c r="S25" s="13" t="n"/>
      <c r="T25" s="28" t="inlineStr">
        <is>
          <t>2027 status: PROVISIONAL — the state's verified 2026 rule carried forward as a planning assumption; official 2027 guidance not yet published as of 2026-10-14. 2026 source: MA DOR Circular M (eff. 1/1/2026), percentage method p.12 + section G</t>
        </is>
      </c>
      <c r="U25" s="13" t="inlineStr">
        <is>
          <t>2026-10-14</t>
        </is>
      </c>
      <c r="V25" s="28" t="inlineStr">
        <is>
          <t>5.0% (9.0% over $1,107,750) on wages minus cumulative FICA (capped $2,000/yr) minus the exemption factor ($4,400 for 1; $1,000n + $3,400 for more); minus $120/yr HoH value and $110/yr per blind person (row 75). One-offs use the Circular M section G method. Spouse counts as 4 exemptions on the M-4. QA: section G bonus example PASS (exact, $24,854).</t>
        </is>
      </c>
      <c r="W25" s="13" t="n"/>
      <c r="X25" s="13" t="inlineStr">
        <is>
          <t>rate</t>
        </is>
      </c>
      <c r="Y25" s="13" t="n"/>
      <c r="Z25" s="13" t="n"/>
      <c r="AA25" s="13" t="n"/>
      <c r="AB25" s="13" t="n"/>
    </row>
    <row r="26">
      <c r="A26" s="13" t="inlineStr">
        <is>
          <t>MD</t>
        </is>
      </c>
      <c r="B26" s="13" t="inlineStr">
        <is>
          <t>Maryland</t>
        </is>
      </c>
      <c r="C26" s="13" t="inlineStr">
        <is>
          <t>Form MW507</t>
        </is>
      </c>
      <c r="D26" s="13" t="inlineStr">
        <is>
          <t>Graduated + county</t>
        </is>
      </c>
      <c r="E26" s="13" t="inlineStr">
        <is>
          <t>LIVE — formula (Phase B)</t>
        </is>
      </c>
      <c r="F26" s="13" t="inlineStr">
        <is>
          <t>GEN</t>
        </is>
      </c>
      <c r="G26" s="13" t="n"/>
      <c r="H26" s="13" t="n"/>
      <c r="I26" s="13" t="n"/>
      <c r="J26" s="13" t="n"/>
      <c r="K26" s="13" t="n"/>
      <c r="L26" s="13" t="n"/>
      <c r="M26" s="13" t="n"/>
      <c r="N26" s="13" t="n"/>
      <c r="O26" s="13" t="n"/>
      <c r="P26" s="13" t="n"/>
      <c r="Q26" s="13" t="n"/>
      <c r="R26" s="13" t="n"/>
      <c r="S26" s="13" t="n"/>
      <c r="T26" s="28" t="inlineStr">
        <is>
          <t>2027 status: PROVISIONAL — the state's verified 2026 rule carried forward as a planning assumption; official 2027 guidance not yet published as of 2026-10-14. 2026 source: Comptroller of Maryland, 2026 Employer Withholding Guide (Rev. Dec 2025)</t>
        </is>
      </c>
      <c r="U26" s="13" t="inlineStr">
        <is>
          <t>2026-10-14</t>
        </is>
      </c>
      <c r="V26" s="28" t="inlineStr">
        <is>
          <t>State schedule on wages minus $3,400 SD and $3,200/exemption, PLUS your county's flat rate (row 74) on the same base. Anne Arundel &amp; Frederick counties are graduated — the flat-rate entry is an approximation there. Lump-sum bonus: 6.50% + county rate. No narrative worked example is published (QA = combined-table anchors). Nonresidents: use county rate 2.25%.</t>
        </is>
      </c>
      <c r="W26" s="13" t="n"/>
      <c r="X26" s="13" t="n"/>
      <c r="Y26" s="13" t="n"/>
      <c r="Z26" s="13" t="n"/>
      <c r="AA26" s="13" t="n"/>
      <c r="AB26" s="13" t="n"/>
    </row>
    <row r="27">
      <c r="A27" s="13" t="inlineStr">
        <is>
          <t>ME</t>
        </is>
      </c>
      <c r="B27" s="13" t="inlineStr">
        <is>
          <t>Maine</t>
        </is>
      </c>
      <c r="C27" s="13" t="inlineStr">
        <is>
          <t>Form W-4ME</t>
        </is>
      </c>
      <c r="D27" s="13" t="inlineStr">
        <is>
          <t>Graduated</t>
        </is>
      </c>
      <c r="E27" s="13" t="inlineStr">
        <is>
          <t>MANUAL ENTRY — see Notes</t>
        </is>
      </c>
      <c r="F27" s="13" t="inlineStr">
        <is>
          <t>—</t>
        </is>
      </c>
      <c r="G27" s="13" t="n"/>
      <c r="H27" s="13" t="n"/>
      <c r="I27" s="13" t="n"/>
      <c r="J27" s="13" t="n"/>
      <c r="K27" s="13" t="n"/>
      <c r="L27" s="13" t="n"/>
      <c r="M27" s="29" t="n">
        <v>0.05</v>
      </c>
      <c r="N27" s="13" t="inlineStr">
        <is>
          <t>ME Paid Family &amp; Medical Leave (employee share)</t>
        </is>
      </c>
      <c r="O27" s="27" t="n">
        <v>0.005</v>
      </c>
      <c r="P27" s="16" t="n">
        <v>192300</v>
      </c>
      <c r="Q27" s="13" t="n"/>
      <c r="R27" s="13" t="n"/>
      <c r="S27" s="13" t="n"/>
      <c r="T27" s="28" t="inlineStr">
        <is>
          <t>2027 status: MANUAL — unchanged from 2026 (see Notes). 2026 source: Maine Revenue Services, Withholding Tables for Individual Income Tax (2026 booklet)</t>
        </is>
      </c>
      <c r="U27" s="13" t="inlineStr">
        <is>
          <t>2026-10-14</t>
        </is>
      </c>
      <c r="V27" s="28" t="inlineStr">
        <is>
          <t>MANUAL — per spec: the 2026 withholding standard-deduction table could not be verified (secondary reports conflict: $12,850/$28,550 vs $15,700/$31,400). Allowance ($5,300) and rate schedules are verified but the deduction is a core parameter. ME PFML program at left IS live.</t>
        </is>
      </c>
      <c r="W27" s="13" t="n"/>
      <c r="X27" s="13" t="inlineStr">
        <is>
          <t>rate</t>
        </is>
      </c>
      <c r="Y27" s="13" t="n"/>
      <c r="Z27" s="13" t="n"/>
      <c r="AA27" s="13" t="n"/>
      <c r="AB27" s="13" t="n"/>
    </row>
    <row r="28">
      <c r="A28" s="13" t="inlineStr">
        <is>
          <t>MI</t>
        </is>
      </c>
      <c r="B28" s="13" t="inlineStr">
        <is>
          <t>Michigan</t>
        </is>
      </c>
      <c r="C28" s="13" t="inlineStr">
        <is>
          <t>Form MI-W4</t>
        </is>
      </c>
      <c r="D28" s="13" t="inlineStr">
        <is>
          <t>Flat</t>
        </is>
      </c>
      <c r="E28" s="13" t="inlineStr">
        <is>
          <t>LIVE — formula (Phase B)</t>
        </is>
      </c>
      <c r="F28" s="13" t="inlineStr">
        <is>
          <t>DIR</t>
        </is>
      </c>
      <c r="G28" s="13" t="n"/>
      <c r="H28" s="13" t="n"/>
      <c r="I28" s="13" t="n"/>
      <c r="J28" s="13" t="n"/>
      <c r="K28" s="13" t="n"/>
      <c r="L28" s="13" t="n"/>
      <c r="M28" s="29" t="n">
        <v>0.0425</v>
      </c>
      <c r="N28" s="13" t="n"/>
      <c r="O28" s="13" t="n"/>
      <c r="P28" s="13" t="n"/>
      <c r="Q28" s="13" t="n"/>
      <c r="R28" s="13" t="n"/>
      <c r="S28" s="13" t="n"/>
      <c r="T28" s="28" t="inlineStr">
        <is>
          <t>2027 status: PROVISIONAL — the state's verified 2026 rule carried forward as a planning assumption; official 2027 guidance not yet published as of 2026-10-14. 2026 source: MI Treasury Form 446 (Rev. 10-25), 2026 Withholding Guide</t>
        </is>
      </c>
      <c r="U28" s="13" t="inlineStr">
        <is>
          <t>2026-10-14</t>
        </is>
      </c>
      <c r="V28" s="28" t="inlineStr">
        <is>
          <t>Flat 4.25%; $5,900 per exemption. Bonuses paid separately: 4.25% with no exemptions. City income taxes (Detroit etc.) via Inputs row 81/27. No official wage worked example is published.</t>
        </is>
      </c>
      <c r="W28" s="13" t="n"/>
      <c r="X28" s="13" t="n"/>
      <c r="Y28" s="13" t="n"/>
      <c r="Z28" s="13" t="n"/>
      <c r="AA28" s="13" t="n"/>
      <c r="AB28" s="13" t="n"/>
    </row>
    <row r="29">
      <c r="A29" s="13" t="inlineStr">
        <is>
          <t>MN</t>
        </is>
      </c>
      <c r="B29" s="13" t="inlineStr">
        <is>
          <t>Minnesota</t>
        </is>
      </c>
      <c r="C29" s="13" t="inlineStr">
        <is>
          <t>Form W-4MN</t>
        </is>
      </c>
      <c r="D29" s="13" t="inlineStr">
        <is>
          <t>Graduated</t>
        </is>
      </c>
      <c r="E29" s="13" t="inlineStr">
        <is>
          <t>LIVE — formula (Phase B)</t>
        </is>
      </c>
      <c r="F29" s="13" t="inlineStr">
        <is>
          <t>GEN</t>
        </is>
      </c>
      <c r="G29" s="13" t="n"/>
      <c r="H29" s="13" t="n"/>
      <c r="I29" s="13" t="n"/>
      <c r="J29" s="13" t="n"/>
      <c r="K29" s="13" t="n"/>
      <c r="L29" s="13" t="n"/>
      <c r="M29" s="29" t="n">
        <v>0.0625</v>
      </c>
      <c r="N29" s="13" t="inlineStr">
        <is>
          <t>MN Paid Leave (employee share)</t>
        </is>
      </c>
      <c r="O29" s="27" t="n">
        <v>0.0044</v>
      </c>
      <c r="P29" s="16" t="n">
        <v>185000</v>
      </c>
      <c r="Q29" s="13" t="n"/>
      <c r="R29" s="13" t="n"/>
      <c r="S29" s="13" t="n"/>
      <c r="T29" s="28" t="inlineStr">
        <is>
          <t>2027 status: PROVISIONAL — the state's verified 2026 rule carried forward as a planning assumption; official 2027 guidance not yet published as of 2026-10-14. 2026 source: MN DOR 2026 Withholding Instruction Booklet &amp; Tax Tables (Computer Formula, p.34)</t>
        </is>
      </c>
      <c r="U29" s="13" t="inlineStr">
        <is>
          <t>2026-10-14</t>
        </is>
      </c>
      <c r="V29" s="28" t="inlineStr">
        <is>
          <t>$5,300 per allowance; Step-5 exclusion $4,700 single / $14,700 married is built into the bracket floors. Engine keeps cents (booklet permits whole-dollar rounding). No official worked example — derived formula check PASS.</t>
        </is>
      </c>
      <c r="W29" s="13" t="n"/>
      <c r="X29" s="13" t="inlineStr">
        <is>
          <t>rate</t>
        </is>
      </c>
      <c r="Y29" s="13" t="n"/>
      <c r="Z29" s="13" t="n"/>
      <c r="AA29" s="13" t="n"/>
      <c r="AB29" s="13" t="n"/>
    </row>
    <row r="30">
      <c r="A30" s="13" t="inlineStr">
        <is>
          <t>MO</t>
        </is>
      </c>
      <c r="B30" s="13" t="inlineStr">
        <is>
          <t>Missouri</t>
        </is>
      </c>
      <c r="C30" s="13" t="inlineStr">
        <is>
          <t>Form MO W-4</t>
        </is>
      </c>
      <c r="D30" s="13" t="inlineStr">
        <is>
          <t>Graduated</t>
        </is>
      </c>
      <c r="E30" s="13" t="inlineStr">
        <is>
          <t>LIVE — formula (Phase B)</t>
        </is>
      </c>
      <c r="F30" s="13" t="inlineStr">
        <is>
          <t>GEN</t>
        </is>
      </c>
      <c r="G30" s="13" t="n"/>
      <c r="H30" s="13" t="n"/>
      <c r="I30" s="13" t="n"/>
      <c r="J30" s="13" t="n"/>
      <c r="K30" s="13" t="n"/>
      <c r="L30" s="13" t="n"/>
      <c r="M30" s="29" t="n">
        <v>0.047</v>
      </c>
      <c r="N30" s="13" t="n"/>
      <c r="O30" s="13" t="n"/>
      <c r="P30" s="13" t="n"/>
      <c r="Q30" s="13" t="n"/>
      <c r="R30" s="13" t="n"/>
      <c r="S30" s="13" t="n"/>
      <c r="T30" s="28" t="inlineStr">
        <is>
          <t>2027 status: PROVISIONAL — the state's verified 2026 rule carried forward as a planning assumption; official 2027 guidance not yet published as of 2026-10-14. 2026 source: MO DOR 2026 Withholding Tax Formula; Form 4282 Employer's Tax Guide</t>
        </is>
      </c>
      <c r="U30" s="13" t="inlineStr">
        <is>
          <t>2026-10-14</t>
        </is>
      </c>
      <c r="V30" s="28" t="inlineStr">
        <is>
          <t>Standard deduction by status/spouse-works (row 83): $16,100 / $24,150 HoH / $32,200. Nine $1,348 bands to 4.7%. Kansas City &amp; St. Louis 1% earnings taxes via Inputs row 81. QA: formula-sheet example PASS (−$0.02; guide rounds to whole dollars).</t>
        </is>
      </c>
      <c r="W30" s="13" t="n"/>
      <c r="X30" s="13" t="n"/>
      <c r="Y30" s="13" t="n"/>
      <c r="Z30" s="13" t="n"/>
      <c r="AA30" s="13" t="n"/>
      <c r="AB30" s="13" t="n"/>
    </row>
    <row r="31">
      <c r="A31" s="13" t="inlineStr">
        <is>
          <t>MS</t>
        </is>
      </c>
      <c r="B31" s="13" t="inlineStr">
        <is>
          <t>Mississippi</t>
        </is>
      </c>
      <c r="C31" s="13" t="inlineStr">
        <is>
          <t>Form 89-350</t>
        </is>
      </c>
      <c r="D31" s="13" t="inlineStr">
        <is>
          <t>Flat</t>
        </is>
      </c>
      <c r="E31" s="13" t="inlineStr">
        <is>
          <t>LIVE — formula (Phase B)</t>
        </is>
      </c>
      <c r="F31" s="13" t="inlineStr">
        <is>
          <t>DIR</t>
        </is>
      </c>
      <c r="G31" s="13" t="n"/>
      <c r="H31" s="13" t="n"/>
      <c r="I31" s="13" t="n"/>
      <c r="J31" s="13" t="n"/>
      <c r="K31" s="13" t="n"/>
      <c r="L31" s="13" t="n"/>
      <c r="M31" s="13" t="n"/>
      <c r="N31" s="13" t="n"/>
      <c r="O31" s="13" t="n"/>
      <c r="P31" s="13" t="n"/>
      <c r="Q31" s="13" t="n"/>
      <c r="R31" s="13" t="n"/>
      <c r="S31" s="13" t="n"/>
      <c r="T31" s="28" t="inlineStr">
        <is>
          <t>2027 status: PROVISIONAL — the state's verified 2026 rule carried forward as a planning assumption; official 2027 guidance not yet published as of 2026-10-14. 2026 source: MS DOR Computer Payroll Accounting — For Periods In 2026 (Rev. 8/13/25)</t>
        </is>
      </c>
      <c r="U31" s="13" t="inlineStr">
        <is>
          <t>2026-10-14</t>
        </is>
      </c>
      <c r="V31" s="28" t="inlineStr">
        <is>
          <t>4.0% of taxable income over $10,000; TI = wages − standard deduction (Single $2,300 / Married $4,600 / HoH $3,400) − your Form 89-350 exemption total (row 85). Married-both-employed uses $2,300 — engine uses $4,600 for 'Married' (note). No official worked example — derived formula check PASS.</t>
        </is>
      </c>
      <c r="W31" s="13" t="n"/>
      <c r="X31" s="13" t="n"/>
      <c r="Y31" s="13" t="n"/>
      <c r="Z31" s="13" t="n"/>
      <c r="AA31" s="13" t="n"/>
      <c r="AB31" s="13" t="n"/>
    </row>
    <row r="32">
      <c r="A32" s="13" t="inlineStr">
        <is>
          <t>MT</t>
        </is>
      </c>
      <c r="B32" s="13" t="inlineStr">
        <is>
          <t>Montana</t>
        </is>
      </c>
      <c r="C32" s="13" t="inlineStr">
        <is>
          <t>Form MW-4</t>
        </is>
      </c>
      <c r="D32" s="13" t="inlineStr">
        <is>
          <t>Graduated</t>
        </is>
      </c>
      <c r="E32" s="13" t="inlineStr">
        <is>
          <t>LIVE — formula (Phase B)</t>
        </is>
      </c>
      <c r="F32" s="13" t="inlineStr">
        <is>
          <t>GEN</t>
        </is>
      </c>
      <c r="G32" s="13" t="n"/>
      <c r="H32" s="13" t="n"/>
      <c r="I32" s="13" t="n"/>
      <c r="J32" s="13" t="n"/>
      <c r="K32" s="13" t="n"/>
      <c r="L32" s="13" t="n"/>
      <c r="M32" s="29" t="n">
        <v>0.05</v>
      </c>
      <c r="N32" s="13" t="n"/>
      <c r="O32" s="13" t="n"/>
      <c r="P32" s="13" t="n"/>
      <c r="Q32" s="13" t="n"/>
      <c r="R32" s="13" t="n"/>
      <c r="S32" s="13" t="n"/>
      <c r="T32" s="28" t="inlineStr">
        <is>
          <t>2027 status: PROVISIONAL — the state's verified 2026 rule carried forward as a planning assumption; official 2027 guidance not yet published as of 2026-10-14. 2026 source: MT DOR Employer &amp; Information Agent Guide with Withholding Tax Tables, V4 Nov 2025</t>
        </is>
      </c>
      <c r="U32" s="13" t="inlineStr">
        <is>
          <t>2026-10-14</t>
        </is>
      </c>
      <c r="V32" s="28" t="inlineStr">
        <is>
          <t>0% / 4.7% / 5.65% by status family (MFJ both-working uses the Single family — select 'Single'). No separate deduction — the 0% bracket is the deduction. Guide examples round to the nearest dollar. QA: all three published examples PASS within rounding.</t>
        </is>
      </c>
      <c r="W32" s="13" t="n"/>
      <c r="X32" s="13" t="n"/>
      <c r="Y32" s="13" t="n"/>
      <c r="Z32" s="13" t="n"/>
      <c r="AA32" s="13" t="n"/>
      <c r="AB32" s="13" t="n"/>
    </row>
    <row r="33">
      <c r="A33" s="13" t="inlineStr">
        <is>
          <t>NC</t>
        </is>
      </c>
      <c r="B33" s="13" t="inlineStr">
        <is>
          <t>North Carolina</t>
        </is>
      </c>
      <c r="C33" s="13" t="inlineStr">
        <is>
          <t>Form NC-4</t>
        </is>
      </c>
      <c r="D33" s="13" t="inlineStr">
        <is>
          <t>Flat</t>
        </is>
      </c>
      <c r="E33" s="13" t="inlineStr">
        <is>
          <t>MANUAL ENTRY — see Notes</t>
        </is>
      </c>
      <c r="F33" s="13" t="inlineStr">
        <is>
          <t>—</t>
        </is>
      </c>
      <c r="G33" s="13" t="n"/>
      <c r="H33" s="13" t="n"/>
      <c r="I33" s="13" t="n"/>
      <c r="J33" s="13" t="n"/>
      <c r="K33" s="13" t="n"/>
      <c r="L33" s="13" t="n"/>
      <c r="M33" s="29" t="n">
        <v>0.0409</v>
      </c>
      <c r="N33" s="13" t="n"/>
      <c r="O33" s="13" t="n"/>
      <c r="P33" s="13" t="n"/>
      <c r="Q33" s="13" t="n"/>
      <c r="R33" s="13" t="n"/>
      <c r="S33" s="13" t="n"/>
      <c r="T33" s="28" t="inlineStr">
        <is>
          <t>2027 status: MANUAL — unchanged from 2026 (see Notes). 2026 source: NCDOR NC-30 (2026) — not readable in the research session; NC tax rate schedules (statutory 3.99%)</t>
        </is>
      </c>
      <c r="U33" s="13" t="inlineStr">
        <is>
          <t>2026-10-14</t>
        </is>
      </c>
      <c r="V33" s="28" t="inlineStr">
        <is>
          <t>MANUAL — integrity rule: the 4.09% withholding rate, $2,500 allowance and withholding standard deductions are consistent in secondary sources but were UNVERIFIED from the 2026 NC-30 itself. The supplemental rule (rate + 0.10%) is verified in 17 NCAC 06C .0117 but the base rate for the formula is not.</t>
        </is>
      </c>
      <c r="W33" s="13" t="n"/>
      <c r="X33" s="13" t="n"/>
      <c r="Y33" s="13" t="n"/>
      <c r="Z33" s="13" t="n"/>
      <c r="AA33" s="13" t="n"/>
      <c r="AB33" s="13" t="n"/>
    </row>
    <row r="34">
      <c r="A34" s="13" t="inlineStr">
        <is>
          <t>ND</t>
        </is>
      </c>
      <c r="B34" s="13" t="inlineStr">
        <is>
          <t>North Dakota</t>
        </is>
      </c>
      <c r="C34" s="13" t="inlineStr">
        <is>
          <t>Federal W-4</t>
        </is>
      </c>
      <c r="D34" s="13" t="inlineStr">
        <is>
          <t>Graduated</t>
        </is>
      </c>
      <c r="E34" s="13" t="inlineStr">
        <is>
          <t>LIVE — formula (Phase B)</t>
        </is>
      </c>
      <c r="F34" s="13" t="inlineStr">
        <is>
          <t>GEN</t>
        </is>
      </c>
      <c r="G34" s="13" t="n"/>
      <c r="H34" s="13" t="n"/>
      <c r="I34" s="13" t="n"/>
      <c r="J34" s="13" t="n"/>
      <c r="K34" s="13" t="n"/>
      <c r="L34" s="13" t="n"/>
      <c r="M34" s="29" t="n">
        <v>0.015</v>
      </c>
      <c r="N34" s="13" t="n"/>
      <c r="O34" s="13" t="n"/>
      <c r="P34" s="13" t="n"/>
      <c r="Q34" s="13" t="n"/>
      <c r="R34" s="13" t="n"/>
      <c r="S34" s="13" t="n"/>
      <c r="T34" s="28" t="inlineStr">
        <is>
          <t>2027 status: PROVISIONAL — the state's verified 2026 rule carried forward as a planning assumption; official 2027 guidance not yet published as of 2026-10-14. 2026 source: ND Tax Commissioner, Income Tax Withholding Rates &amp; Instructions (2026), Section 2 (2020+ W-4)</t>
        </is>
      </c>
      <c r="U34" s="13" t="inlineStr">
        <is>
          <t>2026-10-14</t>
        </is>
      </c>
      <c r="V34" s="28" t="inlineStr">
        <is>
          <t>Zero bracket built into the schedule (Single $57,625 / MFJ $57,500 / HoH $78,475); 1.95% / 2.50%. Engine implements Section 2 (current W-4s). QA: the guide's Section 2 example is a stale prior-year carryover (research-verified) — engine matches the 2026 TABLE ($13.49/wk). Section 1 (pre-2020 W-4) example reproduces but is not the engine's method.</t>
        </is>
      </c>
      <c r="W34" s="13" t="n"/>
      <c r="X34" s="13" t="n"/>
      <c r="Y34" s="13" t="n"/>
      <c r="Z34" s="13" t="n"/>
      <c r="AA34" s="13" t="n"/>
      <c r="AB34" s="13" t="n"/>
    </row>
    <row r="35">
      <c r="A35" s="13" t="inlineStr">
        <is>
          <t>NE</t>
        </is>
      </c>
      <c r="B35" s="13" t="inlineStr">
        <is>
          <t>Nebraska</t>
        </is>
      </c>
      <c r="C35" s="13" t="inlineStr">
        <is>
          <t>Form W-4N</t>
        </is>
      </c>
      <c r="D35" s="13" t="inlineStr">
        <is>
          <t>Graduated</t>
        </is>
      </c>
      <c r="E35" s="13" t="inlineStr">
        <is>
          <t>LIVE — formula (Phase B)</t>
        </is>
      </c>
      <c r="F35" s="13" t="inlineStr">
        <is>
          <t>GEN</t>
        </is>
      </c>
      <c r="G35" s="13" t="n"/>
      <c r="H35" s="13" t="n"/>
      <c r="I35" s="13" t="n"/>
      <c r="J35" s="13" t="n"/>
      <c r="K35" s="13" t="n"/>
      <c r="L35" s="13" t="n"/>
      <c r="M35" s="29" t="n">
        <v>0.035</v>
      </c>
      <c r="N35" s="13" t="n"/>
      <c r="O35" s="13" t="n"/>
      <c r="P35" s="13" t="n"/>
      <c r="Q35" s="13" t="n"/>
      <c r="R35" s="13" t="n"/>
      <c r="S35" s="13" t="n"/>
      <c r="T35" s="28" t="inlineStr">
        <is>
          <t>2027 status: PROVISIONAL — the state's verified 2026 rule carried forward as a planning assumption; official 2027 guidance not yet published as of 2026-10-14. 2026 source: NE DOR Circular EN (Rev. 11-2025), percentage method Table 7</t>
        </is>
      </c>
      <c r="U35" s="13" t="inlineStr">
        <is>
          <t>2026-10-14</t>
        </is>
      </c>
      <c r="V35" s="28" t="inlineStr">
        <is>
          <t>$2,440 per allowance; withholding-specific rates 2.26%–4.60%; the 1.5%-of-taxable-wages floor is applied in the engine. No narrative example — derived formula check PASS ($147.17/mo).</t>
        </is>
      </c>
      <c r="W35" s="13" t="n"/>
      <c r="X35" s="13" t="n"/>
      <c r="Y35" s="13" t="n"/>
      <c r="Z35" s="13" t="n"/>
      <c r="AA35" s="13" t="n"/>
      <c r="AB35" s="13" t="n"/>
    </row>
    <row r="36">
      <c r="A36" s="13" t="inlineStr">
        <is>
          <t>NH</t>
        </is>
      </c>
      <c r="B36" s="13" t="inlineStr">
        <is>
          <t>New Hampshire</t>
        </is>
      </c>
      <c r="C36" s="13" t="inlineStr">
        <is>
          <t>— (no income tax)</t>
        </is>
      </c>
      <c r="D36" s="13" t="inlineStr">
        <is>
          <t>None</t>
        </is>
      </c>
      <c r="E36" s="13" t="inlineStr">
        <is>
          <t>LIVE — $0 (no wage income tax)</t>
        </is>
      </c>
      <c r="F36" s="13" t="inlineStr">
        <is>
          <t>None</t>
        </is>
      </c>
      <c r="G36" s="13" t="n"/>
      <c r="H36" s="13" t="n"/>
      <c r="I36" s="13" t="n"/>
      <c r="J36" s="13" t="n"/>
      <c r="K36" s="13" t="n"/>
      <c r="L36" s="13" t="n"/>
      <c r="M36" s="13" t="n"/>
      <c r="N36" s="13" t="n"/>
      <c r="O36" s="13" t="n"/>
      <c r="P36" s="13" t="n"/>
      <c r="Q36" s="13" t="n"/>
      <c r="R36" s="13" t="n"/>
      <c r="S36" s="13" t="n"/>
      <c r="T36" s="28" t="inlineStr">
        <is>
          <t>State law — no wage income tax (regional research files, planner-build/states-*.md)</t>
        </is>
      </c>
      <c r="U36" s="13" t="inlineStr">
        <is>
          <t>2026-10-14</t>
        </is>
      </c>
      <c r="V36" s="28" t="inlineStr">
        <is>
          <t>Employee-paid programs at left still apply where listed.</t>
        </is>
      </c>
      <c r="W36" s="13" t="n"/>
      <c r="X36" s="13" t="n"/>
      <c r="Y36" s="13" t="n"/>
      <c r="Z36" s="13" t="n"/>
      <c r="AA36" s="13" t="n"/>
      <c r="AB36" s="13" t="n"/>
    </row>
    <row r="37">
      <c r="A37" s="13" t="inlineStr">
        <is>
          <t>NJ</t>
        </is>
      </c>
      <c r="B37" s="13" t="inlineStr">
        <is>
          <t>New Jersey</t>
        </is>
      </c>
      <c r="C37" s="13" t="inlineStr">
        <is>
          <t>Form NJ-W4</t>
        </is>
      </c>
      <c r="D37" s="13" t="inlineStr">
        <is>
          <t>Graduated</t>
        </is>
      </c>
      <c r="E37" s="13" t="inlineStr">
        <is>
          <t>LIVE — formula (Phase B)</t>
        </is>
      </c>
      <c r="F37" s="13" t="inlineStr">
        <is>
          <t>GEN</t>
        </is>
      </c>
      <c r="G37" s="13" t="n"/>
      <c r="H37" s="13" t="n"/>
      <c r="I37" s="13" t="n"/>
      <c r="J37" s="13" t="n"/>
      <c r="K37" s="13" t="n"/>
      <c r="L37" s="13" t="n"/>
      <c r="M37" s="13" t="n"/>
      <c r="N37" s="13" t="inlineStr">
        <is>
          <t>NJ Temporary Disability (TDI)</t>
        </is>
      </c>
      <c r="O37" s="27" t="n">
        <v>0.0019</v>
      </c>
      <c r="P37" s="16" t="n">
        <v>171100</v>
      </c>
      <c r="Q37" s="13" t="inlineStr">
        <is>
          <t>NJ Family Leave Insurance (FLI)</t>
        </is>
      </c>
      <c r="R37" s="27" t="n">
        <v>0.0023</v>
      </c>
      <c r="S37" s="16" t="n">
        <v>171100</v>
      </c>
      <c r="T37" s="28" t="inlineStr">
        <is>
          <t>2027 status: PROVISIONAL — the state's verified 2026 rule carried forward as a planning assumption; official 2027 guidance not yet published as of 2026-10-14. 2026 source: NJ Division of Taxation, NJ-WT (Sept 2025 ed.) + Withholding Rate Tables (post-10/1/2020)</t>
        </is>
      </c>
      <c r="U37" s="13" t="inlineStr">
        <is>
          <t>2026-10-14</t>
        </is>
      </c>
      <c r="V37" s="28" t="inlineStr">
        <is>
          <t>Rate tables A–E; $1,000 per exemption. Select your table letter (row 77) from your NJ-W4 — the status-to-letter mapping is printed on the NJ-W4 and was not transcribed in the research. One-offs paid separately use the tables WITHOUT exemptions. QA: NJ-WT's percentage-method examples are image-only in the PDF — not extractable; tables transcribed from the official rate-table publication.</t>
        </is>
      </c>
      <c r="W37" s="13" t="n"/>
      <c r="X37" s="13" t="inlineStr">
        <is>
          <t>rate</t>
        </is>
      </c>
      <c r="Y37" s="13" t="n"/>
      <c r="Z37" s="13" t="n"/>
      <c r="AA37" s="13" t="inlineStr">
        <is>
          <t>rate</t>
        </is>
      </c>
      <c r="AB37" s="13" t="n"/>
    </row>
    <row r="38">
      <c r="A38" s="13" t="inlineStr">
        <is>
          <t>NM</t>
        </is>
      </c>
      <c r="B38" s="13" t="inlineStr">
        <is>
          <t>New Mexico</t>
        </is>
      </c>
      <c r="C38" s="13" t="inlineStr">
        <is>
          <t>Federal W-4 (NM copy)</t>
        </is>
      </c>
      <c r="D38" s="13" t="inlineStr">
        <is>
          <t>Graduated</t>
        </is>
      </c>
      <c r="E38" s="13" t="inlineStr">
        <is>
          <t>MANUAL ENTRY — see Notes</t>
        </is>
      </c>
      <c r="F38" s="13" t="inlineStr">
        <is>
          <t>—</t>
        </is>
      </c>
      <c r="G38" s="13" t="n"/>
      <c r="H38" s="13" t="n"/>
      <c r="I38" s="13" t="n"/>
      <c r="J38" s="13" t="n"/>
      <c r="K38" s="13" t="n"/>
      <c r="L38" s="13" t="n"/>
      <c r="M38" s="29" t="n">
        <v>0.059</v>
      </c>
      <c r="N38" s="13" t="inlineStr">
        <is>
          <t>NM Workers' Comp fee (employee share)</t>
        </is>
      </c>
      <c r="O38" s="13" t="n"/>
      <c r="P38" s="13" t="n"/>
      <c r="Q38" s="13" t="n"/>
      <c r="R38" s="13" t="n"/>
      <c r="S38" s="13" t="n"/>
      <c r="T38" s="28" t="inlineStr">
        <is>
          <t>2027 status: MANUAL — unchanged from 2026 (see Notes). 2026 source: NM TRD FYI-104 (Rev. 11/2025), Withholding Tax</t>
        </is>
      </c>
      <c r="U38" s="13" t="inlineStr">
        <is>
          <t>2026-10-14</t>
        </is>
      </c>
      <c r="V38" s="28" t="inlineStr">
        <is>
          <t>MANUAL — integrity rule: FYI-104's stated annual rate order (1.5/3.2/4.3/4.7/4.9/5.9%) contradicts its own published worked example (married, weekly $1,000 + $20 extra -&gt; $41.80; the table portion implies different band rates), and the upper bands cannot be determined unambiguously from the research. The verified supplemental rate (5.9%) and the workers-comp fee (program at left, live) are unaffected.</t>
        </is>
      </c>
      <c r="W38" s="13" t="n"/>
      <c r="X38" s="13" t="inlineStr">
        <is>
          <t>flatq</t>
        </is>
      </c>
      <c r="Y38" s="16" t="n">
        <v>2.25</v>
      </c>
      <c r="Z38" s="13" t="n"/>
      <c r="AA38" s="13" t="n"/>
      <c r="AB38" s="13" t="n"/>
    </row>
    <row r="39">
      <c r="A39" s="13" t="inlineStr">
        <is>
          <t>NV</t>
        </is>
      </c>
      <c r="B39" s="13" t="inlineStr">
        <is>
          <t>Nevada</t>
        </is>
      </c>
      <c r="C39" s="13" t="inlineStr">
        <is>
          <t>— (no income tax)</t>
        </is>
      </c>
      <c r="D39" s="13" t="inlineStr">
        <is>
          <t>None</t>
        </is>
      </c>
      <c r="E39" s="13" t="inlineStr">
        <is>
          <t>LIVE — $0 (no wage income tax)</t>
        </is>
      </c>
      <c r="F39" s="13" t="inlineStr">
        <is>
          <t>None</t>
        </is>
      </c>
      <c r="G39" s="13" t="n"/>
      <c r="H39" s="13" t="n"/>
      <c r="I39" s="13" t="n"/>
      <c r="J39" s="13" t="n"/>
      <c r="K39" s="13" t="n"/>
      <c r="L39" s="13" t="n"/>
      <c r="M39" s="13" t="n"/>
      <c r="N39" s="13" t="n"/>
      <c r="O39" s="13" t="n"/>
      <c r="P39" s="13" t="n"/>
      <c r="Q39" s="13" t="n"/>
      <c r="R39" s="13" t="n"/>
      <c r="S39" s="13" t="n"/>
      <c r="T39" s="28" t="inlineStr">
        <is>
          <t>State law — no wage income tax (regional research files, planner-build/states-*.md)</t>
        </is>
      </c>
      <c r="U39" s="13" t="inlineStr">
        <is>
          <t>2026-10-14</t>
        </is>
      </c>
      <c r="V39" s="28" t="inlineStr">
        <is>
          <t>Employee-paid programs at left still apply where listed.</t>
        </is>
      </c>
      <c r="W39" s="13" t="n"/>
      <c r="X39" s="13" t="n"/>
      <c r="Y39" s="13" t="n"/>
      <c r="Z39" s="13" t="n"/>
      <c r="AA39" s="13" t="n"/>
      <c r="AB39" s="13" t="n"/>
    </row>
    <row r="40">
      <c r="A40" s="13" t="inlineStr">
        <is>
          <t>NY</t>
        </is>
      </c>
      <c r="B40" s="13" t="inlineStr">
        <is>
          <t>New York</t>
        </is>
      </c>
      <c r="C40" s="13" t="inlineStr">
        <is>
          <t>Form IT-2104</t>
        </is>
      </c>
      <c r="D40" s="13" t="inlineStr">
        <is>
          <t>Graduated</t>
        </is>
      </c>
      <c r="E40" s="13" t="inlineStr">
        <is>
          <t>LIVE — formula (Phase B)</t>
        </is>
      </c>
      <c r="F40" s="13" t="inlineStr">
        <is>
          <t>GEN</t>
        </is>
      </c>
      <c r="G40" s="13" t="n"/>
      <c r="H40" s="13" t="n"/>
      <c r="I40" s="13" t="n"/>
      <c r="J40" s="13" t="n"/>
      <c r="K40" s="13" t="n"/>
      <c r="L40" s="13" t="n"/>
      <c r="M40" s="29" t="n">
        <v>0.117</v>
      </c>
      <c r="N40" s="13" t="inlineStr">
        <is>
          <t>NY Paid Family Leave (PFL)</t>
        </is>
      </c>
      <c r="O40" s="27" t="n">
        <v>0.00432</v>
      </c>
      <c r="P40" s="16" t="n">
        <v>95349.07000000001</v>
      </c>
      <c r="Q40" s="13" t="inlineStr">
        <is>
          <t>NY Disability (DBL, employee max)</t>
        </is>
      </c>
      <c r="R40" s="27" t="n">
        <v>0.005</v>
      </c>
      <c r="S40" s="13" t="n"/>
      <c r="T40" s="28" t="inlineStr">
        <is>
          <t>2027 status: PROVISIONAL — the state's verified 2026 rule carried forward as a planning assumption; official 2027 guidance not yet published as of 2026-10-14. 2026 source: NY Tax Dept NYS-50-T-NYS / -NYC / -Y (1/26), Method II exact calculation</t>
        </is>
      </c>
      <c r="U40" s="13" t="inlineStr">
        <is>
          <t>2026-10-14</t>
        </is>
      </c>
      <c r="V40" s="28" t="inlineStr">
        <is>
          <t>Table A allowance $7,400 single / $7,950 married + $1,000/exemption; Method III top rates apply at $1,077,550+ single / $2,155,350+ married (built into the schedule). NYC and Yonkers compute on the Local line (rows 78–79). The engine includes the Method II tables' printed bracket-base amounts, which are rounded in the publication and differ from pure rate accumulation by up to ~$4.29/yr (band adjustments in the formula). QA: monthly examples PASS (within $0.01); weekly examples −$0.02/−$0.03 — the published examples use Method I per-period tables, whose rounding differs from annualized Method II by design.</t>
        </is>
      </c>
      <c r="W40" s="16" t="n">
        <v>411.91</v>
      </c>
      <c r="X40" s="13" t="inlineStr">
        <is>
          <t>rate</t>
        </is>
      </c>
      <c r="Y40" s="13" t="n"/>
      <c r="Z40" s="13" t="n"/>
      <c r="AA40" s="13" t="inlineStr">
        <is>
          <t>dbl</t>
        </is>
      </c>
      <c r="AB40" s="13" t="n"/>
    </row>
    <row r="41">
      <c r="A41" s="13" t="inlineStr">
        <is>
          <t>OH</t>
        </is>
      </c>
      <c r="B41" s="13" t="inlineStr">
        <is>
          <t>Ohio</t>
        </is>
      </c>
      <c r="C41" s="13" t="inlineStr">
        <is>
          <t>Form IT 4</t>
        </is>
      </c>
      <c r="D41" s="13" t="inlineStr">
        <is>
          <t>Graduated</t>
        </is>
      </c>
      <c r="E41" s="13" t="inlineStr">
        <is>
          <t>LIVE — formula (Phase B)</t>
        </is>
      </c>
      <c r="F41" s="13" t="inlineStr">
        <is>
          <t>GEN</t>
        </is>
      </c>
      <c r="G41" s="13" t="n"/>
      <c r="H41" s="13" t="n"/>
      <c r="I41" s="13" t="n"/>
      <c r="J41" s="13" t="n"/>
      <c r="K41" s="13" t="n"/>
      <c r="L41" s="13" t="n"/>
      <c r="M41" s="29" t="n">
        <v>0.0275</v>
      </c>
      <c r="N41" s="13" t="n"/>
      <c r="O41" s="13" t="n"/>
      <c r="P41" s="13" t="n"/>
      <c r="Q41" s="13" t="n"/>
      <c r="R41" s="13" t="n"/>
      <c r="S41" s="13" t="n"/>
      <c r="T41" s="28" t="inlineStr">
        <is>
          <t>2027 status: PROVISIONAL — the state's verified 2026 rule carried forward as a planning assumption; official 2027 guidance not yet published as of 2026-10-14. 2026 source: ODT Optional Computer Formula (Rev. 09/25; Rev. 07/26 eff. 8/1/2026); OAC 5703-7-10</t>
        </is>
      </c>
      <c r="U41" s="13" t="inlineStr">
        <is>
          <t>2026-10-14</t>
        </is>
      </c>
      <c r="V41" s="28" t="inlineStr">
        <is>
          <t>Period-aware: pay dates Jan 1–Jul 31, 2026 use 1.775%/2.99%/3.64%; Aug 1+ use 1.6%/2.99%/3.4% (thresholds $26,050/$100,000; $650/exemption). Municipal &amp; school-district taxes via Inputs row 81/27. No official worked example — derived formula check PASS ($34.92).</t>
        </is>
      </c>
      <c r="W41" s="13" t="n"/>
      <c r="X41" s="13" t="n"/>
      <c r="Y41" s="13" t="n"/>
      <c r="Z41" s="13" t="n"/>
      <c r="AA41" s="13" t="n"/>
      <c r="AB41" s="13" t="n"/>
    </row>
    <row r="42">
      <c r="A42" s="13" t="inlineStr">
        <is>
          <t>OK</t>
        </is>
      </c>
      <c r="B42" s="13" t="inlineStr">
        <is>
          <t>Oklahoma</t>
        </is>
      </c>
      <c r="C42" s="13" t="inlineStr">
        <is>
          <t>Form OK-W-4</t>
        </is>
      </c>
      <c r="D42" s="13" t="inlineStr">
        <is>
          <t>Graduated</t>
        </is>
      </c>
      <c r="E42" s="13" t="inlineStr">
        <is>
          <t>LIVE — formula (Phase B)</t>
        </is>
      </c>
      <c r="F42" s="13" t="inlineStr">
        <is>
          <t>GEN</t>
        </is>
      </c>
      <c r="G42" s="13" t="n"/>
      <c r="H42" s="13" t="n"/>
      <c r="I42" s="13" t="n"/>
      <c r="J42" s="13" t="n"/>
      <c r="K42" s="13" t="n"/>
      <c r="L42" s="13" t="n"/>
      <c r="M42" s="29" t="n">
        <v>0.045</v>
      </c>
      <c r="N42" s="13" t="n"/>
      <c r="O42" s="13" t="n"/>
      <c r="P42" s="13" t="n"/>
      <c r="Q42" s="13" t="n"/>
      <c r="R42" s="13" t="n"/>
      <c r="S42" s="13" t="n"/>
      <c r="T42" s="28" t="inlineStr">
        <is>
          <t>2027 status: PROVISIONAL — the state's verified 2026 rule carried forward as a planning assumption; official 2027 guidance not yet published as of 2026-10-14. 2026 source: OK Tax Commission Packet OW-2 (2026), Percentage Formula Method (Table 7 annualized)</t>
        </is>
      </c>
      <c r="U42" s="13" t="inlineStr">
        <is>
          <t>2026-10-14</t>
        </is>
      </c>
      <c r="V42" s="28" t="inlineStr">
        <is>
          <t>$1,000 per allowance; zero bracket $10,100 single / $20,200 married (standard deduction embedded in thresholds). Results rounded to cents (packet rounds to whole dollars). QA: OW-2 sample computation PASS (−$0.33 rounding; the packet's prose '$12.19' is a misprint for its table's $9.10 base).</t>
        </is>
      </c>
      <c r="W42" s="13" t="n"/>
      <c r="X42" s="13" t="n"/>
      <c r="Y42" s="13" t="n"/>
      <c r="Z42" s="13" t="n"/>
      <c r="AA42" s="13" t="n"/>
      <c r="AB42" s="13" t="n"/>
    </row>
    <row r="43">
      <c r="A43" s="13" t="inlineStr">
        <is>
          <t>OR</t>
        </is>
      </c>
      <c r="B43" s="13" t="inlineStr">
        <is>
          <t>Oregon</t>
        </is>
      </c>
      <c r="C43" s="13" t="inlineStr">
        <is>
          <t>Form OR-W-4</t>
        </is>
      </c>
      <c r="D43" s="13" t="inlineStr">
        <is>
          <t>Graduated</t>
        </is>
      </c>
      <c r="E43" s="13" t="inlineStr">
        <is>
          <t>LIVE — formula (Phase B)</t>
        </is>
      </c>
      <c r="F43" s="13" t="inlineStr">
        <is>
          <t>DIR</t>
        </is>
      </c>
      <c r="G43" s="13" t="n"/>
      <c r="H43" s="13" t="n"/>
      <c r="I43" s="13" t="n"/>
      <c r="J43" s="13" t="n"/>
      <c r="K43" s="13" t="n"/>
      <c r="L43" s="13" t="n"/>
      <c r="M43" s="29" t="n">
        <v>0.08</v>
      </c>
      <c r="N43" s="13" t="inlineStr">
        <is>
          <t>Paid Leave Oregon (employee share)</t>
        </is>
      </c>
      <c r="O43" s="27" t="n">
        <v>0.006</v>
      </c>
      <c r="P43" s="16" t="n">
        <v>192300</v>
      </c>
      <c r="Q43" s="13" t="inlineStr">
        <is>
          <t>OR statewide transit tax</t>
        </is>
      </c>
      <c r="R43" s="27" t="n">
        <v>0.001</v>
      </c>
      <c r="S43" s="13" t="n"/>
      <c r="T43" s="28" t="inlineStr">
        <is>
          <t>2027 status: PROVISIONAL — the state's verified 2026 rule carried forward as a planning assumption; official 2027 guidance not yet published as of 2026-10-14. 2026 source: OR DOR Pub. 150-206-436, Withholding Tax Formulas (Rev. 12-11-25), eff. 1/1/2026</t>
        </is>
      </c>
      <c r="U43" s="13" t="inlineStr">
        <is>
          <t>2026-10-14</t>
        </is>
      </c>
      <c r="V43" s="28" t="inlineStr">
        <is>
          <t>BASE = wages − federal withholding (capped $8,750, phased out at high wages) − standard deduction ($2,910 S / $5,820 M; single with 3+ allowances uses the married formula); minus $263 per allowance after the brackets; allowances forced to 0 over $100K (S) / $200K (M) wages. High-BASE (&gt;$125K/$250K) bracket constants were partly illegible in the research — the 8.75%/9.9% split at those floors is verified, intermediate constants are not; treat very-high-income OR results with care. QA: Examples 1–2 verified arithmetically (booklet's federal WH is an exogenous input).</t>
        </is>
      </c>
      <c r="W43" s="13" t="n"/>
      <c r="X43" s="13" t="inlineStr">
        <is>
          <t>rate</t>
        </is>
      </c>
      <c r="Y43" s="13" t="n"/>
      <c r="Z43" s="13" t="n"/>
      <c r="AA43" s="13" t="inlineStr">
        <is>
          <t>rate</t>
        </is>
      </c>
      <c r="AB43" s="13" t="n"/>
    </row>
    <row r="44">
      <c r="A44" s="13" t="inlineStr">
        <is>
          <t>PA</t>
        </is>
      </c>
      <c r="B44" s="13" t="inlineStr">
        <is>
          <t>Pennsylvania</t>
        </is>
      </c>
      <c r="C44" s="13" t="inlineStr">
        <is>
          <t>Federal W-4 (no state form)</t>
        </is>
      </c>
      <c r="D44" s="13" t="inlineStr">
        <is>
          <t>Flat</t>
        </is>
      </c>
      <c r="E44" s="13" t="inlineStr">
        <is>
          <t>LIVE — formula (Phase B)</t>
        </is>
      </c>
      <c r="F44" s="13" t="inlineStr">
        <is>
          <t>DIR</t>
        </is>
      </c>
      <c r="G44" s="13" t="n"/>
      <c r="H44" s="13" t="n"/>
      <c r="I44" s="13" t="n"/>
      <c r="J44" s="13" t="n"/>
      <c r="K44" s="13" t="n"/>
      <c r="L44" s="13" t="n"/>
      <c r="M44" s="13" t="n"/>
      <c r="N44" s="13" t="n"/>
      <c r="O44" s="13" t="n"/>
      <c r="P44" s="13" t="n"/>
      <c r="Q44" s="13" t="n"/>
      <c r="R44" s="13" t="n"/>
      <c r="S44" s="13" t="n"/>
      <c r="T44" s="28" t="inlineStr">
        <is>
          <t>2027 status: PROVISIONAL — the state's verified 2026 rule carried forward as a planning assumption; official 2027 guidance not yet published as of 2026-10-14. 2026 source: PA DOR REV-415, Employer's Guide to Withholding PA Personal Income Tax</t>
        </is>
      </c>
      <c r="U44" s="13" t="inlineStr">
        <is>
          <t>2026-10-14</t>
        </is>
      </c>
      <c r="V44" s="28" t="inlineStr">
        <is>
          <t>Flat 3.07% on PA-taxable compensation — PA does NOT exclude pre-tax 401(k) deferrals, so the engine adds them back for PA, and PA does not conform to HSAs either: payroll HSA contributions are added back as well (the Levers tab prices this). Philadelphia computes on the Local line (row 80); other Act 32 EIT via row 81. PA employee UC (historically 0.07%) is NOT modeled — the 2026 rate was unverified.</t>
        </is>
      </c>
      <c r="W44" s="13" t="n"/>
      <c r="X44" s="13" t="n"/>
      <c r="Y44" s="13" t="n"/>
      <c r="Z44" s="13" t="n"/>
      <c r="AA44" s="13" t="n"/>
      <c r="AB44" s="13" t="n"/>
    </row>
    <row r="45">
      <c r="A45" s="13" t="inlineStr">
        <is>
          <t>RI</t>
        </is>
      </c>
      <c r="B45" s="13" t="inlineStr">
        <is>
          <t>Rhode Island</t>
        </is>
      </c>
      <c r="C45" s="13" t="inlineStr">
        <is>
          <t>Form RI W-4</t>
        </is>
      </c>
      <c r="D45" s="13" t="inlineStr">
        <is>
          <t>Graduated</t>
        </is>
      </c>
      <c r="E45" s="13" t="inlineStr">
        <is>
          <t>LIVE — formula (Phase B)</t>
        </is>
      </c>
      <c r="F45" s="13" t="inlineStr">
        <is>
          <t>GEN</t>
        </is>
      </c>
      <c r="G45" s="13" t="n"/>
      <c r="H45" s="13" t="n"/>
      <c r="I45" s="13" t="n"/>
      <c r="J45" s="13" t="n"/>
      <c r="K45" s="13" t="n"/>
      <c r="L45" s="13" t="n"/>
      <c r="M45" s="13" t="n"/>
      <c r="N45" s="13" t="inlineStr">
        <is>
          <t>RI Temporary Disability (TDI)</t>
        </is>
      </c>
      <c r="O45" s="27" t="n">
        <v>0.011</v>
      </c>
      <c r="P45" s="16" t="n">
        <v>100000</v>
      </c>
      <c r="Q45" s="13" t="n"/>
      <c r="R45" s="13" t="n"/>
      <c r="S45" s="13" t="n"/>
      <c r="T45" s="28" t="inlineStr">
        <is>
          <t>2027 status: PROVISIONAL — the state's verified 2026 rule carried forward as a planning assumption; official 2027 guidance not yet published as of 2026-10-14. 2026 source: RI Division of Taxation, 2026 Withholding Tables booklet (percentage method); RI DLT (TDI)</t>
        </is>
      </c>
      <c r="U45" s="13" t="inlineStr">
        <is>
          <t>2026-10-14</t>
        </is>
      </c>
      <c r="V45" s="28" t="inlineStr">
        <is>
          <t>Brackets 3.75/4.75/5.99% (floors $82,050/$186,450, all statuses) on wages minus $1,000 per exemption. The exemption phase-out above $290,800 of wages is secondary-sourced only and is NOT modeled (flagged). Supplemental rate UNVERIFIED — one-offs aggregate. No extractable worked example.</t>
        </is>
      </c>
      <c r="W45" s="13" t="n"/>
      <c r="X45" s="13" t="inlineStr">
        <is>
          <t>rate</t>
        </is>
      </c>
      <c r="Y45" s="13" t="n"/>
      <c r="Z45" s="13" t="n"/>
      <c r="AA45" s="13" t="n"/>
      <c r="AB45" s="13" t="n"/>
    </row>
    <row r="46">
      <c r="A46" s="13" t="inlineStr">
        <is>
          <t>SC</t>
        </is>
      </c>
      <c r="B46" s="13" t="inlineStr">
        <is>
          <t>South Carolina</t>
        </is>
      </c>
      <c r="C46" s="13" t="inlineStr">
        <is>
          <t>Form SC W-4</t>
        </is>
      </c>
      <c r="D46" s="13" t="inlineStr">
        <is>
          <t>Graduated</t>
        </is>
      </c>
      <c r="E46" s="13" t="inlineStr">
        <is>
          <t>LIVE — formula (Phase B)</t>
        </is>
      </c>
      <c r="F46" s="13" t="inlineStr">
        <is>
          <t>GEN</t>
        </is>
      </c>
      <c r="G46" s="13" t="n"/>
      <c r="H46" s="13" t="n"/>
      <c r="I46" s="13" t="n"/>
      <c r="J46" s="13" t="n"/>
      <c r="K46" s="13" t="n"/>
      <c r="L46" s="13" t="n"/>
      <c r="M46" s="13" t="n"/>
      <c r="N46" s="13" t="n"/>
      <c r="O46" s="13" t="n"/>
      <c r="P46" s="13" t="n"/>
      <c r="Q46" s="13" t="n"/>
      <c r="R46" s="13" t="n"/>
      <c r="S46" s="13" t="n"/>
      <c r="T46" s="28" t="inlineStr">
        <is>
          <t>2027 status: PROVISIONAL — the state's verified 2026 rule carried forward as a planning assumption; official 2027 guidance not yet published as of 2026-10-14. 2026 source: SCDOR Form WH-1603F (Rev. 11/4/25), Formula for Computing SC Withholding</t>
        </is>
      </c>
      <c r="U46" s="13" t="inlineStr">
        <is>
          <t>2026-10-14</t>
        </is>
      </c>
      <c r="V46" s="28" t="inlineStr">
        <is>
          <t>$5,000 per allowance; standard deduction = 10% of wages capped at $7,500 ($0 with zero allowances). QA: WH-1603F example PASS (exact, $10.58/wk).</t>
        </is>
      </c>
      <c r="W46" s="13" t="n"/>
      <c r="X46" s="13" t="n"/>
      <c r="Y46" s="13" t="n"/>
      <c r="Z46" s="13" t="n"/>
      <c r="AA46" s="13" t="n"/>
      <c r="AB46" s="13" t="n"/>
    </row>
    <row r="47">
      <c r="A47" s="13" t="inlineStr">
        <is>
          <t>SD</t>
        </is>
      </c>
      <c r="B47" s="13" t="inlineStr">
        <is>
          <t>South Dakota</t>
        </is>
      </c>
      <c r="C47" s="13" t="inlineStr">
        <is>
          <t>— (no income tax)</t>
        </is>
      </c>
      <c r="D47" s="13" t="inlineStr">
        <is>
          <t>None</t>
        </is>
      </c>
      <c r="E47" s="13" t="inlineStr">
        <is>
          <t>LIVE — $0 (no wage income tax)</t>
        </is>
      </c>
      <c r="F47" s="13" t="inlineStr">
        <is>
          <t>None</t>
        </is>
      </c>
      <c r="G47" s="13" t="n"/>
      <c r="H47" s="13" t="n"/>
      <c r="I47" s="13" t="n"/>
      <c r="J47" s="13" t="n"/>
      <c r="K47" s="13" t="n"/>
      <c r="L47" s="13" t="n"/>
      <c r="M47" s="13" t="n"/>
      <c r="N47" s="13" t="n"/>
      <c r="O47" s="13" t="n"/>
      <c r="P47" s="13" t="n"/>
      <c r="Q47" s="13" t="n"/>
      <c r="R47" s="13" t="n"/>
      <c r="S47" s="13" t="n"/>
      <c r="T47" s="28" t="inlineStr">
        <is>
          <t>State law — no wage income tax (regional research files, planner-build/states-*.md)</t>
        </is>
      </c>
      <c r="U47" s="13" t="inlineStr">
        <is>
          <t>2026-10-14</t>
        </is>
      </c>
      <c r="V47" s="28" t="inlineStr">
        <is>
          <t>Employee-paid programs at left still apply where listed.</t>
        </is>
      </c>
      <c r="W47" s="13" t="n"/>
      <c r="X47" s="13" t="n"/>
      <c r="Y47" s="13" t="n"/>
      <c r="Z47" s="13" t="n"/>
      <c r="AA47" s="13" t="n"/>
      <c r="AB47" s="13" t="n"/>
    </row>
    <row r="48">
      <c r="A48" s="13" t="inlineStr">
        <is>
          <t>TN</t>
        </is>
      </c>
      <c r="B48" s="13" t="inlineStr">
        <is>
          <t>Tennessee</t>
        </is>
      </c>
      <c r="C48" s="13" t="inlineStr">
        <is>
          <t>— (no income tax)</t>
        </is>
      </c>
      <c r="D48" s="13" t="inlineStr">
        <is>
          <t>None</t>
        </is>
      </c>
      <c r="E48" s="13" t="inlineStr">
        <is>
          <t>LIVE — $0 (no wage income tax)</t>
        </is>
      </c>
      <c r="F48" s="13" t="inlineStr">
        <is>
          <t>None</t>
        </is>
      </c>
      <c r="G48" s="13" t="n"/>
      <c r="H48" s="13" t="n"/>
      <c r="I48" s="13" t="n"/>
      <c r="J48" s="13" t="n"/>
      <c r="K48" s="13" t="n"/>
      <c r="L48" s="13" t="n"/>
      <c r="M48" s="13" t="n"/>
      <c r="N48" s="13" t="n"/>
      <c r="O48" s="13" t="n"/>
      <c r="P48" s="13" t="n"/>
      <c r="Q48" s="13" t="n"/>
      <c r="R48" s="13" t="n"/>
      <c r="S48" s="13" t="n"/>
      <c r="T48" s="28" t="inlineStr">
        <is>
          <t>State law — no wage income tax (regional research files, planner-build/states-*.md)</t>
        </is>
      </c>
      <c r="U48" s="13" t="inlineStr">
        <is>
          <t>2026-10-14</t>
        </is>
      </c>
      <c r="V48" s="28" t="inlineStr">
        <is>
          <t>Employee-paid programs at left still apply where listed.</t>
        </is>
      </c>
      <c r="W48" s="13" t="n"/>
      <c r="X48" s="13" t="n"/>
      <c r="Y48" s="13" t="n"/>
      <c r="Z48" s="13" t="n"/>
      <c r="AA48" s="13" t="n"/>
      <c r="AB48" s="13" t="n"/>
    </row>
    <row r="49">
      <c r="A49" s="13" t="inlineStr">
        <is>
          <t>TX</t>
        </is>
      </c>
      <c r="B49" s="13" t="inlineStr">
        <is>
          <t>Texas</t>
        </is>
      </c>
      <c r="C49" s="13" t="inlineStr">
        <is>
          <t>— (no income tax)</t>
        </is>
      </c>
      <c r="D49" s="13" t="inlineStr">
        <is>
          <t>None</t>
        </is>
      </c>
      <c r="E49" s="13" t="inlineStr">
        <is>
          <t>LIVE — $0 (no wage income tax)</t>
        </is>
      </c>
      <c r="F49" s="13" t="inlineStr">
        <is>
          <t>None</t>
        </is>
      </c>
      <c r="G49" s="13" t="n"/>
      <c r="H49" s="13" t="n"/>
      <c r="I49" s="13" t="n"/>
      <c r="J49" s="13" t="n"/>
      <c r="K49" s="13" t="n"/>
      <c r="L49" s="13" t="n"/>
      <c r="M49" s="13" t="n"/>
      <c r="N49" s="13" t="n"/>
      <c r="O49" s="13" t="n"/>
      <c r="P49" s="13" t="n"/>
      <c r="Q49" s="13" t="n"/>
      <c r="R49" s="13" t="n"/>
      <c r="S49" s="13" t="n"/>
      <c r="T49" s="28" t="inlineStr">
        <is>
          <t>State law — no wage income tax (regional research files, planner-build/states-*.md)</t>
        </is>
      </c>
      <c r="U49" s="13" t="inlineStr">
        <is>
          <t>2026-10-14</t>
        </is>
      </c>
      <c r="V49" s="28" t="inlineStr">
        <is>
          <t>Employee-paid programs at left still apply where listed.</t>
        </is>
      </c>
      <c r="W49" s="13" t="n"/>
      <c r="X49" s="13" t="n"/>
      <c r="Y49" s="13" t="n"/>
      <c r="Z49" s="13" t="n"/>
      <c r="AA49" s="13" t="n"/>
      <c r="AB49" s="13" t="n"/>
    </row>
    <row r="50">
      <c r="A50" s="13" t="inlineStr">
        <is>
          <t>UT</t>
        </is>
      </c>
      <c r="B50" s="13" t="inlineStr">
        <is>
          <t>Utah</t>
        </is>
      </c>
      <c r="C50" s="13" t="inlineStr">
        <is>
          <t>Federal W-4</t>
        </is>
      </c>
      <c r="D50" s="13" t="inlineStr">
        <is>
          <t>Flat</t>
        </is>
      </c>
      <c r="E50" s="13" t="inlineStr">
        <is>
          <t>MANUAL ENTRY — see Notes</t>
        </is>
      </c>
      <c r="F50" s="13" t="inlineStr">
        <is>
          <t>—</t>
        </is>
      </c>
      <c r="G50" s="13" t="n"/>
      <c r="H50" s="13" t="n"/>
      <c r="I50" s="13" t="n"/>
      <c r="J50" s="13" t="n"/>
      <c r="K50" s="13" t="n"/>
      <c r="L50" s="13" t="n"/>
      <c r="M50" s="13" t="n"/>
      <c r="N50" s="13" t="n"/>
      <c r="O50" s="13" t="n"/>
      <c r="P50" s="13" t="n"/>
      <c r="Q50" s="13" t="n"/>
      <c r="R50" s="13" t="n"/>
      <c r="S50" s="13" t="n"/>
      <c r="T50" s="28" t="inlineStr">
        <is>
          <t>2027 status: MANUAL — unchanged from 2026 (see Notes). 2026 source: UT Tax Commission Publication 14 (last verified edition: Rev. 4/25, 2025 parameters)</t>
        </is>
      </c>
      <c r="U50" s="13" t="inlineStr">
        <is>
          <t>2026-10-14</t>
        </is>
      </c>
      <c r="V50" s="28" t="inlineStr">
        <is>
          <t>MANUAL — integrity rule: the 2026 rate is UNVERIFIED from an official source (last verified: 4.5% with $450/$900 base allowance and 1.3% phase-out; a secondary report claims 4.45% + $485/$970 from 2026-06-01, unconfirmed). Shipping either vintage as '2026' would be a guess.</t>
        </is>
      </c>
      <c r="W50" s="13" t="n"/>
      <c r="X50" s="13" t="n"/>
      <c r="Y50" s="13" t="n"/>
      <c r="Z50" s="13" t="n"/>
      <c r="AA50" s="13" t="n"/>
      <c r="AB50" s="13" t="n"/>
    </row>
    <row r="51">
      <c r="A51" s="13" t="inlineStr">
        <is>
          <t>VA</t>
        </is>
      </c>
      <c r="B51" s="13" t="inlineStr">
        <is>
          <t>Virginia</t>
        </is>
      </c>
      <c r="C51" s="13" t="inlineStr">
        <is>
          <t>Form VA-4</t>
        </is>
      </c>
      <c r="D51" s="13" t="inlineStr">
        <is>
          <t>Graduated</t>
        </is>
      </c>
      <c r="E51" s="13" t="inlineStr">
        <is>
          <t>LIVE — formula (Phase B)</t>
        </is>
      </c>
      <c r="F51" s="13" t="inlineStr">
        <is>
          <t>GEN</t>
        </is>
      </c>
      <c r="G51" s="13" t="n"/>
      <c r="H51" s="13" t="n"/>
      <c r="I51" s="13" t="n"/>
      <c r="J51" s="13" t="n"/>
      <c r="K51" s="13" t="n"/>
      <c r="L51" s="13" t="n"/>
      <c r="M51" s="13" t="n"/>
      <c r="N51" s="13" t="n"/>
      <c r="O51" s="13" t="n"/>
      <c r="P51" s="13" t="n"/>
      <c r="Q51" s="13" t="n"/>
      <c r="R51" s="13" t="n"/>
      <c r="S51" s="13" t="n"/>
      <c r="T51" s="28" t="inlineStr">
        <is>
          <t>2027 status: PROVISIONAL — the state's verified 2026 rule carried forward as a planning assumption; official 2027 guidance not yet published as of 2026-10-14. 2026 source: Virginia Tax, Employer Withholding Instructions (Rev. 05/25; formula eff. 7/1/2025)</t>
        </is>
      </c>
      <c r="U51" s="13" t="inlineStr">
        <is>
          <t>2026-10-14</t>
        </is>
      </c>
      <c r="V51" s="28" t="inlineStr">
        <is>
          <t>SD $8,750 single / $17,500 MFJ; $930 per exemption (row 23); $800 per age-65/blind exemption (row 24). No official supplemental rate — one-offs aggregate. No narrative example; the research file's derived anchor contains a $2.50 arithmetic slip — the engine follows the verified schedule (bases $60/$120/$720).</t>
        </is>
      </c>
      <c r="W51" s="13" t="n"/>
      <c r="X51" s="13" t="n"/>
      <c r="Y51" s="13" t="n"/>
      <c r="Z51" s="13" t="n"/>
      <c r="AA51" s="13" t="n"/>
      <c r="AB51" s="13" t="n"/>
    </row>
    <row r="52">
      <c r="A52" s="13" t="inlineStr">
        <is>
          <t>VT</t>
        </is>
      </c>
      <c r="B52" s="13" t="inlineStr">
        <is>
          <t>Vermont</t>
        </is>
      </c>
      <c r="C52" s="13" t="inlineStr">
        <is>
          <t>Form W-4VT</t>
        </is>
      </c>
      <c r="D52" s="13" t="inlineStr">
        <is>
          <t>Graduated</t>
        </is>
      </c>
      <c r="E52" s="13" t="inlineStr">
        <is>
          <t>LIVE — formula (Phase B)</t>
        </is>
      </c>
      <c r="F52" s="13" t="inlineStr">
        <is>
          <t>GEN</t>
        </is>
      </c>
      <c r="G52" s="13" t="n"/>
      <c r="H52" s="13" t="n"/>
      <c r="I52" s="13" t="n"/>
      <c r="J52" s="13" t="n"/>
      <c r="K52" s="13" t="n"/>
      <c r="L52" s="13" t="n"/>
      <c r="M52" s="13" t="n"/>
      <c r="N52" s="13" t="n"/>
      <c r="O52" s="13" t="n"/>
      <c r="P52" s="13" t="n"/>
      <c r="Q52" s="13" t="n"/>
      <c r="R52" s="13" t="n"/>
      <c r="S52" s="13" t="n"/>
      <c r="T52" s="28" t="inlineStr">
        <is>
          <t>2027 status: PROVISIONAL — the state's verified 2026 rule carried forward as a planning assumption; official 2027 guidance not yet published as of 2026-10-14. 2026 source: VT Dept. of Taxes, GB-1210 (2026) Income Tax Withholding Instructions, Tables &amp; Charts</t>
        </is>
      </c>
      <c r="U52" s="13" t="inlineStr">
        <is>
          <t>2026-10-14</t>
        </is>
      </c>
      <c r="V52" s="28" t="inlineStr">
        <is>
          <t>$5,400 per allowance subtracted from wages; Single/Married annual tables. No flat supplemental rate — one-offs aggregate. QA: GB-1210 example PASS (−$0.01, per-period table rounding). VT Child Care Contribution is an employer tax (employee share 0–0.11% at employer election) — not modeled.</t>
        </is>
      </c>
      <c r="W52" s="13" t="n"/>
      <c r="X52" s="13" t="n"/>
      <c r="Y52" s="13" t="n"/>
      <c r="Z52" s="13" t="n"/>
      <c r="AA52" s="13" t="n"/>
      <c r="AB52" s="13" t="n"/>
    </row>
    <row r="53">
      <c r="A53" s="13" t="inlineStr">
        <is>
          <t>WA</t>
        </is>
      </c>
      <c r="B53" s="13" t="inlineStr">
        <is>
          <t>Washington</t>
        </is>
      </c>
      <c r="C53" s="13" t="inlineStr">
        <is>
          <t>— (no income tax)</t>
        </is>
      </c>
      <c r="D53" s="13" t="inlineStr">
        <is>
          <t>None</t>
        </is>
      </c>
      <c r="E53" s="13" t="inlineStr">
        <is>
          <t>LIVE — $0 (no wage income tax)</t>
        </is>
      </c>
      <c r="F53" s="13" t="inlineStr">
        <is>
          <t>None</t>
        </is>
      </c>
      <c r="G53" s="13" t="n"/>
      <c r="H53" s="13" t="n"/>
      <c r="I53" s="13" t="n"/>
      <c r="J53" s="13" t="n"/>
      <c r="K53" s="13" t="n"/>
      <c r="L53" s="13" t="n"/>
      <c r="M53" s="13" t="n"/>
      <c r="N53" s="13" t="inlineStr">
        <is>
          <t>WA Paid Leave (PFML)</t>
        </is>
      </c>
      <c r="O53" s="27" t="n">
        <v>0.008071</v>
      </c>
      <c r="P53" s="16" t="n">
        <v>192300</v>
      </c>
      <c r="Q53" s="13" t="inlineStr">
        <is>
          <t>WA Cares (LTC)</t>
        </is>
      </c>
      <c r="R53" s="27" t="n">
        <v>0.0058</v>
      </c>
      <c r="S53" s="13" t="n"/>
      <c r="T53" s="28" t="inlineStr">
        <is>
          <t>State law — no wage income tax (regional research files, planner-build/states-*.md)</t>
        </is>
      </c>
      <c r="U53" s="13" t="inlineStr">
        <is>
          <t>2026-10-14</t>
        </is>
      </c>
      <c r="V53" s="28" t="inlineStr">
        <is>
          <t>Employee-paid programs at left still apply where listed.</t>
        </is>
      </c>
      <c r="W53" s="13" t="n"/>
      <c r="X53" s="13" t="inlineStr">
        <is>
          <t>rate</t>
        </is>
      </c>
      <c r="Y53" s="13" t="n"/>
      <c r="Z53" s="13" t="n"/>
      <c r="AA53" s="13" t="inlineStr">
        <is>
          <t>rate</t>
        </is>
      </c>
      <c r="AB53" s="13" t="n"/>
    </row>
    <row r="54">
      <c r="A54" s="13" t="inlineStr">
        <is>
          <t>WI</t>
        </is>
      </c>
      <c r="B54" s="13" t="inlineStr">
        <is>
          <t>Wisconsin</t>
        </is>
      </c>
      <c r="C54" s="13" t="inlineStr">
        <is>
          <t>Form WT-4</t>
        </is>
      </c>
      <c r="D54" s="13" t="inlineStr">
        <is>
          <t>Graduated</t>
        </is>
      </c>
      <c r="E54" s="13" t="inlineStr">
        <is>
          <t>LIVE — formula (Phase B)</t>
        </is>
      </c>
      <c r="F54" s="13" t="inlineStr">
        <is>
          <t>GEN</t>
        </is>
      </c>
      <c r="G54" s="13" t="n"/>
      <c r="H54" s="13" t="n"/>
      <c r="I54" s="13" t="n"/>
      <c r="J54" s="13" t="n"/>
      <c r="K54" s="13" t="n"/>
      <c r="L54" s="13" t="n"/>
      <c r="M54" s="13" t="n"/>
      <c r="N54" s="13" t="n"/>
      <c r="O54" s="13" t="n"/>
      <c r="P54" s="13" t="n"/>
      <c r="Q54" s="13" t="n"/>
      <c r="R54" s="13" t="n"/>
      <c r="S54" s="13" t="n"/>
      <c r="T54" s="28" t="inlineStr">
        <is>
          <t>2027 status: PROVISIONAL — the state's verified 2026 rule carried forward as a planning assumption; official 2027 guidance not yet published as of 2026-10-14. 2026 source: WI DOR Publication W-166 (Jan 2026), Alternate Method pp. 25–26</t>
        </is>
      </c>
      <c r="U54" s="13" t="inlineStr">
        <is>
          <t>2026-10-14</t>
        </is>
      </c>
      <c r="V54" s="28" t="inlineStr">
        <is>
          <t>Sliding standard deduction (Single $6,702 phased at 12% over $17,780; Married $9,461 at 20% over $25,727) and $400 per exemption; withholding schedule 3.54/4.65/5.30/7.65% (NOT the return brackets). HoH uses the Single formula (the alternate method publishes no HoH formula — flagged). One-off flat rate follows your salary band. QA: W-166 Examples 1 &amp; 3 PASS (exact).</t>
        </is>
      </c>
      <c r="W54" s="13" t="n"/>
      <c r="X54" s="13" t="n"/>
      <c r="Y54" s="13" t="n"/>
      <c r="Z54" s="13" t="n"/>
      <c r="AA54" s="13" t="n"/>
      <c r="AB54" s="13" t="n"/>
    </row>
    <row r="55">
      <c r="A55" s="13" t="inlineStr">
        <is>
          <t>WV</t>
        </is>
      </c>
      <c r="B55" s="13" t="inlineStr">
        <is>
          <t>West Virginia</t>
        </is>
      </c>
      <c r="C55" s="13" t="inlineStr">
        <is>
          <t>Form WV/IT-104</t>
        </is>
      </c>
      <c r="D55" s="13" t="inlineStr">
        <is>
          <t>Graduated</t>
        </is>
      </c>
      <c r="E55" s="13" t="inlineStr">
        <is>
          <t>LIVE — formula (Phase B)</t>
        </is>
      </c>
      <c r="F55" s="13" t="inlineStr">
        <is>
          <t>GEN</t>
        </is>
      </c>
      <c r="G55" s="13" t="n"/>
      <c r="H55" s="13" t="n"/>
      <c r="I55" s="13" t="n"/>
      <c r="J55" s="13" t="n"/>
      <c r="K55" s="13" t="n"/>
      <c r="L55" s="13" t="n"/>
      <c r="M55" s="13" t="n"/>
      <c r="N55" s="13" t="n"/>
      <c r="O55" s="13" t="n"/>
      <c r="P55" s="13" t="n"/>
      <c r="Q55" s="13" t="n"/>
      <c r="R55" s="13" t="n"/>
      <c r="S55" s="13" t="n"/>
      <c r="T55" s="28" t="inlineStr">
        <is>
          <t>2027 status: PROVISIONAL — the state's verified 2026 rule carried forward as a planning assumption; official 2027 guidance not yet published as of 2026-10-14. 2026 source: WV Tax Division Forms IT-100.2A / IT-100.2B (March 2026)</t>
        </is>
      </c>
      <c r="U55" s="13" t="inlineStr">
        <is>
          <t>2026-10-14</t>
        </is>
      </c>
      <c r="V55" s="28" t="inlineStr">
        <is>
          <t>$2,000 per exemption. Table family: 'Married' status uses the two-earner tables; check the WV/IT-104 lower-rate box = select 'Head of household' here to use the one-earner/one-job tables (engine mapping — the one-earner family covers single/HoH too). No separate supplemental rate — bonuses are wages. Municipal city service fees are flat local amounts (row 27) where applicable.</t>
        </is>
      </c>
      <c r="W55" s="13" t="n"/>
      <c r="X55" s="13" t="n"/>
      <c r="Y55" s="13" t="n"/>
      <c r="Z55" s="13" t="n"/>
      <c r="AA55" s="13" t="n"/>
      <c r="AB55" s="13" t="n"/>
    </row>
    <row r="56">
      <c r="A56" s="13" t="inlineStr">
        <is>
          <t>WY</t>
        </is>
      </c>
      <c r="B56" s="13" t="inlineStr">
        <is>
          <t>Wyoming</t>
        </is>
      </c>
      <c r="C56" s="13" t="inlineStr">
        <is>
          <t>— (no income tax)</t>
        </is>
      </c>
      <c r="D56" s="13" t="inlineStr">
        <is>
          <t>None</t>
        </is>
      </c>
      <c r="E56" s="13" t="inlineStr">
        <is>
          <t>LIVE — $0 (no wage income tax)</t>
        </is>
      </c>
      <c r="F56" s="13" t="inlineStr">
        <is>
          <t>None</t>
        </is>
      </c>
      <c r="G56" s="13" t="n"/>
      <c r="H56" s="13" t="n"/>
      <c r="I56" s="13" t="n"/>
      <c r="J56" s="13" t="n"/>
      <c r="K56" s="13" t="n"/>
      <c r="L56" s="13" t="n"/>
      <c r="M56" s="13" t="n"/>
      <c r="N56" s="13" t="n"/>
      <c r="O56" s="13" t="n"/>
      <c r="P56" s="13" t="n"/>
      <c r="Q56" s="13" t="n"/>
      <c r="R56" s="13" t="n"/>
      <c r="S56" s="13" t="n"/>
      <c r="T56" s="28" t="inlineStr">
        <is>
          <t>State law — no wage income tax (regional research files, planner-build/states-*.md)</t>
        </is>
      </c>
      <c r="U56" s="13" t="inlineStr">
        <is>
          <t>2026-10-14</t>
        </is>
      </c>
      <c r="V56" s="28" t="inlineStr">
        <is>
          <t>Employee-paid programs at left still apply where listed.</t>
        </is>
      </c>
      <c r="W56" s="13" t="n"/>
      <c r="X56" s="13" t="n"/>
      <c r="Y56" s="13" t="n"/>
      <c r="Z56" s="13" t="n"/>
      <c r="AA56" s="13" t="n"/>
      <c r="AB56" s="13" t="n"/>
    </row>
  </sheetData>
  <sheetProtection selectLockedCells="0" selectUnlockedCells="0" sheet="1" objects="0" insertRows="1" insertHyperlinks="1" autoFilter="1" scenarios="0" formatColumns="1" deleteColumns="1" insertColumns="1" pivotTables="1" deleteRows="1" formatCells="1" formatRows="1" sort="1"/>
  <mergeCells count="1">
    <mergeCell ref="A2:AB2"/>
  </mergeCells>
  <pageMargins left="0.75" right="0.75" top="1" bottom="1" header="0.5" footer="0.5"/>
</worksheet>
</file>

<file path=xl/worksheets/sheet11.xml><?xml version="1.0" encoding="utf-8"?>
<worksheet xmlns="http://schemas.openxmlformats.org/spreadsheetml/2006/main">
  <sheetPr>
    <tabColor rgb="00548235"/>
    <outlinePr summaryBelow="1" summaryRight="1"/>
    <pageSetUpPr/>
  </sheetPr>
  <dimension ref="B1:F108"/>
  <sheetViews>
    <sheetView workbookViewId="0">
      <selection activeCell="A1" sqref="A1"/>
    </sheetView>
  </sheetViews>
  <sheetFormatPr baseColWidth="8" defaultRowHeight="15"/>
  <cols>
    <col width="2" customWidth="1" min="1" max="1"/>
    <col width="22" customWidth="1" min="2" max="2"/>
    <col width="28" customWidth="1" min="3" max="3"/>
    <col width="56" customWidth="1" min="4" max="4"/>
    <col width="42" customWidth="1" min="5" max="5"/>
    <col width="15" customWidth="1" min="6" max="6"/>
  </cols>
  <sheetData>
    <row r="1">
      <c r="B1" s="9" t="inlineStr">
        <is>
          <t>How to fill out your W-4 — and your state certificate</t>
        </is>
      </c>
    </row>
    <row r="3">
      <c r="B3" s="3" t="inlineStr">
        <is>
          <t>Your W-4 is the instruction sheet your employer's payroll system follows every payday. This planner asks for the same numbers the same way, so the form and the sheet teach each other: fill in one and you understand the other. Everything here is educational — how the forms work, never what you should claim.</t>
        </is>
      </c>
    </row>
    <row r="5">
      <c r="B5" s="10" t="inlineStr">
        <is>
          <t>The federal W-4, step by step</t>
        </is>
      </c>
    </row>
    <row r="6">
      <c r="B6" s="3" t="inlineStr">
        <is>
          <t>Step 1 — You and your filing status. Name, address, Social Security number, and one filing status. Everyone completes Step 1 (and signs Step 5); it is the only step most people need. In this planner: Inputs row 12.</t>
        </is>
      </c>
    </row>
    <row r="7">
      <c r="B7" s="3" t="inlineStr">
        <is>
          <t>Step 2 — Multiple jobs or a working spouse. Complete Steps 2–4 ONLY if one of these is true: you hold two jobs at the same time, you file jointly and your spouse also works, or you have income from self-employment (for that, the IRS estimator is the better tool). The reason: each employer withholds as if its paycheck were your only income, so two jobs under-withhold unless the form corrects for it. You have three ways to make the correction — the IRS Tax Withholding Estimator (most accurate), the Multiple Jobs Worksheet on the form, or the Step 2(c) checkbox.</t>
        </is>
      </c>
    </row>
    <row r="8">
      <c r="B8" s="3" t="inlineStr">
        <is>
          <t>The Step 2(c) checkbox is the blunt instrument of the three: it tells payroll to withhold using half the standard deduction and halved brackets. That is roughly right when the two incomes are similar, and too much when they are very different. In this planner: Inputs row 13.</t>
        </is>
      </c>
    </row>
    <row r="9">
      <c r="B9" s="3" t="inlineStr">
        <is>
          <t>Step 3 — Dependents and other credits. Multiply $2,000 per qualifying child under 17 and $500 per other dependent, add other credits, and enter one annual dollar figure. It reduces your withholding dollar-for-dollar of tax. Income limits printed on the form ($200,000, or $400,000 filing jointly) decide whether you complete it at all. In this planner: Inputs row 14.</t>
        </is>
      </c>
    </row>
    <row r="10">
      <c r="B10" s="3" t="inlineStr">
        <is>
          <t>Step 4(a) — Other income. Non-job income (interest, dividends, retirement) you would rather cover through withholding than through estimated payments. It raises withholding. Inputs row 15.</t>
        </is>
      </c>
    </row>
    <row r="11">
      <c r="B11" s="3" t="inlineStr">
        <is>
          <t>Step 4(b) — Deductions. If you itemize, the Deductions Worksheet converts the amount above the standard deduction into an annual figure that lowers withholding. Inputs row 16.</t>
        </is>
      </c>
    </row>
    <row r="12">
      <c r="B12" s="3" t="inlineStr">
        <is>
          <t>Step 4(c) — Extra withholding. A flat extra dollar amount taken from every check. It is the fine-tuner — and the usual, simplest fix for a balance due last April. Inputs row 17.</t>
        </is>
      </c>
    </row>
    <row r="13">
      <c r="B13" s="3" t="inlineStr">
        <is>
          <t>Step 5 — Sign and date. An unsigned W-4 is not a W-4.</t>
        </is>
      </c>
    </row>
    <row r="14">
      <c r="B14" s="30" t="inlineStr">
        <is>
          <t>Who completes what: a single job, a non-working spouse or no spouse, no side income — Steps 1 and 5 only. Steps 2–4 exist for the situations above, and completing them 'just in case' distorts the result.</t>
        </is>
      </c>
    </row>
    <row r="16">
      <c r="B16" s="10" t="inlineStr">
        <is>
          <t>The three classic mistakes</t>
        </is>
      </c>
    </row>
    <row r="17">
      <c r="B17" s="3" t="inlineStr">
        <is>
          <t>1. Checking the Step 2 box without a second income. The box halves the standard deduction and brackets payroll uses, so withholding jumps — on a single income that means a smaller check all year and an oversized refund. The box is only for households with two incomes it needs to reconcile.</t>
        </is>
      </c>
    </row>
    <row r="18">
      <c r="B18" s="3" t="inlineStr">
        <is>
          <t>2. Forgetting a working spouse. Two earners, two W-4s, each filled out as if it were the household's only income: both employers under-withhold, quietly, all year, and the bill arrives in April. This is the most common reason two-earner households owe — Step 2 exists precisely for it.</t>
        </is>
      </c>
    </row>
    <row r="19">
      <c r="B19" s="3" t="inlineStr">
        <is>
          <t>3. Claiming exempt without qualifying. Writing 'Exempt' stops federal withholding entirely, and it is allowed only if BOTH are true: you had no federal tax liability last year, and you expect none this year. It also expires — a new W-4 is due by February 15 each year or your employer must reset you to single with no adjustments. Claiming it wrongly trades small checks for a large bill plus penalties.</t>
        </is>
      </c>
    </row>
    <row r="20">
      <c r="B20" s="3" t="inlineStr">
        <is>
          <t>One more, quieter than the three: a pre-2020 W-4 still on file. The old form used allowances, which no longer exist on the current form. If your pay stub or HR portal shows allowances, an old form is driving your withholding — entering those numbers as if they were current-form values will not reconcile. Filing a current W-4 replaces it.</t>
        </is>
      </c>
    </row>
    <row r="22">
      <c r="B22" s="10" t="inlineStr">
        <is>
          <t>Where each W-4 step lands in this planner</t>
        </is>
      </c>
    </row>
    <row r="23">
      <c r="B23" s="25" t="inlineStr">
        <is>
          <t>W-4 item</t>
        </is>
      </c>
      <c r="C23" s="25" t="inlineStr">
        <is>
          <t>What it does</t>
        </is>
      </c>
      <c r="D23" s="25" t="inlineStr">
        <is>
          <t>Planner input</t>
        </is>
      </c>
    </row>
    <row r="24">
      <c r="B24" s="13" t="inlineStr">
        <is>
          <t>Step 1(c) — filing status</t>
        </is>
      </c>
      <c r="C24" s="28" t="inlineStr">
        <is>
          <t>Sets the brackets and standard deduction payroll uses</t>
        </is>
      </c>
      <c r="D24" s="31" t="n"/>
      <c r="E24" s="13" t="inlineStr">
        <is>
          <t>Inputs row 12</t>
        </is>
      </c>
    </row>
    <row r="25">
      <c r="B25" s="13" t="inlineStr">
        <is>
          <t>Step 2(c) — checkbox</t>
        </is>
      </c>
      <c r="C25" s="28" t="inlineStr">
        <is>
          <t>Halves the standard deduction and brackets (two-income correction)</t>
        </is>
      </c>
      <c r="D25" s="31" t="n"/>
      <c r="E25" s="13" t="inlineStr">
        <is>
          <t>Inputs row 13</t>
        </is>
      </c>
    </row>
    <row r="26">
      <c r="B26" s="13" t="inlineStr">
        <is>
          <t>Step 3 — dependents &amp; credits</t>
        </is>
      </c>
      <c r="C26" s="28" t="inlineStr">
        <is>
          <t>Annual dollar figure; cuts withholding dollar-for-dollar</t>
        </is>
      </c>
      <c r="D26" s="31" t="n"/>
      <c r="E26" s="13" t="inlineStr">
        <is>
          <t>Inputs row 14</t>
        </is>
      </c>
    </row>
    <row r="27">
      <c r="B27" s="13" t="inlineStr">
        <is>
          <t>Step 4(a) — other income</t>
        </is>
      </c>
      <c r="C27" s="28" t="inlineStr">
        <is>
          <t>Raises withholding to cover non-job income</t>
        </is>
      </c>
      <c r="D27" s="31" t="n"/>
      <c r="E27" s="13" t="inlineStr">
        <is>
          <t>Inputs row 15</t>
        </is>
      </c>
    </row>
    <row r="28">
      <c r="B28" s="13" t="inlineStr">
        <is>
          <t>Step 4(b) — deductions</t>
        </is>
      </c>
      <c r="C28" s="28" t="inlineStr">
        <is>
          <t>Itemizing above the standard deduction lowers withholding</t>
        </is>
      </c>
      <c r="D28" s="31" t="n"/>
      <c r="E28" s="13" t="inlineStr">
        <is>
          <t>Inputs row 16</t>
        </is>
      </c>
    </row>
    <row r="29">
      <c r="B29" s="13" t="inlineStr">
        <is>
          <t>Step 4(c) — extra withholding</t>
        </is>
      </c>
      <c r="C29" s="28" t="inlineStr">
        <is>
          <t>Flat extra amount per check</t>
        </is>
      </c>
      <c r="D29" s="31" t="n"/>
      <c r="E29" s="13" t="inlineStr">
        <is>
          <t>Inputs row 17</t>
        </is>
      </c>
    </row>
    <row r="30">
      <c r="B30" s="13" t="inlineStr">
        <is>
          <t>'Exempt' under Step 4(c)</t>
        </is>
      </c>
      <c r="C30" s="28" t="inlineStr">
        <is>
          <t>Stops federal withholding (strict two-part test, expires yearly)</t>
        </is>
      </c>
      <c r="D30" s="31" t="n"/>
      <c r="E30" s="13" t="inlineStr">
        <is>
          <t>Inputs row 18</t>
        </is>
      </c>
    </row>
    <row r="32">
      <c r="B32" s="10" t="inlineStr">
        <is>
          <t>California's DE 4 — the form that deserves its own walkthrough</t>
        </is>
      </c>
    </row>
    <row r="33">
      <c r="B33" s="3" t="inlineStr">
        <is>
          <t>California does not use the federal W-4 for state withholding. Form DE 4 is its own form with its own allowance math, and it does not map one-to-one onto the federal form — the most common California confusion.</t>
        </is>
      </c>
    </row>
    <row r="34">
      <c r="B34" s="3" t="inlineStr">
        <is>
          <t>Filing status (top of the form): choose the status that matches your situation — including 'Married (one income)' when only one spouse works. It selects which Method B table the planner applies. Planner: Inputs row 22.</t>
        </is>
      </c>
    </row>
    <row r="35">
      <c r="B35" s="3" t="inlineStr">
        <is>
          <t>Line 1a — regular allowances: yourself, your spouse, and dependents. In the Method B calculation each regular allowance is worth a $168.30 credit against the computed tax. Planner: Inputs row 23.</t>
        </is>
      </c>
    </row>
    <row r="36">
      <c r="B36" s="3" t="inlineStr">
        <is>
          <t>Line 1b — estimated-deduction allowances (Worksheet B): if you expect to itemize above the California standard deduction, Worksheet B turns every $1,000 of expected excess into one more allowance, and each of those reduces the wage base by $1,000 before the brackets apply. Most people leave this at zero; for homeowners who itemize it is the line that explains a large California refund. Planner: Inputs row 24.</t>
        </is>
      </c>
    </row>
    <row r="37">
      <c r="B37" s="3" t="inlineStr">
        <is>
          <t>Line 2 — total allowances is simply 1a + 1b. The planner keeps the two pieces separate because they do different things in the math. Line 3 — additional withholding: a flat extra amount per check, the state twin of W-4 Step 4(c). Planner: Inputs row 25.</t>
        </is>
      </c>
    </row>
    <row r="38">
      <c r="B38" s="3" t="inlineStr">
        <is>
          <t>DE 4 allowances are not federal allowances (the federal form no longer has any) and not exemptions on your tax return — they are a withholding dial, and the two sides of it are calibrated differently on purpose.</t>
        </is>
      </c>
    </row>
    <row r="40">
      <c r="B40" s="10" t="inlineStr">
        <is>
          <t>Every state's certificate — what to pull from it, where it lands</t>
        </is>
      </c>
    </row>
    <row r="41">
      <c r="B41" s="25" t="inlineStr">
        <is>
          <t>State</t>
        </is>
      </c>
      <c r="C41" s="25" t="inlineStr">
        <is>
          <t>Certificate</t>
        </is>
      </c>
      <c r="D41" s="25" t="inlineStr">
        <is>
          <t>What to pull from it</t>
        </is>
      </c>
      <c r="E41" s="25" t="inlineStr">
        <is>
          <t>Where it lands</t>
        </is>
      </c>
      <c r="F41" s="25" t="inlineStr">
        <is>
          <t>Status</t>
        </is>
      </c>
    </row>
    <row r="42">
      <c r="B42" s="13" t="inlineStr">
        <is>
          <t>Alaska</t>
        </is>
      </c>
      <c r="C42" s="28" t="inlineStr">
        <is>
          <t>— (no income tax)</t>
        </is>
      </c>
      <c r="D42" s="28" t="inlineStr">
        <is>
          <t>Nothing to file — there is no state wage income tax.</t>
        </is>
      </c>
      <c r="E42" s="28" t="inlineStr">
        <is>
          <t>Inputs rows 21–26</t>
        </is>
      </c>
      <c r="F42" s="28" t="inlineStr">
        <is>
          <t>$0 — no wage tax</t>
        </is>
      </c>
    </row>
    <row r="43">
      <c r="B43" s="13" t="inlineStr">
        <is>
          <t>Alabama</t>
        </is>
      </c>
      <c r="C43" s="28" t="inlineStr">
        <is>
          <t>Form A-4</t>
        </is>
      </c>
      <c r="D43" s="28" t="inlineStr">
        <is>
          <t>Filing status, allowances/exemptions, and any extra withholding per check.</t>
        </is>
      </c>
      <c r="E43" s="28" t="inlineStr">
        <is>
          <t>Inputs rows 21–26</t>
        </is>
      </c>
      <c r="F43" s="28" t="inlineStr">
        <is>
          <t>Live — formula</t>
        </is>
      </c>
    </row>
    <row r="44">
      <c r="B44" s="13" t="inlineStr">
        <is>
          <t>Arkansas</t>
        </is>
      </c>
      <c r="C44" s="28" t="inlineStr">
        <is>
          <t>Form AR4EC</t>
        </is>
      </c>
      <c r="D44" s="28" t="inlineStr">
        <is>
          <t>Filing status, allowances/exemptions, and any extra withholding per check.</t>
        </is>
      </c>
      <c r="E44" s="28" t="inlineStr">
        <is>
          <t>Inputs rows 21–26</t>
        </is>
      </c>
      <c r="F44" s="28" t="inlineStr">
        <is>
          <t>Live — formula</t>
        </is>
      </c>
    </row>
    <row r="45">
      <c r="B45" s="13" t="inlineStr">
        <is>
          <t>Arizona</t>
        </is>
      </c>
      <c r="C45" s="28" t="inlineStr">
        <is>
          <t>Form A-4</t>
        </is>
      </c>
      <c r="D45" s="28" t="inlineStr">
        <is>
          <t>The percentage you elect on the A-4 (0.5%–3.5% of federal taxable wages; 2.0% applies if no form is filed).</t>
        </is>
      </c>
      <c r="E45" s="28" t="inlineStr">
        <is>
          <t>Inputs row 82 (rows 21–22 still apply)</t>
        </is>
      </c>
      <c r="F45" s="28" t="inlineStr">
        <is>
          <t>Live — formula</t>
        </is>
      </c>
    </row>
    <row r="46">
      <c r="B46" s="13" t="inlineStr">
        <is>
          <t>California</t>
        </is>
      </c>
      <c r="C46" s="28" t="inlineStr">
        <is>
          <t>Form DE 4</t>
        </is>
      </c>
      <c r="D46" s="28" t="inlineStr">
        <is>
          <t>Status (incl. 'Married (one income)'), line 1a regular allowances, line 1b Worksheet B allowances, line 3 extra withholding — see the DE 4 walkthrough above.</t>
        </is>
      </c>
      <c r="E46" s="28" t="inlineStr">
        <is>
          <t>Inputs rows 22, 23, 24, 25</t>
        </is>
      </c>
      <c r="F46" s="28" t="inlineStr">
        <is>
          <t>Live — Method B</t>
        </is>
      </c>
    </row>
    <row r="47">
      <c r="B47" s="13" t="inlineStr">
        <is>
          <t>Colorado</t>
        </is>
      </c>
      <c r="C47" s="28" t="inlineStr">
        <is>
          <t>Form DR 0004 (optional)</t>
        </is>
      </c>
      <c r="D47" s="28" t="inlineStr">
        <is>
          <t>Filing status, allowances/exemptions, and any extra withholding per check.</t>
        </is>
      </c>
      <c r="E47" s="28" t="inlineStr">
        <is>
          <t>Inputs rows 21–26</t>
        </is>
      </c>
      <c r="F47" s="28" t="inlineStr">
        <is>
          <t>Live — formula</t>
        </is>
      </c>
    </row>
    <row r="48">
      <c r="B48" s="13" t="inlineStr">
        <is>
          <t>Connecticut</t>
        </is>
      </c>
      <c r="C48" s="28" t="inlineStr">
        <is>
          <t>Form CT-W4</t>
        </is>
      </c>
      <c r="D48" s="28" t="inlineStr">
        <is>
          <t>The certificate still sets your real withholding with your employer; in this planner the state is manual-entry — see 'Manual-entry states' below.</t>
        </is>
      </c>
      <c r="E48" s="28" t="inlineStr">
        <is>
          <t>Inputs rows 21–26</t>
        </is>
      </c>
      <c r="F48" s="28" t="inlineStr">
        <is>
          <t>MANUAL ENTRY</t>
        </is>
      </c>
    </row>
    <row r="49">
      <c r="B49" s="13" t="inlineStr">
        <is>
          <t>District of Columbia</t>
        </is>
      </c>
      <c r="C49" s="28" t="inlineStr">
        <is>
          <t>Form D-4</t>
        </is>
      </c>
      <c r="D49" s="28" t="inlineStr">
        <is>
          <t>The certificate still sets your real withholding with your employer; in this planner the state is manual-entry — see 'Manual-entry states' below.</t>
        </is>
      </c>
      <c r="E49" s="28" t="inlineStr">
        <is>
          <t>Inputs rows 21–26</t>
        </is>
      </c>
      <c r="F49" s="28" t="inlineStr">
        <is>
          <t>MANUAL ENTRY</t>
        </is>
      </c>
    </row>
    <row r="50">
      <c r="B50" s="13" t="inlineStr">
        <is>
          <t>Delaware</t>
        </is>
      </c>
      <c r="C50" s="28" t="inlineStr">
        <is>
          <t>Federal W-4 / W-4A worksheet</t>
        </is>
      </c>
      <c r="D50" s="28" t="inlineStr">
        <is>
          <t>Delaware uses the federal W-4; its W-4A worksheet works out the standard-deduction treatment.</t>
        </is>
      </c>
      <c r="E50" s="28" t="inlineStr">
        <is>
          <t>Inputs rows 21–26</t>
        </is>
      </c>
      <c r="F50" s="28" t="inlineStr">
        <is>
          <t>Live — formula</t>
        </is>
      </c>
    </row>
    <row r="51">
      <c r="B51" s="13" t="inlineStr">
        <is>
          <t>Florida</t>
        </is>
      </c>
      <c r="C51" s="28" t="inlineStr">
        <is>
          <t>— (no income tax)</t>
        </is>
      </c>
      <c r="D51" s="28" t="inlineStr">
        <is>
          <t>Nothing to file — there is no state wage income tax.</t>
        </is>
      </c>
      <c r="E51" s="28" t="inlineStr">
        <is>
          <t>Inputs rows 21–26</t>
        </is>
      </c>
      <c r="F51" s="28" t="inlineStr">
        <is>
          <t>$0 — no wage tax</t>
        </is>
      </c>
    </row>
    <row r="52">
      <c r="B52" s="13" t="inlineStr">
        <is>
          <t>Georgia</t>
        </is>
      </c>
      <c r="C52" s="28" t="inlineStr">
        <is>
          <t>Form G-4</t>
        </is>
      </c>
      <c r="D52" s="28" t="inlineStr">
        <is>
          <t>The certificate still sets your real withholding with your employer; in this planner the state is manual-entry — see 'Manual-entry states' below.</t>
        </is>
      </c>
      <c r="E52" s="28" t="inlineStr">
        <is>
          <t>Inputs rows 21–26</t>
        </is>
      </c>
      <c r="F52" s="28" t="inlineStr">
        <is>
          <t>MANUAL ENTRY</t>
        </is>
      </c>
    </row>
    <row r="53">
      <c r="B53" s="13" t="inlineStr">
        <is>
          <t>Hawaii</t>
        </is>
      </c>
      <c r="C53" s="28" t="inlineStr">
        <is>
          <t>Form HW-4</t>
        </is>
      </c>
      <c r="D53" s="28" t="inlineStr">
        <is>
          <t>Filing status, allowances/exemptions, and any extra withholding per check.</t>
        </is>
      </c>
      <c r="E53" s="28" t="inlineStr">
        <is>
          <t>Inputs rows 21–26</t>
        </is>
      </c>
      <c r="F53" s="28" t="inlineStr">
        <is>
          <t>Live — formula</t>
        </is>
      </c>
    </row>
    <row r="54">
      <c r="B54" s="13" t="inlineStr">
        <is>
          <t>Iowa</t>
        </is>
      </c>
      <c r="C54" s="28" t="inlineStr">
        <is>
          <t>IA W-4</t>
        </is>
      </c>
      <c r="D54" s="28" t="inlineStr">
        <is>
          <t>Your total allowance amount; in this planner it is entered as a count of $40 units.</t>
        </is>
      </c>
      <c r="E54" s="28" t="inlineStr">
        <is>
          <t>Inputs row 23 (count of $40 units)</t>
        </is>
      </c>
      <c r="F54" s="28" t="inlineStr">
        <is>
          <t>Live — formula</t>
        </is>
      </c>
    </row>
    <row r="55">
      <c r="B55" s="13" t="inlineStr">
        <is>
          <t>Idaho</t>
        </is>
      </c>
      <c r="C55" s="28" t="inlineStr">
        <is>
          <t>Form ID W-4</t>
        </is>
      </c>
      <c r="D55" s="28" t="inlineStr">
        <is>
          <t>Filing status, allowances/exemptions, and any extra withholding per check.</t>
        </is>
      </c>
      <c r="E55" s="28" t="inlineStr">
        <is>
          <t>Inputs rows 21–26</t>
        </is>
      </c>
      <c r="F55" s="28" t="inlineStr">
        <is>
          <t>Live — formula</t>
        </is>
      </c>
    </row>
    <row r="56">
      <c r="B56" s="13" t="inlineStr">
        <is>
          <t>Illinois</t>
        </is>
      </c>
      <c r="C56" s="28" t="inlineStr">
        <is>
          <t>Form IL-W-4</t>
        </is>
      </c>
      <c r="D56" s="28" t="inlineStr">
        <is>
          <t>Filing status, allowances/exemptions, and any extra withholding per check.</t>
        </is>
      </c>
      <c r="E56" s="28" t="inlineStr">
        <is>
          <t>Inputs rows 21–26</t>
        </is>
      </c>
      <c r="F56" s="28" t="inlineStr">
        <is>
          <t>Live — formula</t>
        </is>
      </c>
    </row>
    <row r="57">
      <c r="B57" s="13" t="inlineStr">
        <is>
          <t>Indiana</t>
        </is>
      </c>
      <c r="C57" s="28" t="inlineStr">
        <is>
          <t>Form WH-4</t>
        </is>
      </c>
      <c r="D57" s="28" t="inlineStr">
        <is>
          <t>Personal and dependent exemptions, and your county of residence on January 1 (its rate is added).</t>
        </is>
      </c>
      <c r="E57" s="28" t="inlineStr">
        <is>
          <t>Inputs rows 23, 24, 86 and row 76 (county rate)</t>
        </is>
      </c>
      <c r="F57" s="28" t="inlineStr">
        <is>
          <t>Live — formula</t>
        </is>
      </c>
    </row>
    <row r="58">
      <c r="B58" s="13" t="inlineStr">
        <is>
          <t>Kansas</t>
        </is>
      </c>
      <c r="C58" s="28" t="inlineStr">
        <is>
          <t>Form K-4</t>
        </is>
      </c>
      <c r="D58" s="28" t="inlineStr">
        <is>
          <t>Filing status, allowances/exemptions, and any extra withholding per check.</t>
        </is>
      </c>
      <c r="E58" s="28" t="inlineStr">
        <is>
          <t>Inputs rows 21–26</t>
        </is>
      </c>
      <c r="F58" s="28" t="inlineStr">
        <is>
          <t>Live — formula</t>
        </is>
      </c>
    </row>
    <row r="59">
      <c r="B59" s="13" t="inlineStr">
        <is>
          <t>Kentucky</t>
        </is>
      </c>
      <c r="C59" s="28" t="inlineStr">
        <is>
          <t>Form K-4 (exempt/extra only)</t>
        </is>
      </c>
      <c r="D59" s="28" t="inlineStr">
        <is>
          <t>Only needed to claim exempt or add extra withholding — otherwise Kentucky withholds using the standard deduction automatically.</t>
        </is>
      </c>
      <c r="E59" s="28" t="inlineStr">
        <is>
          <t>Inputs rows 21–26</t>
        </is>
      </c>
      <c r="F59" s="28" t="inlineStr">
        <is>
          <t>Live — formula</t>
        </is>
      </c>
    </row>
    <row r="60">
      <c r="B60" s="13" t="inlineStr">
        <is>
          <t>Louisiana</t>
        </is>
      </c>
      <c r="C60" s="28" t="inlineStr">
        <is>
          <t>Form R-1300 (L-4)</t>
        </is>
      </c>
      <c r="D60" s="28" t="inlineStr">
        <is>
          <t>The L-4 standard-deduction claim in Block A (0, 1 or 2).</t>
        </is>
      </c>
      <c r="E60" s="28" t="inlineStr">
        <is>
          <t>Inputs row 84</t>
        </is>
      </c>
      <c r="F60" s="28" t="inlineStr">
        <is>
          <t>Live — formula</t>
        </is>
      </c>
    </row>
    <row r="61">
      <c r="B61" s="13" t="inlineStr">
        <is>
          <t>Massachusetts</t>
        </is>
      </c>
      <c r="C61" s="28" t="inlineStr">
        <is>
          <t>Form M-4</t>
        </is>
      </c>
      <c r="D61" s="28" t="inlineStr">
        <is>
          <t>Exemptions — note a spouse counts as 4 exemptions on the M-4 — plus head-of-household and blindness claims.</t>
        </is>
      </c>
      <c r="E61" s="28" t="inlineStr">
        <is>
          <t>Inputs rows 22–23 and row 75 (blind exemptions)</t>
        </is>
      </c>
      <c r="F61" s="28" t="inlineStr">
        <is>
          <t>Live — formula</t>
        </is>
      </c>
    </row>
    <row r="62">
      <c r="B62" s="13" t="inlineStr">
        <is>
          <t>Maryland</t>
        </is>
      </c>
      <c r="C62" s="28" t="inlineStr">
        <is>
          <t>Form MW507</t>
        </is>
      </c>
      <c r="D62" s="28" t="inlineStr">
        <is>
          <t>Exemptions, and your county — the county tax rides on top of the state tax at your county's rate.</t>
        </is>
      </c>
      <c r="E62" s="28" t="inlineStr">
        <is>
          <t>Inputs rows 22–23 and row 74 (county rate)</t>
        </is>
      </c>
      <c r="F62" s="28" t="inlineStr">
        <is>
          <t>Live — formula</t>
        </is>
      </c>
    </row>
    <row r="63">
      <c r="B63" s="13" t="inlineStr">
        <is>
          <t>Maine</t>
        </is>
      </c>
      <c r="C63" s="28" t="inlineStr">
        <is>
          <t>Form W-4ME</t>
        </is>
      </c>
      <c r="D63" s="28" t="inlineStr">
        <is>
          <t>The certificate still sets your real withholding with your employer; in this planner the state is manual-entry — see 'Manual-entry states' below.</t>
        </is>
      </c>
      <c r="E63" s="28" t="inlineStr">
        <is>
          <t>Inputs rows 21–26</t>
        </is>
      </c>
      <c r="F63" s="28" t="inlineStr">
        <is>
          <t>MANUAL ENTRY</t>
        </is>
      </c>
    </row>
    <row r="64">
      <c r="B64" s="13" t="inlineStr">
        <is>
          <t>Michigan</t>
        </is>
      </c>
      <c r="C64" s="28" t="inlineStr">
        <is>
          <t>Form MI-W4</t>
        </is>
      </c>
      <c r="D64" s="28" t="inlineStr">
        <is>
          <t>Filing status, allowances/exemptions, and any extra withholding per check.</t>
        </is>
      </c>
      <c r="E64" s="28" t="inlineStr">
        <is>
          <t>Inputs rows 21–26</t>
        </is>
      </c>
      <c r="F64" s="28" t="inlineStr">
        <is>
          <t>Live — formula</t>
        </is>
      </c>
    </row>
    <row r="65">
      <c r="B65" s="13" t="inlineStr">
        <is>
          <t>Minnesota</t>
        </is>
      </c>
      <c r="C65" s="28" t="inlineStr">
        <is>
          <t>Form W-4MN</t>
        </is>
      </c>
      <c r="D65" s="28" t="inlineStr">
        <is>
          <t>Filing status, allowances/exemptions, and any extra withholding per check.</t>
        </is>
      </c>
      <c r="E65" s="28" t="inlineStr">
        <is>
          <t>Inputs rows 21–26</t>
        </is>
      </c>
      <c r="F65" s="28" t="inlineStr">
        <is>
          <t>Live — formula</t>
        </is>
      </c>
    </row>
    <row r="66">
      <c r="B66" s="13" t="inlineStr">
        <is>
          <t>Missouri</t>
        </is>
      </c>
      <c r="C66" s="28" t="inlineStr">
        <is>
          <t>Form MO W-4</t>
        </is>
      </c>
      <c r="D66" s="28" t="inlineStr">
        <is>
          <t>Allowances; the form also drives the standard-deduction choice for a working spouse.</t>
        </is>
      </c>
      <c r="E66" s="28" t="inlineStr">
        <is>
          <t>Inputs rows 22–23 and row 83 (spouse works)</t>
        </is>
      </c>
      <c r="F66" s="28" t="inlineStr">
        <is>
          <t>Live — formula</t>
        </is>
      </c>
    </row>
    <row r="67">
      <c r="B67" s="13" t="inlineStr">
        <is>
          <t>Mississippi</t>
        </is>
      </c>
      <c r="C67" s="28" t="inlineStr">
        <is>
          <t>Form 89-350</t>
        </is>
      </c>
      <c r="D67" s="28" t="inlineStr">
        <is>
          <t>Your total exemption amount (the form's Line 6 total).</t>
        </is>
      </c>
      <c r="E67" s="28" t="inlineStr">
        <is>
          <t>Inputs row 85</t>
        </is>
      </c>
      <c r="F67" s="28" t="inlineStr">
        <is>
          <t>Live — formula</t>
        </is>
      </c>
    </row>
    <row r="68">
      <c r="B68" s="13" t="inlineStr">
        <is>
          <t>Montana</t>
        </is>
      </c>
      <c r="C68" s="28" t="inlineStr">
        <is>
          <t>Form MW-4</t>
        </is>
      </c>
      <c r="D68" s="28" t="inlineStr">
        <is>
          <t>Filing status, allowances/exemptions, and any extra withholding per check.</t>
        </is>
      </c>
      <c r="E68" s="28" t="inlineStr">
        <is>
          <t>Inputs rows 21–26</t>
        </is>
      </c>
      <c r="F68" s="28" t="inlineStr">
        <is>
          <t>Live — formula</t>
        </is>
      </c>
    </row>
    <row r="69">
      <c r="B69" s="13" t="inlineStr">
        <is>
          <t>North Carolina</t>
        </is>
      </c>
      <c r="C69" s="28" t="inlineStr">
        <is>
          <t>Form NC-4</t>
        </is>
      </c>
      <c r="D69" s="28" t="inlineStr">
        <is>
          <t>The certificate still sets your real withholding with your employer; in this planner the state is manual-entry — see 'Manual-entry states' below.</t>
        </is>
      </c>
      <c r="E69" s="28" t="inlineStr">
        <is>
          <t>Inputs rows 21–26</t>
        </is>
      </c>
      <c r="F69" s="28" t="inlineStr">
        <is>
          <t>MANUAL ENTRY</t>
        </is>
      </c>
    </row>
    <row r="70">
      <c r="B70" s="13" t="inlineStr">
        <is>
          <t>North Dakota</t>
        </is>
      </c>
      <c r="C70" s="28" t="inlineStr">
        <is>
          <t>Federal W-4</t>
        </is>
      </c>
      <c r="D70" s="28" t="inlineStr">
        <is>
          <t>This state uses your federal W-4 — no separate state certificate exists.</t>
        </is>
      </c>
      <c r="E70" s="28" t="inlineStr">
        <is>
          <t>Inputs rows 21–26</t>
        </is>
      </c>
      <c r="F70" s="28" t="inlineStr">
        <is>
          <t>Live — formula</t>
        </is>
      </c>
    </row>
    <row r="71">
      <c r="B71" s="13" t="inlineStr">
        <is>
          <t>Nebraska</t>
        </is>
      </c>
      <c r="C71" s="28" t="inlineStr">
        <is>
          <t>Form W-4N</t>
        </is>
      </c>
      <c r="D71" s="28" t="inlineStr">
        <is>
          <t>Filing status, allowances/exemptions, and any extra withholding per check.</t>
        </is>
      </c>
      <c r="E71" s="28" t="inlineStr">
        <is>
          <t>Inputs rows 21–26</t>
        </is>
      </c>
      <c r="F71" s="28" t="inlineStr">
        <is>
          <t>Live — formula</t>
        </is>
      </c>
    </row>
    <row r="72">
      <c r="B72" s="13" t="inlineStr">
        <is>
          <t>New Hampshire</t>
        </is>
      </c>
      <c r="C72" s="28" t="inlineStr">
        <is>
          <t>— (no income tax)</t>
        </is>
      </c>
      <c r="D72" s="28" t="inlineStr">
        <is>
          <t>Nothing to file — there is no state wage income tax.</t>
        </is>
      </c>
      <c r="E72" s="28" t="inlineStr">
        <is>
          <t>Inputs rows 21–26</t>
        </is>
      </c>
      <c r="F72" s="28" t="inlineStr">
        <is>
          <t>$0 — no wage tax</t>
        </is>
      </c>
    </row>
    <row r="73">
      <c r="B73" s="13" t="inlineStr">
        <is>
          <t>New Jersey</t>
        </is>
      </c>
      <c r="C73" s="28" t="inlineStr">
        <is>
          <t>Form NJ-W4</t>
        </is>
      </c>
      <c r="D73" s="28" t="inlineStr">
        <is>
          <t>Allowances AND your rate-table letter (A–E) — the letter you select on the NJ-W4 picks the withholding table.</t>
        </is>
      </c>
      <c r="E73" s="28" t="inlineStr">
        <is>
          <t>Inputs rows 22–23 and row 77 (table letter)</t>
        </is>
      </c>
      <c r="F73" s="28" t="inlineStr">
        <is>
          <t>Live — formula</t>
        </is>
      </c>
    </row>
    <row r="74">
      <c r="B74" s="13" t="inlineStr">
        <is>
          <t>New Mexico</t>
        </is>
      </c>
      <c r="C74" s="28" t="inlineStr">
        <is>
          <t>Federal W-4 (NM copy)</t>
        </is>
      </c>
      <c r="D74" s="28" t="inlineStr">
        <is>
          <t>New Mexico uses a copy of your federal W-4 filed for NM.</t>
        </is>
      </c>
      <c r="E74" s="28" t="inlineStr">
        <is>
          <t>Inputs rows 21–26</t>
        </is>
      </c>
      <c r="F74" s="28" t="inlineStr">
        <is>
          <t>MANUAL ENTRY</t>
        </is>
      </c>
    </row>
    <row r="75">
      <c r="B75" s="13" t="inlineStr">
        <is>
          <t>Nevada</t>
        </is>
      </c>
      <c r="C75" s="28" t="inlineStr">
        <is>
          <t>— (no income tax)</t>
        </is>
      </c>
      <c r="D75" s="28" t="inlineStr">
        <is>
          <t>Nothing to file — there is no state wage income tax.</t>
        </is>
      </c>
      <c r="E75" s="28" t="inlineStr">
        <is>
          <t>Inputs rows 21–26</t>
        </is>
      </c>
      <c r="F75" s="28" t="inlineStr">
        <is>
          <t>$0 — no wage tax</t>
        </is>
      </c>
    </row>
    <row r="76">
      <c r="B76" s="13" t="inlineStr">
        <is>
          <t>New York</t>
        </is>
      </c>
      <c r="C76" s="28" t="inlineStr">
        <is>
          <t>Form IT-2104</t>
        </is>
      </c>
      <c r="D76" s="28" t="inlineStr">
        <is>
          <t>Allowances; the form also asks about NYC and Yonkers residency, which add their own lines.</t>
        </is>
      </c>
      <c r="E76" s="28" t="inlineStr">
        <is>
          <t>Inputs rows 22–23, plus rows 78–79 (NYC / Yonkers)</t>
        </is>
      </c>
      <c r="F76" s="28" t="inlineStr">
        <is>
          <t>Live — formula</t>
        </is>
      </c>
    </row>
    <row r="77">
      <c r="B77" s="13" t="inlineStr">
        <is>
          <t>Ohio</t>
        </is>
      </c>
      <c r="C77" s="28" t="inlineStr">
        <is>
          <t>Form IT 4</t>
        </is>
      </c>
      <c r="D77" s="28" t="inlineStr">
        <is>
          <t>Exemptions — each one is worth $650 in the formula.</t>
        </is>
      </c>
      <c r="E77" s="28" t="inlineStr">
        <is>
          <t>Inputs rows 21–26</t>
        </is>
      </c>
      <c r="F77" s="28" t="inlineStr">
        <is>
          <t>Live — formula</t>
        </is>
      </c>
    </row>
    <row r="78">
      <c r="B78" s="13" t="inlineStr">
        <is>
          <t>Oklahoma</t>
        </is>
      </c>
      <c r="C78" s="28" t="inlineStr">
        <is>
          <t>Form OK-W-4</t>
        </is>
      </c>
      <c r="D78" s="28" t="inlineStr">
        <is>
          <t>Filing status, allowances/exemptions, and any extra withholding per check.</t>
        </is>
      </c>
      <c r="E78" s="28" t="inlineStr">
        <is>
          <t>Inputs rows 21–26</t>
        </is>
      </c>
      <c r="F78" s="28" t="inlineStr">
        <is>
          <t>Live — formula</t>
        </is>
      </c>
    </row>
    <row r="79">
      <c r="B79" s="13" t="inlineStr">
        <is>
          <t>Oregon</t>
        </is>
      </c>
      <c r="C79" s="28" t="inlineStr">
        <is>
          <t>Form OR-W-4</t>
        </is>
      </c>
      <c r="D79" s="28" t="inlineStr">
        <is>
          <t>Filing status, allowances/exemptions, and any extra withholding per check.</t>
        </is>
      </c>
      <c r="E79" s="28" t="inlineStr">
        <is>
          <t>Inputs rows 21–26</t>
        </is>
      </c>
      <c r="F79" s="28" t="inlineStr">
        <is>
          <t>Live — formula</t>
        </is>
      </c>
    </row>
    <row r="80">
      <c r="B80" s="13" t="inlineStr">
        <is>
          <t>Pennsylvania</t>
        </is>
      </c>
      <c r="C80" s="28" t="inlineStr">
        <is>
          <t>Federal W-4 (no state form)</t>
        </is>
      </c>
      <c r="D80" s="28" t="inlineStr">
        <is>
          <t>No state certificate: your employer uses your federal W-4 information for the flat 3.07% tax. (Local earned-income tax uses a separate residency certificate.)</t>
        </is>
      </c>
      <c r="E80" s="28" t="inlineStr">
        <is>
          <t>Nothing state-specific; local EIT via rows 27 and 81</t>
        </is>
      </c>
      <c r="F80" s="28" t="inlineStr">
        <is>
          <t>Live — formula</t>
        </is>
      </c>
    </row>
    <row r="81">
      <c r="B81" s="13" t="inlineStr">
        <is>
          <t>Rhode Island</t>
        </is>
      </c>
      <c r="C81" s="28" t="inlineStr">
        <is>
          <t>Form RI W-4</t>
        </is>
      </c>
      <c r="D81" s="28" t="inlineStr">
        <is>
          <t>Filing status, allowances/exemptions, and any extra withholding per check.</t>
        </is>
      </c>
      <c r="E81" s="28" t="inlineStr">
        <is>
          <t>Inputs rows 21–26</t>
        </is>
      </c>
      <c r="F81" s="28" t="inlineStr">
        <is>
          <t>Live — formula</t>
        </is>
      </c>
    </row>
    <row r="82">
      <c r="B82" s="13" t="inlineStr">
        <is>
          <t>South Carolina</t>
        </is>
      </c>
      <c r="C82" s="28" t="inlineStr">
        <is>
          <t>Form SC W-4</t>
        </is>
      </c>
      <c r="D82" s="28" t="inlineStr">
        <is>
          <t>Filing status, allowances/exemptions, and any extra withholding per check.</t>
        </is>
      </c>
      <c r="E82" s="28" t="inlineStr">
        <is>
          <t>Inputs rows 21–26</t>
        </is>
      </c>
      <c r="F82" s="28" t="inlineStr">
        <is>
          <t>Live — formula</t>
        </is>
      </c>
    </row>
    <row r="83">
      <c r="B83" s="13" t="inlineStr">
        <is>
          <t>South Dakota</t>
        </is>
      </c>
      <c r="C83" s="28" t="inlineStr">
        <is>
          <t>— (no income tax)</t>
        </is>
      </c>
      <c r="D83" s="28" t="inlineStr">
        <is>
          <t>Nothing to file — there is no state wage income tax.</t>
        </is>
      </c>
      <c r="E83" s="28" t="inlineStr">
        <is>
          <t>Inputs rows 21–26</t>
        </is>
      </c>
      <c r="F83" s="28" t="inlineStr">
        <is>
          <t>$0 — no wage tax</t>
        </is>
      </c>
    </row>
    <row r="84">
      <c r="B84" s="13" t="inlineStr">
        <is>
          <t>Tennessee</t>
        </is>
      </c>
      <c r="C84" s="28" t="inlineStr">
        <is>
          <t>— (no income tax)</t>
        </is>
      </c>
      <c r="D84" s="28" t="inlineStr">
        <is>
          <t>Nothing to file — there is no state wage income tax.</t>
        </is>
      </c>
      <c r="E84" s="28" t="inlineStr">
        <is>
          <t>Inputs rows 21–26</t>
        </is>
      </c>
      <c r="F84" s="28" t="inlineStr">
        <is>
          <t>$0 — no wage tax</t>
        </is>
      </c>
    </row>
    <row r="85">
      <c r="B85" s="13" t="inlineStr">
        <is>
          <t>Texas</t>
        </is>
      </c>
      <c r="C85" s="28" t="inlineStr">
        <is>
          <t>— (no income tax)</t>
        </is>
      </c>
      <c r="D85" s="28" t="inlineStr">
        <is>
          <t>Nothing to file — there is no state wage income tax.</t>
        </is>
      </c>
      <c r="E85" s="28" t="inlineStr">
        <is>
          <t>Inputs rows 21–26</t>
        </is>
      </c>
      <c r="F85" s="28" t="inlineStr">
        <is>
          <t>$0 — no wage tax</t>
        </is>
      </c>
    </row>
    <row r="86">
      <c r="B86" s="13" t="inlineStr">
        <is>
          <t>Utah</t>
        </is>
      </c>
      <c r="C86" s="28" t="inlineStr">
        <is>
          <t>Federal W-4</t>
        </is>
      </c>
      <c r="D86" s="28" t="inlineStr">
        <is>
          <t>This state uses your federal W-4 — no separate state certificate exists.</t>
        </is>
      </c>
      <c r="E86" s="28" t="inlineStr">
        <is>
          <t>Inputs rows 21–26</t>
        </is>
      </c>
      <c r="F86" s="28" t="inlineStr">
        <is>
          <t>MANUAL ENTRY</t>
        </is>
      </c>
    </row>
    <row r="87">
      <c r="B87" s="13" t="inlineStr">
        <is>
          <t>Virginia</t>
        </is>
      </c>
      <c r="C87" s="28" t="inlineStr">
        <is>
          <t>Form VA-4</t>
        </is>
      </c>
      <c r="D87" s="28" t="inlineStr">
        <is>
          <t>Exemptions ($930 each) plus age-65/blind exemptions ($800 each).</t>
        </is>
      </c>
      <c r="E87" s="28" t="inlineStr">
        <is>
          <t>Inputs rows 23–24</t>
        </is>
      </c>
      <c r="F87" s="28" t="inlineStr">
        <is>
          <t>Live — formula</t>
        </is>
      </c>
    </row>
    <row r="88">
      <c r="B88" s="13" t="inlineStr">
        <is>
          <t>Vermont</t>
        </is>
      </c>
      <c r="C88" s="28" t="inlineStr">
        <is>
          <t>Form W-4VT</t>
        </is>
      </c>
      <c r="D88" s="28" t="inlineStr">
        <is>
          <t>Filing status, allowances/exemptions, and any extra withholding per check.</t>
        </is>
      </c>
      <c r="E88" s="28" t="inlineStr">
        <is>
          <t>Inputs rows 21–26</t>
        </is>
      </c>
      <c r="F88" s="28" t="inlineStr">
        <is>
          <t>Live — formula</t>
        </is>
      </c>
    </row>
    <row r="89">
      <c r="B89" s="13" t="inlineStr">
        <is>
          <t>Washington</t>
        </is>
      </c>
      <c r="C89" s="28" t="inlineStr">
        <is>
          <t>— (no income tax)</t>
        </is>
      </c>
      <c r="D89" s="28" t="inlineStr">
        <is>
          <t>Nothing to file — there is no state wage income tax.</t>
        </is>
      </c>
      <c r="E89" s="28" t="inlineStr">
        <is>
          <t>Inputs rows 21–26</t>
        </is>
      </c>
      <c r="F89" s="28" t="inlineStr">
        <is>
          <t>$0 — no wage tax</t>
        </is>
      </c>
    </row>
    <row r="90">
      <c r="B90" s="13" t="inlineStr">
        <is>
          <t>Wisconsin</t>
        </is>
      </c>
      <c r="C90" s="28" t="inlineStr">
        <is>
          <t>Form WT-4</t>
        </is>
      </c>
      <c r="D90" s="28" t="inlineStr">
        <is>
          <t>Filing status, allowances/exemptions, and any extra withholding per check.</t>
        </is>
      </c>
      <c r="E90" s="28" t="inlineStr">
        <is>
          <t>Inputs rows 21–26</t>
        </is>
      </c>
      <c r="F90" s="28" t="inlineStr">
        <is>
          <t>Live — formula</t>
        </is>
      </c>
    </row>
    <row r="91">
      <c r="B91" s="13" t="inlineStr">
        <is>
          <t>West Virginia</t>
        </is>
      </c>
      <c r="C91" s="28" t="inlineStr">
        <is>
          <t>Form WV/IT-104</t>
        </is>
      </c>
      <c r="D91" s="28" t="inlineStr">
        <is>
          <t>Exemptions, and whether the lower-rate (one-earner) table box is checked.</t>
        </is>
      </c>
      <c r="E91" s="28" t="inlineStr">
        <is>
          <t>Inputs rows 21–26</t>
        </is>
      </c>
      <c r="F91" s="28" t="inlineStr">
        <is>
          <t>Live — formula</t>
        </is>
      </c>
    </row>
    <row r="92">
      <c r="B92" s="13" t="inlineStr">
        <is>
          <t>Wyoming</t>
        </is>
      </c>
      <c r="C92" s="28" t="inlineStr">
        <is>
          <t>— (no income tax)</t>
        </is>
      </c>
      <c r="D92" s="28" t="inlineStr">
        <is>
          <t>Nothing to file — there is no state wage income tax.</t>
        </is>
      </c>
      <c r="E92" s="28" t="inlineStr">
        <is>
          <t>Inputs rows 21–26</t>
        </is>
      </c>
      <c r="F92" s="28" t="inlineStr">
        <is>
          <t>$0 — no wage tax</t>
        </is>
      </c>
    </row>
    <row r="94">
      <c r="B94" s="10" t="inlineStr">
        <is>
          <t>Manual-entry states — exactly which stub line, and how often</t>
        </is>
      </c>
    </row>
    <row r="95">
      <c r="B95" s="3" t="inlineStr">
        <is>
          <t>Seven states — Connecticut, District of Columbia, Georgia, Maine, North Carolina, New Mexico, Utah — ship as manual entry in this planner. The StateTables tab states the reason for each: a core 2027 parameter could not be verified from the state's own publication, and an unverified formula is never dressed up as precise. Their employee-paid programs (CT Paid Leave, ME PFML, the NM workers' comp fee) still compute live. For the income-tax line itself:</t>
        </is>
      </c>
    </row>
    <row r="96">
      <c r="B96" s="3" t="inlineStr">
        <is>
          <t>Which line: on your pay stub, find the state income-tax withholding in the Taxes section — labeled like 'State Tax', 'SIT', or with your state's name ('CT Tax', 'DC Tax', 'GA Tax'). Do not use a program line (paid leave, disability, workers' comp) — those are separate lines on the stub and separate math in the planner.</t>
        </is>
      </c>
    </row>
    <row r="97">
      <c r="B97" s="3" t="inlineStr">
        <is>
          <t>Which check: a regular, full check. Not a bonus check (supplemental pay is withheld differently), not a partial first or last check, not a check with unusual overtime.</t>
        </is>
      </c>
    </row>
    <row r="98">
      <c r="B98" s="30" t="inlineStr">
        <is>
          <t>Where it goes: type that per-check amount into Inputs row 28, 'State withholding per check'.</t>
        </is>
      </c>
    </row>
    <row r="99">
      <c r="B99" s="3" t="inlineStr">
        <is>
          <t>How often to refresh: re-copy it whenever your pay, filing status, or allowances change and after any raise — and at least once a quarter. Copy it fresh every January, when states issue new tables and last year's amount goes stale.</t>
        </is>
      </c>
    </row>
    <row r="100">
      <c r="B100" s="3" t="inlineStr">
        <is>
          <t>If your checks vary (overtime, shift differentials, irregular hours): average the state-tax line over your last three regular checks and use that — and expect the planner to run approximate in heavy or light months, exactly as a flat per-check figure implies.</t>
        </is>
      </c>
    </row>
    <row r="102">
      <c r="B102" s="10" t="inlineStr">
        <is>
          <t>If your stub doesn't match — check these three things first</t>
        </is>
      </c>
    </row>
    <row r="103">
      <c r="B103" s="3" t="inlineStr">
        <is>
          <t>1. You may be comparing the wrong check. Bonuses and other one-offs are withheld at supplemental rates, a first or last check is partial, and a 27th payday spreads pay differently. Compare a plain, full, regular check against its row in the schedule.</t>
        </is>
      </c>
    </row>
    <row r="104">
      <c r="B104" s="3" t="inlineStr">
        <is>
          <t>2. Your employer may true-up as it goes. Some payroll systems withhold cumulatively: each check is figured from your actual year-to-date pay and the tax already taken, not from that check alone. After a bonus, a raise, or a mid-year start, their checks drift from the standard annualized method — the method in the IRS percentage tables, and the one this planner uses — and then converge again. A small difference that appears right after a one-off and shrinks is the signature, not an error.</t>
        </is>
      </c>
    </row>
    <row r="105">
      <c r="B105" s="3" t="inlineStr">
        <is>
          <t>3. The form on file may not be the form you entered. A pre-2020 W-4 with old allowances, a Step 2 box checked years ago, a Step 4(c) amount from an old fix, a state form never updated after a move — in each case payroll is following its instructions faithfully and the planner is comparing against different ones. Ask HR to show you the forms on file, enter exactly those, or file fresh forms and enter the new ones.</t>
        </is>
      </c>
    </row>
    <row r="106">
      <c r="B106" s="3" t="inlineStr">
        <is>
          <t>And three FICA-and-deduction specifics worth ruling out: Social Security still being withheld after your year-to-date passes $192,300 usually means two employers this year — each applies its own cap, and the excess comes back on your tax return (the Events tab models the restart). A 401(k) mismatch is usually a pre-tax vs. Roth mix-up or a percent-of-pay definition. Everything off by a little, every check, usually means a per-check item changed — a premium at open enrollment, a new deduction — so compare the deduction lines, not just the tax lines.</t>
        </is>
      </c>
    </row>
    <row r="108">
      <c r="B108" s="2" t="inlineStr">
        <is>
          <t>Official cross-check for your own situation: the IRS Tax Withholding Estimator at irs.gov/W4App. Nothing on this tab is tax advice, and no part of this planner tells you what to claim — it shows you what the forms you filed will do.</t>
        </is>
      </c>
    </row>
  </sheetData>
  <sheetProtection selectLockedCells="0" selectUnlockedCells="0" sheet="1" objects="0" insertRows="1" insertHyperlinks="1" autoFilter="1" scenarios="0" formatColumns="1" deleteColumns="1" insertColumns="1" pivotTables="1" deleteRows="1" formatCells="1" formatRows="1" sort="1"/>
  <mergeCells count="38">
    <mergeCell ref="B106:F106"/>
    <mergeCell ref="B7:F7"/>
    <mergeCell ref="C24:D24"/>
    <mergeCell ref="C30:D30"/>
    <mergeCell ref="B100:F100"/>
    <mergeCell ref="B3:F3"/>
    <mergeCell ref="C26:D26"/>
    <mergeCell ref="B18:F18"/>
    <mergeCell ref="B96:F96"/>
    <mergeCell ref="B105:F105"/>
    <mergeCell ref="B12:F12"/>
    <mergeCell ref="C29:D29"/>
    <mergeCell ref="C25:D25"/>
    <mergeCell ref="B11:F11"/>
    <mergeCell ref="B98:F98"/>
    <mergeCell ref="B14:F14"/>
    <mergeCell ref="B8:F8"/>
    <mergeCell ref="B17:F17"/>
    <mergeCell ref="B13:F13"/>
    <mergeCell ref="B38:F38"/>
    <mergeCell ref="B103:F103"/>
    <mergeCell ref="B34:F34"/>
    <mergeCell ref="B10:F10"/>
    <mergeCell ref="C27:D27"/>
    <mergeCell ref="B19:F19"/>
    <mergeCell ref="B37:F37"/>
    <mergeCell ref="B108:F108"/>
    <mergeCell ref="B99:F99"/>
    <mergeCell ref="B9:F9"/>
    <mergeCell ref="B6:F6"/>
    <mergeCell ref="B20:F20"/>
    <mergeCell ref="B95:F95"/>
    <mergeCell ref="B33:F33"/>
    <mergeCell ref="B104:F104"/>
    <mergeCell ref="C28:D28"/>
    <mergeCell ref="B36:F36"/>
    <mergeCell ref="B97:F97"/>
    <mergeCell ref="B35:F35"/>
  </mergeCells>
  <pageMargins left="0.75" right="0.75" top="1" bottom="1" header="0.5" footer="0.5"/>
</worksheet>
</file>

<file path=xl/worksheets/sheet12.xml><?xml version="1.0" encoding="utf-8"?>
<worksheet xmlns="http://schemas.openxmlformats.org/spreadsheetml/2006/main">
  <sheetPr>
    <tabColor rgb="00BF8F00"/>
    <outlinePr summaryBelow="1" summaryRight="1"/>
    <pageSetUpPr/>
  </sheetPr>
  <dimension ref="B1:H42"/>
  <sheetViews>
    <sheetView workbookViewId="0">
      <selection activeCell="A1" sqref="A1"/>
    </sheetView>
  </sheetViews>
  <sheetFormatPr baseColWidth="8" defaultRowHeight="15"/>
  <cols>
    <col width="2" customWidth="1" min="1" max="1"/>
    <col width="40" customWidth="1" min="2" max="2"/>
    <col width="15" customWidth="1" min="3" max="3"/>
    <col width="14" customWidth="1" min="4" max="4"/>
    <col width="30" customWidth="1" min="5" max="5"/>
    <col width="15" customWidth="1" min="6" max="6"/>
    <col width="16" customWidth="1" min="7" max="7"/>
    <col width="62" customWidth="1" min="8" max="8"/>
  </cols>
  <sheetData>
    <row r="1">
      <c r="B1" s="9" t="inlineStr">
        <is>
          <t>Tax-advantage levers — what actually lowers your taxes</t>
        </is>
      </c>
    </row>
    <row r="2">
      <c r="B2" s="2" t="inlineStr">
        <is>
          <t>Most people under-use pre-tax benefits because the savings are invisible: '$100 into my 401(k)' looks like '$100 out of my check.' It isn't. Set a test amount below and each lever shows three numbers: what goes in, what actually leaves your net per check, and the tax saved per year — computed from your own marginal rates, read live from the engine. Mechanics and arithmetic only; never a recommendation.</t>
        </is>
      </c>
    </row>
    <row r="4">
      <c r="B4" s="10" t="inlineStr">
        <is>
          <t>1 · Your marginal rates — the engine's read</t>
        </is>
      </c>
    </row>
    <row r="5">
      <c r="B5" t="inlineStr">
        <is>
          <t>Federal marginal rate</t>
        </is>
      </c>
      <c r="C5" s="29">
        <f>LOOKUP(2,1/('Pay Schedule'!$BU$6:$BU$68&lt;&gt;""),'Pay Schedule'!$BU$6:$BU$68)</f>
      </c>
    </row>
    <row r="6">
      <c r="B6" t="inlineStr">
        <is>
          <t>State marginal rate (engine)</t>
        </is>
      </c>
      <c r="C6" s="29">
        <f>LOOKUP(2,1/('Pay Schedule'!$BV$6:$BV$68&lt;&gt;""),'Pay Schedule'!$BV$6:$BV$68)</f>
      </c>
    </row>
    <row r="7">
      <c r="B7" t="inlineStr">
        <is>
          <t>…if your state is manual-entry, enter its marginal rate (decimal)</t>
        </is>
      </c>
      <c r="C7" s="40" t="n">
        <v>0</v>
      </c>
    </row>
    <row r="8">
      <c r="B8" s="5" t="inlineStr">
        <is>
          <t>Effective state marginal rate (used below)</t>
        </is>
      </c>
      <c r="C8" s="29">
        <f>IF(OR(Inputs!$C$21="CT",Inputs!$C$21="DC",Inputs!$C$21="GA",Inputs!$C$21="ME",Inputs!$C$21="NC",Inputs!$C$21="NM",Inputs!$C$21="UT"),$C$7,$C$6)</f>
      </c>
    </row>
    <row r="9">
      <c r="B9" t="inlineStr">
        <is>
          <t>FICA marginal rate, at your point in the year</t>
        </is>
      </c>
      <c r="C9" s="29">
        <f>IF(LOOKUP(2,1/('Pay Schedule'!$AB$6:$AB$68&lt;&gt;""),'Pay Schedule'!$AB$6:$AB$68)&lt;'Methodology &amp; Sources'!$C$3,'Methodology &amp; Sources'!$C$4,0)+'Methodology &amp; Sources'!$C$5+IF(LOOKUP(2,1/('Pay Schedule'!$AG$6:$AG$68&lt;&gt;""),'Pay Schedule'!$AG$6:$AG$68)&gt;'Methodology &amp; Sources'!$C$7,'Methodology &amp; Sources'!$C$6,0)</f>
      </c>
    </row>
    <row r="10">
      <c r="B10" t="inlineStr">
        <is>
          <t>Pay periods per year</t>
        </is>
      </c>
      <c r="C10" s="20">
        <f>Inputs!$C$8</f>
      </c>
    </row>
    <row r="11">
      <c r="B11" s="2" t="inlineStr">
        <is>
          <t>These are marginal reads at your current annualized wage: the rate on the NEXT dollar. They move as the year does — the Social Security piece of the FICA rate drops away once you cross the wage cap (the Pay Schedule shows the exact check), and a lever big enough to change your bracket changes the rates themselves. For the exact price of a big change, enter it on Inputs and watch the schedule re-price; this panel is the quick, honest estimate.</t>
        </is>
      </c>
    </row>
    <row r="13">
      <c r="B13" s="10" t="inlineStr">
        <is>
          <t>2 · The five levers, priced on your numbers</t>
        </is>
      </c>
    </row>
    <row r="14">
      <c r="B14" s="19" t="inlineStr">
        <is>
          <t>Lever</t>
        </is>
      </c>
      <c r="C14" s="19" t="inlineStr">
        <is>
          <t>You set</t>
        </is>
      </c>
      <c r="D14" s="19" t="inlineStr">
        <is>
          <t>Per year</t>
        </is>
      </c>
      <c r="E14" s="19" t="inlineStr">
        <is>
          <t>Lowers</t>
        </is>
      </c>
      <c r="F14" s="19" t="inlineStr">
        <is>
          <t>Tax saved / yr</t>
        </is>
      </c>
      <c r="G14" s="19" t="inlineStr">
        <is>
          <t>Take-home cost / check</t>
        </is>
      </c>
      <c r="H14" s="19" t="inlineStr">
        <is>
          <t>Lever receipt</t>
        </is>
      </c>
    </row>
    <row r="15">
      <c r="B15" s="28" t="inlineStr">
        <is>
          <t>401(k) / 403(b) / 457 — pre-tax  ($ per check)</t>
        </is>
      </c>
      <c r="C15" s="37" t="n">
        <v>100</v>
      </c>
      <c r="D15" s="16">
        <f>$C15*$C$10</f>
      </c>
      <c r="E15" s="28">
        <f>"Federal + state income tax"</f>
      </c>
      <c r="F15" s="16">
        <f>$D15*($C$5+$C$8)</f>
      </c>
      <c r="G15" s="16">
        <f>$C15-$F15/$C$10</f>
      </c>
      <c r="H15" s="28">
        <f>"$"&amp;TEXT($D15,"#,##0")&amp;" goes in per year; your net falls $"&amp;TEXT($G15,"#,##0.00")&amp;" per check — the other $"&amp;TEXT($C15-$G15,"#,##0.00")&amp;" was tax you no longer pay. Note: no FICA saving — pre-tax deferrals do not reduce Social Security or Medicare tax."</f>
      </c>
    </row>
    <row r="16">
      <c r="B16" s="28" t="inlineStr">
        <is>
          <t>Roth 401(k)  ($ per check)</t>
        </is>
      </c>
      <c r="C16" s="37" t="n">
        <v>0</v>
      </c>
      <c r="D16" s="16">
        <f>$C16*$C$10</f>
      </c>
      <c r="E16" s="28">
        <f>"Nothing today — taxed going in"</f>
      </c>
      <c r="F16" s="16">
        <f>0</f>
      </c>
      <c r="G16" s="16">
        <f>$C16</f>
      </c>
      <c r="H16" s="28">
        <f>"No tax saved today: the full amount comes out of net. The trade is tax now for tax-free qualified withdrawals later. It shares the same IRS cap as pre-tax (section 3 below), and it does not reduce FICA either."</f>
      </c>
    </row>
    <row r="17">
      <c r="B17" s="28" t="inlineStr">
        <is>
          <t>HSA — through payroll  ($ per check)</t>
        </is>
      </c>
      <c r="C17" s="37" t="n">
        <v>0</v>
      </c>
      <c r="D17" s="16">
        <f>$C17*$C$10</f>
      </c>
      <c r="E17" s="28">
        <f>IF(OR(Inputs!$C$21="CA",Inputs!$C$21="NJ",Inputs!$C$21="PA"),"Federal + FICA — NOT your state (see below)","Federal + state + FICA")</f>
      </c>
      <c r="F17" s="16">
        <f>$D17*($C$5+$C$9+IF(OR(Inputs!$C$21="CA",Inputs!$C$21="NJ",Inputs!$C$21="PA"),0,$C$8))</f>
      </c>
      <c r="G17" s="16">
        <f>$C17-$F17/$C$10</f>
      </c>
      <c r="H17" s="28">
        <f>"The triple advantage where your state conforms: in pre-tax (income tax AND FICA), growth untaxed, out untaxed for qualified medical costs. Requires a high-deductible health plan; the IRS annual limit for your coverage is on Inputs (row 37)."</f>
      </c>
    </row>
    <row r="18">
      <c r="B18" s="28" t="inlineStr">
        <is>
          <t>Health FSA  ($ per YEAR (election))</t>
        </is>
      </c>
      <c r="C18" s="37" t="n">
        <v>0</v>
      </c>
      <c r="D18" s="16">
        <f>$C18</f>
      </c>
      <c r="E18" s="28">
        <f>"Federal + state + FICA"</f>
      </c>
      <c r="F18" s="16">
        <f>$D18*($C$5+$C$8+$C$9)</f>
      </c>
      <c r="G18" s="16">
        <f>($D18-$F18)/$C$10</f>
      </c>
      <c r="H18" s="28">
        <f>"The election is spread over every check; after the tax savings it costs the per-check amount shown. The honest catch: use-it-or-lose-it — your plan may allow a small rollover or a grace period, but unspent money is generally forfeited, so elect what you will actually spend."</f>
      </c>
    </row>
    <row r="19">
      <c r="B19" s="28" t="inlineStr">
        <is>
          <t>Dependent-care FSA  ($ per YEAR (election))</t>
        </is>
      </c>
      <c r="C19" s="37" t="n">
        <v>0</v>
      </c>
      <c r="D19" s="16">
        <f>$C19</f>
      </c>
      <c r="E19" s="28">
        <f>"Federal + state + FICA"</f>
      </c>
      <c r="F19" s="16">
        <f>$D19*($C$5+$C$8+$C$9)</f>
      </c>
      <c r="G19" s="16">
        <f>($D19-$F19)/$C$10</f>
      </c>
      <c r="H19" s="28">
        <f>"For child or dependent care so you (and your spouse, if married) can work — both spouses need earned income. Compare against the dependent-care credit at filing: the same expenses cannot claim both, and which wins depends on your income. The planner shows the FSA side; the credit is settled on the return."</f>
      </c>
    </row>
    <row r="20">
      <c r="B20" s="8">
        <f>IF($D$15&gt;MAX(0,$C$26),"⚠ Your 401(k) test amount exceeds the room left under your cap (section 3) — the excess would not be deferred.","")</f>
      </c>
    </row>
    <row r="21">
      <c r="B21" s="3">
        <f>IF(OR(Inputs!$C$21="CA",Inputs!$C$21="NJ",Inputs!$C$21="PA"),"HSA and your state: "&amp;IF(Inputs!$C$21="CA","California",IF(Inputs!$C$21="NJ","New Jersey","Pennsylvania"))&amp;" does not conform to HSAs — contributions through payroll do NOT reduce your state tax there, so the HSA row credits no state saving. In a conforming state, the same contribution would save about $"&amp;TEXT($D$17*$C$8,"#,##0")&amp;" more per year at your marginal state rate. Your federal and FICA savings are unaffected.",IF(OR(Inputs!$C$21="CT",Inputs!$C$21="DC",Inputs!$C$21="GA",Inputs!$C$21="ME",Inputs!$C$21="NC",Inputs!$C$21="NM",Inputs!$C$21="UT"),"HSA and your state: your state is manual-entry in this planner. Most states conform to HSAs (the lever then saves state tax too); CA, NJ and PA do not. The HSA row above uses the marginal state rate you entered in row 7 — set it to 0 if your state does not conform.","HSA and your state: your state conforms to HSAs, so the HSA row above credits federal, FICA, and state savings — the full triple advantage."))</f>
      </c>
    </row>
    <row r="23">
      <c r="B23" s="10" t="inlineStr">
        <is>
          <t>3 · Your 401(k) cap, catch-up, and the SECURE 2.0 Roth rule</t>
        </is>
      </c>
    </row>
    <row r="24">
      <c r="B24" t="inlineStr">
        <is>
          <t>Your 2027 deferral cap (set by your age)</t>
        </is>
      </c>
      <c r="C24" s="16">
        <f>Inputs!$C$34</f>
      </c>
    </row>
    <row r="25">
      <c r="B25" t="inlineStr">
        <is>
          <t>Deferred so far this year (incl. starting balance)</t>
        </is>
      </c>
      <c r="C25" s="16">
        <f>LOOKUP(2,1/('Pay Schedule'!$AC$6:$AC$68&lt;&gt;""),'Pay Schedule'!$AC$6:$AC$68)</f>
      </c>
    </row>
    <row r="26">
      <c r="B26" s="5" t="inlineStr">
        <is>
          <t>Room left under the cap</t>
        </is>
      </c>
      <c r="C26" s="16">
        <f>MAX(0,$C$24-$C$25)</f>
      </c>
    </row>
    <row r="27">
      <c r="B27" t="inlineStr">
        <is>
          <t>Your PRIOR-YEAR Social Security wages from this employer ($)</t>
        </is>
      </c>
      <c r="C27" s="37" t="n">
        <v>0</v>
      </c>
      <c r="E27" s="2" t="inlineStr">
        <is>
          <t>From last year's W-2, Box 3 — used only by the rule in the next row.</t>
        </is>
      </c>
    </row>
    <row r="28">
      <c r="B28" s="3">
        <f>IF(AND(Inputs!$C$19&gt;=50,$C$27&gt;155000),"SECURE 2.0 Roth catch-up rule: because your prior-year Social Security wages from this employer exceeded $155,000 and you are 50 or older, any catch-up contributions you make for 2027 must be designated Roth (after-tax) if your plan offers a Roth option — they cannot be pre-tax. Your regular deferrals are unaffected. Educational summary only; your plan administrator applies the rule.",IF(Inputs!$C$19&gt;=50,"Catch-up room: at 50+ your cap (row 24) already includes the $8,500 catch-up — or $11,750 if you are 60–63 this year. The SECURE 2.0 rule that forces catch-ups to be Roth applies only when prior-year Social Security wages from this employer exceeded $155,000; on the figures entered, it does not apply to you.","Catch-up contributions begin at age 50: $8,500 on top of the regular cap, or $11,750 at ages 60–63. The cap in row 24 follows your age on Inputs automatically."))</f>
      </c>
    </row>
    <row r="29">
      <c r="B29" s="2" t="inlineStr">
        <is>
          <t>Pre-tax and Roth deferrals share ONE cap — the engine stops both together at the cap in row 24, on the exact check where you reach it (watch for the ★ note in the schedule).</t>
        </is>
      </c>
    </row>
    <row r="30">
      <c r="B30" s="2" t="inlineStr">
        <is>
          <t>Reading levers against goals: a lever that frees take-home changes what the Goals tab can fund, and a pre-tax lever that grows (a larger 401(k) deferral) competes with the same dollars. The Goals tab's capacity input is where the trade-off becomes a number — neither tab will tell you which side of it to choose.</t>
        </is>
      </c>
    </row>
    <row r="32">
      <c r="B32" s="10" t="inlineStr">
        <is>
          <t>4 · Which taxes each lever lowers — the mechanics</t>
        </is>
      </c>
    </row>
    <row r="33">
      <c r="B33" s="25" t="inlineStr">
        <is>
          <t>Lever</t>
        </is>
      </c>
      <c r="C33" s="25" t="inlineStr">
        <is>
          <t>Lowers income tax</t>
        </is>
      </c>
      <c r="D33" s="25" t="inlineStr">
        <is>
          <t>Lowers FICA</t>
        </is>
      </c>
      <c r="E33" s="25" t="inlineStr">
        <is>
          <t>What to know</t>
        </is>
      </c>
    </row>
    <row r="34">
      <c r="B34" s="13" t="inlineStr">
        <is>
          <t>401(k)/403(b)/457 pre-tax</t>
        </is>
      </c>
      <c r="C34" s="13" t="inlineStr">
        <is>
          <t>Federal + state</t>
        </is>
      </c>
      <c r="D34" s="13" t="inlineStr">
        <is>
          <t>No</t>
        </is>
      </c>
      <c r="E34" s="28" t="inlineStr">
        <is>
          <t>The most misunderstood lever: it does NOT reduce Social Security/Medicare tax.</t>
        </is>
      </c>
      <c r="F34" s="32" t="n"/>
      <c r="G34" s="32" t="n"/>
      <c r="H34" s="31" t="n"/>
    </row>
    <row r="35">
      <c r="B35" s="13" t="inlineStr">
        <is>
          <t>Roth 401(k)</t>
        </is>
      </c>
      <c r="C35" s="13" t="inlineStr">
        <is>
          <t>No (taxed now)</t>
        </is>
      </c>
      <c r="D35" s="13" t="inlineStr">
        <is>
          <t>No</t>
        </is>
      </c>
      <c r="E35" s="28" t="inlineStr">
        <is>
          <t>Counts toward the same deferral cap; tax-now vs. tax-later.</t>
        </is>
      </c>
      <c r="F35" s="32" t="n"/>
      <c r="G35" s="32" t="n"/>
      <c r="H35" s="31" t="n"/>
    </row>
    <row r="36">
      <c r="B36" s="13" t="inlineStr">
        <is>
          <t>Insurance premiums (§125)</t>
        </is>
      </c>
      <c r="C36" s="13" t="inlineStr">
        <is>
          <t>Federal + state</t>
        </is>
      </c>
      <c r="D36" s="13" t="inlineStr">
        <is>
          <t>Yes</t>
        </is>
      </c>
      <c r="E36" s="28" t="inlineStr">
        <is>
          <t>Money you already spend — the discount is automatic.</t>
        </is>
      </c>
      <c r="F36" s="32" t="n"/>
      <c r="G36" s="32" t="n"/>
      <c r="H36" s="31" t="n"/>
    </row>
    <row r="37">
      <c r="B37" s="13" t="inlineStr">
        <is>
          <t>HSA through payroll</t>
        </is>
      </c>
      <c r="C37" s="13" t="inlineStr">
        <is>
          <t>Federal + state*</t>
        </is>
      </c>
      <c r="D37" s="13" t="inlineStr">
        <is>
          <t>Yes</t>
        </is>
      </c>
      <c r="E37" s="28" t="inlineStr">
        <is>
          <t>The only triple advantage: in pre-tax, grows untaxed, out untaxed for medical. Requires an HDHP. *Except CA, NJ and PA, which do not conform — see the note in section 2.</t>
        </is>
      </c>
      <c r="F37" s="32" t="n"/>
      <c r="G37" s="32" t="n"/>
      <c r="H37" s="31" t="n"/>
    </row>
    <row r="38">
      <c r="B38" s="13" t="inlineStr">
        <is>
          <t>Health FSA</t>
        </is>
      </c>
      <c r="C38" s="13" t="inlineStr">
        <is>
          <t>Federal + state</t>
        </is>
      </c>
      <c r="D38" s="13" t="inlineStr">
        <is>
          <t>Yes</t>
        </is>
      </c>
      <c r="E38" s="28" t="inlineStr">
        <is>
          <t>Use-it-or-lose-it risk: elect what you will actually spend.</t>
        </is>
      </c>
      <c r="F38" s="32" t="n"/>
      <c r="G38" s="32" t="n"/>
      <c r="H38" s="31" t="n"/>
    </row>
    <row r="39">
      <c r="B39" s="13" t="inlineStr">
        <is>
          <t>Dependent-care FSA</t>
        </is>
      </c>
      <c r="C39" s="13" t="inlineStr">
        <is>
          <t>Federal + state</t>
        </is>
      </c>
      <c r="D39" s="13" t="inlineStr">
        <is>
          <t>Yes</t>
        </is>
      </c>
      <c r="E39" s="28" t="inlineStr">
        <is>
          <t>Both spouses need earned income; compare against the dependent care credit — the same expenses can't claim both.</t>
        </is>
      </c>
      <c r="F39" s="32" t="n"/>
      <c r="G39" s="32" t="n"/>
      <c r="H39" s="31" t="n"/>
    </row>
    <row r="40">
      <c r="B40" s="13" t="inlineStr">
        <is>
          <t>Commuter/parking (§132)</t>
        </is>
      </c>
      <c r="C40" s="13" t="inlineStr">
        <is>
          <t>Federal + state</t>
        </is>
      </c>
      <c r="D40" s="13" t="inlineStr">
        <is>
          <t>Yes</t>
        </is>
      </c>
      <c r="E40" s="28" t="inlineStr">
        <is>
          <t>Smaller dollars, still free money for transit riders.</t>
        </is>
      </c>
      <c r="F40" s="32" t="n"/>
      <c r="G40" s="32" t="n"/>
      <c r="H40" s="31" t="n"/>
    </row>
    <row r="42">
      <c r="B42" s="2" t="inlineStr">
        <is>
          <t>Beyond the paycheck (settled at filing, NOT in this planner's math): a deductible traditional IRA (income limits apply), the dependent-care credit, and student-loan interest exist too — named here so you know to look, with details at irs.gov.</t>
        </is>
      </c>
    </row>
  </sheetData>
  <sheetProtection selectLockedCells="0" selectUnlockedCells="0" sheet="1" objects="0" insertRows="1" insertHyperlinks="1" autoFilter="1" scenarios="0" formatColumns="1" deleteColumns="1" insertColumns="1" pivotTables="1" deleteRows="1" formatCells="1" formatRows="1" sort="1"/>
  <mergeCells count="15">
    <mergeCell ref="E40:H40"/>
    <mergeCell ref="E39:H39"/>
    <mergeCell ref="B42:H42"/>
    <mergeCell ref="B21:H21"/>
    <mergeCell ref="E34:H34"/>
    <mergeCell ref="E35:H35"/>
    <mergeCell ref="E38:H38"/>
    <mergeCell ref="B30:H30"/>
    <mergeCell ref="B2:H2"/>
    <mergeCell ref="B29:H29"/>
    <mergeCell ref="B11:H11"/>
    <mergeCell ref="B20:H20"/>
    <mergeCell ref="E37:H37"/>
    <mergeCell ref="B28:H28"/>
    <mergeCell ref="E36:H36"/>
  </mergeCells>
  <pageMargins left="0.75" right="0.75" top="1" bottom="1" header="0.5" footer="0.5"/>
</worksheet>
</file>

<file path=xl/worksheets/sheet13.xml><?xml version="1.0" encoding="utf-8"?>
<worksheet xmlns="http://schemas.openxmlformats.org/spreadsheetml/2006/main">
  <sheetPr>
    <tabColor rgb="00C55A11"/>
    <outlinePr summaryBelow="1" summaryRight="1"/>
    <pageSetUpPr/>
  </sheetPr>
  <dimension ref="B1:U68"/>
  <sheetViews>
    <sheetView workbookViewId="0">
      <selection activeCell="A1" sqref="A1"/>
    </sheetView>
  </sheetViews>
  <sheetFormatPr baseColWidth="8" defaultRowHeight="15"/>
  <cols>
    <col width="2" customWidth="1" min="1" max="1"/>
    <col width="24" customWidth="1" min="2" max="2"/>
    <col width="12" customWidth="1" min="3" max="3"/>
    <col width="12" customWidth="1" min="4" max="4"/>
    <col width="9" customWidth="1" min="5" max="5"/>
    <col width="13" customWidth="1" min="6" max="6"/>
    <col width="13" customWidth="1" min="7" max="7"/>
    <col width="12" customWidth="1" min="8" max="8"/>
    <col width="12" customWidth="1" min="9" max="9"/>
    <col width="10" customWidth="1" min="10" max="10"/>
    <col width="12" customWidth="1" min="11" max="11"/>
    <col width="12" customWidth="1" min="12" max="12"/>
    <col width="12" customWidth="1" min="13" max="13"/>
    <col width="76" customWidth="1" min="14" max="14"/>
    <col width="13" customWidth="1" min="15" max="15"/>
    <col width="13" customWidth="1" min="16" max="16"/>
  </cols>
  <sheetData>
    <row r="1">
      <c r="B1" s="9" t="inlineStr">
        <is>
          <t>Goals — can we afford something nice?</t>
        </is>
      </c>
    </row>
    <row r="2">
      <c r="B2" s="2" t="inlineStr">
        <is>
          <t>Name the goal, the amount, and the date. The planner solves the set-aside per check from your real pay dates, funds goals in priority order from one shared capacity, and says plainly whether each goal makes it — and what it would take if it doesn't.</t>
        </is>
      </c>
    </row>
    <row r="4">
      <c r="B4" s="10" t="inlineStr">
        <is>
          <t>Your set-aside capacity</t>
        </is>
      </c>
    </row>
    <row r="5">
      <c r="B5" t="inlineStr">
        <is>
          <t>Capacity mode</t>
        </is>
      </c>
      <c r="C5" s="36" t="inlineStr">
        <is>
          <t>Per check</t>
        </is>
      </c>
      <c r="Q5" s="5" t="inlineStr">
        <is>
          <t>Per-check reality check →</t>
        </is>
      </c>
      <c r="R5" s="5" t="inlineStr">
        <is>
          <t>Pay date</t>
        </is>
      </c>
      <c r="S5" s="5" t="inlineStr">
        <is>
          <t>Projected net</t>
        </is>
      </c>
      <c r="T5" s="5" t="inlineStr">
        <is>
          <t>Planned set-asides</t>
        </is>
      </c>
      <c r="U5" s="5" t="inlineStr">
        <is>
          <t>Shortfall</t>
        </is>
      </c>
    </row>
    <row r="6">
      <c r="B6" t="inlineStr">
        <is>
          <t>Set-aside capacity ($ per Earner-1 check)</t>
        </is>
      </c>
      <c r="C6" s="37" t="n">
        <v>300</v>
      </c>
      <c r="R6" s="21">
        <f>IF('Pay Schedule'!$B6="","",'Pay Schedule'!$B6)</f>
      </c>
      <c r="S6" s="7">
        <f>IF(OR($R6="",'Pay Schedule'!$BF6&lt;&gt;TRUE),"",'Pay Schedule'!$Y6)</f>
      </c>
      <c r="T6" s="7">
        <f>IF($S6="","",SUMPRODUCT($M$14:$M$18,($C$14:$C$18&gt;0)*($I$14:$I$18&lt;&gt;"")*($I$14:$I$18&lt;=$R6)*($D$14:$D$18&gt;=$R6)))</f>
      </c>
      <c r="U6" s="7">
        <f>IF($S6="","",MAX(0,$T6-$S6))</f>
      </c>
    </row>
    <row r="7">
      <c r="B7" t="inlineStr">
        <is>
          <t>Monthly essentials ($/mo) — surplus mode only</t>
        </is>
      </c>
      <c r="C7" s="37" t="n">
        <v>0</v>
      </c>
      <c r="R7" s="21">
        <f>IF('Pay Schedule'!$B7="","",'Pay Schedule'!$B7)</f>
      </c>
      <c r="S7" s="7">
        <f>IF(OR($R7="",'Pay Schedule'!$BF7&lt;&gt;TRUE),"",'Pay Schedule'!$Y7)</f>
      </c>
      <c r="T7" s="7">
        <f>IF($S7="","",SUMPRODUCT($M$14:$M$18,($C$14:$C$18&gt;0)*($I$14:$I$18&lt;&gt;"")*($I$14:$I$18&lt;=$R7)*($D$14:$D$18&gt;=$R7)))</f>
      </c>
      <c r="U7" s="7">
        <f>IF($S7="","",MAX(0,$T7-$S7))</f>
      </c>
    </row>
    <row r="8">
      <c r="B8" t="inlineStr">
        <is>
          <t>Household take-home per month (from the Household tab)</t>
        </is>
      </c>
      <c r="C8" s="16">
        <f>Household!$C$6</f>
      </c>
      <c r="R8" s="21">
        <f>IF('Pay Schedule'!$B8="","",'Pay Schedule'!$B8)</f>
      </c>
      <c r="S8" s="7">
        <f>IF(OR($R8="",'Pay Schedule'!$BF8&lt;&gt;TRUE),"",'Pay Schedule'!$Y8)</f>
      </c>
      <c r="T8" s="7">
        <f>IF($S8="","",SUMPRODUCT($M$14:$M$18,($C$14:$C$18&gt;0)*($I$14:$I$18&lt;&gt;"")*($I$14:$I$18&lt;=$R8)*($D$14:$D$18&gt;=$R8)))</f>
      </c>
      <c r="U8" s="7">
        <f>IF($S8="","",MAX(0,$T8-$S8))</f>
      </c>
    </row>
    <row r="9">
      <c r="B9" s="5" t="inlineStr">
        <is>
          <t>Effective capacity per check (never more than your average projected net per check)</t>
        </is>
      </c>
      <c r="C9" s="16">
        <f>MIN(IF($C$5="Per check",$C$6,MAX(0,($C$8-$C$7)*12/MAX(1,MAX('Pay Schedule'!$BE$6:$BE$68)))),IFERROR(SUM('Pay Schedule'!$Y$6:$Y$68)/MAX(1,SUM('Pay Schedule'!$BF$6:$BF$68)),0))</f>
      </c>
      <c r="R9" s="21">
        <f>IF('Pay Schedule'!$B9="","",'Pay Schedule'!$B9)</f>
      </c>
      <c r="S9" s="7">
        <f>IF(OR($R9="",'Pay Schedule'!$BF9&lt;&gt;TRUE),"",'Pay Schedule'!$Y9)</f>
      </c>
      <c r="T9" s="7">
        <f>IF($S9="","",SUMPRODUCT($M$14:$M$18,($C$14:$C$18&gt;0)*($I$14:$I$18&lt;&gt;"")*($I$14:$I$18&lt;=$R9)*($D$14:$D$18&gt;=$R9)))</f>
      </c>
      <c r="U9" s="7">
        <f>IF($S9="","",MAX(0,$T9-$S9))</f>
      </c>
    </row>
    <row r="10">
      <c r="B10" s="2" t="inlineStr">
        <is>
          <t>Surplus mode takes the household's average monthly take-home, subtracts ONE monthly-essentials number, and spreads the rest over Earner 1's paydays. That is as deep as this gets on purpose — no expense categories, no bank connections. New in v1.1: whichever mode you pick, the effective capacity is also capped at your average projected net pay per check — a plan may not assume a check brings home more than it does.</t>
        </is>
      </c>
      <c r="R10" s="21">
        <f>IF('Pay Schedule'!$B10="","",'Pay Schedule'!$B10)</f>
      </c>
      <c r="S10" s="7">
        <f>IF(OR($R10="",'Pay Schedule'!$BF10&lt;&gt;TRUE),"",'Pay Schedule'!$Y10)</f>
      </c>
      <c r="T10" s="7">
        <f>IF($S10="","",SUMPRODUCT($M$14:$M$18,($C$14:$C$18&gt;0)*($I$14:$I$18&lt;&gt;"")*($I$14:$I$18&lt;=$R10)*($D$14:$D$18&gt;=$R10)))</f>
      </c>
      <c r="U10" s="7">
        <f>IF($S10="","",MAX(0,$T10-$S10))</f>
      </c>
    </row>
    <row r="11">
      <c r="R11" s="21">
        <f>IF('Pay Schedule'!$B11="","",'Pay Schedule'!$B11)</f>
      </c>
      <c r="S11" s="7">
        <f>IF(OR($R11="",'Pay Schedule'!$BF11&lt;&gt;TRUE),"",'Pay Schedule'!$Y11)</f>
      </c>
      <c r="T11" s="7">
        <f>IF($S11="","",SUMPRODUCT($M$14:$M$18,($C$14:$C$18&gt;0)*($I$14:$I$18&lt;&gt;"")*($I$14:$I$18&lt;=$R11)*($D$14:$D$18&gt;=$R11)))</f>
      </c>
      <c r="U11" s="7">
        <f>IF($S11="","",MAX(0,$T11-$S11))</f>
      </c>
    </row>
    <row r="12">
      <c r="B12" s="10" t="inlineStr">
        <is>
          <t>Your goals — one row each, in any order; the Priority column runs the waterfall</t>
        </is>
      </c>
      <c r="R12" s="21">
        <f>IF('Pay Schedule'!$B12="","",'Pay Schedule'!$B12)</f>
      </c>
      <c r="S12" s="7">
        <f>IF(OR($R12="",'Pay Schedule'!$BF12&lt;&gt;TRUE),"",'Pay Schedule'!$Y12)</f>
      </c>
      <c r="T12" s="7">
        <f>IF($S12="","",SUMPRODUCT($M$14:$M$18,($C$14:$C$18&gt;0)*($I$14:$I$18&lt;&gt;"")*($I$14:$I$18&lt;=$R12)*($D$14:$D$18&gt;=$R12)))</f>
      </c>
      <c r="U12" s="7">
        <f>IF($S12="","",MAX(0,$T12-$S12))</f>
      </c>
    </row>
    <row r="13">
      <c r="B13" s="19" t="inlineStr">
        <is>
          <t>Goal</t>
        </is>
      </c>
      <c r="C13" s="19" t="inlineStr">
        <is>
          <t>Target ($)</t>
        </is>
      </c>
      <c r="D13" s="19" t="inlineStr">
        <is>
          <t>Target date</t>
        </is>
      </c>
      <c r="E13" s="19" t="inlineStr">
        <is>
          <t>Priority</t>
        </is>
      </c>
      <c r="F13" s="19" t="inlineStr">
        <is>
          <t>Already saved ($)</t>
        </is>
      </c>
      <c r="G13" s="19" t="inlineStr">
        <is>
          <t>One-off earmark ($)</t>
        </is>
      </c>
      <c r="H13" s="19" t="inlineStr">
        <is>
          <t>Earmark date</t>
        </is>
      </c>
      <c r="I13" s="19" t="inlineStr">
        <is>
          <t>Set-asides start</t>
        </is>
      </c>
      <c r="J13" s="19" t="inlineStr">
        <is>
          <t>Checks in window</t>
        </is>
      </c>
      <c r="K13" s="19" t="inlineStr">
        <is>
          <t>Still needed ($)</t>
        </is>
      </c>
      <c r="L13" s="19" t="inlineStr">
        <is>
          <t>Required / check</t>
        </is>
      </c>
      <c r="M13" s="19" t="inlineStr">
        <is>
          <t>Allocated / check</t>
        </is>
      </c>
      <c r="N13" s="19" t="inlineStr">
        <is>
          <t>Verdict</t>
        </is>
      </c>
      <c r="O13" s="19" t="inlineStr">
        <is>
          <t>Funded by (at allocated)</t>
        </is>
      </c>
      <c r="P13" s="19" t="inlineStr">
        <is>
          <t>Target that fits</t>
        </is>
      </c>
      <c r="R13" s="21">
        <f>IF('Pay Schedule'!$B13="","",'Pay Schedule'!$B13)</f>
      </c>
      <c r="S13" s="7">
        <f>IF(OR($R13="",'Pay Schedule'!$BF13&lt;&gt;TRUE),"",'Pay Schedule'!$Y13)</f>
      </c>
      <c r="T13" s="7">
        <f>IF($S13="","",SUMPRODUCT($M$14:$M$18,($C$14:$C$18&gt;0)*($I$14:$I$18&lt;&gt;"")*($I$14:$I$18&lt;=$R13)*($D$14:$D$18&gt;=$R13)))</f>
      </c>
      <c r="U13" s="7">
        <f>IF($S13="","",MAX(0,$T13-$S13))</f>
      </c>
    </row>
    <row r="14">
      <c r="B14" s="36" t="inlineStr">
        <is>
          <t>Spring break — EXAMPLE: replace with your own goal</t>
        </is>
      </c>
      <c r="C14" s="37" t="n">
        <v>6000</v>
      </c>
      <c r="D14" s="38" t="n">
        <v>46458</v>
      </c>
      <c r="E14" s="39" t="n">
        <v>1</v>
      </c>
      <c r="F14" s="37" t="n">
        <v>0</v>
      </c>
      <c r="G14" s="37" t="n">
        <v>0</v>
      </c>
      <c r="H14" s="38" t="n"/>
      <c r="I14" s="38">
        <f>Inputs!$C$9</f>
      </c>
      <c r="J14" s="20">
        <f>IF(OR($C14=0,$C14="",$D14="",$I14=""),0,SUMPRODUCT(('Pay Schedule'!$B$6:$B$68&lt;&gt;"")*('Pay Schedule'!$BF$6:$BF$68=1)*('Pay Schedule'!$B$6:$B$68&gt;=$I14)*('Pay Schedule'!$B$6:$B$68&lt;=$D14)))</f>
      </c>
      <c r="K14" s="16">
        <f>IF($C14=0,0,MAX(0,$C14-$F14-IF(AND($G14&gt;0,$H14&lt;&gt;"",$H14&lt;=$D14),$G14,0)))</f>
      </c>
      <c r="L14" s="16">
        <f>IF(OR($K14=0,$J14=0),0,$K14/$J14)</f>
      </c>
      <c r="M14" s="16">
        <f>IF($K14=0,0,MIN($L14,MAX(0,$C$9-SUMPRODUCT(($E$14:$E$18&lt;$E14)*$L$14:$L$18))))</f>
      </c>
      <c r="N14" s="28">
        <f>IF(OR($C14="",$C14=0),"",IF($K14=0,"Covered already — savings and any earmark cover the target.",IF($J14=0,"No paydays fall between the start date and the target date — the date or the target has to move.",IF($M14&gt;=$L14,"Funded by "&amp;TEXT($D14,"mmmm d")&amp;" at $"&amp;TEXT($M14,"#,##0")&amp;" per check."&amp;IF(AND($G14&gt;0,$H14&lt;&gt;"",$H14&lt;=$D14,$J14&gt;0,($C14-$F14)/$J14&gt;$M14)," Funded only if the "&amp;TEXT($H14,"mmmm d")&amp;" one-off lands.",""),IF($M14&lt;=0,"Short $"&amp;TEXT($K14-$M14*$J14,"#,##0")&amp;" by "&amp;TEXT($D14,"mmmm d")&amp;" — nothing is left in the waterfall for this goal. Options: trim the target to $"&amp;TEXT($P14,"#,##0")&amp;", or raise the set-aside to $"&amp;TEXT($L14,"#,##0")&amp;" per check.","Short $"&amp;TEXT($K14-$M14*$J14,"#,##0")&amp;" by "&amp;TEXT($D14,"mmmm d")&amp;" — options: let the date slip to "&amp;TEXT($O14,"mmmm d, yyyy")&amp;", trim the target to $"&amp;TEXT($P14,"#,##0")&amp;", or raise the set-aside to $"&amp;TEXT($L14,"#,##0")&amp;" per check.")))))</f>
      </c>
      <c r="O14" s="26">
        <f>IF(OR($K14=0,$M14&lt;=0),"",IF(Inputs!$C$7="Weekly",Inputs!$C$9+7*(((SUMPRODUCT(('Pay Schedule'!$B$6:$B$68&lt;&gt;"")*('Pay Schedule'!$BF$6:$BF$68=1)*('Pay Schedule'!$B$6:$B$68&lt;$I14))+1)+CEILING($K14/MAX($M14,0.01),1)-1)-1),IF(Inputs!$C$7="Biweekly",Inputs!$C$9+14*(((SUMPRODUCT(('Pay Schedule'!$B$6:$B$68&lt;&gt;"")*('Pay Schedule'!$BF$6:$BF$68=1)*('Pay Schedule'!$B$6:$B$68&lt;$I14))+1)+CEILING($K14/MAX($M14,0.01),1)-1)-1),IF(Inputs!$C$7="Monthly",EDATE(Inputs!$C$9,((SUMPRODUCT(('Pay Schedule'!$B$6:$B$68&lt;&gt;"")*('Pay Schedule'!$BF$6:$BF$68=1)*('Pay Schedule'!$B$6:$B$68&lt;$I14))+1)+CEILING($K14/MAX($M14,0.01),1)-1)-1),DATE(YEAR(Inputs!$C$9),MONTH(Inputs!$C$9)+INT((((SUMPRODUCT(('Pay Schedule'!$B$6:$B$68&lt;&gt;"")*('Pay Schedule'!$BF$6:$BF$68=1)*('Pay Schedule'!$B$6:$B$68&lt;$I14))+1)+CEILING($K14/MAX($M14,0.01),1)-1)-1)/2),MIN(DAY(Inputs!$C$9),DAY(EOMONTH(DATE(YEAR(Inputs!$C$9),MONTH(Inputs!$C$9)+INT((((SUMPRODUCT(('Pay Schedule'!$B$6:$B$68&lt;&gt;"")*('Pay Schedule'!$BF$6:$BF$68=1)*('Pay Schedule'!$B$6:$B$68&lt;$I14))+1)+CEILING($K14/MAX($M14,0.01),1)-1)-1)/2),1),0))))+IF(MOD(((SUMPRODUCT(('Pay Schedule'!$B$6:$B$68&lt;&gt;"")*('Pay Schedule'!$BF$6:$BF$68=1)*('Pay Schedule'!$B$6:$B$68&lt;$I14))+1)+CEILING($K14/MAX($M14,0.01),1)-1)-1,2)=1,15,0)))))</f>
      </c>
      <c r="P14" s="16">
        <f>IF($C14=0,0,$F14+IF(AND($G14&gt;0,$H14&lt;&gt;"",$H14&lt;=$D14),$G14,0)+$M14*$J14)</f>
      </c>
      <c r="R14" s="21">
        <f>IF('Pay Schedule'!$B14="","",'Pay Schedule'!$B14)</f>
      </c>
      <c r="S14" s="7">
        <f>IF(OR($R14="",'Pay Schedule'!$BF14&lt;&gt;TRUE),"",'Pay Schedule'!$Y14)</f>
      </c>
      <c r="T14" s="7">
        <f>IF($S14="","",SUMPRODUCT($M$14:$M$18,($C$14:$C$18&gt;0)*($I$14:$I$18&lt;&gt;"")*($I$14:$I$18&lt;=$R14)*($D$14:$D$18&gt;=$R14)))</f>
      </c>
      <c r="U14" s="7">
        <f>IF($S14="","",MAX(0,$T14-$S14))</f>
      </c>
    </row>
    <row r="15">
      <c r="B15" s="36" t="n"/>
      <c r="C15" s="37" t="n">
        <v>0</v>
      </c>
      <c r="D15" s="38" t="n"/>
      <c r="E15" s="39" t="n">
        <v>2</v>
      </c>
      <c r="F15" s="37" t="n">
        <v>0</v>
      </c>
      <c r="G15" s="37" t="n">
        <v>0</v>
      </c>
      <c r="H15" s="38" t="n"/>
      <c r="I15" s="38">
        <f>Inputs!$C$9</f>
      </c>
      <c r="J15" s="20">
        <f>IF(OR($C15=0,$C15="",$D15="",$I15=""),0,SUMPRODUCT(('Pay Schedule'!$B$6:$B$68&lt;&gt;"")*('Pay Schedule'!$BF$6:$BF$68=1)*('Pay Schedule'!$B$6:$B$68&gt;=$I15)*('Pay Schedule'!$B$6:$B$68&lt;=$D15)))</f>
      </c>
      <c r="K15" s="16">
        <f>IF($C15=0,0,MAX(0,$C15-$F15-IF(AND($G15&gt;0,$H15&lt;&gt;"",$H15&lt;=$D15),$G15,0)))</f>
      </c>
      <c r="L15" s="16">
        <f>IF(OR($K15=0,$J15=0),0,$K15/$J15)</f>
      </c>
      <c r="M15" s="16">
        <f>IF($K15=0,0,MIN($L15,MAX(0,$C$9-SUMPRODUCT(($E$14:$E$18&lt;$E15)*$L$14:$L$18))))</f>
      </c>
      <c r="N15" s="28">
        <f>IF(OR($C15="",$C15=0),"",IF($K15=0,"Covered already — savings and any earmark cover the target.",IF($J15=0,"No paydays fall between the start date and the target date — the date or the target has to move.",IF($M15&gt;=$L15,"Funded by "&amp;TEXT($D15,"mmmm d")&amp;" at $"&amp;TEXT($M15,"#,##0")&amp;" per check."&amp;IF(AND($G15&gt;0,$H15&lt;&gt;"",$H15&lt;=$D15,$J15&gt;0,($C15-$F15)/$J15&gt;$M15)," Funded only if the "&amp;TEXT($H15,"mmmm d")&amp;" one-off lands.",""),IF($M15&lt;=0,"Short $"&amp;TEXT($K15-$M15*$J15,"#,##0")&amp;" by "&amp;TEXT($D15,"mmmm d")&amp;" — nothing is left in the waterfall for this goal. Options: trim the target to $"&amp;TEXT($P15,"#,##0")&amp;", or raise the set-aside to $"&amp;TEXT($L15,"#,##0")&amp;" per check.","Short $"&amp;TEXT($K15-$M15*$J15,"#,##0")&amp;" by "&amp;TEXT($D15,"mmmm d")&amp;" — options: let the date slip to "&amp;TEXT($O15,"mmmm d, yyyy")&amp;", trim the target to $"&amp;TEXT($P15,"#,##0")&amp;", or raise the set-aside to $"&amp;TEXT($L15,"#,##0")&amp;" per check.")))))</f>
      </c>
      <c r="O15" s="26">
        <f>IF(OR($K15=0,$M15&lt;=0),"",IF(Inputs!$C$7="Weekly",Inputs!$C$9+7*(((SUMPRODUCT(('Pay Schedule'!$B$6:$B$68&lt;&gt;"")*('Pay Schedule'!$BF$6:$BF$68=1)*('Pay Schedule'!$B$6:$B$68&lt;$I15))+1)+CEILING($K15/MAX($M15,0.01),1)-1)-1),IF(Inputs!$C$7="Biweekly",Inputs!$C$9+14*(((SUMPRODUCT(('Pay Schedule'!$B$6:$B$68&lt;&gt;"")*('Pay Schedule'!$BF$6:$BF$68=1)*('Pay Schedule'!$B$6:$B$68&lt;$I15))+1)+CEILING($K15/MAX($M15,0.01),1)-1)-1),IF(Inputs!$C$7="Monthly",EDATE(Inputs!$C$9,((SUMPRODUCT(('Pay Schedule'!$B$6:$B$68&lt;&gt;"")*('Pay Schedule'!$BF$6:$BF$68=1)*('Pay Schedule'!$B$6:$B$68&lt;$I15))+1)+CEILING($K15/MAX($M15,0.01),1)-1)-1),DATE(YEAR(Inputs!$C$9),MONTH(Inputs!$C$9)+INT((((SUMPRODUCT(('Pay Schedule'!$B$6:$B$68&lt;&gt;"")*('Pay Schedule'!$BF$6:$BF$68=1)*('Pay Schedule'!$B$6:$B$68&lt;$I15))+1)+CEILING($K15/MAX($M15,0.01),1)-1)-1)/2),MIN(DAY(Inputs!$C$9),DAY(EOMONTH(DATE(YEAR(Inputs!$C$9),MONTH(Inputs!$C$9)+INT((((SUMPRODUCT(('Pay Schedule'!$B$6:$B$68&lt;&gt;"")*('Pay Schedule'!$BF$6:$BF$68=1)*('Pay Schedule'!$B$6:$B$68&lt;$I15))+1)+CEILING($K15/MAX($M15,0.01),1)-1)-1)/2),1),0))))+IF(MOD(((SUMPRODUCT(('Pay Schedule'!$B$6:$B$68&lt;&gt;"")*('Pay Schedule'!$BF$6:$BF$68=1)*('Pay Schedule'!$B$6:$B$68&lt;$I15))+1)+CEILING($K15/MAX($M15,0.01),1)-1)-1,2)=1,15,0)))))</f>
      </c>
      <c r="P15" s="16">
        <f>IF($C15=0,0,$F15+IF(AND($G15&gt;0,$H15&lt;&gt;"",$H15&lt;=$D15),$G15,0)+$M15*$J15)</f>
      </c>
      <c r="R15" s="21">
        <f>IF('Pay Schedule'!$B15="","",'Pay Schedule'!$B15)</f>
      </c>
      <c r="S15" s="7">
        <f>IF(OR($R15="",'Pay Schedule'!$BF15&lt;&gt;TRUE),"",'Pay Schedule'!$Y15)</f>
      </c>
      <c r="T15" s="7">
        <f>IF($S15="","",SUMPRODUCT($M$14:$M$18,($C$14:$C$18&gt;0)*($I$14:$I$18&lt;&gt;"")*($I$14:$I$18&lt;=$R15)*($D$14:$D$18&gt;=$R15)))</f>
      </c>
      <c r="U15" s="7">
        <f>IF($S15="","",MAX(0,$T15-$S15))</f>
      </c>
    </row>
    <row r="16">
      <c r="B16" s="36" t="n"/>
      <c r="C16" s="37" t="n">
        <v>0</v>
      </c>
      <c r="D16" s="38" t="n"/>
      <c r="E16" s="39" t="n">
        <v>3</v>
      </c>
      <c r="F16" s="37" t="n">
        <v>0</v>
      </c>
      <c r="G16" s="37" t="n">
        <v>0</v>
      </c>
      <c r="H16" s="38" t="n"/>
      <c r="I16" s="38">
        <f>Inputs!$C$9</f>
      </c>
      <c r="J16" s="20">
        <f>IF(OR($C16=0,$C16="",$D16="",$I16=""),0,SUMPRODUCT(('Pay Schedule'!$B$6:$B$68&lt;&gt;"")*('Pay Schedule'!$BF$6:$BF$68=1)*('Pay Schedule'!$B$6:$B$68&gt;=$I16)*('Pay Schedule'!$B$6:$B$68&lt;=$D16)))</f>
      </c>
      <c r="K16" s="16">
        <f>IF($C16=0,0,MAX(0,$C16-$F16-IF(AND($G16&gt;0,$H16&lt;&gt;"",$H16&lt;=$D16),$G16,0)))</f>
      </c>
      <c r="L16" s="16">
        <f>IF(OR($K16=0,$J16=0),0,$K16/$J16)</f>
      </c>
      <c r="M16" s="16">
        <f>IF($K16=0,0,MIN($L16,MAX(0,$C$9-SUMPRODUCT(($E$14:$E$18&lt;$E16)*$L$14:$L$18))))</f>
      </c>
      <c r="N16" s="28">
        <f>IF(OR($C16="",$C16=0),"",IF($K16=0,"Covered already — savings and any earmark cover the target.",IF($J16=0,"No paydays fall between the start date and the target date — the date or the target has to move.",IF($M16&gt;=$L16,"Funded by "&amp;TEXT($D16,"mmmm d")&amp;" at $"&amp;TEXT($M16,"#,##0")&amp;" per check."&amp;IF(AND($G16&gt;0,$H16&lt;&gt;"",$H16&lt;=$D16,$J16&gt;0,($C16-$F16)/$J16&gt;$M16)," Funded only if the "&amp;TEXT($H16,"mmmm d")&amp;" one-off lands.",""),IF($M16&lt;=0,"Short $"&amp;TEXT($K16-$M16*$J16,"#,##0")&amp;" by "&amp;TEXT($D16,"mmmm d")&amp;" — nothing is left in the waterfall for this goal. Options: trim the target to $"&amp;TEXT($P16,"#,##0")&amp;", or raise the set-aside to $"&amp;TEXT($L16,"#,##0")&amp;" per check.","Short $"&amp;TEXT($K16-$M16*$J16,"#,##0")&amp;" by "&amp;TEXT($D16,"mmmm d")&amp;" — options: let the date slip to "&amp;TEXT($O16,"mmmm d, yyyy")&amp;", trim the target to $"&amp;TEXT($P16,"#,##0")&amp;", or raise the set-aside to $"&amp;TEXT($L16,"#,##0")&amp;" per check.")))))</f>
      </c>
      <c r="O16" s="26">
        <f>IF(OR($K16=0,$M16&lt;=0),"",IF(Inputs!$C$7="Weekly",Inputs!$C$9+7*(((SUMPRODUCT(('Pay Schedule'!$B$6:$B$68&lt;&gt;"")*('Pay Schedule'!$BF$6:$BF$68=1)*('Pay Schedule'!$B$6:$B$68&lt;$I16))+1)+CEILING($K16/MAX($M16,0.01),1)-1)-1),IF(Inputs!$C$7="Biweekly",Inputs!$C$9+14*(((SUMPRODUCT(('Pay Schedule'!$B$6:$B$68&lt;&gt;"")*('Pay Schedule'!$BF$6:$BF$68=1)*('Pay Schedule'!$B$6:$B$68&lt;$I16))+1)+CEILING($K16/MAX($M16,0.01),1)-1)-1),IF(Inputs!$C$7="Monthly",EDATE(Inputs!$C$9,((SUMPRODUCT(('Pay Schedule'!$B$6:$B$68&lt;&gt;"")*('Pay Schedule'!$BF$6:$BF$68=1)*('Pay Schedule'!$B$6:$B$68&lt;$I16))+1)+CEILING($K16/MAX($M16,0.01),1)-1)-1),DATE(YEAR(Inputs!$C$9),MONTH(Inputs!$C$9)+INT((((SUMPRODUCT(('Pay Schedule'!$B$6:$B$68&lt;&gt;"")*('Pay Schedule'!$BF$6:$BF$68=1)*('Pay Schedule'!$B$6:$B$68&lt;$I16))+1)+CEILING($K16/MAX($M16,0.01),1)-1)-1)/2),MIN(DAY(Inputs!$C$9),DAY(EOMONTH(DATE(YEAR(Inputs!$C$9),MONTH(Inputs!$C$9)+INT((((SUMPRODUCT(('Pay Schedule'!$B$6:$B$68&lt;&gt;"")*('Pay Schedule'!$BF$6:$BF$68=1)*('Pay Schedule'!$B$6:$B$68&lt;$I16))+1)+CEILING($K16/MAX($M16,0.01),1)-1)-1)/2),1),0))))+IF(MOD(((SUMPRODUCT(('Pay Schedule'!$B$6:$B$68&lt;&gt;"")*('Pay Schedule'!$BF$6:$BF$68=1)*('Pay Schedule'!$B$6:$B$68&lt;$I16))+1)+CEILING($K16/MAX($M16,0.01),1)-1)-1,2)=1,15,0)))))</f>
      </c>
      <c r="P16" s="16">
        <f>IF($C16=0,0,$F16+IF(AND($G16&gt;0,$H16&lt;&gt;"",$H16&lt;=$D16),$G16,0)+$M16*$J16)</f>
      </c>
      <c r="R16" s="21">
        <f>IF('Pay Schedule'!$B16="","",'Pay Schedule'!$B16)</f>
      </c>
      <c r="S16" s="7">
        <f>IF(OR($R16="",'Pay Schedule'!$BF16&lt;&gt;TRUE),"",'Pay Schedule'!$Y16)</f>
      </c>
      <c r="T16" s="7">
        <f>IF($S16="","",SUMPRODUCT($M$14:$M$18,($C$14:$C$18&gt;0)*($I$14:$I$18&lt;&gt;"")*($I$14:$I$18&lt;=$R16)*($D$14:$D$18&gt;=$R16)))</f>
      </c>
      <c r="U16" s="7">
        <f>IF($S16="","",MAX(0,$T16-$S16))</f>
      </c>
    </row>
    <row r="17">
      <c r="B17" s="36" t="n"/>
      <c r="C17" s="37" t="n">
        <v>0</v>
      </c>
      <c r="D17" s="38" t="n"/>
      <c r="E17" s="39" t="n">
        <v>4</v>
      </c>
      <c r="F17" s="37" t="n">
        <v>0</v>
      </c>
      <c r="G17" s="37" t="n">
        <v>0</v>
      </c>
      <c r="H17" s="38" t="n"/>
      <c r="I17" s="38">
        <f>Inputs!$C$9</f>
      </c>
      <c r="J17" s="20">
        <f>IF(OR($C17=0,$C17="",$D17="",$I17=""),0,SUMPRODUCT(('Pay Schedule'!$B$6:$B$68&lt;&gt;"")*('Pay Schedule'!$BF$6:$BF$68=1)*('Pay Schedule'!$B$6:$B$68&gt;=$I17)*('Pay Schedule'!$B$6:$B$68&lt;=$D17)))</f>
      </c>
      <c r="K17" s="16">
        <f>IF($C17=0,0,MAX(0,$C17-$F17-IF(AND($G17&gt;0,$H17&lt;&gt;"",$H17&lt;=$D17),$G17,0)))</f>
      </c>
      <c r="L17" s="16">
        <f>IF(OR($K17=0,$J17=0),0,$K17/$J17)</f>
      </c>
      <c r="M17" s="16">
        <f>IF($K17=0,0,MIN($L17,MAX(0,$C$9-SUMPRODUCT(($E$14:$E$18&lt;$E17)*$L$14:$L$18))))</f>
      </c>
      <c r="N17" s="28">
        <f>IF(OR($C17="",$C17=0),"",IF($K17=0,"Covered already — savings and any earmark cover the target.",IF($J17=0,"No paydays fall between the start date and the target date — the date or the target has to move.",IF($M17&gt;=$L17,"Funded by "&amp;TEXT($D17,"mmmm d")&amp;" at $"&amp;TEXT($M17,"#,##0")&amp;" per check."&amp;IF(AND($G17&gt;0,$H17&lt;&gt;"",$H17&lt;=$D17,$J17&gt;0,($C17-$F17)/$J17&gt;$M17)," Funded only if the "&amp;TEXT($H17,"mmmm d")&amp;" one-off lands.",""),IF($M17&lt;=0,"Short $"&amp;TEXT($K17-$M17*$J17,"#,##0")&amp;" by "&amp;TEXT($D17,"mmmm d")&amp;" — nothing is left in the waterfall for this goal. Options: trim the target to $"&amp;TEXT($P17,"#,##0")&amp;", or raise the set-aside to $"&amp;TEXT($L17,"#,##0")&amp;" per check.","Short $"&amp;TEXT($K17-$M17*$J17,"#,##0")&amp;" by "&amp;TEXT($D17,"mmmm d")&amp;" — options: let the date slip to "&amp;TEXT($O17,"mmmm d, yyyy")&amp;", trim the target to $"&amp;TEXT($P17,"#,##0")&amp;", or raise the set-aside to $"&amp;TEXT($L17,"#,##0")&amp;" per check.")))))</f>
      </c>
      <c r="O17" s="26">
        <f>IF(OR($K17=0,$M17&lt;=0),"",IF(Inputs!$C$7="Weekly",Inputs!$C$9+7*(((SUMPRODUCT(('Pay Schedule'!$B$6:$B$68&lt;&gt;"")*('Pay Schedule'!$BF$6:$BF$68=1)*('Pay Schedule'!$B$6:$B$68&lt;$I17))+1)+CEILING($K17/MAX($M17,0.01),1)-1)-1),IF(Inputs!$C$7="Biweekly",Inputs!$C$9+14*(((SUMPRODUCT(('Pay Schedule'!$B$6:$B$68&lt;&gt;"")*('Pay Schedule'!$BF$6:$BF$68=1)*('Pay Schedule'!$B$6:$B$68&lt;$I17))+1)+CEILING($K17/MAX($M17,0.01),1)-1)-1),IF(Inputs!$C$7="Monthly",EDATE(Inputs!$C$9,((SUMPRODUCT(('Pay Schedule'!$B$6:$B$68&lt;&gt;"")*('Pay Schedule'!$BF$6:$BF$68=1)*('Pay Schedule'!$B$6:$B$68&lt;$I17))+1)+CEILING($K17/MAX($M17,0.01),1)-1)-1),DATE(YEAR(Inputs!$C$9),MONTH(Inputs!$C$9)+INT((((SUMPRODUCT(('Pay Schedule'!$B$6:$B$68&lt;&gt;"")*('Pay Schedule'!$BF$6:$BF$68=1)*('Pay Schedule'!$B$6:$B$68&lt;$I17))+1)+CEILING($K17/MAX($M17,0.01),1)-1)-1)/2),MIN(DAY(Inputs!$C$9),DAY(EOMONTH(DATE(YEAR(Inputs!$C$9),MONTH(Inputs!$C$9)+INT((((SUMPRODUCT(('Pay Schedule'!$B$6:$B$68&lt;&gt;"")*('Pay Schedule'!$BF$6:$BF$68=1)*('Pay Schedule'!$B$6:$B$68&lt;$I17))+1)+CEILING($K17/MAX($M17,0.01),1)-1)-1)/2),1),0))))+IF(MOD(((SUMPRODUCT(('Pay Schedule'!$B$6:$B$68&lt;&gt;"")*('Pay Schedule'!$BF$6:$BF$68=1)*('Pay Schedule'!$B$6:$B$68&lt;$I17))+1)+CEILING($K17/MAX($M17,0.01),1)-1)-1,2)=1,15,0)))))</f>
      </c>
      <c r="P17" s="16">
        <f>IF($C17=0,0,$F17+IF(AND($G17&gt;0,$H17&lt;&gt;"",$H17&lt;=$D17),$G17,0)+$M17*$J17)</f>
      </c>
      <c r="R17" s="21">
        <f>IF('Pay Schedule'!$B17="","",'Pay Schedule'!$B17)</f>
      </c>
      <c r="S17" s="7">
        <f>IF(OR($R17="",'Pay Schedule'!$BF17&lt;&gt;TRUE),"",'Pay Schedule'!$Y17)</f>
      </c>
      <c r="T17" s="7">
        <f>IF($S17="","",SUMPRODUCT($M$14:$M$18,($C$14:$C$18&gt;0)*($I$14:$I$18&lt;&gt;"")*($I$14:$I$18&lt;=$R17)*($D$14:$D$18&gt;=$R17)))</f>
      </c>
      <c r="U17" s="7">
        <f>IF($S17="","",MAX(0,$T17-$S17))</f>
      </c>
    </row>
    <row r="18">
      <c r="B18" s="36" t="n"/>
      <c r="C18" s="37" t="n">
        <v>0</v>
      </c>
      <c r="D18" s="38" t="n"/>
      <c r="E18" s="39" t="n">
        <v>5</v>
      </c>
      <c r="F18" s="37" t="n">
        <v>0</v>
      </c>
      <c r="G18" s="37" t="n">
        <v>0</v>
      </c>
      <c r="H18" s="38" t="n"/>
      <c r="I18" s="38">
        <f>Inputs!$C$9</f>
      </c>
      <c r="J18" s="20">
        <f>IF(OR($C18=0,$C18="",$D18="",$I18=""),0,SUMPRODUCT(('Pay Schedule'!$B$6:$B$68&lt;&gt;"")*('Pay Schedule'!$BF$6:$BF$68=1)*('Pay Schedule'!$B$6:$B$68&gt;=$I18)*('Pay Schedule'!$B$6:$B$68&lt;=$D18)))</f>
      </c>
      <c r="K18" s="16">
        <f>IF($C18=0,0,MAX(0,$C18-$F18-IF(AND($G18&gt;0,$H18&lt;&gt;"",$H18&lt;=$D18),$G18,0)))</f>
      </c>
      <c r="L18" s="16">
        <f>IF(OR($K18=0,$J18=0),0,$K18/$J18)</f>
      </c>
      <c r="M18" s="16">
        <f>IF($K18=0,0,MIN($L18,MAX(0,$C$9-SUMPRODUCT(($E$14:$E$18&lt;$E18)*$L$14:$L$18))))</f>
      </c>
      <c r="N18" s="28">
        <f>IF(OR($C18="",$C18=0),"",IF($K18=0,"Covered already — savings and any earmark cover the target.",IF($J18=0,"No paydays fall between the start date and the target date — the date or the target has to move.",IF($M18&gt;=$L18,"Funded by "&amp;TEXT($D18,"mmmm d")&amp;" at $"&amp;TEXT($M18,"#,##0")&amp;" per check."&amp;IF(AND($G18&gt;0,$H18&lt;&gt;"",$H18&lt;=$D18,$J18&gt;0,($C18-$F18)/$J18&gt;$M18)," Funded only if the "&amp;TEXT($H18,"mmmm d")&amp;" one-off lands.",""),IF($M18&lt;=0,"Short $"&amp;TEXT($K18-$M18*$J18,"#,##0")&amp;" by "&amp;TEXT($D18,"mmmm d")&amp;" — nothing is left in the waterfall for this goal. Options: trim the target to $"&amp;TEXT($P18,"#,##0")&amp;", or raise the set-aside to $"&amp;TEXT($L18,"#,##0")&amp;" per check.","Short $"&amp;TEXT($K18-$M18*$J18,"#,##0")&amp;" by "&amp;TEXT($D18,"mmmm d")&amp;" — options: let the date slip to "&amp;TEXT($O18,"mmmm d, yyyy")&amp;", trim the target to $"&amp;TEXT($P18,"#,##0")&amp;", or raise the set-aside to $"&amp;TEXT($L18,"#,##0")&amp;" per check.")))))</f>
      </c>
      <c r="O18" s="26">
        <f>IF(OR($K18=0,$M18&lt;=0),"",IF(Inputs!$C$7="Weekly",Inputs!$C$9+7*(((SUMPRODUCT(('Pay Schedule'!$B$6:$B$68&lt;&gt;"")*('Pay Schedule'!$BF$6:$BF$68=1)*('Pay Schedule'!$B$6:$B$68&lt;$I18))+1)+CEILING($K18/MAX($M18,0.01),1)-1)-1),IF(Inputs!$C$7="Biweekly",Inputs!$C$9+14*(((SUMPRODUCT(('Pay Schedule'!$B$6:$B$68&lt;&gt;"")*('Pay Schedule'!$BF$6:$BF$68=1)*('Pay Schedule'!$B$6:$B$68&lt;$I18))+1)+CEILING($K18/MAX($M18,0.01),1)-1)-1),IF(Inputs!$C$7="Monthly",EDATE(Inputs!$C$9,((SUMPRODUCT(('Pay Schedule'!$B$6:$B$68&lt;&gt;"")*('Pay Schedule'!$BF$6:$BF$68=1)*('Pay Schedule'!$B$6:$B$68&lt;$I18))+1)+CEILING($K18/MAX($M18,0.01),1)-1)-1),DATE(YEAR(Inputs!$C$9),MONTH(Inputs!$C$9)+INT((((SUMPRODUCT(('Pay Schedule'!$B$6:$B$68&lt;&gt;"")*('Pay Schedule'!$BF$6:$BF$68=1)*('Pay Schedule'!$B$6:$B$68&lt;$I18))+1)+CEILING($K18/MAX($M18,0.01),1)-1)-1)/2),MIN(DAY(Inputs!$C$9),DAY(EOMONTH(DATE(YEAR(Inputs!$C$9),MONTH(Inputs!$C$9)+INT((((SUMPRODUCT(('Pay Schedule'!$B$6:$B$68&lt;&gt;"")*('Pay Schedule'!$BF$6:$BF$68=1)*('Pay Schedule'!$B$6:$B$68&lt;$I18))+1)+CEILING($K18/MAX($M18,0.01),1)-1)-1)/2),1),0))))+IF(MOD(((SUMPRODUCT(('Pay Schedule'!$B$6:$B$68&lt;&gt;"")*('Pay Schedule'!$BF$6:$BF$68=1)*('Pay Schedule'!$B$6:$B$68&lt;$I18))+1)+CEILING($K18/MAX($M18,0.01),1)-1)-1,2)=1,15,0)))))</f>
      </c>
      <c r="P18" s="16">
        <f>IF($C18=0,0,$F18+IF(AND($G18&gt;0,$H18&lt;&gt;"",$H18&lt;=$D18),$G18,0)+$M18*$J18)</f>
      </c>
      <c r="R18" s="21">
        <f>IF('Pay Schedule'!$B18="","",'Pay Schedule'!$B18)</f>
      </c>
      <c r="S18" s="7">
        <f>IF(OR($R18="",'Pay Schedule'!$BF18&lt;&gt;TRUE),"",'Pay Schedule'!$Y18)</f>
      </c>
      <c r="T18" s="7">
        <f>IF($S18="","",SUMPRODUCT($M$14:$M$18,($C$14:$C$18&gt;0)*($I$14:$I$18&lt;&gt;"")*($I$14:$I$18&lt;=$R18)*($D$14:$D$18&gt;=$R18)))</f>
      </c>
      <c r="U18" s="7">
        <f>IF($S18="","",MAX(0,$T18-$S18))</f>
      </c>
    </row>
    <row r="19">
      <c r="R19" s="21">
        <f>IF('Pay Schedule'!$B19="","",'Pay Schedule'!$B19)</f>
      </c>
      <c r="S19" s="7">
        <f>IF(OR($R19="",'Pay Schedule'!$BF19&lt;&gt;TRUE),"",'Pay Schedule'!$Y19)</f>
      </c>
      <c r="T19" s="7">
        <f>IF($S19="","",SUMPRODUCT($M$14:$M$18,($C$14:$C$18&gt;0)*($I$14:$I$18&lt;&gt;"")*($I$14:$I$18&lt;=$R19)*($D$14:$D$18&gt;=$R19)))</f>
      </c>
      <c r="U19" s="7">
        <f>IF($S19="","",MAX(0,$T19-$S19))</f>
      </c>
    </row>
    <row r="20">
      <c r="B20" s="2" t="inlineStr">
        <is>
          <t>How the waterfall works: goals are funded in priority order (1 first). Each goal's 'Allocated' is what remains of your capacity after every higher-priority goal has taken its required set-aside — give each goal its own priority number, since tied priorities do not share. 'Required' is the solver's answer for starting on the goal's own start date: start later and the same goal needs more per check over fewer checks, which is exactly what the Required column recomputes when you move the start date. Allocated amounts are per-check averages across each goal's window; the per-check reality check below the table tests them against each individual check's projected net.</t>
        </is>
      </c>
      <c r="R20" s="21">
        <f>IF('Pay Schedule'!$B20="","",'Pay Schedule'!$B20)</f>
      </c>
      <c r="S20" s="7">
        <f>IF(OR($R20="",'Pay Schedule'!$BF20&lt;&gt;TRUE),"",'Pay Schedule'!$Y20)</f>
      </c>
      <c r="T20" s="7">
        <f>IF($S20="","",SUMPRODUCT($M$14:$M$18,($C$14:$C$18&gt;0)*($I$14:$I$18&lt;&gt;"")*($I$14:$I$18&lt;=$R20)*($D$14:$D$18&gt;=$R20)))</f>
      </c>
      <c r="U20" s="7">
        <f>IF($S20="","",MAX(0,$T20-$S20))</f>
      </c>
    </row>
    <row r="21">
      <c r="B21" s="2" t="inlineStr">
        <is>
          <t>An earmark is a one-off payment (a bonus, a retention payment) you assign to a goal: enter its amount and its expected date, and it counts toward the target if it lands on or before the target date. If a goal only funds because of an earmark, the verdict says so — 'funded only if the bonus lands' is a different kind of funded.</t>
        </is>
      </c>
      <c r="R21" s="21">
        <f>IF('Pay Schedule'!$B21="","",'Pay Schedule'!$B21)</f>
      </c>
      <c r="S21" s="7">
        <f>IF(OR($R21="",'Pay Schedule'!$BF21&lt;&gt;TRUE),"",'Pay Schedule'!$Y21)</f>
      </c>
      <c r="T21" s="7">
        <f>IF($S21="","",SUMPRODUCT($M$14:$M$18,($C$14:$C$18&gt;0)*($I$14:$I$18&lt;&gt;"")*($I$14:$I$18&lt;=$R21)*($D$14:$D$18&gt;=$R21)))</f>
      </c>
      <c r="U21" s="7">
        <f>IF($S21="","",MAX(0,$T21-$S21))</f>
      </c>
    </row>
    <row r="22">
      <c r="B22" s="2" t="inlineStr">
        <is>
          <t>Lever interplay: if a goal is short, the Levers tab shows what a benefit change frees per check (a dependent-care FSA that frees $80/check moves a funded-by date; a bigger 401(k) deferral does the opposite). The trade-offs are yours — the planner presents them neutrally and never advises trimming retirement saving for a purchase.</t>
        </is>
      </c>
      <c r="R22" s="21">
        <f>IF('Pay Schedule'!$B22="","",'Pay Schedule'!$B22)</f>
      </c>
      <c r="S22" s="7">
        <f>IF(OR($R22="",'Pay Schedule'!$BF22&lt;&gt;TRUE),"",'Pay Schedule'!$Y22)</f>
      </c>
      <c r="T22" s="7">
        <f>IF($S22="","",SUMPRODUCT($M$14:$M$18,($C$14:$C$18&gt;0)*($I$14:$I$18&lt;&gt;"")*($I$14:$I$18&lt;=$R22)*($D$14:$D$18&gt;=$R22)))</f>
      </c>
      <c r="U22" s="7">
        <f>IF($S22="","",MAX(0,$T22-$S22))</f>
      </c>
    </row>
    <row r="23">
      <c r="B23" s="2" t="inlineStr">
        <is>
          <t>Estimates only: set-asides assume every projected check lands as scheduled. Life events belong on the Events tab — re-run the year there and this tab re-solves itself.</t>
        </is>
      </c>
      <c r="R23" s="21">
        <f>IF('Pay Schedule'!$B23="","",'Pay Schedule'!$B23)</f>
      </c>
      <c r="S23" s="7">
        <f>IF(OR($R23="",'Pay Schedule'!$BF23&lt;&gt;TRUE),"",'Pay Schedule'!$Y23)</f>
      </c>
      <c r="T23" s="7">
        <f>IF($S23="","",SUMPRODUCT($M$14:$M$18,($C$14:$C$18&gt;0)*($I$14:$I$18&lt;&gt;"")*($I$14:$I$18&lt;=$R23)*($D$14:$D$18&gt;=$R23)))</f>
      </c>
      <c r="U23" s="7">
        <f>IF($S23="","",MAX(0,$T23-$S23))</f>
      </c>
    </row>
    <row r="24" ht="30" customHeight="1">
      <c r="B24" s="3">
        <f>IF(SUM($U$6:$U$68)&lt;=0,"✓ Per-check reality check: on every projected payday, the planned set-asides fit inside that check's projected net pay.","⚠ Per-check reality check: on "&amp;SUMPRODUCT(ISNUMBER($U$6:$U$68)*($U$6:$U$68&gt;0))&amp;" payday(s), the planned set-asides exceed that check's projected net pay — the worst is "&amp;TEXT(INDEX($R$6:$R$68,MATCH(MAX($U$6:$U$68),$U$6:$U$68,0)),"mmmm d")&amp;", short by "&amp;TEXT(MAX($U$6:$U$68),"$#,##0")&amp;". Those checks cannot fund the plan as drawn — trim a goal, move a target date, or spread the set-asides thinner.")</f>
      </c>
      <c r="R24" s="21">
        <f>IF('Pay Schedule'!$B24="","",'Pay Schedule'!$B24)</f>
      </c>
      <c r="S24" s="7">
        <f>IF(OR($R24="",'Pay Schedule'!$BF24&lt;&gt;TRUE),"",'Pay Schedule'!$Y24)</f>
      </c>
      <c r="T24" s="7">
        <f>IF($S24="","",SUMPRODUCT($M$14:$M$18,($C$14:$C$18&gt;0)*($I$14:$I$18&lt;&gt;"")*($I$14:$I$18&lt;=$R24)*($D$14:$D$18&gt;=$R24)))</f>
      </c>
      <c r="U24" s="7">
        <f>IF($S24="","",MAX(0,$T24-$S24))</f>
      </c>
    </row>
    <row r="25" ht="45" customHeight="1">
      <c r="B25" s="3" t="inlineStr">
        <is>
          <t>How the Goals math works (v1.1): the waterfall solves with per-check averages inside each goal's window — it is not a day-by-day ledger — but three guards keep it honest: (1) effective capacity is capped at your average projected net pay per check, so a plan can never assume a check brings home more than it does; (2) in the reality-check ledger at the right, a goal stops drawing set-asides after its target date; (3) any single check whose planned set-asides exceed its own projected net is flagged in the verdict above. If the reality check warns, believe it over the averages.</t>
        </is>
      </c>
      <c r="R25" s="21">
        <f>IF('Pay Schedule'!$B25="","",'Pay Schedule'!$B25)</f>
      </c>
      <c r="S25" s="7">
        <f>IF(OR($R25="",'Pay Schedule'!$BF25&lt;&gt;TRUE),"",'Pay Schedule'!$Y25)</f>
      </c>
      <c r="T25" s="7">
        <f>IF($S25="","",SUMPRODUCT($M$14:$M$18,($C$14:$C$18&gt;0)*($I$14:$I$18&lt;&gt;"")*($I$14:$I$18&lt;=$R25)*($D$14:$D$18&gt;=$R25)))</f>
      </c>
      <c r="U25" s="7">
        <f>IF($S25="","",MAX(0,$T25-$S25))</f>
      </c>
    </row>
    <row r="26">
      <c r="R26" s="21">
        <f>IF('Pay Schedule'!$B26="","",'Pay Schedule'!$B26)</f>
      </c>
      <c r="S26" s="7">
        <f>IF(OR($R26="",'Pay Schedule'!$BF26&lt;&gt;TRUE),"",'Pay Schedule'!$Y26)</f>
      </c>
      <c r="T26" s="7">
        <f>IF($S26="","",SUMPRODUCT($M$14:$M$18,($C$14:$C$18&gt;0)*($I$14:$I$18&lt;&gt;"")*($I$14:$I$18&lt;=$R26)*($D$14:$D$18&gt;=$R26)))</f>
      </c>
      <c r="U26" s="7">
        <f>IF($S26="","",MAX(0,$T26-$S26))</f>
      </c>
    </row>
    <row r="27">
      <c r="R27" s="21">
        <f>IF('Pay Schedule'!$B27="","",'Pay Schedule'!$B27)</f>
      </c>
      <c r="S27" s="7">
        <f>IF(OR($R27="",'Pay Schedule'!$BF27&lt;&gt;TRUE),"",'Pay Schedule'!$Y27)</f>
      </c>
      <c r="T27" s="7">
        <f>IF($S27="","",SUMPRODUCT($M$14:$M$18,($C$14:$C$18&gt;0)*($I$14:$I$18&lt;&gt;"")*($I$14:$I$18&lt;=$R27)*($D$14:$D$18&gt;=$R27)))</f>
      </c>
      <c r="U27" s="7">
        <f>IF($S27="","",MAX(0,$T27-$S27))</f>
      </c>
    </row>
    <row r="28">
      <c r="R28" s="21">
        <f>IF('Pay Schedule'!$B28="","",'Pay Schedule'!$B28)</f>
      </c>
      <c r="S28" s="7">
        <f>IF(OR($R28="",'Pay Schedule'!$BF28&lt;&gt;TRUE),"",'Pay Schedule'!$Y28)</f>
      </c>
      <c r="T28" s="7">
        <f>IF($S28="","",SUMPRODUCT($M$14:$M$18,($C$14:$C$18&gt;0)*($I$14:$I$18&lt;&gt;"")*($I$14:$I$18&lt;=$R28)*($D$14:$D$18&gt;=$R28)))</f>
      </c>
      <c r="U28" s="7">
        <f>IF($S28="","",MAX(0,$T28-$S28))</f>
      </c>
    </row>
    <row r="29">
      <c r="R29" s="21">
        <f>IF('Pay Schedule'!$B29="","",'Pay Schedule'!$B29)</f>
      </c>
      <c r="S29" s="7">
        <f>IF(OR($R29="",'Pay Schedule'!$BF29&lt;&gt;TRUE),"",'Pay Schedule'!$Y29)</f>
      </c>
      <c r="T29" s="7">
        <f>IF($S29="","",SUMPRODUCT($M$14:$M$18,($C$14:$C$18&gt;0)*($I$14:$I$18&lt;&gt;"")*($I$14:$I$18&lt;=$R29)*($D$14:$D$18&gt;=$R29)))</f>
      </c>
      <c r="U29" s="7">
        <f>IF($S29="","",MAX(0,$T29-$S29))</f>
      </c>
    </row>
    <row r="30">
      <c r="R30" s="21">
        <f>IF('Pay Schedule'!$B30="","",'Pay Schedule'!$B30)</f>
      </c>
      <c r="S30" s="7">
        <f>IF(OR($R30="",'Pay Schedule'!$BF30&lt;&gt;TRUE),"",'Pay Schedule'!$Y30)</f>
      </c>
      <c r="T30" s="7">
        <f>IF($S30="","",SUMPRODUCT($M$14:$M$18,($C$14:$C$18&gt;0)*($I$14:$I$18&lt;&gt;"")*($I$14:$I$18&lt;=$R30)*($D$14:$D$18&gt;=$R30)))</f>
      </c>
      <c r="U30" s="7">
        <f>IF($S30="","",MAX(0,$T30-$S30))</f>
      </c>
    </row>
    <row r="31">
      <c r="R31" s="21">
        <f>IF('Pay Schedule'!$B31="","",'Pay Schedule'!$B31)</f>
      </c>
      <c r="S31" s="7">
        <f>IF(OR($R31="",'Pay Schedule'!$BF31&lt;&gt;TRUE),"",'Pay Schedule'!$Y31)</f>
      </c>
      <c r="T31" s="7">
        <f>IF($S31="","",SUMPRODUCT($M$14:$M$18,($C$14:$C$18&gt;0)*($I$14:$I$18&lt;&gt;"")*($I$14:$I$18&lt;=$R31)*($D$14:$D$18&gt;=$R31)))</f>
      </c>
      <c r="U31" s="7">
        <f>IF($S31="","",MAX(0,$T31-$S31))</f>
      </c>
    </row>
    <row r="32">
      <c r="R32" s="21">
        <f>IF('Pay Schedule'!$B32="","",'Pay Schedule'!$B32)</f>
      </c>
      <c r="S32" s="7">
        <f>IF(OR($R32="",'Pay Schedule'!$BF32&lt;&gt;TRUE),"",'Pay Schedule'!$Y32)</f>
      </c>
      <c r="T32" s="7">
        <f>IF($S32="","",SUMPRODUCT($M$14:$M$18,($C$14:$C$18&gt;0)*($I$14:$I$18&lt;&gt;"")*($I$14:$I$18&lt;=$R32)*($D$14:$D$18&gt;=$R32)))</f>
      </c>
      <c r="U32" s="7">
        <f>IF($S32="","",MAX(0,$T32-$S32))</f>
      </c>
    </row>
    <row r="33">
      <c r="R33" s="21">
        <f>IF('Pay Schedule'!$B33="","",'Pay Schedule'!$B33)</f>
      </c>
      <c r="S33" s="7">
        <f>IF(OR($R33="",'Pay Schedule'!$BF33&lt;&gt;TRUE),"",'Pay Schedule'!$Y33)</f>
      </c>
      <c r="T33" s="7">
        <f>IF($S33="","",SUMPRODUCT($M$14:$M$18,($C$14:$C$18&gt;0)*($I$14:$I$18&lt;&gt;"")*($I$14:$I$18&lt;=$R33)*($D$14:$D$18&gt;=$R33)))</f>
      </c>
      <c r="U33" s="7">
        <f>IF($S33="","",MAX(0,$T33-$S33))</f>
      </c>
    </row>
    <row r="34">
      <c r="R34" s="21">
        <f>IF('Pay Schedule'!$B34="","",'Pay Schedule'!$B34)</f>
      </c>
      <c r="S34" s="7">
        <f>IF(OR($R34="",'Pay Schedule'!$BF34&lt;&gt;TRUE),"",'Pay Schedule'!$Y34)</f>
      </c>
      <c r="T34" s="7">
        <f>IF($S34="","",SUMPRODUCT($M$14:$M$18,($C$14:$C$18&gt;0)*($I$14:$I$18&lt;&gt;"")*($I$14:$I$18&lt;=$R34)*($D$14:$D$18&gt;=$R34)))</f>
      </c>
      <c r="U34" s="7">
        <f>IF($S34="","",MAX(0,$T34-$S34))</f>
      </c>
    </row>
    <row r="35">
      <c r="R35" s="21">
        <f>IF('Pay Schedule'!$B35="","",'Pay Schedule'!$B35)</f>
      </c>
      <c r="S35" s="7">
        <f>IF(OR($R35="",'Pay Schedule'!$BF35&lt;&gt;TRUE),"",'Pay Schedule'!$Y35)</f>
      </c>
      <c r="T35" s="7">
        <f>IF($S35="","",SUMPRODUCT($M$14:$M$18,($C$14:$C$18&gt;0)*($I$14:$I$18&lt;&gt;"")*($I$14:$I$18&lt;=$R35)*($D$14:$D$18&gt;=$R35)))</f>
      </c>
      <c r="U35" s="7">
        <f>IF($S35="","",MAX(0,$T35-$S35))</f>
      </c>
    </row>
    <row r="36">
      <c r="R36" s="21">
        <f>IF('Pay Schedule'!$B36="","",'Pay Schedule'!$B36)</f>
      </c>
      <c r="S36" s="7">
        <f>IF(OR($R36="",'Pay Schedule'!$BF36&lt;&gt;TRUE),"",'Pay Schedule'!$Y36)</f>
      </c>
      <c r="T36" s="7">
        <f>IF($S36="","",SUMPRODUCT($M$14:$M$18,($C$14:$C$18&gt;0)*($I$14:$I$18&lt;&gt;"")*($I$14:$I$18&lt;=$R36)*($D$14:$D$18&gt;=$R36)))</f>
      </c>
      <c r="U36" s="7">
        <f>IF($S36="","",MAX(0,$T36-$S36))</f>
      </c>
    </row>
    <row r="37">
      <c r="R37" s="21">
        <f>IF('Pay Schedule'!$B37="","",'Pay Schedule'!$B37)</f>
      </c>
      <c r="S37" s="7">
        <f>IF(OR($R37="",'Pay Schedule'!$BF37&lt;&gt;TRUE),"",'Pay Schedule'!$Y37)</f>
      </c>
      <c r="T37" s="7">
        <f>IF($S37="","",SUMPRODUCT($M$14:$M$18,($C$14:$C$18&gt;0)*($I$14:$I$18&lt;&gt;"")*($I$14:$I$18&lt;=$R37)*($D$14:$D$18&gt;=$R37)))</f>
      </c>
      <c r="U37" s="7">
        <f>IF($S37="","",MAX(0,$T37-$S37))</f>
      </c>
    </row>
    <row r="38">
      <c r="R38" s="21">
        <f>IF('Pay Schedule'!$B38="","",'Pay Schedule'!$B38)</f>
      </c>
      <c r="S38" s="7">
        <f>IF(OR($R38="",'Pay Schedule'!$BF38&lt;&gt;TRUE),"",'Pay Schedule'!$Y38)</f>
      </c>
      <c r="T38" s="7">
        <f>IF($S38="","",SUMPRODUCT($M$14:$M$18,($C$14:$C$18&gt;0)*($I$14:$I$18&lt;&gt;"")*($I$14:$I$18&lt;=$R38)*($D$14:$D$18&gt;=$R38)))</f>
      </c>
      <c r="U38" s="7">
        <f>IF($S38="","",MAX(0,$T38-$S38))</f>
      </c>
    </row>
    <row r="39">
      <c r="R39" s="21">
        <f>IF('Pay Schedule'!$B39="","",'Pay Schedule'!$B39)</f>
      </c>
      <c r="S39" s="7">
        <f>IF(OR($R39="",'Pay Schedule'!$BF39&lt;&gt;TRUE),"",'Pay Schedule'!$Y39)</f>
      </c>
      <c r="T39" s="7">
        <f>IF($S39="","",SUMPRODUCT($M$14:$M$18,($C$14:$C$18&gt;0)*($I$14:$I$18&lt;&gt;"")*($I$14:$I$18&lt;=$R39)*($D$14:$D$18&gt;=$R39)))</f>
      </c>
      <c r="U39" s="7">
        <f>IF($S39="","",MAX(0,$T39-$S39))</f>
      </c>
    </row>
    <row r="40">
      <c r="R40" s="21">
        <f>IF('Pay Schedule'!$B40="","",'Pay Schedule'!$B40)</f>
      </c>
      <c r="S40" s="7">
        <f>IF(OR($R40="",'Pay Schedule'!$BF40&lt;&gt;TRUE),"",'Pay Schedule'!$Y40)</f>
      </c>
      <c r="T40" s="7">
        <f>IF($S40="","",SUMPRODUCT($M$14:$M$18,($C$14:$C$18&gt;0)*($I$14:$I$18&lt;&gt;"")*($I$14:$I$18&lt;=$R40)*($D$14:$D$18&gt;=$R40)))</f>
      </c>
      <c r="U40" s="7">
        <f>IF($S40="","",MAX(0,$T40-$S40))</f>
      </c>
    </row>
    <row r="41">
      <c r="R41" s="21">
        <f>IF('Pay Schedule'!$B41="","",'Pay Schedule'!$B41)</f>
      </c>
      <c r="S41" s="7">
        <f>IF(OR($R41="",'Pay Schedule'!$BF41&lt;&gt;TRUE),"",'Pay Schedule'!$Y41)</f>
      </c>
      <c r="T41" s="7">
        <f>IF($S41="","",SUMPRODUCT($M$14:$M$18,($C$14:$C$18&gt;0)*($I$14:$I$18&lt;&gt;"")*($I$14:$I$18&lt;=$R41)*($D$14:$D$18&gt;=$R41)))</f>
      </c>
      <c r="U41" s="7">
        <f>IF($S41="","",MAX(0,$T41-$S41))</f>
      </c>
    </row>
    <row r="42">
      <c r="R42" s="21">
        <f>IF('Pay Schedule'!$B42="","",'Pay Schedule'!$B42)</f>
      </c>
      <c r="S42" s="7">
        <f>IF(OR($R42="",'Pay Schedule'!$BF42&lt;&gt;TRUE),"",'Pay Schedule'!$Y42)</f>
      </c>
      <c r="T42" s="7">
        <f>IF($S42="","",SUMPRODUCT($M$14:$M$18,($C$14:$C$18&gt;0)*($I$14:$I$18&lt;&gt;"")*($I$14:$I$18&lt;=$R42)*($D$14:$D$18&gt;=$R42)))</f>
      </c>
      <c r="U42" s="7">
        <f>IF($S42="","",MAX(0,$T42-$S42))</f>
      </c>
    </row>
    <row r="43">
      <c r="R43" s="21">
        <f>IF('Pay Schedule'!$B43="","",'Pay Schedule'!$B43)</f>
      </c>
      <c r="S43" s="7">
        <f>IF(OR($R43="",'Pay Schedule'!$BF43&lt;&gt;TRUE),"",'Pay Schedule'!$Y43)</f>
      </c>
      <c r="T43" s="7">
        <f>IF($S43="","",SUMPRODUCT($M$14:$M$18,($C$14:$C$18&gt;0)*($I$14:$I$18&lt;&gt;"")*($I$14:$I$18&lt;=$R43)*($D$14:$D$18&gt;=$R43)))</f>
      </c>
      <c r="U43" s="7">
        <f>IF($S43="","",MAX(0,$T43-$S43))</f>
      </c>
    </row>
    <row r="44">
      <c r="R44" s="21">
        <f>IF('Pay Schedule'!$B44="","",'Pay Schedule'!$B44)</f>
      </c>
      <c r="S44" s="7">
        <f>IF(OR($R44="",'Pay Schedule'!$BF44&lt;&gt;TRUE),"",'Pay Schedule'!$Y44)</f>
      </c>
      <c r="T44" s="7">
        <f>IF($S44="","",SUMPRODUCT($M$14:$M$18,($C$14:$C$18&gt;0)*($I$14:$I$18&lt;&gt;"")*($I$14:$I$18&lt;=$R44)*($D$14:$D$18&gt;=$R44)))</f>
      </c>
      <c r="U44" s="7">
        <f>IF($S44="","",MAX(0,$T44-$S44))</f>
      </c>
    </row>
    <row r="45">
      <c r="R45" s="21">
        <f>IF('Pay Schedule'!$B45="","",'Pay Schedule'!$B45)</f>
      </c>
      <c r="S45" s="7">
        <f>IF(OR($R45="",'Pay Schedule'!$BF45&lt;&gt;TRUE),"",'Pay Schedule'!$Y45)</f>
      </c>
      <c r="T45" s="7">
        <f>IF($S45="","",SUMPRODUCT($M$14:$M$18,($C$14:$C$18&gt;0)*($I$14:$I$18&lt;&gt;"")*($I$14:$I$18&lt;=$R45)*($D$14:$D$18&gt;=$R45)))</f>
      </c>
      <c r="U45" s="7">
        <f>IF($S45="","",MAX(0,$T45-$S45))</f>
      </c>
    </row>
    <row r="46">
      <c r="R46" s="21">
        <f>IF('Pay Schedule'!$B46="","",'Pay Schedule'!$B46)</f>
      </c>
      <c r="S46" s="7">
        <f>IF(OR($R46="",'Pay Schedule'!$BF46&lt;&gt;TRUE),"",'Pay Schedule'!$Y46)</f>
      </c>
      <c r="T46" s="7">
        <f>IF($S46="","",SUMPRODUCT($M$14:$M$18,($C$14:$C$18&gt;0)*($I$14:$I$18&lt;&gt;"")*($I$14:$I$18&lt;=$R46)*($D$14:$D$18&gt;=$R46)))</f>
      </c>
      <c r="U46" s="7">
        <f>IF($S46="","",MAX(0,$T46-$S46))</f>
      </c>
    </row>
    <row r="47">
      <c r="R47" s="21">
        <f>IF('Pay Schedule'!$B47="","",'Pay Schedule'!$B47)</f>
      </c>
      <c r="S47" s="7">
        <f>IF(OR($R47="",'Pay Schedule'!$BF47&lt;&gt;TRUE),"",'Pay Schedule'!$Y47)</f>
      </c>
      <c r="T47" s="7">
        <f>IF($S47="","",SUMPRODUCT($M$14:$M$18,($C$14:$C$18&gt;0)*($I$14:$I$18&lt;&gt;"")*($I$14:$I$18&lt;=$R47)*($D$14:$D$18&gt;=$R47)))</f>
      </c>
      <c r="U47" s="7">
        <f>IF($S47="","",MAX(0,$T47-$S47))</f>
      </c>
    </row>
    <row r="48">
      <c r="R48" s="21">
        <f>IF('Pay Schedule'!$B48="","",'Pay Schedule'!$B48)</f>
      </c>
      <c r="S48" s="7">
        <f>IF(OR($R48="",'Pay Schedule'!$BF48&lt;&gt;TRUE),"",'Pay Schedule'!$Y48)</f>
      </c>
      <c r="T48" s="7">
        <f>IF($S48="","",SUMPRODUCT($M$14:$M$18,($C$14:$C$18&gt;0)*($I$14:$I$18&lt;&gt;"")*($I$14:$I$18&lt;=$R48)*($D$14:$D$18&gt;=$R48)))</f>
      </c>
      <c r="U48" s="7">
        <f>IF($S48="","",MAX(0,$T48-$S48))</f>
      </c>
    </row>
    <row r="49">
      <c r="R49" s="21">
        <f>IF('Pay Schedule'!$B49="","",'Pay Schedule'!$B49)</f>
      </c>
      <c r="S49" s="7">
        <f>IF(OR($R49="",'Pay Schedule'!$BF49&lt;&gt;TRUE),"",'Pay Schedule'!$Y49)</f>
      </c>
      <c r="T49" s="7">
        <f>IF($S49="","",SUMPRODUCT($M$14:$M$18,($C$14:$C$18&gt;0)*($I$14:$I$18&lt;&gt;"")*($I$14:$I$18&lt;=$R49)*($D$14:$D$18&gt;=$R49)))</f>
      </c>
      <c r="U49" s="7">
        <f>IF($S49="","",MAX(0,$T49-$S49))</f>
      </c>
    </row>
    <row r="50">
      <c r="R50" s="21">
        <f>IF('Pay Schedule'!$B50="","",'Pay Schedule'!$B50)</f>
      </c>
      <c r="S50" s="7">
        <f>IF(OR($R50="",'Pay Schedule'!$BF50&lt;&gt;TRUE),"",'Pay Schedule'!$Y50)</f>
      </c>
      <c r="T50" s="7">
        <f>IF($S50="","",SUMPRODUCT($M$14:$M$18,($C$14:$C$18&gt;0)*($I$14:$I$18&lt;&gt;"")*($I$14:$I$18&lt;=$R50)*($D$14:$D$18&gt;=$R50)))</f>
      </c>
      <c r="U50" s="7">
        <f>IF($S50="","",MAX(0,$T50-$S50))</f>
      </c>
    </row>
    <row r="51">
      <c r="R51" s="21">
        <f>IF('Pay Schedule'!$B51="","",'Pay Schedule'!$B51)</f>
      </c>
      <c r="S51" s="7">
        <f>IF(OR($R51="",'Pay Schedule'!$BF51&lt;&gt;TRUE),"",'Pay Schedule'!$Y51)</f>
      </c>
      <c r="T51" s="7">
        <f>IF($S51="","",SUMPRODUCT($M$14:$M$18,($C$14:$C$18&gt;0)*($I$14:$I$18&lt;&gt;"")*($I$14:$I$18&lt;=$R51)*($D$14:$D$18&gt;=$R51)))</f>
      </c>
      <c r="U51" s="7">
        <f>IF($S51="","",MAX(0,$T51-$S51))</f>
      </c>
    </row>
    <row r="52">
      <c r="R52" s="21">
        <f>IF('Pay Schedule'!$B52="","",'Pay Schedule'!$B52)</f>
      </c>
      <c r="S52" s="7">
        <f>IF(OR($R52="",'Pay Schedule'!$BF52&lt;&gt;TRUE),"",'Pay Schedule'!$Y52)</f>
      </c>
      <c r="T52" s="7">
        <f>IF($S52="","",SUMPRODUCT($M$14:$M$18,($C$14:$C$18&gt;0)*($I$14:$I$18&lt;&gt;"")*($I$14:$I$18&lt;=$R52)*($D$14:$D$18&gt;=$R52)))</f>
      </c>
      <c r="U52" s="7">
        <f>IF($S52="","",MAX(0,$T52-$S52))</f>
      </c>
    </row>
    <row r="53">
      <c r="R53" s="21">
        <f>IF('Pay Schedule'!$B53="","",'Pay Schedule'!$B53)</f>
      </c>
      <c r="S53" s="7">
        <f>IF(OR($R53="",'Pay Schedule'!$BF53&lt;&gt;TRUE),"",'Pay Schedule'!$Y53)</f>
      </c>
      <c r="T53" s="7">
        <f>IF($S53="","",SUMPRODUCT($M$14:$M$18,($C$14:$C$18&gt;0)*($I$14:$I$18&lt;&gt;"")*($I$14:$I$18&lt;=$R53)*($D$14:$D$18&gt;=$R53)))</f>
      </c>
      <c r="U53" s="7">
        <f>IF($S53="","",MAX(0,$T53-$S53))</f>
      </c>
    </row>
    <row r="54">
      <c r="R54" s="21">
        <f>IF('Pay Schedule'!$B54="","",'Pay Schedule'!$B54)</f>
      </c>
      <c r="S54" s="7">
        <f>IF(OR($R54="",'Pay Schedule'!$BF54&lt;&gt;TRUE),"",'Pay Schedule'!$Y54)</f>
      </c>
      <c r="T54" s="7">
        <f>IF($S54="","",SUMPRODUCT($M$14:$M$18,($C$14:$C$18&gt;0)*($I$14:$I$18&lt;&gt;"")*($I$14:$I$18&lt;=$R54)*($D$14:$D$18&gt;=$R54)))</f>
      </c>
      <c r="U54" s="7">
        <f>IF($S54="","",MAX(0,$T54-$S54))</f>
      </c>
    </row>
    <row r="55">
      <c r="R55" s="21">
        <f>IF('Pay Schedule'!$B55="","",'Pay Schedule'!$B55)</f>
      </c>
      <c r="S55" s="7">
        <f>IF(OR($R55="",'Pay Schedule'!$BF55&lt;&gt;TRUE),"",'Pay Schedule'!$Y55)</f>
      </c>
      <c r="T55" s="7">
        <f>IF($S55="","",SUMPRODUCT($M$14:$M$18,($C$14:$C$18&gt;0)*($I$14:$I$18&lt;&gt;"")*($I$14:$I$18&lt;=$R55)*($D$14:$D$18&gt;=$R55)))</f>
      </c>
      <c r="U55" s="7">
        <f>IF($S55="","",MAX(0,$T55-$S55))</f>
      </c>
    </row>
    <row r="56">
      <c r="R56" s="21">
        <f>IF('Pay Schedule'!$B56="","",'Pay Schedule'!$B56)</f>
      </c>
      <c r="S56" s="7">
        <f>IF(OR($R56="",'Pay Schedule'!$BF56&lt;&gt;TRUE),"",'Pay Schedule'!$Y56)</f>
      </c>
      <c r="T56" s="7">
        <f>IF($S56="","",SUMPRODUCT($M$14:$M$18,($C$14:$C$18&gt;0)*($I$14:$I$18&lt;&gt;"")*($I$14:$I$18&lt;=$R56)*($D$14:$D$18&gt;=$R56)))</f>
      </c>
      <c r="U56" s="7">
        <f>IF($S56="","",MAX(0,$T56-$S56))</f>
      </c>
    </row>
    <row r="57">
      <c r="R57" s="21">
        <f>IF('Pay Schedule'!$B57="","",'Pay Schedule'!$B57)</f>
      </c>
      <c r="S57" s="7">
        <f>IF(OR($R57="",'Pay Schedule'!$BF57&lt;&gt;TRUE),"",'Pay Schedule'!$Y57)</f>
      </c>
      <c r="T57" s="7">
        <f>IF($S57="","",SUMPRODUCT($M$14:$M$18,($C$14:$C$18&gt;0)*($I$14:$I$18&lt;&gt;"")*($I$14:$I$18&lt;=$R57)*($D$14:$D$18&gt;=$R57)))</f>
      </c>
      <c r="U57" s="7">
        <f>IF($S57="","",MAX(0,$T57-$S57))</f>
      </c>
    </row>
    <row r="58">
      <c r="R58" s="21">
        <f>IF('Pay Schedule'!$B58="","",'Pay Schedule'!$B58)</f>
      </c>
      <c r="S58" s="7">
        <f>IF(OR($R58="",'Pay Schedule'!$BF58&lt;&gt;TRUE),"",'Pay Schedule'!$Y58)</f>
      </c>
      <c r="T58" s="7">
        <f>IF($S58="","",SUMPRODUCT($M$14:$M$18,($C$14:$C$18&gt;0)*($I$14:$I$18&lt;&gt;"")*($I$14:$I$18&lt;=$R58)*($D$14:$D$18&gt;=$R58)))</f>
      </c>
      <c r="U58" s="7">
        <f>IF($S58="","",MAX(0,$T58-$S58))</f>
      </c>
    </row>
    <row r="59">
      <c r="R59" s="21">
        <f>IF('Pay Schedule'!$B59="","",'Pay Schedule'!$B59)</f>
      </c>
      <c r="S59" s="7">
        <f>IF(OR($R59="",'Pay Schedule'!$BF59&lt;&gt;TRUE),"",'Pay Schedule'!$Y59)</f>
      </c>
      <c r="T59" s="7">
        <f>IF($S59="","",SUMPRODUCT($M$14:$M$18,($C$14:$C$18&gt;0)*($I$14:$I$18&lt;&gt;"")*($I$14:$I$18&lt;=$R59)*($D$14:$D$18&gt;=$R59)))</f>
      </c>
      <c r="U59" s="7">
        <f>IF($S59="","",MAX(0,$T59-$S59))</f>
      </c>
    </row>
    <row r="60">
      <c r="R60" s="21">
        <f>IF('Pay Schedule'!$B60="","",'Pay Schedule'!$B60)</f>
      </c>
      <c r="S60" s="7">
        <f>IF(OR($R60="",'Pay Schedule'!$BF60&lt;&gt;TRUE),"",'Pay Schedule'!$Y60)</f>
      </c>
      <c r="T60" s="7">
        <f>IF($S60="","",SUMPRODUCT($M$14:$M$18,($C$14:$C$18&gt;0)*($I$14:$I$18&lt;&gt;"")*($I$14:$I$18&lt;=$R60)*($D$14:$D$18&gt;=$R60)))</f>
      </c>
      <c r="U60" s="7">
        <f>IF($S60="","",MAX(0,$T60-$S60))</f>
      </c>
    </row>
    <row r="61">
      <c r="R61" s="21">
        <f>IF('Pay Schedule'!$B61="","",'Pay Schedule'!$B61)</f>
      </c>
      <c r="S61" s="7">
        <f>IF(OR($R61="",'Pay Schedule'!$BF61&lt;&gt;TRUE),"",'Pay Schedule'!$Y61)</f>
      </c>
      <c r="T61" s="7">
        <f>IF($S61="","",SUMPRODUCT($M$14:$M$18,($C$14:$C$18&gt;0)*($I$14:$I$18&lt;&gt;"")*($I$14:$I$18&lt;=$R61)*($D$14:$D$18&gt;=$R61)))</f>
      </c>
      <c r="U61" s="7">
        <f>IF($S61="","",MAX(0,$T61-$S61))</f>
      </c>
    </row>
    <row r="62">
      <c r="R62" s="21">
        <f>IF('Pay Schedule'!$B62="","",'Pay Schedule'!$B62)</f>
      </c>
      <c r="S62" s="7">
        <f>IF(OR($R62="",'Pay Schedule'!$BF62&lt;&gt;TRUE),"",'Pay Schedule'!$Y62)</f>
      </c>
      <c r="T62" s="7">
        <f>IF($S62="","",SUMPRODUCT($M$14:$M$18,($C$14:$C$18&gt;0)*($I$14:$I$18&lt;&gt;"")*($I$14:$I$18&lt;=$R62)*($D$14:$D$18&gt;=$R62)))</f>
      </c>
      <c r="U62" s="7">
        <f>IF($S62="","",MAX(0,$T62-$S62))</f>
      </c>
    </row>
    <row r="63">
      <c r="R63" s="21">
        <f>IF('Pay Schedule'!$B63="","",'Pay Schedule'!$B63)</f>
      </c>
      <c r="S63" s="7">
        <f>IF(OR($R63="",'Pay Schedule'!$BF63&lt;&gt;TRUE),"",'Pay Schedule'!$Y63)</f>
      </c>
      <c r="T63" s="7">
        <f>IF($S63="","",SUMPRODUCT($M$14:$M$18,($C$14:$C$18&gt;0)*($I$14:$I$18&lt;&gt;"")*($I$14:$I$18&lt;=$R63)*($D$14:$D$18&gt;=$R63)))</f>
      </c>
      <c r="U63" s="7">
        <f>IF($S63="","",MAX(0,$T63-$S63))</f>
      </c>
    </row>
    <row r="64">
      <c r="R64" s="21">
        <f>IF('Pay Schedule'!$B64="","",'Pay Schedule'!$B64)</f>
      </c>
      <c r="S64" s="7">
        <f>IF(OR($R64="",'Pay Schedule'!$BF64&lt;&gt;TRUE),"",'Pay Schedule'!$Y64)</f>
      </c>
      <c r="T64" s="7">
        <f>IF($S64="","",SUMPRODUCT($M$14:$M$18,($C$14:$C$18&gt;0)*($I$14:$I$18&lt;&gt;"")*($I$14:$I$18&lt;=$R64)*($D$14:$D$18&gt;=$R64)))</f>
      </c>
      <c r="U64" s="7">
        <f>IF($S64="","",MAX(0,$T64-$S64))</f>
      </c>
    </row>
    <row r="65">
      <c r="R65" s="21">
        <f>IF('Pay Schedule'!$B65="","",'Pay Schedule'!$B65)</f>
      </c>
      <c r="S65" s="7">
        <f>IF(OR($R65="",'Pay Schedule'!$BF65&lt;&gt;TRUE),"",'Pay Schedule'!$Y65)</f>
      </c>
      <c r="T65" s="7">
        <f>IF($S65="","",SUMPRODUCT($M$14:$M$18,($C$14:$C$18&gt;0)*($I$14:$I$18&lt;&gt;"")*($I$14:$I$18&lt;=$R65)*($D$14:$D$18&gt;=$R65)))</f>
      </c>
      <c r="U65" s="7">
        <f>IF($S65="","",MAX(0,$T65-$S65))</f>
      </c>
    </row>
    <row r="66">
      <c r="R66" s="21">
        <f>IF('Pay Schedule'!$B66="","",'Pay Schedule'!$B66)</f>
      </c>
      <c r="S66" s="7">
        <f>IF(OR($R66="",'Pay Schedule'!$BF66&lt;&gt;TRUE),"",'Pay Schedule'!$Y66)</f>
      </c>
      <c r="T66" s="7">
        <f>IF($S66="","",SUMPRODUCT($M$14:$M$18,($C$14:$C$18&gt;0)*($I$14:$I$18&lt;&gt;"")*($I$14:$I$18&lt;=$R66)*($D$14:$D$18&gt;=$R66)))</f>
      </c>
      <c r="U66" s="7">
        <f>IF($S66="","",MAX(0,$T66-$S66))</f>
      </c>
    </row>
    <row r="67">
      <c r="R67" s="21">
        <f>IF('Pay Schedule'!$B67="","",'Pay Schedule'!$B67)</f>
      </c>
      <c r="S67" s="7">
        <f>IF(OR($R67="",'Pay Schedule'!$BF67&lt;&gt;TRUE),"",'Pay Schedule'!$Y67)</f>
      </c>
      <c r="T67" s="7">
        <f>IF($S67="","",SUMPRODUCT($M$14:$M$18,($C$14:$C$18&gt;0)*($I$14:$I$18&lt;&gt;"")*($I$14:$I$18&lt;=$R67)*($D$14:$D$18&gt;=$R67)))</f>
      </c>
      <c r="U67" s="7">
        <f>IF($S67="","",MAX(0,$T67-$S67))</f>
      </c>
    </row>
    <row r="68">
      <c r="R68" s="21">
        <f>IF('Pay Schedule'!$B68="","",'Pay Schedule'!$B68)</f>
      </c>
      <c r="S68" s="7">
        <f>IF(OR($R68="",'Pay Schedule'!$BF68&lt;&gt;TRUE),"",'Pay Schedule'!$Y68)</f>
      </c>
      <c r="T68" s="7">
        <f>IF($S68="","",SUMPRODUCT($M$14:$M$18,($C$14:$C$18&gt;0)*($I$14:$I$18&lt;&gt;"")*($I$14:$I$18&lt;=$R68)*($D$14:$D$18&gt;=$R68)))</f>
      </c>
      <c r="U68" s="7">
        <f>IF($S68="","",MAX(0,$T68-$S68))</f>
      </c>
    </row>
  </sheetData>
  <sheetProtection selectLockedCells="0" selectUnlockedCells="0" sheet="1" objects="0" insertRows="1" insertHyperlinks="1" autoFilter="1" scenarios="0" formatColumns="1" deleteColumns="1" insertColumns="1" pivotTables="1" deleteRows="1" formatCells="1" formatRows="1" sort="1"/>
  <mergeCells count="8">
    <mergeCell ref="B22:N22"/>
    <mergeCell ref="B23:N23"/>
    <mergeCell ref="B21:N21"/>
    <mergeCell ref="B25:N25"/>
    <mergeCell ref="B24:N24"/>
    <mergeCell ref="B2:N2"/>
    <mergeCell ref="B20:N20"/>
    <mergeCell ref="B10:N10"/>
  </mergeCells>
  <dataValidations count="1">
    <dataValidation sqref="C5" showDropDown="0" showInputMessage="0" showErrorMessage="0" allowBlank="0" type="list">
      <formula1>"Per check,Monthly surplus"</formula1>
    </dataValidation>
  </dataValidations>
  <pageMargins left="0.75" right="0.75" top="1" bottom="1" header="0.5" footer="0.5"/>
</worksheet>
</file>

<file path=xl/worksheets/sheet14.xml><?xml version="1.0" encoding="utf-8"?>
<worksheet xmlns="http://schemas.openxmlformats.org/spreadsheetml/2006/main">
  <sheetPr>
    <tabColor rgb="00375623"/>
    <outlinePr summaryBelow="1" summaryRight="1"/>
    <pageSetUpPr/>
  </sheetPr>
  <dimension ref="B1:J40"/>
  <sheetViews>
    <sheetView workbookViewId="0">
      <selection activeCell="A1" sqref="A1"/>
    </sheetView>
  </sheetViews>
  <sheetFormatPr baseColWidth="8" defaultRowHeight="15"/>
  <cols>
    <col width="2" customWidth="1" min="1" max="1"/>
    <col width="52" customWidth="1" min="2" max="2"/>
    <col width="16" customWidth="1" min="3" max="3"/>
    <col width="14" customWidth="1" min="4" max="4"/>
    <col width="10" customWidth="1" min="5" max="5"/>
    <col width="10" customWidth="1" min="6" max="6"/>
    <col width="14" customWidth="1" min="7" max="7"/>
    <col width="10" customWidth="1" min="8" max="8"/>
    <col width="10" customWidth="1" min="9" max="9"/>
    <col width="10" customWidth="1" min="10" max="10"/>
  </cols>
  <sheetData>
    <row r="1">
      <c r="B1" s="9" t="inlineStr">
        <is>
          <t>True-Up — withholding vs. your actual tax bill (ESTIMATE)</t>
        </is>
      </c>
    </row>
    <row r="3">
      <c r="B3" s="3" t="inlineStr">
        <is>
          <t>Withholding is a prepayment, not the tax itself. This tab compares your projected federal withholding against a simplified liability ESTIMATE — standard deduction, the 2027 brackets, and the credits you entered on your W-4, nothing more — and reads the difference as a projected refund or balance due. It is deliberately simple, and what it leaves out is listed below.</t>
        </is>
      </c>
    </row>
    <row r="5">
      <c r="B5" s="5" t="inlineStr">
        <is>
          <t>Projected federal withholding (schedule + already taken):</t>
        </is>
      </c>
    </row>
    <row r="6">
      <c r="B6" s="7">
        <f>SUM('Pay Schedule'!P6:P68)+Inputs!$C$55</f>
      </c>
    </row>
    <row r="7">
      <c r="B7" s="5" t="inlineStr">
        <is>
          <t>Projected state withholding (schedule + already taken):</t>
        </is>
      </c>
      <c r="C7" s="43">
        <f>IF(OR(AND(ISNUMBER(SEARCH("MANUAL",IFERROR(VLOOKUP(Inputs!$C$21,StateTables!$A$6:$AB$56,5,FALSE),""))),NOT(Inputs!$C$26),OR(Inputs!$C$28="",Inputs!$C$28&lt;=0)),AND(ISNUMBER(SEARCH("MANUAL",IFERROR(VLOOKUP('Inputs 2'!$C$21,StateTables!$A$6:$AB$56,5,FALSE),""))),NOT('Inputs 2'!$C$26),OR('Inputs 2'!$C$28="",'Inputs 2'!$C$28&lt;=0))),"⚠ The projected state withholding on the next line EXCLUDES manual-entry state tax that has not been entered yet (Inputs row 28, 'State withholding per check') — it is understated until that amount is entered.","")</f>
      </c>
    </row>
    <row r="8">
      <c r="B8" s="7">
        <f>SUM('Pay Schedule'!T6:T68)+Inputs!$C$56</f>
      </c>
    </row>
    <row r="9">
      <c r="B9" s="2" t="inlineStr">
        <is>
          <t>State withholding is shown for reference. A state liability estimate is NOT included: states use their own brackets, deductions and credits, and several states in this planner are manual-entry — an estimate here would be false precision.</t>
        </is>
      </c>
    </row>
    <row r="11">
      <c r="B11" s="10" t="inlineStr">
        <is>
          <t>The simplified federal liability estimate</t>
        </is>
      </c>
    </row>
    <row r="12">
      <c r="B12" t="inlineStr">
        <is>
          <t>Projected W-2 wages (Box 1 estimate)</t>
        </is>
      </c>
      <c r="C12" s="16">
        <f>SUM('Pay Schedule'!M6:M68)+(Inputs!$C$48-Inputs!$C$51-Inputs!$C$52-Inputs!$C$53-Inputs!$C$54)</f>
      </c>
    </row>
    <row r="13">
      <c r="B13" t="inlineStr">
        <is>
          <t>Plus: other income (your W-4 Step 4(a))</t>
        </is>
      </c>
      <c r="C13" s="16">
        <f>Inputs!$C$15</f>
      </c>
    </row>
    <row r="14">
      <c r="B14" t="inlineStr">
        <is>
          <t>Less: standard deduction (2027)</t>
        </is>
      </c>
      <c r="C14" s="16">
        <f>IF(Inputs!$C$12="MFJ",33200,IF(Inputs!$C$12="HoH",24925,16600))</f>
      </c>
    </row>
    <row r="15">
      <c r="B15" s="5" t="inlineStr">
        <is>
          <t>Estimated taxable income</t>
        </is>
      </c>
      <c r="C15" s="16">
        <f>MAX(0,$C$12+$C$13-$C$14)</f>
      </c>
    </row>
    <row r="16">
      <c r="B16" t="inlineStr">
        <is>
          <t>Estimated tax before credits (2027 brackets below)</t>
        </is>
      </c>
      <c r="C16" s="16">
        <f>SUMPRODUCT(($C$15&gt;INDEX($B$34:$J$40,0,IF(Inputs!$C$12="MFJ",1,IF(Inputs!$C$12="HoH",7,4))))*($C$15-INDEX($B$34:$J$40,0,IF(Inputs!$C$12="MFJ",1,IF(Inputs!$C$12="HoH",7,4))))*INDEX($B$34:$J$40,0,IF(Inputs!$C$12="MFJ",1,IF(Inputs!$C$12="HoH",7,4))+2))</f>
      </c>
    </row>
    <row r="17">
      <c r="B17" t="inlineStr">
        <is>
          <t>Less: credits (your W-4 Step 3 amount)</t>
        </is>
      </c>
      <c r="C17" s="16">
        <f>Inputs!$C$14</f>
      </c>
    </row>
    <row r="18">
      <c r="B18" s="5" t="inlineStr">
        <is>
          <t>ESTIMATED federal liability</t>
        </is>
      </c>
      <c r="C18" s="16">
        <f>MAX(0,$C$16-$C$17)</f>
      </c>
    </row>
    <row r="19">
      <c r="B19" t="inlineStr">
        <is>
          <t>Projected federal withholding</t>
        </is>
      </c>
      <c r="C19" s="16">
        <f>$B$6</f>
      </c>
    </row>
    <row r="20">
      <c r="B20" s="5" t="inlineStr">
        <is>
          <t>Projected refund / (balance due)</t>
        </is>
      </c>
      <c r="C20" s="16">
        <f>$C$19-$C$18</f>
      </c>
    </row>
    <row r="21">
      <c r="B21" s="3">
        <f>IF($C$20&gt;=0,"On these simplified assumptions, withholding runs about $"&amp;TEXT($C$20,"#,##0")&amp;" ahead of the estimated liability — a refund of roughly that size, before everything this estimate leaves out (below). A large refund is an interest-free loan you can redirect: the dials that trim it (W-4 Steps 3 and 4(b)) are explained on the W-4 Guide tab.","On these simplified assumptions, you are tracking toward a balance due of about $"&amp;TEXT(ABS($C$20),"#,##0")&amp;". Spread over the paydays left this year, covering it through withholding takes about $"&amp;TEXT(ABS($C$20)/MAX(1,MAX('Pay Schedule'!$BE$6:$BE$68)-SUMPRODUCT(('Pay Schedule'!$B$6:$B$68&lt;&gt;"")*('Pay Schedule'!$BF$6:$BF$68=1)*('Pay Schedule'!$B$6:$B$68&lt;=TODAY()))),"#,##0")&amp;" extra per check — that is W-4 Step 4(c), explained on the W-4 Guide tab. The IRS Tax Withholding Estimator (irs.gov/W4App) is the official cross-check.")</f>
      </c>
    </row>
    <row r="23">
      <c r="B23" s="10" t="inlineStr">
        <is>
          <t>What this estimate leaves out — read before trusting the number</t>
        </is>
      </c>
    </row>
    <row r="24">
      <c r="B24" s="3" t="inlineStr">
        <is>
          <t>•  Wages only. Investment income, business income, retirement distributions and capital-gains rates are not modeled (the one exception is the other income you entered at W-4 Step 4(a)).</t>
        </is>
      </c>
    </row>
    <row r="25">
      <c r="B25" s="3" t="inlineStr">
        <is>
          <t>•  The standard deduction only. If you itemize above it, your real liability is lower than this estimate.</t>
        </is>
      </c>
    </row>
    <row r="26">
      <c r="B26" s="3" t="inlineStr">
        <is>
          <t>•  Credits only as you entered them at W-4 Step 3. Credits you claim on the return but never put on the W-4 are not here.</t>
        </is>
      </c>
    </row>
    <row r="27">
      <c r="B27" s="3" t="inlineStr">
        <is>
          <t>•  No other taxes: no Additional Medicare reconciliation (the Household tab shows that exposure), no underpayment penalties, no AMT — and no state liability at all (see the note under the state withholding line).</t>
        </is>
      </c>
    </row>
    <row r="28">
      <c r="B28" s="3" t="inlineStr">
        <is>
          <t>•  The Box 1 estimate assumes your starting balances split into taxable and deferred amounts exactly as entered on Inputs — payroll computes this precisely; the planner approximates it from your year-to-date entries.</t>
        </is>
      </c>
    </row>
    <row r="29">
      <c r="B29" s="3" t="inlineStr">
        <is>
          <t>•  Educational estimate, not tax advice and not a filing calculation. If the projected balance due is large, or your situation involves more than wages, that is a conversation for a tax professional.</t>
        </is>
      </c>
    </row>
    <row r="31">
      <c r="B31" s="10" t="inlineStr">
        <is>
          <t>2027 federal return brackets used by the estimate ( PROJECTED — Bloomberg Tax 2027 Projected U.S. Tax Rates, Sept 11, 2026; official IRS Rev. Proc. expected Oct–Nov 2026 )</t>
        </is>
      </c>
    </row>
    <row r="32">
      <c r="B32" s="25" t="inlineStr">
        <is>
          <t>MFJ</t>
        </is>
      </c>
      <c r="E32" s="25" t="inlineStr">
        <is>
          <t>Single</t>
        </is>
      </c>
      <c r="H32" s="25" t="inlineStr">
        <is>
          <t>HoH</t>
        </is>
      </c>
    </row>
    <row r="33">
      <c r="B33" s="25" t="inlineStr">
        <is>
          <t>Floor</t>
        </is>
      </c>
      <c r="C33" s="25" t="inlineStr">
        <is>
          <t>Rate</t>
        </is>
      </c>
      <c r="D33" s="25" t="inlineStr">
        <is>
          <t>Diff</t>
        </is>
      </c>
      <c r="E33" s="25" t="inlineStr">
        <is>
          <t>Floor</t>
        </is>
      </c>
      <c r="F33" s="25" t="inlineStr">
        <is>
          <t>Rate</t>
        </is>
      </c>
      <c r="G33" s="25" t="inlineStr">
        <is>
          <t>Diff</t>
        </is>
      </c>
      <c r="H33" s="25" t="inlineStr">
        <is>
          <t>Floor</t>
        </is>
      </c>
      <c r="I33" s="25" t="inlineStr">
        <is>
          <t>Rate</t>
        </is>
      </c>
      <c r="J33" s="25" t="inlineStr">
        <is>
          <t>Diff</t>
        </is>
      </c>
    </row>
    <row r="34">
      <c r="B34" s="16" t="n">
        <v>0</v>
      </c>
      <c r="C34" s="29" t="n">
        <v>0.1</v>
      </c>
      <c r="D34" s="29" t="n">
        <v>0.1</v>
      </c>
      <c r="E34" s="16" t="n">
        <v>0</v>
      </c>
      <c r="F34" s="29" t="n">
        <v>0.1</v>
      </c>
      <c r="G34" s="29" t="n">
        <v>0.1</v>
      </c>
      <c r="H34" s="16" t="n">
        <v>0</v>
      </c>
      <c r="I34" s="29" t="n">
        <v>0.1</v>
      </c>
      <c r="J34" s="29" t="n">
        <v>0.1</v>
      </c>
    </row>
    <row r="35">
      <c r="B35" s="16" t="n">
        <v>25600</v>
      </c>
      <c r="C35" s="29" t="n">
        <v>0.12</v>
      </c>
      <c r="D35" s="29" t="n">
        <v>0.01999999999999999</v>
      </c>
      <c r="E35" s="16" t="n">
        <v>12800</v>
      </c>
      <c r="F35" s="29" t="n">
        <v>0.12</v>
      </c>
      <c r="G35" s="29" t="n">
        <v>0.01999999999999999</v>
      </c>
      <c r="H35" s="16" t="n">
        <v>18250</v>
      </c>
      <c r="I35" s="29" t="n">
        <v>0.12</v>
      </c>
      <c r="J35" s="29" t="n">
        <v>0.01999999999999999</v>
      </c>
    </row>
    <row r="36">
      <c r="B36" s="16" t="n">
        <v>104050</v>
      </c>
      <c r="C36" s="29" t="n">
        <v>0.22</v>
      </c>
      <c r="D36" s="29" t="n">
        <v>0.1</v>
      </c>
      <c r="E36" s="16" t="n">
        <v>52025</v>
      </c>
      <c r="F36" s="29" t="n">
        <v>0.22</v>
      </c>
      <c r="G36" s="29" t="n">
        <v>0.1</v>
      </c>
      <c r="H36" s="16" t="n">
        <v>69650</v>
      </c>
      <c r="I36" s="29" t="n">
        <v>0.22</v>
      </c>
      <c r="J36" s="29" t="n">
        <v>0.1</v>
      </c>
    </row>
    <row r="37">
      <c r="B37" s="16" t="n">
        <v>218250</v>
      </c>
      <c r="C37" s="29" t="n">
        <v>0.24</v>
      </c>
      <c r="D37" s="29" t="n">
        <v>0.01999999999999999</v>
      </c>
      <c r="E37" s="16" t="n">
        <v>109125</v>
      </c>
      <c r="F37" s="29" t="n">
        <v>0.24</v>
      </c>
      <c r="G37" s="29" t="n">
        <v>0.01999999999999999</v>
      </c>
      <c r="H37" s="16" t="n">
        <v>109100</v>
      </c>
      <c r="I37" s="29" t="n">
        <v>0.24</v>
      </c>
      <c r="J37" s="29" t="n">
        <v>0.01999999999999999</v>
      </c>
    </row>
    <row r="38">
      <c r="B38" s="16" t="n">
        <v>416650</v>
      </c>
      <c r="C38" s="29" t="n">
        <v>0.32</v>
      </c>
      <c r="D38" s="29" t="n">
        <v>0.08000000000000002</v>
      </c>
      <c r="E38" s="16" t="n">
        <v>208325</v>
      </c>
      <c r="F38" s="29" t="n">
        <v>0.32</v>
      </c>
      <c r="G38" s="29" t="n">
        <v>0.08000000000000002</v>
      </c>
      <c r="H38" s="16" t="n">
        <v>208300</v>
      </c>
      <c r="I38" s="29" t="n">
        <v>0.32</v>
      </c>
      <c r="J38" s="29" t="n">
        <v>0.08000000000000002</v>
      </c>
    </row>
    <row r="39">
      <c r="B39" s="16" t="n">
        <v>529100</v>
      </c>
      <c r="C39" s="29" t="n">
        <v>0.35</v>
      </c>
      <c r="D39" s="29" t="n">
        <v>0.02999999999999997</v>
      </c>
      <c r="E39" s="16" t="n">
        <v>264550</v>
      </c>
      <c r="F39" s="29" t="n">
        <v>0.35</v>
      </c>
      <c r="G39" s="29" t="n">
        <v>0.02999999999999997</v>
      </c>
      <c r="H39" s="16" t="n">
        <v>264550</v>
      </c>
      <c r="I39" s="29" t="n">
        <v>0.35</v>
      </c>
      <c r="J39" s="29" t="n">
        <v>0.02999999999999997</v>
      </c>
    </row>
    <row r="40">
      <c r="B40" s="16" t="n">
        <v>793650</v>
      </c>
      <c r="C40" s="29" t="n">
        <v>0.37</v>
      </c>
      <c r="D40" s="29" t="n">
        <v>0.02000000000000002</v>
      </c>
      <c r="E40" s="16" t="n">
        <v>661375</v>
      </c>
      <c r="F40" s="29" t="n">
        <v>0.37</v>
      </c>
      <c r="G40" s="29" t="n">
        <v>0.02000000000000002</v>
      </c>
      <c r="H40" s="16" t="n">
        <v>661350</v>
      </c>
      <c r="I40" s="29" t="n">
        <v>0.37</v>
      </c>
      <c r="J40" s="29" t="n">
        <v>0.02000000000000002</v>
      </c>
    </row>
  </sheetData>
  <sheetProtection selectLockedCells="0" selectUnlockedCells="0" sheet="1" objects="0" insertRows="1" insertHyperlinks="1" autoFilter="1" scenarios="0" formatColumns="1" deleteColumns="1" insertColumns="1" pivotTables="1" deleteRows="1" formatCells="1" formatRows="1" sort="1"/>
  <mergeCells count="10">
    <mergeCell ref="B21:F21"/>
    <mergeCell ref="B29:F29"/>
    <mergeCell ref="B24:F24"/>
    <mergeCell ref="B25:F25"/>
    <mergeCell ref="B28:F28"/>
    <mergeCell ref="B3:F3"/>
    <mergeCell ref="B31:J31"/>
    <mergeCell ref="B26:F26"/>
    <mergeCell ref="B9:F9"/>
    <mergeCell ref="B27:F27"/>
  </mergeCells>
  <pageMargins left="0.75" right="0.75" top="1" bottom="1" header="0.5" footer="0.5"/>
</worksheet>
</file>

<file path=xl/worksheets/sheet15.xml><?xml version="1.0" encoding="utf-8"?>
<worksheet xmlns="http://schemas.openxmlformats.org/spreadsheetml/2006/main">
  <sheetPr>
    <tabColor rgb="00808080"/>
    <outlinePr summaryBelow="1" summaryRight="1"/>
    <pageSetUpPr/>
  </sheetPr>
  <dimension ref="B1:O491"/>
  <sheetViews>
    <sheetView workbookViewId="0">
      <selection activeCell="A1" sqref="A1"/>
    </sheetView>
  </sheetViews>
  <sheetFormatPr baseColWidth="8" defaultRowHeight="15"/>
  <cols>
    <col width="2" customWidth="1" min="1" max="1"/>
    <col width="30" customWidth="1" min="2" max="2"/>
    <col width="14" customWidth="1" min="3" max="3"/>
    <col width="62" customWidth="1" min="4" max="4"/>
    <col width="14" customWidth="1" min="5" max="5"/>
    <col width="10" customWidth="1" min="6" max="6"/>
    <col width="10" customWidth="1" min="7" max="7"/>
    <col width="14" customWidth="1" min="8" max="8"/>
    <col width="10" customWidth="1" min="9" max="9"/>
    <col width="10" customWidth="1" min="10" max="10"/>
    <col width="30" customWidth="1" min="12" max="12"/>
    <col width="46" customWidth="1" min="13" max="13"/>
    <col width="12" customWidth="1" min="14" max="14"/>
    <col width="66" customWidth="1" min="15" max="15"/>
  </cols>
  <sheetData>
    <row r="1">
      <c r="B1" s="9" t="inlineStr">
        <is>
          <t>Methodology &amp; Sources</t>
        </is>
      </c>
      <c r="L1" s="10" t="inlineStr">
        <is>
          <t>PARAMETER STATUS BY JURISDICTION</t>
        </is>
      </c>
    </row>
    <row r="2">
      <c r="B2" s="10" t="inlineStr">
        <is>
          <t>Engine parameters (2027)</t>
        </is>
      </c>
      <c r="L2" s="25" t="inlineStr">
        <is>
          <t>Jurisdiction</t>
        </is>
      </c>
      <c r="M2" s="25" t="inlineStr">
        <is>
          <t>Status in this build</t>
        </is>
      </c>
      <c r="N2" s="25" t="inlineStr">
        <is>
          <t>Effective</t>
        </is>
      </c>
      <c r="O2" s="25" t="inlineStr">
        <is>
          <t>Basis / source (full citations in StateTables)</t>
        </is>
      </c>
    </row>
    <row r="3">
      <c r="B3" t="inlineStr">
        <is>
          <t>Social Security wage base</t>
        </is>
      </c>
      <c r="C3" s="16" t="n">
        <v>192300</v>
      </c>
      <c r="D3" s="2" t="inlineStr">
        <is>
          <t>Official — SSA 2027 wage base: Social Security Administration (ssa.gov), 2027 COLA announcement (Oct 14, 2026), taxable maximum $192,300</t>
        </is>
      </c>
      <c r="L3" s="13" t="inlineStr">
        <is>
          <t>Federal withholding (percentage method)</t>
        </is>
      </c>
      <c r="M3" s="28" t="inlineStr">
        <is>
          <t>Provisional — tables derived from projected brackets (see Sources)</t>
        </is>
      </c>
      <c r="N3" s="13" t="inlineStr">
        <is>
          <t>2027-01-01</t>
        </is>
      </c>
      <c r="O3" s="28" t="inlineStr">
        <is>
          <t>Bloomberg Tax, 2027 Projected U.S. Tax Rates (Sept 11, 2026); agreed by Wolters Kluwer (Sept 18, 2026) and Thomson Reuters Checkpoint</t>
        </is>
      </c>
    </row>
    <row r="4">
      <c r="B4" t="inlineStr">
        <is>
          <t>Social Security rate (employee)</t>
        </is>
      </c>
      <c r="C4" s="33" t="n">
        <v>0.062</v>
      </c>
      <c r="D4" s="2" t="inlineStr">
        <is>
          <t>IRC §3101(a): 6.2%</t>
        </is>
      </c>
      <c r="L4" s="13" t="inlineStr">
        <is>
          <t>FICA — Social Security wage base</t>
        </is>
      </c>
      <c r="M4" s="28" t="inlineStr">
        <is>
          <t>Official</t>
        </is>
      </c>
      <c r="N4" s="13" t="inlineStr">
        <is>
          <t>2027-01-01</t>
        </is>
      </c>
      <c r="O4" s="28" t="inlineStr">
        <is>
          <t>Social Security Administration (ssa.gov), 2027 cost-of-living adjustment announcement (Oct 14, 2026) — 2027 COLA 3.6%; taxable maximum $192,300</t>
        </is>
      </c>
    </row>
    <row r="5">
      <c r="B5" t="inlineStr">
        <is>
          <t>Medicare rate (employee)</t>
        </is>
      </c>
      <c r="C5" s="33" t="n">
        <v>0.0145</v>
      </c>
      <c r="D5" s="2" t="inlineStr">
        <is>
          <t>IRC §3101(b): 1.45%</t>
        </is>
      </c>
      <c r="L5" s="13" t="inlineStr">
        <is>
          <t>Retirement &amp; benefit limits (401(k) / HSA / FSA)</t>
        </is>
      </c>
      <c r="M5" s="28" t="inlineStr">
        <is>
          <t>Per-item status in the parameter block (columns B–D, rows 3–15)</t>
        </is>
      </c>
      <c r="N5" s="13" t="inlineStr">
        <is>
          <t>2027-01-01</t>
        </is>
      </c>
      <c r="O5" s="28" t="inlineStr">
        <is>
          <t>IRS releases — the source note on each parameter row governs</t>
        </is>
      </c>
    </row>
    <row r="6">
      <c r="B6" t="inlineStr">
        <is>
          <t>Additional Medicare rate</t>
        </is>
      </c>
      <c r="C6" s="33" t="n">
        <v>0.008999999999999999</v>
      </c>
      <c r="D6" s="2" t="inlineStr">
        <is>
          <t>IRC §3101(b)(2): 0.9%</t>
        </is>
      </c>
      <c r="L6" s="13" t="inlineStr">
        <is>
          <t>Alaska (AK)</t>
        </is>
      </c>
      <c r="M6" s="28" t="inlineStr">
        <is>
          <t>Official — no wage tax</t>
        </is>
      </c>
      <c r="N6" s="13" t="inlineStr">
        <is>
          <t>2027-01-01</t>
        </is>
      </c>
      <c r="O6" s="28" t="inlineStr">
        <is>
          <t>State law — no wage income tax.</t>
        </is>
      </c>
    </row>
    <row r="7">
      <c r="B7" t="inlineStr">
        <is>
          <t>Additional Medicare withholding threshold</t>
        </is>
      </c>
      <c r="C7" s="16" t="n">
        <v>200000</v>
      </c>
      <c r="D7" s="2" t="inlineStr">
        <is>
          <t>Employer must withhold past $200,000 of wages in the year</t>
        </is>
      </c>
      <c r="L7" s="13" t="inlineStr">
        <is>
          <t>Alabama (AL)</t>
        </is>
      </c>
      <c r="M7" s="28" t="inlineStr">
        <is>
          <t>Provisional — formula (2026 rule carried)</t>
        </is>
      </c>
      <c r="N7" s="13" t="inlineStr">
        <is>
          <t>2027-01-01</t>
        </is>
      </c>
      <c r="O7" s="28" t="inlineStr">
        <is>
          <t>2026 verified rule carried forward — PROVISIONAL.</t>
        </is>
      </c>
    </row>
    <row r="8">
      <c r="B8" t="inlineStr">
        <is>
          <t>Pub 15-T Worksheet 1A line 1g — MFJ</t>
        </is>
      </c>
      <c r="C8" s="16" t="n">
        <v>12900</v>
      </c>
      <c r="D8" s="2" t="inlineStr">
        <is>
          <t>Carried forward — 2026 Publication 15-T Worksheet 1g values: IRS Publication 15-T (2027) not yet published; the 2026 Worksheet 1A amount is carried forward</t>
        </is>
      </c>
      <c r="L8" s="13" t="inlineStr">
        <is>
          <t>Arkansas (AR)</t>
        </is>
      </c>
      <c r="M8" s="28" t="inlineStr">
        <is>
          <t>Provisional — formula (2026 rule carried)</t>
        </is>
      </c>
      <c r="N8" s="13" t="inlineStr">
        <is>
          <t>2027-01-01</t>
        </is>
      </c>
      <c r="O8" s="28" t="inlineStr">
        <is>
          <t>2026 verified rule carried forward — PROVISIONAL.</t>
        </is>
      </c>
    </row>
    <row r="9">
      <c r="B9" t="inlineStr">
        <is>
          <t>Pub 15-T Worksheet 1A line 1g — other</t>
        </is>
      </c>
      <c r="C9" s="16" t="n">
        <v>8600</v>
      </c>
      <c r="D9" s="2" t="inlineStr">
        <is>
          <t>Carried forward — 2026 Publication 15-T Worksheet 1g values: IRS Publication 15-T (2027) not yet published; the 2026 Worksheet 1A amount is carried forward</t>
        </is>
      </c>
      <c r="L9" s="13" t="inlineStr">
        <is>
          <t>Arizona (AZ)</t>
        </is>
      </c>
      <c r="M9" s="28" t="inlineStr">
        <is>
          <t>Provisional — formula (2026 rule carried)</t>
        </is>
      </c>
      <c r="N9" s="13" t="inlineStr">
        <is>
          <t>2027-01-01</t>
        </is>
      </c>
      <c r="O9" s="28" t="inlineStr">
        <is>
          <t>2026 verified rule carried forward — PROVISIONAL.</t>
        </is>
      </c>
    </row>
    <row r="10">
      <c r="B10" t="inlineStr">
        <is>
          <t>Federal supplemental wage rate</t>
        </is>
      </c>
      <c r="C10" s="33" t="n">
        <v>0.22</v>
      </c>
      <c r="D10" s="2" t="inlineStr">
        <is>
          <t>IRS Pub 15: optional flat rate 22% on supplemental wages</t>
        </is>
      </c>
      <c r="L10" s="13" t="inlineStr">
        <is>
          <t>California (CA)</t>
        </is>
      </c>
      <c r="M10" s="28" t="inlineStr">
        <is>
          <t>Provisional — formula (2026 rule carried)</t>
        </is>
      </c>
      <c r="N10" s="13" t="inlineStr">
        <is>
          <t>2027-01-01</t>
        </is>
      </c>
      <c r="O10" s="28" t="inlineStr">
        <is>
          <t>2026 verified rule carried forward — PROVISIONAL.</t>
        </is>
      </c>
    </row>
    <row r="11">
      <c r="B11" t="inlineStr">
        <is>
          <t>HSA limit — self-only</t>
        </is>
      </c>
      <c r="C11" s="16" t="n">
        <v>4500</v>
      </c>
      <c r="D11" s="2" t="inlineStr">
        <is>
          <t>Official — published HSA limits: IRS Rev. Proc. 2026-24 (May 29, 2026)</t>
        </is>
      </c>
      <c r="L11" s="13" t="inlineStr">
        <is>
          <t>Colorado (CO)</t>
        </is>
      </c>
      <c r="M11" s="28" t="inlineStr">
        <is>
          <t>Provisional — formula (2026 rule carried)</t>
        </is>
      </c>
      <c r="N11" s="13" t="inlineStr">
        <is>
          <t>2027-01-01</t>
        </is>
      </c>
      <c r="O11" s="28" t="inlineStr">
        <is>
          <t>2026 verified rule carried forward — PROVISIONAL.</t>
        </is>
      </c>
    </row>
    <row r="12">
      <c r="B12" t="inlineStr">
        <is>
          <t>HSA limit — family</t>
        </is>
      </c>
      <c r="C12" s="16" t="n">
        <v>9000</v>
      </c>
      <c r="D12" s="2" t="inlineStr">
        <is>
          <t>Official — published HSA limits: IRS Rev. Proc. 2026-24 (May 29, 2026)</t>
        </is>
      </c>
      <c r="L12" s="13" t="inlineStr">
        <is>
          <t>Connecticut (CT)</t>
        </is>
      </c>
      <c r="M12" s="28" t="inlineStr">
        <is>
          <t>Manual entry (unsupported for auto-calc)</t>
        </is>
      </c>
      <c r="N12" s="13" t="inlineStr">
        <is>
          <t>2027-01-01</t>
        </is>
      </c>
      <c r="O12" s="28" t="inlineStr">
        <is>
          <t>Manual entry — 2026 integrity rule unchanged.</t>
        </is>
      </c>
    </row>
    <row r="13">
      <c r="B13" t="inlineStr">
        <is>
          <t>Health FSA limit</t>
        </is>
      </c>
      <c r="C13" s="16" t="n">
        <v>3500</v>
      </c>
      <c r="D13" s="2" t="inlineStr">
        <is>
          <t>Projected 2027 cafeteria-plan amount — PROVISIONAL; IRS Rev. Proc. expected Oct–Nov 2026</t>
        </is>
      </c>
      <c r="L13" s="13" t="inlineStr">
        <is>
          <t>District of Columbia (DC)</t>
        </is>
      </c>
      <c r="M13" s="28" t="inlineStr">
        <is>
          <t>Manual entry (unsupported for auto-calc)</t>
        </is>
      </c>
      <c r="N13" s="13" t="inlineStr">
        <is>
          <t>2027-01-01</t>
        </is>
      </c>
      <c r="O13" s="28" t="inlineStr">
        <is>
          <t>Manual entry — 2026 integrity rule unchanged.</t>
        </is>
      </c>
    </row>
    <row r="14">
      <c r="B14" t="inlineStr">
        <is>
          <t>Dependent-care FSA limit — MFJ</t>
        </is>
      </c>
      <c r="C14" s="16" t="n">
        <v>7500</v>
      </c>
      <c r="D14" s="2" t="inlineStr">
        <is>
          <t>IRC §129 as amended by P.L. 119-21 §70404 (statutory, not inflation-indexed) — OFFICIAL</t>
        </is>
      </c>
      <c r="L14" s="13" t="inlineStr">
        <is>
          <t>Delaware (DE)</t>
        </is>
      </c>
      <c r="M14" s="28" t="inlineStr">
        <is>
          <t>Provisional — formula (2026 rule carried)</t>
        </is>
      </c>
      <c r="N14" s="13" t="inlineStr">
        <is>
          <t>2027-01-01</t>
        </is>
      </c>
      <c r="O14" s="28" t="inlineStr">
        <is>
          <t>2026 verified rule carried forward — PROVISIONAL.</t>
        </is>
      </c>
    </row>
    <row r="15">
      <c r="B15" t="inlineStr">
        <is>
          <t>Dependent-care FSA limit — other</t>
        </is>
      </c>
      <c r="C15" s="16" t="n">
        <v>3750</v>
      </c>
      <c r="D15" s="2" t="inlineStr">
        <is>
          <t>Half of the MFJ limit (married filing separately) — same source</t>
        </is>
      </c>
      <c r="L15" s="13" t="inlineStr">
        <is>
          <t>Florida (FL)</t>
        </is>
      </c>
      <c r="M15" s="28" t="inlineStr">
        <is>
          <t>Official — no wage tax</t>
        </is>
      </c>
      <c r="N15" s="13" t="inlineStr">
        <is>
          <t>2027-01-01</t>
        </is>
      </c>
      <c r="O15" s="28" t="inlineStr">
        <is>
          <t>State law — no wage income tax.</t>
        </is>
      </c>
    </row>
    <row r="16">
      <c r="L16" s="13" t="inlineStr">
        <is>
          <t>Georgia (GA)</t>
        </is>
      </c>
      <c r="M16" s="28" t="inlineStr">
        <is>
          <t>Manual entry (unsupported for auto-calc)</t>
        </is>
      </c>
      <c r="N16" s="13" t="inlineStr">
        <is>
          <t>2027-01-01</t>
        </is>
      </c>
      <c r="O16" s="28" t="inlineStr">
        <is>
          <t>Manual entry — 2026 integrity rule unchanged.</t>
        </is>
      </c>
    </row>
    <row r="17">
      <c r="B17" s="10" t="inlineStr">
        <is>
          <t>Federal % method — STANDARD schedule (2027 Projected — federal income-tax brackets, derived — see status table)</t>
        </is>
      </c>
      <c r="L17" s="13" t="inlineStr">
        <is>
          <t>Hawaii (HI)</t>
        </is>
      </c>
      <c r="M17" s="28" t="inlineStr">
        <is>
          <t>Provisional — formula (2026 rule carried)</t>
        </is>
      </c>
      <c r="N17" s="13" t="inlineStr">
        <is>
          <t>2027-01-01</t>
        </is>
      </c>
      <c r="O17" s="28" t="inlineStr">
        <is>
          <t>2026 verified rule carried forward — PROVISIONAL.</t>
        </is>
      </c>
    </row>
    <row r="18">
      <c r="B18" s="25" t="inlineStr">
        <is>
          <t>MFJ floor</t>
        </is>
      </c>
      <c r="C18" s="25" t="inlineStr">
        <is>
          <t>rate</t>
        </is>
      </c>
      <c r="D18" s="25" t="inlineStr">
        <is>
          <t>diff</t>
        </is>
      </c>
      <c r="E18" s="25" t="inlineStr">
        <is>
          <t>Single floor</t>
        </is>
      </c>
      <c r="F18" s="25" t="inlineStr">
        <is>
          <t>rate</t>
        </is>
      </c>
      <c r="G18" s="25" t="inlineStr">
        <is>
          <t>diff</t>
        </is>
      </c>
      <c r="H18" s="25" t="inlineStr">
        <is>
          <t>HoH floor</t>
        </is>
      </c>
      <c r="I18" s="25" t="inlineStr">
        <is>
          <t>rate</t>
        </is>
      </c>
      <c r="J18" s="25" t="inlineStr">
        <is>
          <t>diff</t>
        </is>
      </c>
      <c r="L18" s="13" t="inlineStr">
        <is>
          <t>Iowa (IA)</t>
        </is>
      </c>
      <c r="M18" s="28" t="inlineStr">
        <is>
          <t>Provisional — formula (2026 rule carried)</t>
        </is>
      </c>
      <c r="N18" s="13" t="inlineStr">
        <is>
          <t>2027-01-01</t>
        </is>
      </c>
      <c r="O18" s="28" t="inlineStr">
        <is>
          <t>2026 verified rule carried forward — PROVISIONAL.</t>
        </is>
      </c>
    </row>
    <row r="19">
      <c r="B19" s="16" t="n">
        <v>0</v>
      </c>
      <c r="C19" s="29" t="n">
        <v>0</v>
      </c>
      <c r="D19" s="33" t="n">
        <v>0</v>
      </c>
      <c r="E19" s="16" t="n">
        <v>0</v>
      </c>
      <c r="F19" s="29" t="n">
        <v>0</v>
      </c>
      <c r="G19" s="33" t="n">
        <v>0</v>
      </c>
      <c r="H19" s="16" t="n">
        <v>0</v>
      </c>
      <c r="I19" s="29" t="n">
        <v>0</v>
      </c>
      <c r="J19" s="33" t="n">
        <v>0</v>
      </c>
      <c r="L19" s="13" t="inlineStr">
        <is>
          <t>Idaho (ID)</t>
        </is>
      </c>
      <c r="M19" s="28" t="inlineStr">
        <is>
          <t>Provisional — formula (2026 rule carried)</t>
        </is>
      </c>
      <c r="N19" s="13" t="inlineStr">
        <is>
          <t>2027-01-01</t>
        </is>
      </c>
      <c r="O19" s="28" t="inlineStr">
        <is>
          <t>2026 verified rule carried forward — PROVISIONAL.</t>
        </is>
      </c>
    </row>
    <row r="20">
      <c r="B20" s="16" t="n">
        <v>20300</v>
      </c>
      <c r="C20" s="29" t="n">
        <v>0.1</v>
      </c>
      <c r="D20" s="33" t="n">
        <v>0.1</v>
      </c>
      <c r="E20" s="16" t="n">
        <v>8000</v>
      </c>
      <c r="F20" s="29" t="n">
        <v>0.1</v>
      </c>
      <c r="G20" s="33" t="n">
        <v>0.1</v>
      </c>
      <c r="H20" s="16" t="n">
        <v>16325</v>
      </c>
      <c r="I20" s="29" t="n">
        <v>0.1</v>
      </c>
      <c r="J20" s="33" t="n">
        <v>0.1</v>
      </c>
      <c r="L20" s="13" t="inlineStr">
        <is>
          <t>Illinois (IL)</t>
        </is>
      </c>
      <c r="M20" s="28" t="inlineStr">
        <is>
          <t>Provisional — formula (2026 rule carried)</t>
        </is>
      </c>
      <c r="N20" s="13" t="inlineStr">
        <is>
          <t>2027-01-01</t>
        </is>
      </c>
      <c r="O20" s="28" t="inlineStr">
        <is>
          <t>2026 verified rule carried forward — PROVISIONAL.</t>
        </is>
      </c>
    </row>
    <row r="21">
      <c r="B21" s="16" t="n">
        <v>45900</v>
      </c>
      <c r="C21" s="29" t="n">
        <v>0.12</v>
      </c>
      <c r="D21" s="33" t="n">
        <v>0.01999999999999999</v>
      </c>
      <c r="E21" s="16" t="n">
        <v>20800</v>
      </c>
      <c r="F21" s="29" t="n">
        <v>0.12</v>
      </c>
      <c r="G21" s="33" t="n">
        <v>0.01999999999999999</v>
      </c>
      <c r="H21" s="16" t="n">
        <v>34575</v>
      </c>
      <c r="I21" s="29" t="n">
        <v>0.12</v>
      </c>
      <c r="J21" s="33" t="n">
        <v>0.01999999999999999</v>
      </c>
      <c r="L21" s="13" t="inlineStr">
        <is>
          <t>Indiana (IN)</t>
        </is>
      </c>
      <c r="M21" s="28" t="inlineStr">
        <is>
          <t>Provisional — formula (2026 rule carried)</t>
        </is>
      </c>
      <c r="N21" s="13" t="inlineStr">
        <is>
          <t>2027-01-01</t>
        </is>
      </c>
      <c r="O21" s="28" t="inlineStr">
        <is>
          <t>2026 verified rule carried forward — PROVISIONAL.</t>
        </is>
      </c>
    </row>
    <row r="22">
      <c r="B22" s="16" t="n">
        <v>124350</v>
      </c>
      <c r="C22" s="29" t="n">
        <v>0.22</v>
      </c>
      <c r="D22" s="33" t="n">
        <v>0.1</v>
      </c>
      <c r="E22" s="16" t="n">
        <v>60025</v>
      </c>
      <c r="F22" s="29" t="n">
        <v>0.22</v>
      </c>
      <c r="G22" s="33" t="n">
        <v>0.1</v>
      </c>
      <c r="H22" s="16" t="n">
        <v>85975</v>
      </c>
      <c r="I22" s="29" t="n">
        <v>0.22</v>
      </c>
      <c r="J22" s="33" t="n">
        <v>0.1</v>
      </c>
      <c r="L22" s="13" t="inlineStr">
        <is>
          <t>Kansas (KS)</t>
        </is>
      </c>
      <c r="M22" s="28" t="inlineStr">
        <is>
          <t>Provisional — formula (2026 rule carried)</t>
        </is>
      </c>
      <c r="N22" s="13" t="inlineStr">
        <is>
          <t>2027-01-01</t>
        </is>
      </c>
      <c r="O22" s="28" t="inlineStr">
        <is>
          <t>2026 verified rule carried forward — PROVISIONAL.</t>
        </is>
      </c>
    </row>
    <row r="23">
      <c r="B23" s="16" t="n">
        <v>238550</v>
      </c>
      <c r="C23" s="29" t="n">
        <v>0.24</v>
      </c>
      <c r="D23" s="33" t="n">
        <v>0.01999999999999999</v>
      </c>
      <c r="E23" s="16" t="n">
        <v>117125</v>
      </c>
      <c r="F23" s="29" t="n">
        <v>0.24</v>
      </c>
      <c r="G23" s="33" t="n">
        <v>0.01999999999999999</v>
      </c>
      <c r="H23" s="16" t="n">
        <v>125425</v>
      </c>
      <c r="I23" s="29" t="n">
        <v>0.24</v>
      </c>
      <c r="J23" s="33" t="n">
        <v>0.01999999999999999</v>
      </c>
      <c r="L23" s="13" t="inlineStr">
        <is>
          <t>Kentucky (KY)</t>
        </is>
      </c>
      <c r="M23" s="28" t="inlineStr">
        <is>
          <t>Provisional — formula (2026 rule carried)</t>
        </is>
      </c>
      <c r="N23" s="13" t="inlineStr">
        <is>
          <t>2027-01-01</t>
        </is>
      </c>
      <c r="O23" s="28" t="inlineStr">
        <is>
          <t>2026 verified rule carried forward — PROVISIONAL.</t>
        </is>
      </c>
    </row>
    <row r="24">
      <c r="B24" s="16" t="n">
        <v>436950</v>
      </c>
      <c r="C24" s="29" t="n">
        <v>0.32</v>
      </c>
      <c r="D24" s="33" t="n">
        <v>0.08000000000000002</v>
      </c>
      <c r="E24" s="16" t="n">
        <v>216325</v>
      </c>
      <c r="F24" s="29" t="n">
        <v>0.32</v>
      </c>
      <c r="G24" s="33" t="n">
        <v>0.08000000000000002</v>
      </c>
      <c r="H24" s="16" t="n">
        <v>224625</v>
      </c>
      <c r="I24" s="29" t="n">
        <v>0.32</v>
      </c>
      <c r="J24" s="33" t="n">
        <v>0.08000000000000002</v>
      </c>
      <c r="L24" s="13" t="inlineStr">
        <is>
          <t>Louisiana (LA)</t>
        </is>
      </c>
      <c r="M24" s="28" t="inlineStr">
        <is>
          <t>Provisional — formula (2026 rule carried)</t>
        </is>
      </c>
      <c r="N24" s="13" t="inlineStr">
        <is>
          <t>2027-01-01</t>
        </is>
      </c>
      <c r="O24" s="28" t="inlineStr">
        <is>
          <t>2026 verified rule carried forward — PROVISIONAL.</t>
        </is>
      </c>
    </row>
    <row r="25">
      <c r="B25" s="16" t="n">
        <v>549400</v>
      </c>
      <c r="C25" s="29" t="n">
        <v>0.35</v>
      </c>
      <c r="D25" s="33" t="n">
        <v>0.02999999999999997</v>
      </c>
      <c r="E25" s="16" t="n">
        <v>272550</v>
      </c>
      <c r="F25" s="29" t="n">
        <v>0.35</v>
      </c>
      <c r="G25" s="33" t="n">
        <v>0.02999999999999997</v>
      </c>
      <c r="H25" s="16" t="n">
        <v>280875</v>
      </c>
      <c r="I25" s="29" t="n">
        <v>0.35</v>
      </c>
      <c r="J25" s="33" t="n">
        <v>0.02999999999999997</v>
      </c>
      <c r="L25" s="13" t="inlineStr">
        <is>
          <t>Massachusetts (MA)</t>
        </is>
      </c>
      <c r="M25" s="28" t="inlineStr">
        <is>
          <t>Provisional — formula (2026 rule carried)</t>
        </is>
      </c>
      <c r="N25" s="13" t="inlineStr">
        <is>
          <t>2027-01-01</t>
        </is>
      </c>
      <c r="O25" s="28" t="inlineStr">
        <is>
          <t>2026 verified rule carried forward — PROVISIONAL.</t>
        </is>
      </c>
    </row>
    <row r="26">
      <c r="B26" s="16" t="n">
        <v>813950</v>
      </c>
      <c r="C26" s="29" t="n">
        <v>0.37</v>
      </c>
      <c r="D26" s="33" t="n">
        <v>0.02000000000000002</v>
      </c>
      <c r="E26" s="16" t="n">
        <v>669375</v>
      </c>
      <c r="F26" s="29" t="n">
        <v>0.37</v>
      </c>
      <c r="G26" s="33" t="n">
        <v>0.02000000000000002</v>
      </c>
      <c r="H26" s="16" t="n">
        <v>677675</v>
      </c>
      <c r="I26" s="29" t="n">
        <v>0.37</v>
      </c>
      <c r="J26" s="33" t="n">
        <v>0.02000000000000002</v>
      </c>
      <c r="L26" s="13" t="inlineStr">
        <is>
          <t>Maryland (MD)</t>
        </is>
      </c>
      <c r="M26" s="28" t="inlineStr">
        <is>
          <t>Provisional — formula (2026 rule carried)</t>
        </is>
      </c>
      <c r="N26" s="13" t="inlineStr">
        <is>
          <t>2027-01-01</t>
        </is>
      </c>
      <c r="O26" s="28" t="inlineStr">
        <is>
          <t>2026 verified rule carried forward — PROVISIONAL.</t>
        </is>
      </c>
    </row>
    <row r="27">
      <c r="B27" s="10" t="inlineStr">
        <is>
          <t>Federal % method — Step 2 CHECKBOX schedule (2027 Projected — federal income-tax brackets, derived — see status table)</t>
        </is>
      </c>
      <c r="L27" s="13" t="inlineStr">
        <is>
          <t>Maine (ME)</t>
        </is>
      </c>
      <c r="M27" s="28" t="inlineStr">
        <is>
          <t>Manual entry (unsupported for auto-calc)</t>
        </is>
      </c>
      <c r="N27" s="13" t="inlineStr">
        <is>
          <t>2027-01-01</t>
        </is>
      </c>
      <c r="O27" s="28" t="inlineStr">
        <is>
          <t>Manual entry — 2026 integrity rule unchanged.</t>
        </is>
      </c>
    </row>
    <row r="28">
      <c r="B28" s="25" t="inlineStr">
        <is>
          <t>MFJ floor</t>
        </is>
      </c>
      <c r="C28" s="25" t="inlineStr">
        <is>
          <t>rate</t>
        </is>
      </c>
      <c r="D28" s="25" t="inlineStr">
        <is>
          <t>diff</t>
        </is>
      </c>
      <c r="E28" s="25" t="inlineStr">
        <is>
          <t>Single floor</t>
        </is>
      </c>
      <c r="F28" s="25" t="inlineStr">
        <is>
          <t>rate</t>
        </is>
      </c>
      <c r="G28" s="25" t="inlineStr">
        <is>
          <t>diff</t>
        </is>
      </c>
      <c r="H28" s="25" t="inlineStr">
        <is>
          <t>HoH floor</t>
        </is>
      </c>
      <c r="I28" s="25" t="inlineStr">
        <is>
          <t>rate</t>
        </is>
      </c>
      <c r="J28" s="25" t="inlineStr">
        <is>
          <t>diff</t>
        </is>
      </c>
      <c r="L28" s="13" t="inlineStr">
        <is>
          <t>Michigan (MI)</t>
        </is>
      </c>
      <c r="M28" s="28" t="inlineStr">
        <is>
          <t>Provisional — formula (2026 rule carried)</t>
        </is>
      </c>
      <c r="N28" s="13" t="inlineStr">
        <is>
          <t>2027-01-01</t>
        </is>
      </c>
      <c r="O28" s="28" t="inlineStr">
        <is>
          <t>2026 verified rule carried forward — PROVISIONAL.</t>
        </is>
      </c>
    </row>
    <row r="29">
      <c r="B29" s="16" t="n">
        <v>0</v>
      </c>
      <c r="C29" s="29" t="n">
        <v>0</v>
      </c>
      <c r="D29" s="33" t="n">
        <v>0</v>
      </c>
      <c r="E29" s="16" t="n">
        <v>0</v>
      </c>
      <c r="F29" s="29" t="n">
        <v>0</v>
      </c>
      <c r="G29" s="33" t="n">
        <v>0</v>
      </c>
      <c r="H29" s="16" t="n">
        <v>0</v>
      </c>
      <c r="I29" s="29" t="n">
        <v>0</v>
      </c>
      <c r="J29" s="33" t="n">
        <v>0</v>
      </c>
      <c r="L29" s="13" t="inlineStr">
        <is>
          <t>Minnesota (MN)</t>
        </is>
      </c>
      <c r="M29" s="28" t="inlineStr">
        <is>
          <t>Provisional — formula (2026 rule carried)</t>
        </is>
      </c>
      <c r="N29" s="13" t="inlineStr">
        <is>
          <t>2027-01-01</t>
        </is>
      </c>
      <c r="O29" s="28" t="inlineStr">
        <is>
          <t>2026 verified rule carried forward — PROVISIONAL.</t>
        </is>
      </c>
    </row>
    <row r="30">
      <c r="B30" s="16" t="n">
        <v>16600</v>
      </c>
      <c r="C30" s="29" t="n">
        <v>0.1</v>
      </c>
      <c r="D30" s="33" t="n">
        <v>0.1</v>
      </c>
      <c r="E30" s="16" t="n">
        <v>8300</v>
      </c>
      <c r="F30" s="29" t="n">
        <v>0.1</v>
      </c>
      <c r="G30" s="33" t="n">
        <v>0.1</v>
      </c>
      <c r="H30" s="16" t="n">
        <v>12463</v>
      </c>
      <c r="I30" s="29" t="n">
        <v>0.1</v>
      </c>
      <c r="J30" s="33" t="n">
        <v>0.1</v>
      </c>
      <c r="L30" s="13" t="inlineStr">
        <is>
          <t>Missouri (MO)</t>
        </is>
      </c>
      <c r="M30" s="28" t="inlineStr">
        <is>
          <t>Provisional — formula (2026 rule carried)</t>
        </is>
      </c>
      <c r="N30" s="13" t="inlineStr">
        <is>
          <t>2027-01-01</t>
        </is>
      </c>
      <c r="O30" s="28" t="inlineStr">
        <is>
          <t>2026 verified rule carried forward — PROVISIONAL.</t>
        </is>
      </c>
    </row>
    <row r="31">
      <c r="B31" s="16" t="n">
        <v>29400</v>
      </c>
      <c r="C31" s="29" t="n">
        <v>0.12</v>
      </c>
      <c r="D31" s="33" t="n">
        <v>0.01999999999999999</v>
      </c>
      <c r="E31" s="16" t="n">
        <v>14700</v>
      </c>
      <c r="F31" s="29" t="n">
        <v>0.12</v>
      </c>
      <c r="G31" s="33" t="n">
        <v>0.01999999999999999</v>
      </c>
      <c r="H31" s="16" t="n">
        <v>21588</v>
      </c>
      <c r="I31" s="29" t="n">
        <v>0.12</v>
      </c>
      <c r="J31" s="33" t="n">
        <v>0.01999999999999999</v>
      </c>
      <c r="L31" s="13" t="inlineStr">
        <is>
          <t>Mississippi (MS)</t>
        </is>
      </c>
      <c r="M31" s="28" t="inlineStr">
        <is>
          <t>Provisional — formula (2026 rule carried)</t>
        </is>
      </c>
      <c r="N31" s="13" t="inlineStr">
        <is>
          <t>2027-01-01</t>
        </is>
      </c>
      <c r="O31" s="28" t="inlineStr">
        <is>
          <t>2026 verified rule carried forward — PROVISIONAL.</t>
        </is>
      </c>
    </row>
    <row r="32">
      <c r="B32" s="16" t="n">
        <v>68625</v>
      </c>
      <c r="C32" s="29" t="n">
        <v>0.22</v>
      </c>
      <c r="D32" s="33" t="n">
        <v>0.1</v>
      </c>
      <c r="E32" s="16" t="n">
        <v>34313</v>
      </c>
      <c r="F32" s="29" t="n">
        <v>0.22</v>
      </c>
      <c r="G32" s="33" t="n">
        <v>0.1</v>
      </c>
      <c r="H32" s="16" t="n">
        <v>47288</v>
      </c>
      <c r="I32" s="29" t="n">
        <v>0.22</v>
      </c>
      <c r="J32" s="33" t="n">
        <v>0.1</v>
      </c>
      <c r="L32" s="13" t="inlineStr">
        <is>
          <t>Montana (MT)</t>
        </is>
      </c>
      <c r="M32" s="28" t="inlineStr">
        <is>
          <t>Provisional — formula (2026 rule carried)</t>
        </is>
      </c>
      <c r="N32" s="13" t="inlineStr">
        <is>
          <t>2027-01-01</t>
        </is>
      </c>
      <c r="O32" s="28" t="inlineStr">
        <is>
          <t>2026 verified rule carried forward — PROVISIONAL.</t>
        </is>
      </c>
    </row>
    <row r="33">
      <c r="B33" s="16" t="n">
        <v>125725</v>
      </c>
      <c r="C33" s="29" t="n">
        <v>0.24</v>
      </c>
      <c r="D33" s="33" t="n">
        <v>0.01999999999999999</v>
      </c>
      <c r="E33" s="16" t="n">
        <v>62863</v>
      </c>
      <c r="F33" s="29" t="n">
        <v>0.24</v>
      </c>
      <c r="G33" s="33" t="n">
        <v>0.01999999999999999</v>
      </c>
      <c r="H33" s="16" t="n">
        <v>67013</v>
      </c>
      <c r="I33" s="29" t="n">
        <v>0.24</v>
      </c>
      <c r="J33" s="33" t="n">
        <v>0.01999999999999999</v>
      </c>
      <c r="L33" s="13" t="inlineStr">
        <is>
          <t>North Carolina (NC)</t>
        </is>
      </c>
      <c r="M33" s="28" t="inlineStr">
        <is>
          <t>Manual entry (unsupported for auto-calc)</t>
        </is>
      </c>
      <c r="N33" s="13" t="inlineStr">
        <is>
          <t>2027-01-01</t>
        </is>
      </c>
      <c r="O33" s="28" t="inlineStr">
        <is>
          <t>Manual entry — 2026 integrity rule unchanged.</t>
        </is>
      </c>
    </row>
    <row r="34">
      <c r="B34" s="16" t="n">
        <v>224925</v>
      </c>
      <c r="C34" s="29" t="n">
        <v>0.32</v>
      </c>
      <c r="D34" s="33" t="n">
        <v>0.08000000000000002</v>
      </c>
      <c r="E34" s="16" t="n">
        <v>112463</v>
      </c>
      <c r="F34" s="29" t="n">
        <v>0.32</v>
      </c>
      <c r="G34" s="33" t="n">
        <v>0.08000000000000002</v>
      </c>
      <c r="H34" s="16" t="n">
        <v>116613</v>
      </c>
      <c r="I34" s="29" t="n">
        <v>0.32</v>
      </c>
      <c r="J34" s="33" t="n">
        <v>0.08000000000000002</v>
      </c>
      <c r="L34" s="13" t="inlineStr">
        <is>
          <t>North Dakota (ND)</t>
        </is>
      </c>
      <c r="M34" s="28" t="inlineStr">
        <is>
          <t>Provisional — formula (2026 rule carried)</t>
        </is>
      </c>
      <c r="N34" s="13" t="inlineStr">
        <is>
          <t>2027-01-01</t>
        </is>
      </c>
      <c r="O34" s="28" t="inlineStr">
        <is>
          <t>2026 verified rule carried forward — PROVISIONAL.</t>
        </is>
      </c>
    </row>
    <row r="35">
      <c r="B35" s="16" t="n">
        <v>281150</v>
      </c>
      <c r="C35" s="29" t="n">
        <v>0.35</v>
      </c>
      <c r="D35" s="33" t="n">
        <v>0.02999999999999997</v>
      </c>
      <c r="E35" s="16" t="n">
        <v>140575</v>
      </c>
      <c r="F35" s="29" t="n">
        <v>0.35</v>
      </c>
      <c r="G35" s="33" t="n">
        <v>0.02999999999999997</v>
      </c>
      <c r="H35" s="16" t="n">
        <v>144738</v>
      </c>
      <c r="I35" s="29" t="n">
        <v>0.35</v>
      </c>
      <c r="J35" s="33" t="n">
        <v>0.02999999999999997</v>
      </c>
      <c r="L35" s="13" t="inlineStr">
        <is>
          <t>Nebraska (NE)</t>
        </is>
      </c>
      <c r="M35" s="28" t="inlineStr">
        <is>
          <t>Provisional — formula (2026 rule carried)</t>
        </is>
      </c>
      <c r="N35" s="13" t="inlineStr">
        <is>
          <t>2027-01-01</t>
        </is>
      </c>
      <c r="O35" s="28" t="inlineStr">
        <is>
          <t>2026 verified rule carried forward — PROVISIONAL.</t>
        </is>
      </c>
    </row>
    <row r="36">
      <c r="B36" s="16" t="n">
        <v>413425</v>
      </c>
      <c r="C36" s="29" t="n">
        <v>0.37</v>
      </c>
      <c r="D36" s="33" t="n">
        <v>0.02000000000000002</v>
      </c>
      <c r="E36" s="16" t="n">
        <v>338988</v>
      </c>
      <c r="F36" s="29" t="n">
        <v>0.37</v>
      </c>
      <c r="G36" s="33" t="n">
        <v>0.02000000000000002</v>
      </c>
      <c r="H36" s="16" t="n">
        <v>343138</v>
      </c>
      <c r="I36" s="29" t="n">
        <v>0.37</v>
      </c>
      <c r="J36" s="33" t="n">
        <v>0.02000000000000002</v>
      </c>
      <c r="L36" s="13" t="inlineStr">
        <is>
          <t>New Hampshire (NH)</t>
        </is>
      </c>
      <c r="M36" s="28" t="inlineStr">
        <is>
          <t>Official — no wage tax</t>
        </is>
      </c>
      <c r="N36" s="13" t="inlineStr">
        <is>
          <t>2027-01-01</t>
        </is>
      </c>
      <c r="O36" s="28" t="inlineStr">
        <is>
          <t>State law — no wage income tax.</t>
        </is>
      </c>
    </row>
    <row r="37">
      <c r="B37" s="10" t="inlineStr">
        <is>
          <t>California Method B brackets (EDD Tables 5/6/7 — 2026 tables carried forward, PROVISIONAL)</t>
        </is>
      </c>
      <c r="L37" s="13" t="inlineStr">
        <is>
          <t>New Jersey (NJ)</t>
        </is>
      </c>
      <c r="M37" s="28" t="inlineStr">
        <is>
          <t>Provisional — formula (2026 rule carried)</t>
        </is>
      </c>
      <c r="N37" s="13" t="inlineStr">
        <is>
          <t>2027-01-01</t>
        </is>
      </c>
      <c r="O37" s="28" t="inlineStr">
        <is>
          <t>2026 verified rule carried forward — PROVISIONAL.</t>
        </is>
      </c>
    </row>
    <row r="38">
      <c r="B38" s="25" t="inlineStr">
        <is>
          <t>Single floor</t>
        </is>
      </c>
      <c r="C38" s="25" t="inlineStr">
        <is>
          <t>rate</t>
        </is>
      </c>
      <c r="D38" s="25" t="inlineStr">
        <is>
          <t>diff</t>
        </is>
      </c>
      <c r="E38" s="25" t="inlineStr">
        <is>
          <t>Married floor</t>
        </is>
      </c>
      <c r="F38" s="25" t="inlineStr">
        <is>
          <t>rate</t>
        </is>
      </c>
      <c r="G38" s="25" t="inlineStr">
        <is>
          <t>diff</t>
        </is>
      </c>
      <c r="H38" s="25" t="inlineStr">
        <is>
          <t>HoH floor</t>
        </is>
      </c>
      <c r="I38" s="25" t="inlineStr">
        <is>
          <t>rate</t>
        </is>
      </c>
      <c r="J38" s="25" t="inlineStr">
        <is>
          <t>diff</t>
        </is>
      </c>
      <c r="L38" s="13" t="inlineStr">
        <is>
          <t>New Mexico (NM)</t>
        </is>
      </c>
      <c r="M38" s="28" t="inlineStr">
        <is>
          <t>Manual entry (unsupported for auto-calc)</t>
        </is>
      </c>
      <c r="N38" s="13" t="inlineStr">
        <is>
          <t>2027-01-01</t>
        </is>
      </c>
      <c r="O38" s="28" t="inlineStr">
        <is>
          <t>Manual entry — 2026 integrity rule unchanged.</t>
        </is>
      </c>
    </row>
    <row r="39">
      <c r="B39" s="16" t="n">
        <v>0</v>
      </c>
      <c r="C39" s="29" t="n">
        <v>0.011</v>
      </c>
      <c r="D39" s="33" t="n">
        <v>0.011</v>
      </c>
      <c r="E39" s="16" t="n">
        <v>0</v>
      </c>
      <c r="F39" s="29" t="n">
        <v>0.011</v>
      </c>
      <c r="G39" s="33" t="n">
        <v>0.011</v>
      </c>
      <c r="H39" s="16" t="n">
        <v>0</v>
      </c>
      <c r="I39" s="29" t="n">
        <v>0.011</v>
      </c>
      <c r="J39" s="33" t="n">
        <v>0.011</v>
      </c>
      <c r="L39" s="13" t="inlineStr">
        <is>
          <t>Nevada (NV)</t>
        </is>
      </c>
      <c r="M39" s="28" t="inlineStr">
        <is>
          <t>Official — no wage tax</t>
        </is>
      </c>
      <c r="N39" s="13" t="inlineStr">
        <is>
          <t>2027-01-01</t>
        </is>
      </c>
      <c r="O39" s="28" t="inlineStr">
        <is>
          <t>State law — no wage income tax.</t>
        </is>
      </c>
    </row>
    <row r="40">
      <c r="B40" s="16" t="n">
        <v>11079</v>
      </c>
      <c r="C40" s="29" t="n">
        <v>0.022</v>
      </c>
      <c r="D40" s="33" t="n">
        <v>0.011</v>
      </c>
      <c r="E40" s="16" t="n">
        <v>22158</v>
      </c>
      <c r="F40" s="29" t="n">
        <v>0.022</v>
      </c>
      <c r="G40" s="33" t="n">
        <v>0.011</v>
      </c>
      <c r="H40" s="16" t="n">
        <v>22173</v>
      </c>
      <c r="I40" s="29" t="n">
        <v>0.022</v>
      </c>
      <c r="J40" s="33" t="n">
        <v>0.011</v>
      </c>
      <c r="L40" s="13" t="inlineStr">
        <is>
          <t>New York (NY)</t>
        </is>
      </c>
      <c r="M40" s="28" t="inlineStr">
        <is>
          <t>Provisional — formula (2026 rule carried)</t>
        </is>
      </c>
      <c r="N40" s="13" t="inlineStr">
        <is>
          <t>2027-01-01</t>
        </is>
      </c>
      <c r="O40" s="28" t="inlineStr">
        <is>
          <t>2026 verified rule carried forward — PROVISIONAL.</t>
        </is>
      </c>
    </row>
    <row r="41">
      <c r="B41" s="16" t="n">
        <v>26264</v>
      </c>
      <c r="C41" s="29" t="n">
        <v>0.044</v>
      </c>
      <c r="D41" s="33" t="n">
        <v>0.022</v>
      </c>
      <c r="E41" s="16" t="n">
        <v>52528</v>
      </c>
      <c r="F41" s="29" t="n">
        <v>0.044</v>
      </c>
      <c r="G41" s="33" t="n">
        <v>0.022</v>
      </c>
      <c r="H41" s="16" t="n">
        <v>52530</v>
      </c>
      <c r="I41" s="29" t="n">
        <v>0.044</v>
      </c>
      <c r="J41" s="33" t="n">
        <v>0.022</v>
      </c>
      <c r="L41" s="13" t="inlineStr">
        <is>
          <t>Ohio (OH)</t>
        </is>
      </c>
      <c r="M41" s="28" t="inlineStr">
        <is>
          <t>Provisional — formula (2026 rule carried)</t>
        </is>
      </c>
      <c r="N41" s="13" t="inlineStr">
        <is>
          <t>2027-01-01</t>
        </is>
      </c>
      <c r="O41" s="28" t="inlineStr">
        <is>
          <t>2026 verified rule carried forward — PROVISIONAL.</t>
        </is>
      </c>
    </row>
    <row r="42">
      <c r="B42" s="16" t="n">
        <v>41452</v>
      </c>
      <c r="C42" s="29" t="n">
        <v>0.066</v>
      </c>
      <c r="D42" s="33" t="n">
        <v>0.02200000000000001</v>
      </c>
      <c r="E42" s="16" t="n">
        <v>82904</v>
      </c>
      <c r="F42" s="29" t="n">
        <v>0.066</v>
      </c>
      <c r="G42" s="33" t="n">
        <v>0.02200000000000001</v>
      </c>
      <c r="H42" s="16" t="n">
        <v>67716</v>
      </c>
      <c r="I42" s="29" t="n">
        <v>0.066</v>
      </c>
      <c r="J42" s="33" t="n">
        <v>0.02200000000000001</v>
      </c>
      <c r="L42" s="13" t="inlineStr">
        <is>
          <t>Oklahoma (OK)</t>
        </is>
      </c>
      <c r="M42" s="28" t="inlineStr">
        <is>
          <t>Provisional — formula (2026 rule carried)</t>
        </is>
      </c>
      <c r="N42" s="13" t="inlineStr">
        <is>
          <t>2027-01-01</t>
        </is>
      </c>
      <c r="O42" s="28" t="inlineStr">
        <is>
          <t>2026 verified rule carried forward — PROVISIONAL.</t>
        </is>
      </c>
    </row>
    <row r="43">
      <c r="B43" s="16" t="n">
        <v>57542</v>
      </c>
      <c r="C43" s="29" t="n">
        <v>0.08799999999999999</v>
      </c>
      <c r="D43" s="33" t="n">
        <v>0.02199999999999999</v>
      </c>
      <c r="E43" s="16" t="n">
        <v>115084</v>
      </c>
      <c r="F43" s="29" t="n">
        <v>0.08799999999999999</v>
      </c>
      <c r="G43" s="33" t="n">
        <v>0.02199999999999999</v>
      </c>
      <c r="H43" s="16" t="n">
        <v>83805</v>
      </c>
      <c r="I43" s="29" t="n">
        <v>0.08799999999999999</v>
      </c>
      <c r="J43" s="33" t="n">
        <v>0.02199999999999999</v>
      </c>
      <c r="L43" s="13" t="inlineStr">
        <is>
          <t>Oregon (OR)</t>
        </is>
      </c>
      <c r="M43" s="28" t="inlineStr">
        <is>
          <t>Provisional — formula (2026 rule carried)</t>
        </is>
      </c>
      <c r="N43" s="13" t="inlineStr">
        <is>
          <t>2027-01-01</t>
        </is>
      </c>
      <c r="O43" s="28" t="inlineStr">
        <is>
          <t>2026 verified rule carried forward — PROVISIONAL.</t>
        </is>
      </c>
    </row>
    <row r="44">
      <c r="B44" s="16" t="n">
        <v>72724</v>
      </c>
      <c r="C44" s="29" t="n">
        <v>0.1023</v>
      </c>
      <c r="D44" s="33" t="n">
        <v>0.01430000000000001</v>
      </c>
      <c r="E44" s="16" t="n">
        <v>145448</v>
      </c>
      <c r="F44" s="29" t="n">
        <v>0.1023</v>
      </c>
      <c r="G44" s="33" t="n">
        <v>0.01430000000000001</v>
      </c>
      <c r="H44" s="16" t="n">
        <v>98990</v>
      </c>
      <c r="I44" s="29" t="n">
        <v>0.1023</v>
      </c>
      <c r="J44" s="33" t="n">
        <v>0.01430000000000001</v>
      </c>
      <c r="L44" s="13" t="inlineStr">
        <is>
          <t>Pennsylvania (PA)</t>
        </is>
      </c>
      <c r="M44" s="28" t="inlineStr">
        <is>
          <t>Provisional — formula (2026 rule carried)</t>
        </is>
      </c>
      <c r="N44" s="13" t="inlineStr">
        <is>
          <t>2027-01-01</t>
        </is>
      </c>
      <c r="O44" s="28" t="inlineStr">
        <is>
          <t>2026 verified rule carried forward — PROVISIONAL.</t>
        </is>
      </c>
    </row>
    <row r="45">
      <c r="B45" s="16" t="n">
        <v>371479</v>
      </c>
      <c r="C45" s="29" t="n">
        <v>0.1133</v>
      </c>
      <c r="D45" s="33" t="n">
        <v>0.011</v>
      </c>
      <c r="E45" s="16" t="n">
        <v>742958</v>
      </c>
      <c r="F45" s="29" t="n">
        <v>0.1133</v>
      </c>
      <c r="G45" s="33" t="n">
        <v>0.011</v>
      </c>
      <c r="H45" s="16" t="n">
        <v>505208</v>
      </c>
      <c r="I45" s="29" t="n">
        <v>0.1133</v>
      </c>
      <c r="J45" s="33" t="n">
        <v>0.011</v>
      </c>
      <c r="L45" s="13" t="inlineStr">
        <is>
          <t>Rhode Island (RI)</t>
        </is>
      </c>
      <c r="M45" s="28" t="inlineStr">
        <is>
          <t>Provisional — formula (2026 rule carried)</t>
        </is>
      </c>
      <c r="N45" s="13" t="inlineStr">
        <is>
          <t>2027-01-01</t>
        </is>
      </c>
      <c r="O45" s="28" t="inlineStr">
        <is>
          <t>2026 verified rule carried forward — PROVISIONAL.</t>
        </is>
      </c>
    </row>
    <row r="46">
      <c r="B46" s="16" t="n">
        <v>445771</v>
      </c>
      <c r="C46" s="29" t="n">
        <v>0.1243</v>
      </c>
      <c r="D46" s="33" t="n">
        <v>0.011</v>
      </c>
      <c r="E46" s="16" t="n">
        <v>891542</v>
      </c>
      <c r="F46" s="29" t="n">
        <v>0.1243</v>
      </c>
      <c r="G46" s="33" t="n">
        <v>0.011</v>
      </c>
      <c r="H46" s="16" t="n">
        <v>606251</v>
      </c>
      <c r="I46" s="29" t="n">
        <v>0.1243</v>
      </c>
      <c r="J46" s="33" t="n">
        <v>0.011</v>
      </c>
      <c r="L46" s="13" t="inlineStr">
        <is>
          <t>South Carolina (SC)</t>
        </is>
      </c>
      <c r="M46" s="28" t="inlineStr">
        <is>
          <t>Provisional — formula (2026 rule carried)</t>
        </is>
      </c>
      <c r="N46" s="13" t="inlineStr">
        <is>
          <t>2027-01-01</t>
        </is>
      </c>
      <c r="O46" s="28" t="inlineStr">
        <is>
          <t>2026 verified rule carried forward — PROVISIONAL.</t>
        </is>
      </c>
    </row>
    <row r="47">
      <c r="B47" s="16" t="n">
        <v>742953</v>
      </c>
      <c r="C47" s="29" t="n">
        <v>0.1353</v>
      </c>
      <c r="D47" s="33" t="n">
        <v>0.01100000000000001</v>
      </c>
      <c r="E47" s="16" t="n">
        <v>1000000</v>
      </c>
      <c r="F47" s="29" t="n">
        <v>0.1353</v>
      </c>
      <c r="G47" s="33" t="n">
        <v>0.01100000000000001</v>
      </c>
      <c r="H47" s="16" t="n">
        <v>1000000</v>
      </c>
      <c r="I47" s="29" t="n">
        <v>0.1353</v>
      </c>
      <c r="J47" s="33" t="n">
        <v>0.01100000000000001</v>
      </c>
      <c r="L47" s="13" t="inlineStr">
        <is>
          <t>South Dakota (SD)</t>
        </is>
      </c>
      <c r="M47" s="28" t="inlineStr">
        <is>
          <t>Official — no wage tax</t>
        </is>
      </c>
      <c r="N47" s="13" t="inlineStr">
        <is>
          <t>2027-01-01</t>
        </is>
      </c>
      <c r="O47" s="28" t="inlineStr">
        <is>
          <t>State law — no wage income tax.</t>
        </is>
      </c>
    </row>
    <row r="48">
      <c r="B48" s="16" t="n">
        <v>1000000</v>
      </c>
      <c r="C48" s="29" t="n">
        <v>0.1463</v>
      </c>
      <c r="D48" s="33" t="n">
        <v>0.01100000000000001</v>
      </c>
      <c r="E48" s="16" t="n">
        <v>1485906</v>
      </c>
      <c r="F48" s="29" t="n">
        <v>0.1463</v>
      </c>
      <c r="G48" s="33" t="n">
        <v>0.01100000000000001</v>
      </c>
      <c r="H48" s="16" t="n">
        <v>1010417</v>
      </c>
      <c r="I48" s="29" t="n">
        <v>0.1463</v>
      </c>
      <c r="J48" s="33" t="n">
        <v>0.01100000000000001</v>
      </c>
      <c r="L48" s="13" t="inlineStr">
        <is>
          <t>Tennessee (TN)</t>
        </is>
      </c>
      <c r="M48" s="28" t="inlineStr">
        <is>
          <t>Official — no wage tax</t>
        </is>
      </c>
      <c r="N48" s="13" t="inlineStr">
        <is>
          <t>2027-01-01</t>
        </is>
      </c>
      <c r="O48" s="28" t="inlineStr">
        <is>
          <t>State law — no wage income tax.</t>
        </is>
      </c>
    </row>
    <row r="49">
      <c r="L49" s="13" t="inlineStr">
        <is>
          <t>Texas (TX)</t>
        </is>
      </c>
      <c r="M49" s="28" t="inlineStr">
        <is>
          <t>Official — no wage tax</t>
        </is>
      </c>
      <c r="N49" s="13" t="inlineStr">
        <is>
          <t>2027-01-01</t>
        </is>
      </c>
      <c r="O49" s="28" t="inlineStr">
        <is>
          <t>State law — no wage income tax.</t>
        </is>
      </c>
    </row>
    <row r="50">
      <c r="B50" s="34" t="inlineStr">
        <is>
          <t>SOURCES</t>
        </is>
      </c>
      <c r="L50" s="13" t="inlineStr">
        <is>
          <t>Utah (UT)</t>
        </is>
      </c>
      <c r="M50" s="28" t="inlineStr">
        <is>
          <t>Manual entry (unsupported for auto-calc)</t>
        </is>
      </c>
      <c r="N50" s="13" t="inlineStr">
        <is>
          <t>2027-01-01</t>
        </is>
      </c>
      <c r="O50" s="28" t="inlineStr">
        <is>
          <t>Manual entry — 2026 integrity rule unchanged.</t>
        </is>
      </c>
    </row>
    <row r="51">
      <c r="B51" s="3" t="inlineStr">
        <is>
          <t>Federal withholding: IRS Publication 15-T (2027) is not yet published. The percentage-method tables above are DERIVED from the projected 2027 brackets and standard deductions below, using the same construction as Pub 15-T (Worksheet 1A line 1g carried from 2026) — the derivation reproduces the official 2026 tables exactly. PROVISIONAL.</t>
        </is>
      </c>
      <c r="L51" s="13" t="inlineStr">
        <is>
          <t>Virginia (VA)</t>
        </is>
      </c>
      <c r="M51" s="28" t="inlineStr">
        <is>
          <t>Provisional — formula (2026 rule carried)</t>
        </is>
      </c>
      <c r="N51" s="13" t="inlineStr">
        <is>
          <t>2027-01-01</t>
        </is>
      </c>
      <c r="O51" s="28" t="inlineStr">
        <is>
          <t>2026 verified rule carried forward — PROVISIONAL.</t>
        </is>
      </c>
    </row>
    <row r="52">
      <c r="B52" s="3" t="inlineStr">
        <is>
          <t>2027 brackets &amp; standard deductions (PROJECTED): Bloomberg Tax, 2027 Projected U.S. Tax Rates (Sept 11, 2026), agreed by Wolters Kluwer (Sept 18, 2026) and Thomson Reuters Checkpoint — standard deductions $33,200 MFJ / $24,925 head of household / $16,600 single (HoH projections ranged $24,900–$24,950; Bloomberg Tax's corrected figure is used). Official figures: IRS Rev. Proc. expected Oct–Nov 2026.</t>
        </is>
      </c>
      <c r="L52" s="13" t="inlineStr">
        <is>
          <t>Vermont (VT)</t>
        </is>
      </c>
      <c r="M52" s="28" t="inlineStr">
        <is>
          <t>Provisional — formula (2026 rule carried)</t>
        </is>
      </c>
      <c r="N52" s="13" t="inlineStr">
        <is>
          <t>2027-01-01</t>
        </is>
      </c>
      <c r="O52" s="28" t="inlineStr">
        <is>
          <t>2026 verified rule carried forward — PROVISIONAL.</t>
        </is>
      </c>
    </row>
    <row r="53">
      <c r="B53" s="3" t="inlineStr">
        <is>
          <t>Social Security wage base $192,300 — OFFICIAL: Social Security Administration (ssa.gov), 2027 cost-of-living adjustment announcement (Oct 14, 2026): 2027 COLA 3.6%, taxable maximum $192,300, effective Jan 1, 2027. Estimated — 401(k) contribution limits: cap $25,500 (+$8,500 age 50+, +$11,750 ages 60–63) (PROJECTED): Milliman 2027 IRS Limits Forecast (Sept 2026), Mercer concurring — if September CPI prints under +0.04%, the caps fall to $25,000 / $8,000 / $11,750.</t>
        </is>
      </c>
      <c r="L53" s="13" t="inlineStr">
        <is>
          <t>Washington (WA)</t>
        </is>
      </c>
      <c r="M53" s="28" t="inlineStr">
        <is>
          <t>Official — no wage tax</t>
        </is>
      </c>
      <c r="N53" s="13" t="inlineStr">
        <is>
          <t>2027-01-01</t>
        </is>
      </c>
      <c r="O53" s="28" t="inlineStr">
        <is>
          <t>State law — no wage income tax.</t>
        </is>
      </c>
    </row>
    <row r="54">
      <c r="B54" s="3" t="inlineStr">
        <is>
          <t>State paid-leave programs tied to the Social Security wage base — 2027 status per primary state sources (SIX-STATE-MATRIX-2027, Oct 14, 2026); all six apply the official 2027 SS wage-base cap of $192,300: WA Paid Leave (PFML) — Carried forward (2026 employee rate 0.8071%; the 2027 rate is not yet published by ESD). CO FAMLI — Official 2027 (employee share 0.43%; CDLE total premium 0.86% with the 50/50 split unchanged). Paid Leave Oregon — Carried forward (employee share 0.60%; the 2027 total rate is not yet announced by OED). MA PFML — Official 2027 (employee maximum 0.46% unchanged; the family/medical components swap). CT Paid Leave — Carried forward (0.5%; the 2027 rate is not yet published by the CT Paid Leave Authority). ME PFML — Official (employee share 0.5%; rates fixed by statute through 2027).</t>
        </is>
      </c>
      <c r="L54" s="13" t="inlineStr">
        <is>
          <t>Wisconsin (WI)</t>
        </is>
      </c>
      <c r="M54" s="28" t="inlineStr">
        <is>
          <t>Provisional — formula (2026 rule carried)</t>
        </is>
      </c>
      <c r="N54" s="13" t="inlineStr">
        <is>
          <t>2027-01-01</t>
        </is>
      </c>
      <c r="O54" s="28" t="inlineStr">
        <is>
          <t>2026 verified rule carried forward — PROVISIONAL.</t>
        </is>
      </c>
    </row>
    <row r="55">
      <c r="B55" s="3" t="inlineStr">
        <is>
          <t>HSA limits $4,500 self-only / $9,000 family: IRS Rev. Proc. 2026-24 (May 29, 2026) — OFFICIAL. Health FSA $3,500: projected — PROVISIONAL. Dependent-care exclusion $7,500 / $3,750: IRC §129 as amended by P.L. 119-21 — statutory, not indexed.</t>
        </is>
      </c>
      <c r="L55" s="13" t="inlineStr">
        <is>
          <t>West Virginia (WV)</t>
        </is>
      </c>
      <c r="M55" s="28" t="inlineStr">
        <is>
          <t>Provisional — formula (2026 rule carried)</t>
        </is>
      </c>
      <c r="N55" s="13" t="inlineStr">
        <is>
          <t>2027-01-01</t>
        </is>
      </c>
      <c r="O55" s="28" t="inlineStr">
        <is>
          <t>2026 verified rule carried forward — PROVISIONAL.</t>
        </is>
      </c>
    </row>
    <row r="56">
      <c r="B56" s="3" t="inlineStr">
        <is>
          <t>California: the 2026 CA EDD DE 44 Method B parameters are carried forward as a PROVISIONAL planning assumption — CA EDD publishes the 2027 DE 44 in December 2026. CA SDI 1.3% of all wages, no cap (SB 951), carried likewise.</t>
        </is>
      </c>
      <c r="L56" s="13" t="inlineStr">
        <is>
          <t>Wyoming (WY)</t>
        </is>
      </c>
      <c r="M56" s="28" t="inlineStr">
        <is>
          <t>Official — no wage tax</t>
        </is>
      </c>
      <c r="N56" s="13" t="inlineStr">
        <is>
          <t>2027-01-01</t>
        </is>
      </c>
      <c r="O56" s="28" t="inlineStr">
        <is>
          <t>State law — no wage income tax.</t>
        </is>
      </c>
    </row>
    <row r="57">
      <c r="B57" s="3" t="inlineStr">
        <is>
          <t>State methods &amp; programs for all other states: each state's verified 2026 rule carried forward as a PROVISIONAL 2027 planning assumption — per-state status in the table at right and in StateTables. Official 2027 state guidance is published state-by-state from Nov 2026 to Jan 2027.</t>
        </is>
      </c>
    </row>
    <row r="58">
      <c r="B58" s="3" t="inlineStr">
        <is>
          <t>State bracket blocks (rows 80+): the 2026 transcriptions from the official state publications cited per-state in StateTables (planner-build/states-*.md), carried forward. States labeled MANUAL there (CT, DC, GA, ME, NC, NM, UT) have no block — their methods could not be fully verified, unchanged from 2026.</t>
        </is>
      </c>
    </row>
    <row r="59">
      <c r="B59" s="34" t="inlineStr">
        <is>
          <t>METHOD NOTES</t>
        </is>
      </c>
    </row>
    <row r="60">
      <c r="B60" s="3" t="inlineStr">
        <is>
          <t>Federal: annualized percentage method (Worksheet 1A). One-off payments are withheld at the 22% flat supplemental rate and excluded from the annualized base. 401(k) deferrals do not reduce FICA wages; §125 premiums/FSA and payroll HSA do. California, New Jersey and Pennsylvania do not conform to HSAs: payroll HSA contributions stay in the state wage base there, while in conforming states the HSA reduces the state wage line like it reduces the federal one.</t>
        </is>
      </c>
    </row>
    <row r="61">
      <c r="B61" s="3" t="inlineStr">
        <is>
          <t>Semimonthly schedules assume paydays fall on the same two days each month (first date + 15 days). Per-check salary = annual salary ÷ standard periods per year, so a 27-payday biweekly year pays 27 checks.</t>
        </is>
      </c>
    </row>
    <row r="62">
      <c r="B62" s="2" t="inlineStr">
        <is>
          <t>Planner v0.3 — 2027 parameters (provisional) as of 2026-10-14</t>
        </is>
      </c>
    </row>
    <row r="80">
      <c r="B80" s="10" t="inlineStr">
        <is>
          <t>State brackets I — AL/AR/DE/HI/KS/MD</t>
        </is>
      </c>
    </row>
    <row r="81">
      <c r="B81" s="25" t="inlineStr">
        <is>
          <t>AL_S floor</t>
        </is>
      </c>
      <c r="C81" s="25" t="inlineStr">
        <is>
          <t>rate</t>
        </is>
      </c>
      <c r="D81" s="25" t="inlineStr">
        <is>
          <t>diff</t>
        </is>
      </c>
      <c r="E81" s="25" t="inlineStr">
        <is>
          <t>AL_M floor</t>
        </is>
      </c>
      <c r="F81" s="25" t="inlineStr">
        <is>
          <t>rate</t>
        </is>
      </c>
      <c r="G81" s="25" t="inlineStr">
        <is>
          <t>diff</t>
        </is>
      </c>
      <c r="H81" s="25" t="inlineStr">
        <is>
          <t>AR floor</t>
        </is>
      </c>
      <c r="I81" s="25" t="inlineStr">
        <is>
          <t>rate</t>
        </is>
      </c>
      <c r="J81" s="25" t="inlineStr">
        <is>
          <t>diff</t>
        </is>
      </c>
    </row>
    <row r="82">
      <c r="B82" s="16" t="n">
        <v>0</v>
      </c>
      <c r="C82" s="29" t="n">
        <v>0.02</v>
      </c>
      <c r="D82" s="33" t="n">
        <v>0.02</v>
      </c>
      <c r="E82" s="16" t="n">
        <v>0</v>
      </c>
      <c r="F82" s="29" t="n">
        <v>0.02</v>
      </c>
      <c r="G82" s="33" t="n">
        <v>0.02</v>
      </c>
      <c r="H82" s="16" t="n">
        <v>0</v>
      </c>
      <c r="I82" s="29" t="n">
        <v>0</v>
      </c>
      <c r="J82" s="33" t="n">
        <v>0</v>
      </c>
    </row>
    <row r="83">
      <c r="B83" s="16" t="n">
        <v>500</v>
      </c>
      <c r="C83" s="29" t="n">
        <v>0.04</v>
      </c>
      <c r="D83" s="33" t="n">
        <v>0.02</v>
      </c>
      <c r="E83" s="16" t="n">
        <v>1000</v>
      </c>
      <c r="F83" s="29" t="n">
        <v>0.04</v>
      </c>
      <c r="G83" s="33" t="n">
        <v>0.02</v>
      </c>
      <c r="H83" s="16" t="n">
        <v>5600</v>
      </c>
      <c r="I83" s="29" t="n">
        <v>0.02</v>
      </c>
      <c r="J83" s="33" t="n">
        <v>0.02</v>
      </c>
    </row>
    <row r="84">
      <c r="B84" s="16" t="n">
        <v>3000</v>
      </c>
      <c r="C84" s="29" t="n">
        <v>0.05</v>
      </c>
      <c r="D84" s="33" t="n">
        <v>0.01</v>
      </c>
      <c r="E84" s="16" t="n">
        <v>6000</v>
      </c>
      <c r="F84" s="29" t="n">
        <v>0.05</v>
      </c>
      <c r="G84" s="33" t="n">
        <v>0.01</v>
      </c>
      <c r="H84" s="16" t="n">
        <v>11200</v>
      </c>
      <c r="I84" s="29" t="n">
        <v>0.03</v>
      </c>
      <c r="J84" s="33" t="n">
        <v>0.009999999999999998</v>
      </c>
    </row>
    <row r="85">
      <c r="H85" s="16" t="n">
        <v>16000</v>
      </c>
      <c r="I85" s="29" t="n">
        <v>0.034</v>
      </c>
      <c r="J85" s="33" t="n">
        <v>0.004000000000000004</v>
      </c>
    </row>
    <row r="86">
      <c r="H86" s="16" t="n">
        <v>26400</v>
      </c>
      <c r="I86" s="29" t="n">
        <v>0.037</v>
      </c>
      <c r="J86" s="33" t="n">
        <v>0.002999999999999996</v>
      </c>
    </row>
    <row r="89">
      <c r="B89" s="10" t="inlineStr">
        <is>
          <t>State brackets II — DE/HI/KS</t>
        </is>
      </c>
    </row>
    <row r="90">
      <c r="B90" s="25" t="inlineStr">
        <is>
          <t>DE floor</t>
        </is>
      </c>
      <c r="C90" s="25" t="inlineStr">
        <is>
          <t>rate</t>
        </is>
      </c>
      <c r="D90" s="25" t="inlineStr">
        <is>
          <t>diff</t>
        </is>
      </c>
      <c r="E90" s="25" t="inlineStr">
        <is>
          <t>HI_S floor</t>
        </is>
      </c>
      <c r="F90" s="25" t="inlineStr">
        <is>
          <t>rate</t>
        </is>
      </c>
      <c r="G90" s="25" t="inlineStr">
        <is>
          <t>diff</t>
        </is>
      </c>
      <c r="H90" s="25" t="inlineStr">
        <is>
          <t>HI_M floor</t>
        </is>
      </c>
      <c r="I90" s="25" t="inlineStr">
        <is>
          <t>rate</t>
        </is>
      </c>
      <c r="J90" s="25" t="inlineStr">
        <is>
          <t>diff</t>
        </is>
      </c>
    </row>
    <row r="91">
      <c r="B91" s="16" t="n">
        <v>0</v>
      </c>
      <c r="C91" s="29" t="n">
        <v>0</v>
      </c>
      <c r="D91" s="33" t="n">
        <v>0</v>
      </c>
      <c r="E91" s="16" t="n">
        <v>0</v>
      </c>
      <c r="F91" s="29" t="n">
        <v>0.014</v>
      </c>
      <c r="G91" s="33" t="n">
        <v>0.014</v>
      </c>
      <c r="H91" s="16" t="n">
        <v>0</v>
      </c>
      <c r="I91" s="29" t="n">
        <v>0.014</v>
      </c>
      <c r="J91" s="33" t="n">
        <v>0.014</v>
      </c>
    </row>
    <row r="92">
      <c r="B92" s="16" t="n">
        <v>2000</v>
      </c>
      <c r="C92" s="29" t="n">
        <v>0.022</v>
      </c>
      <c r="D92" s="33" t="n">
        <v>0.022</v>
      </c>
      <c r="E92" s="16" t="n">
        <v>9600</v>
      </c>
      <c r="F92" s="29" t="n">
        <v>0.032</v>
      </c>
      <c r="G92" s="33" t="n">
        <v>0.018</v>
      </c>
      <c r="H92" s="16" t="n">
        <v>19200</v>
      </c>
      <c r="I92" s="29" t="n">
        <v>0.032</v>
      </c>
      <c r="J92" s="33" t="n">
        <v>0.018</v>
      </c>
    </row>
    <row r="93">
      <c r="B93" s="16" t="n">
        <v>5000</v>
      </c>
      <c r="C93" s="29" t="n">
        <v>0.039</v>
      </c>
      <c r="D93" s="33" t="n">
        <v>0.017</v>
      </c>
      <c r="E93" s="16" t="n">
        <v>14400</v>
      </c>
      <c r="F93" s="29" t="n">
        <v>0.055</v>
      </c>
      <c r="G93" s="33" t="n">
        <v>0.023</v>
      </c>
      <c r="H93" s="16" t="n">
        <v>28800</v>
      </c>
      <c r="I93" s="29" t="n">
        <v>0.055</v>
      </c>
      <c r="J93" s="33" t="n">
        <v>0.023</v>
      </c>
    </row>
    <row r="94">
      <c r="B94" s="16" t="n">
        <v>10000</v>
      </c>
      <c r="C94" s="29" t="n">
        <v>0.048</v>
      </c>
      <c r="D94" s="33" t="n">
        <v>0.009000000000000001</v>
      </c>
      <c r="E94" s="16" t="n">
        <v>19200</v>
      </c>
      <c r="F94" s="29" t="n">
        <v>0.064</v>
      </c>
      <c r="G94" s="33" t="n">
        <v>0.009000000000000001</v>
      </c>
      <c r="H94" s="16" t="n">
        <v>38400</v>
      </c>
      <c r="I94" s="29" t="n">
        <v>0.064</v>
      </c>
      <c r="J94" s="33" t="n">
        <v>0.009000000000000001</v>
      </c>
    </row>
    <row r="95">
      <c r="B95" s="16" t="n">
        <v>20000</v>
      </c>
      <c r="C95" s="29" t="n">
        <v>0.052</v>
      </c>
      <c r="D95" s="33" t="n">
        <v>0.003999999999999997</v>
      </c>
      <c r="E95" s="16" t="n">
        <v>24000</v>
      </c>
      <c r="F95" s="29" t="n">
        <v>0.068</v>
      </c>
      <c r="G95" s="33" t="n">
        <v>0.004000000000000004</v>
      </c>
      <c r="H95" s="16" t="n">
        <v>48000</v>
      </c>
      <c r="I95" s="29" t="n">
        <v>0.068</v>
      </c>
      <c r="J95" s="33" t="n">
        <v>0.004000000000000004</v>
      </c>
    </row>
    <row r="96">
      <c r="B96" s="16" t="n">
        <v>25000</v>
      </c>
      <c r="C96" s="29" t="n">
        <v>0.0555</v>
      </c>
      <c r="D96" s="33" t="n">
        <v>0.003500000000000003</v>
      </c>
      <c r="E96" s="16" t="n">
        <v>36000</v>
      </c>
      <c r="F96" s="29" t="n">
        <v>0.07199999999999999</v>
      </c>
      <c r="G96" s="33" t="n">
        <v>0.00399999999999999</v>
      </c>
      <c r="H96" s="16" t="n">
        <v>72000</v>
      </c>
      <c r="I96" s="29" t="n">
        <v>0.07199999999999999</v>
      </c>
      <c r="J96" s="33" t="n">
        <v>0.00399999999999999</v>
      </c>
    </row>
    <row r="97">
      <c r="B97" s="16" t="n">
        <v>60000</v>
      </c>
      <c r="C97" s="29" t="n">
        <v>0.066</v>
      </c>
      <c r="D97" s="33" t="n">
        <v>0.0105</v>
      </c>
      <c r="E97" s="16" t="n">
        <v>48000</v>
      </c>
      <c r="F97" s="29" t="n">
        <v>0.076</v>
      </c>
      <c r="G97" s="33" t="n">
        <v>0.004000000000000004</v>
      </c>
      <c r="H97" s="16" t="n">
        <v>96000</v>
      </c>
      <c r="I97" s="29" t="n">
        <v>0.076</v>
      </c>
      <c r="J97" s="33" t="n">
        <v>0.004000000000000004</v>
      </c>
    </row>
    <row r="98">
      <c r="E98" s="16" t="n">
        <v>125000</v>
      </c>
      <c r="F98" s="29" t="n">
        <v>0.079</v>
      </c>
      <c r="G98" s="33" t="n">
        <v>0.003000000000000003</v>
      </c>
      <c r="H98" s="16" t="n">
        <v>250000</v>
      </c>
      <c r="I98" s="29" t="n">
        <v>0.079</v>
      </c>
      <c r="J98" s="33" t="n">
        <v>0.003000000000000003</v>
      </c>
    </row>
    <row r="101">
      <c r="B101" s="10" t="inlineStr">
        <is>
          <t>State brackets III — KS/MD/MN</t>
        </is>
      </c>
    </row>
    <row r="102">
      <c r="B102" s="25" t="inlineStr">
        <is>
          <t>KS_S floor</t>
        </is>
      </c>
      <c r="C102" s="25" t="inlineStr">
        <is>
          <t>rate</t>
        </is>
      </c>
      <c r="D102" s="25" t="inlineStr">
        <is>
          <t>diff</t>
        </is>
      </c>
      <c r="E102" s="25" t="inlineStr">
        <is>
          <t>KS_M floor</t>
        </is>
      </c>
      <c r="F102" s="25" t="inlineStr">
        <is>
          <t>rate</t>
        </is>
      </c>
      <c r="G102" s="25" t="inlineStr">
        <is>
          <t>diff</t>
        </is>
      </c>
      <c r="H102" s="25" t="inlineStr">
        <is>
          <t>MD_S floor</t>
        </is>
      </c>
      <c r="I102" s="25" t="inlineStr">
        <is>
          <t>rate</t>
        </is>
      </c>
      <c r="J102" s="25" t="inlineStr">
        <is>
          <t>diff</t>
        </is>
      </c>
    </row>
    <row r="103">
      <c r="B103" s="16" t="n">
        <v>0</v>
      </c>
      <c r="C103" s="29" t="n">
        <v>0</v>
      </c>
      <c r="D103" s="33" t="n">
        <v>0</v>
      </c>
      <c r="E103" s="16" t="n">
        <v>0</v>
      </c>
      <c r="F103" s="29" t="n">
        <v>0</v>
      </c>
      <c r="G103" s="33" t="n">
        <v>0</v>
      </c>
      <c r="H103" s="16" t="n">
        <v>0</v>
      </c>
      <c r="I103" s="29" t="n">
        <v>0.0475</v>
      </c>
      <c r="J103" s="33" t="n">
        <v>0.0475</v>
      </c>
    </row>
    <row r="104">
      <c r="B104" s="16" t="n">
        <v>3600</v>
      </c>
      <c r="C104" s="29" t="n">
        <v>0.052</v>
      </c>
      <c r="D104" s="33" t="n">
        <v>0.052</v>
      </c>
      <c r="E104" s="16" t="n">
        <v>8232</v>
      </c>
      <c r="F104" s="29" t="n">
        <v>0.052</v>
      </c>
      <c r="G104" s="33" t="n">
        <v>0.052</v>
      </c>
      <c r="H104" s="16" t="n">
        <v>100000</v>
      </c>
      <c r="I104" s="29" t="n">
        <v>0.05</v>
      </c>
      <c r="J104" s="33" t="n">
        <v>0.002500000000000002</v>
      </c>
    </row>
    <row r="105">
      <c r="B105" s="16" t="n">
        <v>26616</v>
      </c>
      <c r="C105" s="29" t="n">
        <v>0.0558</v>
      </c>
      <c r="D105" s="33" t="n">
        <v>0.003800000000000005</v>
      </c>
      <c r="E105" s="16" t="n">
        <v>54240</v>
      </c>
      <c r="F105" s="29" t="n">
        <v>0.0558</v>
      </c>
      <c r="G105" s="33" t="n">
        <v>0.003800000000000005</v>
      </c>
      <c r="H105" s="16" t="n">
        <v>125000</v>
      </c>
      <c r="I105" s="29" t="n">
        <v>0.0525</v>
      </c>
      <c r="J105" s="33" t="n">
        <v>0.002499999999999995</v>
      </c>
    </row>
    <row r="106">
      <c r="H106" s="16" t="n">
        <v>150000</v>
      </c>
      <c r="I106" s="29" t="n">
        <v>0.055</v>
      </c>
      <c r="J106" s="33" t="n">
        <v>0.002500000000000002</v>
      </c>
    </row>
    <row r="107">
      <c r="H107" s="16" t="n">
        <v>250000</v>
      </c>
      <c r="I107" s="29" t="n">
        <v>0.0575</v>
      </c>
      <c r="J107" s="33" t="n">
        <v>0.002500000000000002</v>
      </c>
    </row>
    <row r="108">
      <c r="H108" s="16" t="n">
        <v>500000</v>
      </c>
      <c r="I108" s="29" t="n">
        <v>0.0625</v>
      </c>
      <c r="J108" s="33" t="n">
        <v>0.004999999999999998</v>
      </c>
    </row>
    <row r="109">
      <c r="H109" s="16" t="n">
        <v>1000000</v>
      </c>
      <c r="I109" s="29" t="n">
        <v>0.065</v>
      </c>
      <c r="J109" s="33" t="n">
        <v>0.002500000000000002</v>
      </c>
    </row>
    <row r="112">
      <c r="B112" s="10" t="inlineStr">
        <is>
          <t>State brackets IV — MD/MN/MO</t>
        </is>
      </c>
    </row>
    <row r="113">
      <c r="B113" s="25" t="inlineStr">
        <is>
          <t>MD_J floor</t>
        </is>
      </c>
      <c r="C113" s="25" t="inlineStr">
        <is>
          <t>rate</t>
        </is>
      </c>
      <c r="D113" s="25" t="inlineStr">
        <is>
          <t>diff</t>
        </is>
      </c>
      <c r="E113" s="25" t="inlineStr">
        <is>
          <t>MN_S floor</t>
        </is>
      </c>
      <c r="F113" s="25" t="inlineStr">
        <is>
          <t>rate</t>
        </is>
      </c>
      <c r="G113" s="25" t="inlineStr">
        <is>
          <t>diff</t>
        </is>
      </c>
      <c r="H113" s="25" t="inlineStr">
        <is>
          <t>MN_M floor</t>
        </is>
      </c>
      <c r="I113" s="25" t="inlineStr">
        <is>
          <t>rate</t>
        </is>
      </c>
      <c r="J113" s="25" t="inlineStr">
        <is>
          <t>diff</t>
        </is>
      </c>
    </row>
    <row r="114">
      <c r="B114" s="16" t="n">
        <v>0</v>
      </c>
      <c r="C114" s="29" t="n">
        <v>0.0475</v>
      </c>
      <c r="D114" s="33" t="n">
        <v>0.0475</v>
      </c>
      <c r="E114" s="16" t="n">
        <v>0</v>
      </c>
      <c r="F114" s="29" t="n">
        <v>0</v>
      </c>
      <c r="G114" s="33" t="n">
        <v>0</v>
      </c>
      <c r="H114" s="16" t="n">
        <v>0</v>
      </c>
      <c r="I114" s="29" t="n">
        <v>0</v>
      </c>
      <c r="J114" s="33" t="n">
        <v>0</v>
      </c>
    </row>
    <row r="115">
      <c r="B115" s="16" t="n">
        <v>150000</v>
      </c>
      <c r="C115" s="29" t="n">
        <v>0.05</v>
      </c>
      <c r="D115" s="33" t="n">
        <v>0.002500000000000002</v>
      </c>
      <c r="E115" s="16" t="n">
        <v>4700</v>
      </c>
      <c r="F115" s="29" t="n">
        <v>0.0535</v>
      </c>
      <c r="G115" s="33" t="n">
        <v>0.0535</v>
      </c>
      <c r="H115" s="16" t="n">
        <v>14700</v>
      </c>
      <c r="I115" s="29" t="n">
        <v>0.0535</v>
      </c>
      <c r="J115" s="33" t="n">
        <v>0.0535</v>
      </c>
    </row>
    <row r="116">
      <c r="B116" s="16" t="n">
        <v>175000</v>
      </c>
      <c r="C116" s="29" t="n">
        <v>0.0525</v>
      </c>
      <c r="D116" s="33" t="n">
        <v>0.002499999999999995</v>
      </c>
      <c r="E116" s="16" t="n">
        <v>38010</v>
      </c>
      <c r="F116" s="29" t="n">
        <v>0.068</v>
      </c>
      <c r="G116" s="33" t="n">
        <v>0.01450000000000001</v>
      </c>
      <c r="H116" s="16" t="n">
        <v>63400</v>
      </c>
      <c r="I116" s="29" t="n">
        <v>0.068</v>
      </c>
      <c r="J116" s="33" t="n">
        <v>0.01450000000000001</v>
      </c>
    </row>
    <row r="117">
      <c r="B117" s="16" t="n">
        <v>225000</v>
      </c>
      <c r="C117" s="29" t="n">
        <v>0.055</v>
      </c>
      <c r="D117" s="33" t="n">
        <v>0.002500000000000002</v>
      </c>
      <c r="E117" s="16" t="n">
        <v>114130</v>
      </c>
      <c r="F117" s="29" t="n">
        <v>0.0785</v>
      </c>
      <c r="G117" s="33" t="n">
        <v>0.0105</v>
      </c>
      <c r="H117" s="16" t="n">
        <v>208180</v>
      </c>
      <c r="I117" s="29" t="n">
        <v>0.0785</v>
      </c>
      <c r="J117" s="33" t="n">
        <v>0.0105</v>
      </c>
    </row>
    <row r="118">
      <c r="B118" s="16" t="n">
        <v>300000</v>
      </c>
      <c r="C118" s="29" t="n">
        <v>0.0575</v>
      </c>
      <c r="D118" s="33" t="n">
        <v>0.002500000000000002</v>
      </c>
      <c r="E118" s="16" t="n">
        <v>207850</v>
      </c>
      <c r="F118" s="29" t="n">
        <v>0.0985</v>
      </c>
      <c r="G118" s="33" t="n">
        <v>0.02</v>
      </c>
      <c r="H118" s="16" t="n">
        <v>352630</v>
      </c>
      <c r="I118" s="29" t="n">
        <v>0.0985</v>
      </c>
      <c r="J118" s="33" t="n">
        <v>0.02</v>
      </c>
    </row>
    <row r="119">
      <c r="B119" s="16" t="n">
        <v>600000</v>
      </c>
      <c r="C119" s="29" t="n">
        <v>0.0625</v>
      </c>
      <c r="D119" s="33" t="n">
        <v>0.004999999999999998</v>
      </c>
    </row>
    <row r="120">
      <c r="B120" s="16" t="n">
        <v>1200000</v>
      </c>
      <c r="C120" s="29" t="n">
        <v>0.065</v>
      </c>
      <c r="D120" s="33" t="n">
        <v>0.002500000000000002</v>
      </c>
    </row>
    <row r="123">
      <c r="B123" s="10" t="inlineStr">
        <is>
          <t>State brackets V — MO/MT</t>
        </is>
      </c>
    </row>
    <row r="124">
      <c r="B124" s="25" t="inlineStr">
        <is>
          <t>MO floor</t>
        </is>
      </c>
      <c r="C124" s="25" t="inlineStr">
        <is>
          <t>rate</t>
        </is>
      </c>
      <c r="D124" s="25" t="inlineStr">
        <is>
          <t>diff</t>
        </is>
      </c>
      <c r="E124" s="25" t="inlineStr">
        <is>
          <t>MT_S floor</t>
        </is>
      </c>
      <c r="F124" s="25" t="inlineStr">
        <is>
          <t>rate</t>
        </is>
      </c>
      <c r="G124" s="25" t="inlineStr">
        <is>
          <t>diff</t>
        </is>
      </c>
      <c r="H124" s="25" t="inlineStr">
        <is>
          <t>MT_M floor</t>
        </is>
      </c>
      <c r="I124" s="25" t="inlineStr">
        <is>
          <t>rate</t>
        </is>
      </c>
      <c r="J124" s="25" t="inlineStr">
        <is>
          <t>diff</t>
        </is>
      </c>
    </row>
    <row r="125">
      <c r="B125" s="16" t="n">
        <v>0</v>
      </c>
      <c r="C125" s="29" t="n">
        <v>0</v>
      </c>
      <c r="D125" s="33" t="n">
        <v>0</v>
      </c>
      <c r="E125" s="16" t="n">
        <v>0</v>
      </c>
      <c r="F125" s="29" t="n">
        <v>0</v>
      </c>
      <c r="G125" s="33" t="n">
        <v>0</v>
      </c>
      <c r="H125" s="16" t="n">
        <v>0</v>
      </c>
      <c r="I125" s="29" t="n">
        <v>0</v>
      </c>
      <c r="J125" s="33" t="n">
        <v>0</v>
      </c>
    </row>
    <row r="126">
      <c r="B126" s="16" t="n">
        <v>1348</v>
      </c>
      <c r="C126" s="29" t="n">
        <v>0.02</v>
      </c>
      <c r="D126" s="33" t="n">
        <v>0.02</v>
      </c>
      <c r="E126" s="16" t="n">
        <v>16100</v>
      </c>
      <c r="F126" s="29" t="n">
        <v>0.047</v>
      </c>
      <c r="G126" s="33" t="n">
        <v>0.047</v>
      </c>
      <c r="H126" s="16" t="n">
        <v>32200</v>
      </c>
      <c r="I126" s="29" t="n">
        <v>0.047</v>
      </c>
      <c r="J126" s="33" t="n">
        <v>0.047</v>
      </c>
    </row>
    <row r="127">
      <c r="B127" s="16" t="n">
        <v>2696</v>
      </c>
      <c r="C127" s="29" t="n">
        <v>0.025</v>
      </c>
      <c r="D127" s="33" t="n">
        <v>0.005000000000000001</v>
      </c>
      <c r="E127" s="16" t="n">
        <v>63600</v>
      </c>
      <c r="F127" s="29" t="n">
        <v>0.0565</v>
      </c>
      <c r="G127" s="33" t="n">
        <v>0.009500000000000001</v>
      </c>
      <c r="H127" s="16" t="n">
        <v>127200</v>
      </c>
      <c r="I127" s="29" t="n">
        <v>0.0565</v>
      </c>
      <c r="J127" s="33" t="n">
        <v>0.009500000000000001</v>
      </c>
    </row>
    <row r="128">
      <c r="B128" s="16" t="n">
        <v>4044</v>
      </c>
      <c r="C128" s="29" t="n">
        <v>0.03</v>
      </c>
      <c r="D128" s="33" t="n">
        <v>0.004999999999999998</v>
      </c>
    </row>
    <row r="129">
      <c r="B129" s="16" t="n">
        <v>5392</v>
      </c>
      <c r="C129" s="29" t="n">
        <v>0.035</v>
      </c>
      <c r="D129" s="33" t="n">
        <v>0.005000000000000004</v>
      </c>
    </row>
    <row r="130">
      <c r="B130" s="16" t="n">
        <v>6740</v>
      </c>
      <c r="C130" s="29" t="n">
        <v>0.04</v>
      </c>
      <c r="D130" s="33" t="n">
        <v>0.004999999999999998</v>
      </c>
    </row>
    <row r="131">
      <c r="B131" s="16" t="n">
        <v>8088</v>
      </c>
      <c r="C131" s="29" t="n">
        <v>0.045</v>
      </c>
      <c r="D131" s="33" t="n">
        <v>0.004999999999999998</v>
      </c>
    </row>
    <row r="132">
      <c r="B132" s="16" t="n">
        <v>9436</v>
      </c>
      <c r="C132" s="29" t="n">
        <v>0.047</v>
      </c>
      <c r="D132" s="33" t="n">
        <v>0.002000000000000002</v>
      </c>
    </row>
    <row r="135">
      <c r="B135" s="10" t="inlineStr">
        <is>
          <t>State brackets VI — MT/ND</t>
        </is>
      </c>
    </row>
    <row r="136">
      <c r="B136" s="25" t="inlineStr">
        <is>
          <t>MT_H floor</t>
        </is>
      </c>
      <c r="C136" s="25" t="inlineStr">
        <is>
          <t>rate</t>
        </is>
      </c>
      <c r="D136" s="25" t="inlineStr">
        <is>
          <t>diff</t>
        </is>
      </c>
      <c r="E136" s="25" t="inlineStr">
        <is>
          <t>ND_S floor</t>
        </is>
      </c>
      <c r="F136" s="25" t="inlineStr">
        <is>
          <t>rate</t>
        </is>
      </c>
      <c r="G136" s="25" t="inlineStr">
        <is>
          <t>diff</t>
        </is>
      </c>
      <c r="H136" s="25" t="inlineStr">
        <is>
          <t>ND_M floor</t>
        </is>
      </c>
      <c r="I136" s="25" t="inlineStr">
        <is>
          <t>rate</t>
        </is>
      </c>
      <c r="J136" s="25" t="inlineStr">
        <is>
          <t>diff</t>
        </is>
      </c>
    </row>
    <row r="137">
      <c r="B137" s="16" t="n">
        <v>0</v>
      </c>
      <c r="C137" s="29" t="n">
        <v>0</v>
      </c>
      <c r="D137" s="33" t="n">
        <v>0</v>
      </c>
      <c r="E137" s="16" t="n">
        <v>0</v>
      </c>
      <c r="F137" s="29" t="n">
        <v>0</v>
      </c>
      <c r="G137" s="33" t="n">
        <v>0</v>
      </c>
      <c r="H137" s="16" t="n">
        <v>0</v>
      </c>
      <c r="I137" s="29" t="n">
        <v>0</v>
      </c>
      <c r="J137" s="33" t="n">
        <v>0</v>
      </c>
    </row>
    <row r="138">
      <c r="B138" s="16" t="n">
        <v>24150</v>
      </c>
      <c r="C138" s="29" t="n">
        <v>0.047</v>
      </c>
      <c r="D138" s="33" t="n">
        <v>0.047</v>
      </c>
      <c r="E138" s="16" t="n">
        <v>57625</v>
      </c>
      <c r="F138" s="29" t="n">
        <v>0.0195</v>
      </c>
      <c r="G138" s="33" t="n">
        <v>0.0195</v>
      </c>
      <c r="H138" s="16" t="n">
        <v>57500</v>
      </c>
      <c r="I138" s="29" t="n">
        <v>0.0195</v>
      </c>
      <c r="J138" s="33" t="n">
        <v>0.0195</v>
      </c>
    </row>
    <row r="139">
      <c r="B139" s="16" t="n">
        <v>95400</v>
      </c>
      <c r="C139" s="29" t="n">
        <v>0.0565</v>
      </c>
      <c r="D139" s="33" t="n">
        <v>0.009500000000000001</v>
      </c>
      <c r="E139" s="16" t="n">
        <v>258450</v>
      </c>
      <c r="F139" s="29" t="n">
        <v>0.025</v>
      </c>
      <c r="G139" s="33" t="n">
        <v>0.005500000000000001</v>
      </c>
      <c r="H139" s="16" t="n">
        <v>168525</v>
      </c>
      <c r="I139" s="29" t="n">
        <v>0.025</v>
      </c>
      <c r="J139" s="33" t="n">
        <v>0.005500000000000001</v>
      </c>
    </row>
    <row r="142">
      <c r="B142" s="10" t="inlineStr">
        <is>
          <t>State brackets VII — ND/NE</t>
        </is>
      </c>
    </row>
    <row r="143">
      <c r="B143" s="25" t="inlineStr">
        <is>
          <t>ND_H floor</t>
        </is>
      </c>
      <c r="C143" s="25" t="inlineStr">
        <is>
          <t>rate</t>
        </is>
      </c>
      <c r="D143" s="25" t="inlineStr">
        <is>
          <t>diff</t>
        </is>
      </c>
      <c r="E143" s="25" t="inlineStr">
        <is>
          <t>NE_S floor</t>
        </is>
      </c>
      <c r="F143" s="25" t="inlineStr">
        <is>
          <t>rate</t>
        </is>
      </c>
      <c r="G143" s="25" t="inlineStr">
        <is>
          <t>diff</t>
        </is>
      </c>
      <c r="H143" s="25" t="inlineStr">
        <is>
          <t>NE_M floor</t>
        </is>
      </c>
      <c r="I143" s="25" t="inlineStr">
        <is>
          <t>rate</t>
        </is>
      </c>
      <c r="J143" s="25" t="inlineStr">
        <is>
          <t>diff</t>
        </is>
      </c>
    </row>
    <row r="144">
      <c r="B144" s="16" t="n">
        <v>0</v>
      </c>
      <c r="C144" s="29" t="n">
        <v>0</v>
      </c>
      <c r="D144" s="33" t="n">
        <v>0</v>
      </c>
      <c r="E144" s="16" t="n">
        <v>0</v>
      </c>
      <c r="F144" s="29" t="n">
        <v>0</v>
      </c>
      <c r="G144" s="33" t="n">
        <v>0</v>
      </c>
      <c r="H144" s="16" t="n">
        <v>0</v>
      </c>
      <c r="I144" s="29" t="n">
        <v>0</v>
      </c>
      <c r="J144" s="33" t="n">
        <v>0</v>
      </c>
    </row>
    <row r="145">
      <c r="B145" s="16" t="n">
        <v>78475</v>
      </c>
      <c r="C145" s="29" t="n">
        <v>0.0195</v>
      </c>
      <c r="D145" s="33" t="n">
        <v>0.0195</v>
      </c>
      <c r="E145" s="16" t="n">
        <v>3430</v>
      </c>
      <c r="F145" s="29" t="n">
        <v>0.0226</v>
      </c>
      <c r="G145" s="33" t="n">
        <v>0.0226</v>
      </c>
      <c r="H145" s="16" t="n">
        <v>8190</v>
      </c>
      <c r="I145" s="29" t="n">
        <v>0.0226</v>
      </c>
      <c r="J145" s="33" t="n">
        <v>0.0226</v>
      </c>
    </row>
    <row r="146">
      <c r="B146" s="16" t="n">
        <v>289675</v>
      </c>
      <c r="C146" s="29" t="n">
        <v>0.025</v>
      </c>
      <c r="D146" s="33" t="n">
        <v>0.005500000000000001</v>
      </c>
      <c r="E146" s="16" t="n">
        <v>6710</v>
      </c>
      <c r="F146" s="29" t="n">
        <v>0.0322</v>
      </c>
      <c r="G146" s="33" t="n">
        <v>0.009600000000000001</v>
      </c>
      <c r="H146" s="16" t="n">
        <v>13010</v>
      </c>
      <c r="I146" s="29" t="n">
        <v>0.0322</v>
      </c>
      <c r="J146" s="33" t="n">
        <v>0.009600000000000001</v>
      </c>
    </row>
    <row r="147">
      <c r="E147" s="16" t="n">
        <v>21810</v>
      </c>
      <c r="F147" s="29" t="n">
        <v>0.0421</v>
      </c>
      <c r="G147" s="33" t="n">
        <v>0.009899999999999999</v>
      </c>
      <c r="H147" s="16" t="n">
        <v>32400</v>
      </c>
      <c r="I147" s="29" t="n">
        <v>0.0421</v>
      </c>
      <c r="J147" s="33" t="n">
        <v>0.009899999999999999</v>
      </c>
    </row>
    <row r="148">
      <c r="E148" s="16" t="n">
        <v>31610</v>
      </c>
      <c r="F148" s="29" t="n">
        <v>0.0435</v>
      </c>
      <c r="G148" s="33" t="n">
        <v>0.001399999999999998</v>
      </c>
      <c r="H148" s="16" t="n">
        <v>50400</v>
      </c>
      <c r="I148" s="29" t="n">
        <v>0.0435</v>
      </c>
      <c r="J148" s="33" t="n">
        <v>0.001399999999999998</v>
      </c>
    </row>
    <row r="149">
      <c r="E149" s="16" t="n">
        <v>40130</v>
      </c>
      <c r="F149" s="29" t="n">
        <v>0.0448</v>
      </c>
      <c r="G149" s="33" t="n">
        <v>0.001300000000000003</v>
      </c>
      <c r="H149" s="16" t="n">
        <v>62530</v>
      </c>
      <c r="I149" s="29" t="n">
        <v>0.0448</v>
      </c>
      <c r="J149" s="33" t="n">
        <v>0.001300000000000003</v>
      </c>
    </row>
    <row r="150">
      <c r="E150" s="16" t="n">
        <v>75370</v>
      </c>
      <c r="F150" s="29" t="n">
        <v>0.046</v>
      </c>
      <c r="G150" s="33" t="n">
        <v>0.0012</v>
      </c>
      <c r="H150" s="16" t="n">
        <v>82920</v>
      </c>
      <c r="I150" s="29" t="n">
        <v>0.046</v>
      </c>
      <c r="J150" s="33" t="n">
        <v>0.0012</v>
      </c>
    </row>
    <row r="153">
      <c r="B153" s="10" t="inlineStr">
        <is>
          <t>State brackets VIII — NJ A/B/C</t>
        </is>
      </c>
    </row>
    <row r="154">
      <c r="B154" s="25" t="inlineStr">
        <is>
          <t>NJ_A floor</t>
        </is>
      </c>
      <c r="C154" s="25" t="inlineStr">
        <is>
          <t>rate</t>
        </is>
      </c>
      <c r="D154" s="25" t="inlineStr">
        <is>
          <t>diff</t>
        </is>
      </c>
      <c r="E154" s="25" t="inlineStr">
        <is>
          <t>NJ_B floor</t>
        </is>
      </c>
      <c r="F154" s="25" t="inlineStr">
        <is>
          <t>rate</t>
        </is>
      </c>
      <c r="G154" s="25" t="inlineStr">
        <is>
          <t>diff</t>
        </is>
      </c>
      <c r="H154" s="25" t="inlineStr">
        <is>
          <t>NJ_C floor</t>
        </is>
      </c>
      <c r="I154" s="25" t="inlineStr">
        <is>
          <t>rate</t>
        </is>
      </c>
      <c r="J154" s="25" t="inlineStr">
        <is>
          <t>diff</t>
        </is>
      </c>
    </row>
    <row r="155">
      <c r="B155" s="16" t="n">
        <v>0</v>
      </c>
      <c r="C155" s="29" t="n">
        <v>0.015</v>
      </c>
      <c r="D155" s="33" t="n">
        <v>0.015</v>
      </c>
      <c r="E155" s="16" t="n">
        <v>0</v>
      </c>
      <c r="F155" s="29" t="n">
        <v>0.015</v>
      </c>
      <c r="G155" s="33" t="n">
        <v>0.015</v>
      </c>
      <c r="H155" s="16" t="n">
        <v>0</v>
      </c>
      <c r="I155" s="29" t="n">
        <v>0.015</v>
      </c>
      <c r="J155" s="33" t="n">
        <v>0.015</v>
      </c>
    </row>
    <row r="156">
      <c r="B156" s="16" t="n">
        <v>20000</v>
      </c>
      <c r="C156" s="29" t="n">
        <v>0.02</v>
      </c>
      <c r="D156" s="33" t="n">
        <v>0.005000000000000001</v>
      </c>
      <c r="E156" s="16" t="n">
        <v>20000</v>
      </c>
      <c r="F156" s="29" t="n">
        <v>0.02</v>
      </c>
      <c r="G156" s="33" t="n">
        <v>0.005000000000000001</v>
      </c>
      <c r="H156" s="16" t="n">
        <v>20000</v>
      </c>
      <c r="I156" s="29" t="n">
        <v>0.023</v>
      </c>
      <c r="J156" s="33" t="n">
        <v>0.008</v>
      </c>
    </row>
    <row r="157">
      <c r="B157" s="16" t="n">
        <v>35000</v>
      </c>
      <c r="C157" s="29" t="n">
        <v>0.039</v>
      </c>
      <c r="D157" s="33" t="n">
        <v>0.019</v>
      </c>
      <c r="E157" s="16" t="n">
        <v>50000</v>
      </c>
      <c r="F157" s="29" t="n">
        <v>0.027</v>
      </c>
      <c r="G157" s="33" t="n">
        <v>0.006999999999999999</v>
      </c>
      <c r="H157" s="16" t="n">
        <v>40000</v>
      </c>
      <c r="I157" s="29" t="n">
        <v>0.028</v>
      </c>
      <c r="J157" s="33" t="n">
        <v>0.005000000000000001</v>
      </c>
    </row>
    <row r="158">
      <c r="B158" s="16" t="n">
        <v>40000</v>
      </c>
      <c r="C158" s="29" t="n">
        <v>0.061</v>
      </c>
      <c r="D158" s="33" t="n">
        <v>0.022</v>
      </c>
      <c r="E158" s="16" t="n">
        <v>70000</v>
      </c>
      <c r="F158" s="29" t="n">
        <v>0.039</v>
      </c>
      <c r="G158" s="33" t="n">
        <v>0.012</v>
      </c>
      <c r="H158" s="16" t="n">
        <v>50000</v>
      </c>
      <c r="I158" s="29" t="n">
        <v>0.035</v>
      </c>
      <c r="J158" s="33" t="n">
        <v>0.007000000000000003</v>
      </c>
    </row>
    <row r="159">
      <c r="B159" s="16" t="n">
        <v>75000</v>
      </c>
      <c r="C159" s="29" t="n">
        <v>0.07000000000000001</v>
      </c>
      <c r="D159" s="33" t="n">
        <v>0.009000000000000008</v>
      </c>
      <c r="E159" s="16" t="n">
        <v>80000</v>
      </c>
      <c r="F159" s="29" t="n">
        <v>0.061</v>
      </c>
      <c r="G159" s="33" t="n">
        <v>0.022</v>
      </c>
      <c r="H159" s="16" t="n">
        <v>60000</v>
      </c>
      <c r="I159" s="29" t="n">
        <v>0.056</v>
      </c>
      <c r="J159" s="33" t="n">
        <v>0.021</v>
      </c>
    </row>
    <row r="160">
      <c r="B160" s="16" t="n">
        <v>500000</v>
      </c>
      <c r="C160" s="29" t="n">
        <v>0.099</v>
      </c>
      <c r="D160" s="33" t="n">
        <v>0.029</v>
      </c>
      <c r="E160" s="16" t="n">
        <v>150000</v>
      </c>
      <c r="F160" s="29" t="n">
        <v>0.07000000000000001</v>
      </c>
      <c r="G160" s="33" t="n">
        <v>0.009000000000000008</v>
      </c>
      <c r="H160" s="16" t="n">
        <v>150000</v>
      </c>
      <c r="I160" s="29" t="n">
        <v>0.066</v>
      </c>
      <c r="J160" s="33" t="n">
        <v>0.01</v>
      </c>
    </row>
    <row r="161">
      <c r="B161" s="16" t="n">
        <v>1000000</v>
      </c>
      <c r="C161" s="29" t="n">
        <v>0.118</v>
      </c>
      <c r="D161" s="33" t="n">
        <v>0.01899999999999999</v>
      </c>
      <c r="E161" s="16" t="n">
        <v>500000</v>
      </c>
      <c r="F161" s="29" t="n">
        <v>0.099</v>
      </c>
      <c r="G161" s="33" t="n">
        <v>0.029</v>
      </c>
      <c r="H161" s="16" t="n">
        <v>500000</v>
      </c>
      <c r="I161" s="29" t="n">
        <v>0.099</v>
      </c>
      <c r="J161" s="33" t="n">
        <v>0.033</v>
      </c>
    </row>
    <row r="162">
      <c r="E162" s="16" t="n">
        <v>1000000</v>
      </c>
      <c r="F162" s="29" t="n">
        <v>0.118</v>
      </c>
      <c r="G162" s="33" t="n">
        <v>0.01899999999999999</v>
      </c>
      <c r="H162" s="16" t="n">
        <v>1000000</v>
      </c>
      <c r="I162" s="29" t="n">
        <v>0.118</v>
      </c>
      <c r="J162" s="33" t="n">
        <v>0.01899999999999999</v>
      </c>
    </row>
    <row r="165">
      <c r="B165" s="10" t="inlineStr">
        <is>
          <t>State brackets IX — NJ D/E + NY Single</t>
        </is>
      </c>
    </row>
    <row r="166">
      <c r="B166" s="25" t="inlineStr">
        <is>
          <t>NJ_D floor</t>
        </is>
      </c>
      <c r="C166" s="25" t="inlineStr">
        <is>
          <t>rate</t>
        </is>
      </c>
      <c r="D166" s="25" t="inlineStr">
        <is>
          <t>diff</t>
        </is>
      </c>
      <c r="E166" s="25" t="inlineStr">
        <is>
          <t>NJ_E floor</t>
        </is>
      </c>
      <c r="F166" s="25" t="inlineStr">
        <is>
          <t>rate</t>
        </is>
      </c>
      <c r="G166" s="25" t="inlineStr">
        <is>
          <t>diff</t>
        </is>
      </c>
      <c r="H166" s="25" t="inlineStr">
        <is>
          <t>NY_S floor</t>
        </is>
      </c>
      <c r="I166" s="25" t="inlineStr">
        <is>
          <t>rate</t>
        </is>
      </c>
      <c r="J166" s="25" t="inlineStr">
        <is>
          <t>diff</t>
        </is>
      </c>
    </row>
    <row r="167">
      <c r="B167" s="16" t="n">
        <v>0</v>
      </c>
      <c r="C167" s="29" t="n">
        <v>0.015</v>
      </c>
      <c r="D167" s="33" t="n">
        <v>0.015</v>
      </c>
      <c r="E167" s="16" t="n">
        <v>0</v>
      </c>
      <c r="F167" s="29" t="n">
        <v>0.015</v>
      </c>
      <c r="G167" s="33" t="n">
        <v>0.015</v>
      </c>
      <c r="H167" s="16" t="n">
        <v>0</v>
      </c>
      <c r="I167" s="29" t="n">
        <v>0.039</v>
      </c>
      <c r="J167" s="33" t="n">
        <v>0.039</v>
      </c>
    </row>
    <row r="168">
      <c r="B168" s="16" t="n">
        <v>20000</v>
      </c>
      <c r="C168" s="29" t="n">
        <v>0.027</v>
      </c>
      <c r="D168" s="33" t="n">
        <v>0.012</v>
      </c>
      <c r="E168" s="16" t="n">
        <v>20000</v>
      </c>
      <c r="F168" s="29" t="n">
        <v>0.02</v>
      </c>
      <c r="G168" s="33" t="n">
        <v>0.005000000000000001</v>
      </c>
      <c r="H168" s="16" t="n">
        <v>8500</v>
      </c>
      <c r="I168" s="29" t="n">
        <v>0.044</v>
      </c>
      <c r="J168" s="33" t="n">
        <v>0.004999999999999998</v>
      </c>
    </row>
    <row r="169">
      <c r="B169" s="16" t="n">
        <v>40000</v>
      </c>
      <c r="C169" s="29" t="n">
        <v>0.034</v>
      </c>
      <c r="D169" s="33" t="n">
        <v>0.007000000000000003</v>
      </c>
      <c r="E169" s="16" t="n">
        <v>35000</v>
      </c>
      <c r="F169" s="29" t="n">
        <v>0.058</v>
      </c>
      <c r="G169" s="33" t="n">
        <v>0.03800000000000001</v>
      </c>
      <c r="H169" s="16" t="n">
        <v>11700</v>
      </c>
      <c r="I169" s="29" t="n">
        <v>0.0515</v>
      </c>
      <c r="J169" s="33" t="n">
        <v>0.0075</v>
      </c>
    </row>
    <row r="170">
      <c r="B170" s="16" t="n">
        <v>50000</v>
      </c>
      <c r="C170" s="29" t="n">
        <v>0.043</v>
      </c>
      <c r="D170" s="33" t="n">
        <v>0.008999999999999994</v>
      </c>
      <c r="E170" s="16" t="n">
        <v>100000</v>
      </c>
      <c r="F170" s="29" t="n">
        <v>0.065</v>
      </c>
      <c r="G170" s="33" t="n">
        <v>0.006999999999999999</v>
      </c>
      <c r="H170" s="16" t="n">
        <v>13900</v>
      </c>
      <c r="I170" s="29" t="n">
        <v>0.054</v>
      </c>
      <c r="J170" s="33" t="n">
        <v>0.002500000000000002</v>
      </c>
    </row>
    <row r="171">
      <c r="B171" s="16" t="n">
        <v>60000</v>
      </c>
      <c r="C171" s="29" t="n">
        <v>0.056</v>
      </c>
      <c r="D171" s="33" t="n">
        <v>0.013</v>
      </c>
      <c r="E171" s="16" t="n">
        <v>500000</v>
      </c>
      <c r="F171" s="29" t="n">
        <v>0.099</v>
      </c>
      <c r="G171" s="33" t="n">
        <v>0.034</v>
      </c>
      <c r="H171" s="16" t="n">
        <v>80650</v>
      </c>
      <c r="I171" s="29" t="n">
        <v>0.059</v>
      </c>
      <c r="J171" s="33" t="n">
        <v>0.004999999999999998</v>
      </c>
    </row>
    <row r="172">
      <c r="B172" s="16" t="n">
        <v>150000</v>
      </c>
      <c r="C172" s="29" t="n">
        <v>0.065</v>
      </c>
      <c r="D172" s="33" t="n">
        <v>0.009000000000000001</v>
      </c>
      <c r="E172" s="16" t="n">
        <v>1000000</v>
      </c>
      <c r="F172" s="29" t="n">
        <v>0.118</v>
      </c>
      <c r="G172" s="33" t="n">
        <v>0.01899999999999999</v>
      </c>
      <c r="H172" s="16" t="n">
        <v>96800</v>
      </c>
      <c r="I172" s="29" t="n">
        <v>0.0703</v>
      </c>
      <c r="J172" s="33" t="n">
        <v>0.0113</v>
      </c>
    </row>
    <row r="173">
      <c r="B173" s="16" t="n">
        <v>500000</v>
      </c>
      <c r="C173" s="29" t="n">
        <v>0.099</v>
      </c>
      <c r="D173" s="33" t="n">
        <v>0.034</v>
      </c>
      <c r="H173" s="16" t="n">
        <v>107650</v>
      </c>
      <c r="I173" s="29" t="n">
        <v>0.07530000000000001</v>
      </c>
      <c r="J173" s="33" t="n">
        <v>0.005000000000000004</v>
      </c>
    </row>
    <row r="174">
      <c r="B174" s="16" t="n">
        <v>1000000</v>
      </c>
      <c r="C174" s="29" t="n">
        <v>0.118</v>
      </c>
      <c r="D174" s="33" t="n">
        <v>0.01899999999999999</v>
      </c>
      <c r="H174" s="16" t="n">
        <v>157650</v>
      </c>
      <c r="I174" s="29" t="n">
        <v>0.064</v>
      </c>
      <c r="J174" s="33" t="n">
        <v>-0.0113</v>
      </c>
    </row>
    <row r="175">
      <c r="H175" s="16" t="n">
        <v>215400</v>
      </c>
      <c r="I175" s="29" t="n">
        <v>0.1144</v>
      </c>
      <c r="J175" s="33" t="n">
        <v>0.0504</v>
      </c>
    </row>
    <row r="176">
      <c r="H176" s="16" t="n">
        <v>265400</v>
      </c>
      <c r="I176" s="29" t="n">
        <v>0.0735</v>
      </c>
      <c r="J176" s="33" t="n">
        <v>-0.04090000000000001</v>
      </c>
    </row>
    <row r="177">
      <c r="H177" s="16" t="n">
        <v>1077550</v>
      </c>
      <c r="I177" s="29" t="n">
        <v>0.1045</v>
      </c>
      <c r="J177" s="33" t="n">
        <v>0.031</v>
      </c>
    </row>
    <row r="178">
      <c r="H178" s="16" t="n">
        <v>5000000</v>
      </c>
      <c r="I178" s="29" t="n">
        <v>0.111</v>
      </c>
      <c r="J178" s="33" t="n">
        <v>0.006500000000000006</v>
      </c>
    </row>
    <row r="179">
      <c r="H179" s="16" t="n">
        <v>25000000</v>
      </c>
      <c r="I179" s="29" t="n">
        <v>0.117</v>
      </c>
      <c r="J179" s="33" t="n">
        <v>0.006000000000000005</v>
      </c>
    </row>
    <row r="182">
      <c r="B182" s="10" t="inlineStr">
        <is>
          <t>State brackets X — NY Married / NYC</t>
        </is>
      </c>
    </row>
    <row r="183">
      <c r="B183" s="25" t="inlineStr">
        <is>
          <t>NY_M floor</t>
        </is>
      </c>
      <c r="C183" s="25" t="inlineStr">
        <is>
          <t>rate</t>
        </is>
      </c>
      <c r="D183" s="25" t="inlineStr">
        <is>
          <t>diff</t>
        </is>
      </c>
      <c r="E183" s="25" t="inlineStr">
        <is>
          <t>NYC floor</t>
        </is>
      </c>
      <c r="F183" s="25" t="inlineStr">
        <is>
          <t>rate</t>
        </is>
      </c>
      <c r="G183" s="25" t="inlineStr">
        <is>
          <t>diff</t>
        </is>
      </c>
      <c r="H183" s="25" t="inlineStr">
        <is>
          <t>OH_A floor</t>
        </is>
      </c>
      <c r="I183" s="25" t="inlineStr">
        <is>
          <t>rate</t>
        </is>
      </c>
      <c r="J183" s="25" t="inlineStr">
        <is>
          <t>diff</t>
        </is>
      </c>
    </row>
    <row r="184">
      <c r="B184" s="16" t="n">
        <v>0</v>
      </c>
      <c r="C184" s="29" t="n">
        <v>0.039</v>
      </c>
      <c r="D184" s="33" t="n">
        <v>0.039</v>
      </c>
      <c r="E184" s="16" t="n">
        <v>0</v>
      </c>
      <c r="F184" s="29" t="n">
        <v>0.0205</v>
      </c>
      <c r="G184" s="33" t="n">
        <v>0.0205</v>
      </c>
      <c r="H184" s="16" t="n">
        <v>0</v>
      </c>
      <c r="I184" s="29" t="n">
        <v>0.016</v>
      </c>
      <c r="J184" s="33" t="n">
        <v>0.016</v>
      </c>
    </row>
    <row r="185">
      <c r="B185" s="16" t="n">
        <v>8500</v>
      </c>
      <c r="C185" s="29" t="n">
        <v>0.044</v>
      </c>
      <c r="D185" s="33" t="n">
        <v>0.004999999999999998</v>
      </c>
      <c r="E185" s="16" t="n">
        <v>8000</v>
      </c>
      <c r="F185" s="29" t="n">
        <v>0.028</v>
      </c>
      <c r="G185" s="33" t="n">
        <v>0.0075</v>
      </c>
      <c r="H185" s="16" t="n">
        <v>26050</v>
      </c>
      <c r="I185" s="29" t="n">
        <v>0.0299</v>
      </c>
      <c r="J185" s="33" t="n">
        <v>0.0139</v>
      </c>
    </row>
    <row r="186">
      <c r="B186" s="16" t="n">
        <v>11700</v>
      </c>
      <c r="C186" s="29" t="n">
        <v>0.0515</v>
      </c>
      <c r="D186" s="33" t="n">
        <v>0.0075</v>
      </c>
      <c r="E186" s="16" t="n">
        <v>8700</v>
      </c>
      <c r="F186" s="29" t="n">
        <v>0.0325</v>
      </c>
      <c r="G186" s="33" t="n">
        <v>0.004500000000000001</v>
      </c>
      <c r="H186" s="16" t="n">
        <v>100000</v>
      </c>
      <c r="I186" s="29" t="n">
        <v>0.034</v>
      </c>
      <c r="J186" s="33" t="n">
        <v>0.004100000000000003</v>
      </c>
    </row>
    <row r="187">
      <c r="B187" s="16" t="n">
        <v>13900</v>
      </c>
      <c r="C187" s="29" t="n">
        <v>0.054</v>
      </c>
      <c r="D187" s="33" t="n">
        <v>0.002500000000000002</v>
      </c>
      <c r="E187" s="16" t="n">
        <v>15000</v>
      </c>
      <c r="F187" s="29" t="n">
        <v>0.0395</v>
      </c>
      <c r="G187" s="33" t="n">
        <v>0.006999999999999999</v>
      </c>
    </row>
    <row r="188">
      <c r="B188" s="16" t="n">
        <v>80650</v>
      </c>
      <c r="C188" s="29" t="n">
        <v>0.059</v>
      </c>
      <c r="D188" s="33" t="n">
        <v>0.004999999999999998</v>
      </c>
      <c r="E188" s="16" t="n">
        <v>25000</v>
      </c>
      <c r="F188" s="29" t="n">
        <v>0.0415</v>
      </c>
      <c r="G188" s="33" t="n">
        <v>0.002000000000000002</v>
      </c>
    </row>
    <row r="189">
      <c r="B189" s="16" t="n">
        <v>96800</v>
      </c>
      <c r="C189" s="29" t="n">
        <v>0.06569999999999999</v>
      </c>
      <c r="D189" s="33" t="n">
        <v>0.006699999999999998</v>
      </c>
      <c r="E189" s="16" t="n">
        <v>60000</v>
      </c>
      <c r="F189" s="29" t="n">
        <v>0.0425</v>
      </c>
      <c r="G189" s="33" t="n">
        <v>0.001000000000000001</v>
      </c>
    </row>
    <row r="190">
      <c r="B190" s="16" t="n">
        <v>107650</v>
      </c>
      <c r="C190" s="29" t="n">
        <v>0.0707</v>
      </c>
      <c r="D190" s="33" t="n">
        <v>0.005000000000000004</v>
      </c>
    </row>
    <row r="191">
      <c r="B191" s="16" t="n">
        <v>157650</v>
      </c>
      <c r="C191" s="29" t="n">
        <v>0.0801</v>
      </c>
      <c r="D191" s="33" t="n">
        <v>0.009400000000000006</v>
      </c>
    </row>
    <row r="192">
      <c r="B192" s="16" t="n">
        <v>211550</v>
      </c>
      <c r="C192" s="29" t="n">
        <v>0.064</v>
      </c>
      <c r="D192" s="33" t="n">
        <v>-0.0161</v>
      </c>
    </row>
    <row r="193">
      <c r="B193" s="16" t="n">
        <v>323200</v>
      </c>
      <c r="C193" s="29" t="n">
        <v>0.1349</v>
      </c>
      <c r="D193" s="33" t="n">
        <v>0.07089999999999999</v>
      </c>
    </row>
    <row r="194">
      <c r="B194" s="16" t="n">
        <v>373200</v>
      </c>
      <c r="C194" s="29" t="n">
        <v>0.0735</v>
      </c>
      <c r="D194" s="33" t="n">
        <v>-0.0614</v>
      </c>
    </row>
    <row r="195">
      <c r="B195" s="16" t="n">
        <v>1077550</v>
      </c>
      <c r="C195" s="29" t="n">
        <v>0.0765</v>
      </c>
      <c r="D195" s="33" t="n">
        <v>0.003000000000000003</v>
      </c>
    </row>
    <row r="196">
      <c r="B196" s="16" t="n">
        <v>2155350</v>
      </c>
      <c r="C196" s="29" t="n">
        <v>0.1045</v>
      </c>
      <c r="D196" s="33" t="n">
        <v>0.028</v>
      </c>
    </row>
    <row r="197">
      <c r="B197" s="16" t="n">
        <v>5000000</v>
      </c>
      <c r="C197" s="29" t="n">
        <v>0.111</v>
      </c>
      <c r="D197" s="33" t="n">
        <v>0.006500000000000006</v>
      </c>
    </row>
    <row r="198">
      <c r="B198" s="16" t="n">
        <v>25000000</v>
      </c>
      <c r="C198" s="29" t="n">
        <v>0.117</v>
      </c>
      <c r="D198" s="33" t="n">
        <v>0.006000000000000005</v>
      </c>
    </row>
    <row r="201">
      <c r="B201" s="10" t="inlineStr">
        <is>
          <t>State brackets XI — OH (2027 schedule) / OK</t>
        </is>
      </c>
    </row>
    <row r="202">
      <c r="B202" s="25" t="inlineStr">
        <is>
          <t>OH_B floor</t>
        </is>
      </c>
      <c r="C202" s="25" t="inlineStr">
        <is>
          <t>rate</t>
        </is>
      </c>
      <c r="D202" s="25" t="inlineStr">
        <is>
          <t>diff</t>
        </is>
      </c>
      <c r="E202" s="25" t="inlineStr">
        <is>
          <t>OK_S floor</t>
        </is>
      </c>
      <c r="F202" s="25" t="inlineStr">
        <is>
          <t>rate</t>
        </is>
      </c>
      <c r="G202" s="25" t="inlineStr">
        <is>
          <t>diff</t>
        </is>
      </c>
      <c r="H202" s="25" t="inlineStr">
        <is>
          <t>OK_M floor</t>
        </is>
      </c>
      <c r="I202" s="25" t="inlineStr">
        <is>
          <t>rate</t>
        </is>
      </c>
      <c r="J202" s="25" t="inlineStr">
        <is>
          <t>diff</t>
        </is>
      </c>
    </row>
    <row r="203">
      <c r="B203" s="16" t="n">
        <v>0</v>
      </c>
      <c r="C203" s="29" t="n">
        <v>0.016</v>
      </c>
      <c r="D203" s="33" t="n">
        <v>0.016</v>
      </c>
      <c r="E203" s="16" t="n">
        <v>0</v>
      </c>
      <c r="F203" s="29" t="n">
        <v>0</v>
      </c>
      <c r="G203" s="33" t="n">
        <v>0</v>
      </c>
      <c r="H203" s="16" t="n">
        <v>0</v>
      </c>
      <c r="I203" s="29" t="n">
        <v>0</v>
      </c>
      <c r="J203" s="33" t="n">
        <v>0</v>
      </c>
    </row>
    <row r="204">
      <c r="B204" s="16" t="n">
        <v>26050</v>
      </c>
      <c r="C204" s="29" t="n">
        <v>0.0299</v>
      </c>
      <c r="D204" s="33" t="n">
        <v>0.0139</v>
      </c>
      <c r="E204" s="16" t="n">
        <v>10100</v>
      </c>
      <c r="F204" s="29" t="n">
        <v>0.025</v>
      </c>
      <c r="G204" s="33" t="n">
        <v>0.025</v>
      </c>
      <c r="H204" s="16" t="n">
        <v>20200</v>
      </c>
      <c r="I204" s="29" t="n">
        <v>0.025</v>
      </c>
      <c r="J204" s="33" t="n">
        <v>0.025</v>
      </c>
    </row>
    <row r="205">
      <c r="B205" s="16" t="n">
        <v>100000</v>
      </c>
      <c r="C205" s="29" t="n">
        <v>0.034</v>
      </c>
      <c r="D205" s="33" t="n">
        <v>0.004100000000000003</v>
      </c>
      <c r="E205" s="16" t="n">
        <v>11250</v>
      </c>
      <c r="F205" s="29" t="n">
        <v>0.035</v>
      </c>
      <c r="G205" s="33" t="n">
        <v>0.01</v>
      </c>
      <c r="H205" s="16" t="n">
        <v>22500</v>
      </c>
      <c r="I205" s="29" t="n">
        <v>0.035</v>
      </c>
      <c r="J205" s="33" t="n">
        <v>0.01</v>
      </c>
    </row>
    <row r="206">
      <c r="E206" s="16" t="n">
        <v>13550</v>
      </c>
      <c r="F206" s="29" t="n">
        <v>0.045</v>
      </c>
      <c r="G206" s="33" t="n">
        <v>0.009999999999999995</v>
      </c>
      <c r="H206" s="16" t="n">
        <v>27100</v>
      </c>
      <c r="I206" s="29" t="n">
        <v>0.045</v>
      </c>
      <c r="J206" s="33" t="n">
        <v>0.009999999999999995</v>
      </c>
    </row>
    <row r="209">
      <c r="B209" s="10" t="inlineStr">
        <is>
          <t>State brackets XII — OR/RI/SC</t>
        </is>
      </c>
    </row>
    <row r="210">
      <c r="B210" s="25" t="inlineStr">
        <is>
          <t>OR_S floor</t>
        </is>
      </c>
      <c r="C210" s="25" t="inlineStr">
        <is>
          <t>rate</t>
        </is>
      </c>
      <c r="D210" s="25" t="inlineStr">
        <is>
          <t>diff</t>
        </is>
      </c>
      <c r="E210" s="25" t="inlineStr">
        <is>
          <t>OR_M floor</t>
        </is>
      </c>
      <c r="F210" s="25" t="inlineStr">
        <is>
          <t>rate</t>
        </is>
      </c>
      <c r="G210" s="25" t="inlineStr">
        <is>
          <t>diff</t>
        </is>
      </c>
      <c r="H210" s="25" t="inlineStr">
        <is>
          <t>RI floor</t>
        </is>
      </c>
      <c r="I210" s="25" t="inlineStr">
        <is>
          <t>rate</t>
        </is>
      </c>
      <c r="J210" s="25" t="inlineStr">
        <is>
          <t>diff</t>
        </is>
      </c>
    </row>
    <row r="211">
      <c r="B211" s="16" t="n">
        <v>0</v>
      </c>
      <c r="C211" s="29" t="n">
        <v>0.0475</v>
      </c>
      <c r="D211" s="33" t="n">
        <v>0.0475</v>
      </c>
      <c r="E211" s="16" t="n">
        <v>0</v>
      </c>
      <c r="F211" s="29" t="n">
        <v>0.0475</v>
      </c>
      <c r="G211" s="33" t="n">
        <v>0.0475</v>
      </c>
      <c r="H211" s="16" t="n">
        <v>0</v>
      </c>
      <c r="I211" s="29" t="n">
        <v>0.0375</v>
      </c>
      <c r="J211" s="33" t="n">
        <v>0.0375</v>
      </c>
    </row>
    <row r="212">
      <c r="B212" s="16" t="n">
        <v>4550</v>
      </c>
      <c r="C212" s="29" t="n">
        <v>0.0675</v>
      </c>
      <c r="D212" s="33" t="n">
        <v>0.02</v>
      </c>
      <c r="E212" s="16" t="n">
        <v>9100</v>
      </c>
      <c r="F212" s="29" t="n">
        <v>0.0675</v>
      </c>
      <c r="G212" s="33" t="n">
        <v>0.02</v>
      </c>
      <c r="H212" s="16" t="n">
        <v>82050</v>
      </c>
      <c r="I212" s="29" t="n">
        <v>0.0475</v>
      </c>
      <c r="J212" s="33" t="n">
        <v>0.01</v>
      </c>
    </row>
    <row r="213">
      <c r="B213" s="16" t="n">
        <v>11400</v>
      </c>
      <c r="C213" s="29" t="n">
        <v>0.08749999999999999</v>
      </c>
      <c r="D213" s="33" t="n">
        <v>0.01999999999999999</v>
      </c>
      <c r="E213" s="16" t="n">
        <v>22800</v>
      </c>
      <c r="F213" s="29" t="n">
        <v>0.08749999999999999</v>
      </c>
      <c r="G213" s="33" t="n">
        <v>0.01999999999999999</v>
      </c>
      <c r="H213" s="16" t="n">
        <v>186450</v>
      </c>
      <c r="I213" s="29" t="n">
        <v>0.0599</v>
      </c>
      <c r="J213" s="33" t="n">
        <v>0.0124</v>
      </c>
    </row>
    <row r="214">
      <c r="B214" s="16" t="n">
        <v>125000</v>
      </c>
      <c r="C214" s="29" t="n">
        <v>0.099</v>
      </c>
      <c r="D214" s="33" t="n">
        <v>0.01150000000000001</v>
      </c>
      <c r="E214" s="16" t="n">
        <v>250000</v>
      </c>
      <c r="F214" s="29" t="n">
        <v>0.099</v>
      </c>
      <c r="G214" s="33" t="n">
        <v>0.01150000000000001</v>
      </c>
    </row>
    <row r="217">
      <c r="B217" s="10" t="inlineStr">
        <is>
          <t>State brackets XIII — SC/VA/VT</t>
        </is>
      </c>
    </row>
    <row r="218">
      <c r="B218" s="25" t="inlineStr">
        <is>
          <t>SC floor</t>
        </is>
      </c>
      <c r="C218" s="25" t="inlineStr">
        <is>
          <t>rate</t>
        </is>
      </c>
      <c r="D218" s="25" t="inlineStr">
        <is>
          <t>diff</t>
        </is>
      </c>
      <c r="E218" s="25" t="inlineStr">
        <is>
          <t>VA floor</t>
        </is>
      </c>
      <c r="F218" s="25" t="inlineStr">
        <is>
          <t>rate</t>
        </is>
      </c>
      <c r="G218" s="25" t="inlineStr">
        <is>
          <t>diff</t>
        </is>
      </c>
      <c r="H218" s="25" t="inlineStr">
        <is>
          <t>VT_S floor</t>
        </is>
      </c>
      <c r="I218" s="25" t="inlineStr">
        <is>
          <t>rate</t>
        </is>
      </c>
      <c r="J218" s="25" t="inlineStr">
        <is>
          <t>diff</t>
        </is>
      </c>
    </row>
    <row r="219">
      <c r="B219" s="16" t="n">
        <v>0</v>
      </c>
      <c r="C219" s="29" t="n">
        <v>0</v>
      </c>
      <c r="D219" s="33" t="n">
        <v>0</v>
      </c>
      <c r="E219" s="16" t="n">
        <v>0</v>
      </c>
      <c r="F219" s="29" t="n">
        <v>0.02</v>
      </c>
      <c r="G219" s="33" t="n">
        <v>0.02</v>
      </c>
      <c r="H219" s="16" t="n">
        <v>0</v>
      </c>
      <c r="I219" s="29" t="n">
        <v>0</v>
      </c>
      <c r="J219" s="33" t="n">
        <v>0</v>
      </c>
    </row>
    <row r="220">
      <c r="B220" s="16" t="n">
        <v>3640</v>
      </c>
      <c r="C220" s="29" t="n">
        <v>0.03</v>
      </c>
      <c r="D220" s="33" t="n">
        <v>0.03</v>
      </c>
      <c r="E220" s="16" t="n">
        <v>3000</v>
      </c>
      <c r="F220" s="29" t="n">
        <v>0.03</v>
      </c>
      <c r="G220" s="33" t="n">
        <v>0.009999999999999998</v>
      </c>
      <c r="H220" s="16" t="n">
        <v>3925</v>
      </c>
      <c r="I220" s="29" t="n">
        <v>0.0335</v>
      </c>
      <c r="J220" s="33" t="n">
        <v>0.0335</v>
      </c>
    </row>
    <row r="221">
      <c r="B221" s="16" t="n">
        <v>18230</v>
      </c>
      <c r="C221" s="29" t="n">
        <v>0.06</v>
      </c>
      <c r="D221" s="33" t="n">
        <v>0.03</v>
      </c>
      <c r="E221" s="16" t="n">
        <v>5000</v>
      </c>
      <c r="F221" s="29" t="n">
        <v>0.05</v>
      </c>
      <c r="G221" s="33" t="n">
        <v>0.02</v>
      </c>
      <c r="H221" s="16" t="n">
        <v>54675</v>
      </c>
      <c r="I221" s="29" t="n">
        <v>0.066</v>
      </c>
      <c r="J221" s="33" t="n">
        <v>0.0325</v>
      </c>
    </row>
    <row r="222">
      <c r="E222" s="16" t="n">
        <v>17000</v>
      </c>
      <c r="F222" s="29" t="n">
        <v>0.0575</v>
      </c>
      <c r="G222" s="33" t="n">
        <v>0.0075</v>
      </c>
      <c r="H222" s="16" t="n">
        <v>126775</v>
      </c>
      <c r="I222" s="29" t="n">
        <v>0.076</v>
      </c>
      <c r="J222" s="33" t="n">
        <v>0.009999999999999995</v>
      </c>
    </row>
    <row r="223">
      <c r="H223" s="16" t="n">
        <v>260225</v>
      </c>
      <c r="I223" s="29" t="n">
        <v>0.08749999999999999</v>
      </c>
      <c r="J223" s="33" t="n">
        <v>0.0115</v>
      </c>
    </row>
    <row r="226">
      <c r="B226" s="10" t="inlineStr">
        <is>
          <t>State brackets XIV — VT/WI/WV</t>
        </is>
      </c>
    </row>
    <row r="227">
      <c r="B227" s="25" t="inlineStr">
        <is>
          <t>VT_M floor</t>
        </is>
      </c>
      <c r="C227" s="25" t="inlineStr">
        <is>
          <t>rate</t>
        </is>
      </c>
      <c r="D227" s="25" t="inlineStr">
        <is>
          <t>diff</t>
        </is>
      </c>
      <c r="E227" s="25" t="inlineStr">
        <is>
          <t>WI floor</t>
        </is>
      </c>
      <c r="F227" s="25" t="inlineStr">
        <is>
          <t>rate</t>
        </is>
      </c>
      <c r="G227" s="25" t="inlineStr">
        <is>
          <t>diff</t>
        </is>
      </c>
      <c r="H227" s="25" t="inlineStr">
        <is>
          <t>WV_1 floor</t>
        </is>
      </c>
      <c r="I227" s="25" t="inlineStr">
        <is>
          <t>rate</t>
        </is>
      </c>
      <c r="J227" s="25" t="inlineStr">
        <is>
          <t>diff</t>
        </is>
      </c>
    </row>
    <row r="228">
      <c r="B228" s="16" t="n">
        <v>0</v>
      </c>
      <c r="C228" s="29" t="n">
        <v>0</v>
      </c>
      <c r="D228" s="33" t="n">
        <v>0</v>
      </c>
      <c r="E228" s="16" t="n">
        <v>0</v>
      </c>
      <c r="F228" s="29" t="n">
        <v>0.0354</v>
      </c>
      <c r="G228" s="33" t="n">
        <v>0.0354</v>
      </c>
      <c r="H228" s="16" t="n">
        <v>0</v>
      </c>
      <c r="I228" s="29" t="n">
        <v>0.0211</v>
      </c>
      <c r="J228" s="33" t="n">
        <v>0.0211</v>
      </c>
    </row>
    <row r="229">
      <c r="B229" s="16" t="n">
        <v>11775</v>
      </c>
      <c r="C229" s="29" t="n">
        <v>0.0335</v>
      </c>
      <c r="D229" s="33" t="n">
        <v>0.0335</v>
      </c>
      <c r="E229" s="16" t="n">
        <v>12760</v>
      </c>
      <c r="F229" s="29" t="n">
        <v>0.0465</v>
      </c>
      <c r="G229" s="33" t="n">
        <v>0.0111</v>
      </c>
      <c r="H229" s="16" t="n">
        <v>10000</v>
      </c>
      <c r="I229" s="29" t="n">
        <v>0.0281</v>
      </c>
      <c r="J229" s="33" t="n">
        <v>0.006999999999999999</v>
      </c>
    </row>
    <row r="230">
      <c r="B230" s="16" t="n">
        <v>96475</v>
      </c>
      <c r="C230" s="29" t="n">
        <v>0.066</v>
      </c>
      <c r="D230" s="33" t="n">
        <v>0.0325</v>
      </c>
      <c r="E230" s="16" t="n">
        <v>25520</v>
      </c>
      <c r="F230" s="29" t="n">
        <v>0.053</v>
      </c>
      <c r="G230" s="33" t="n">
        <v>0.006499999999999999</v>
      </c>
      <c r="H230" s="16" t="n">
        <v>25000</v>
      </c>
      <c r="I230" s="29" t="n">
        <v>0.0316</v>
      </c>
      <c r="J230" s="33" t="n">
        <v>0.003500000000000003</v>
      </c>
    </row>
    <row r="231">
      <c r="B231" s="16" t="n">
        <v>216525</v>
      </c>
      <c r="C231" s="29" t="n">
        <v>0.076</v>
      </c>
      <c r="D231" s="33" t="n">
        <v>0.009999999999999995</v>
      </c>
      <c r="E231" s="16" t="n">
        <v>280950</v>
      </c>
      <c r="F231" s="29" t="n">
        <v>0.0765</v>
      </c>
      <c r="G231" s="33" t="n">
        <v>0.0235</v>
      </c>
      <c r="H231" s="16" t="n">
        <v>40000</v>
      </c>
      <c r="I231" s="29" t="n">
        <v>0.0422</v>
      </c>
      <c r="J231" s="33" t="n">
        <v>0.0106</v>
      </c>
    </row>
    <row r="232">
      <c r="B232" s="16" t="n">
        <v>323825</v>
      </c>
      <c r="C232" s="29" t="n">
        <v>0.08749999999999999</v>
      </c>
      <c r="D232" s="33" t="n">
        <v>0.0115</v>
      </c>
      <c r="H232" s="16" t="n">
        <v>60000</v>
      </c>
      <c r="I232" s="29" t="n">
        <v>0.0458</v>
      </c>
      <c r="J232" s="33" t="n">
        <v>0.003599999999999999</v>
      </c>
    </row>
    <row r="235">
      <c r="B235" s="10" t="inlineStr">
        <is>
          <t>State brackets XV — WV two-earner</t>
        </is>
      </c>
    </row>
    <row r="236">
      <c r="B236" s="25" t="inlineStr">
        <is>
          <t>WV_2 floor</t>
        </is>
      </c>
      <c r="C236" s="25" t="inlineStr">
        <is>
          <t>rate</t>
        </is>
      </c>
      <c r="D236" s="25" t="inlineStr">
        <is>
          <t>diff</t>
        </is>
      </c>
      <c r="E236" s="25" t="inlineStr">
        <is>
          <t>WV_2 floor</t>
        </is>
      </c>
      <c r="F236" s="25" t="inlineStr">
        <is>
          <t>rate</t>
        </is>
      </c>
      <c r="G236" s="25" t="inlineStr">
        <is>
          <t>diff</t>
        </is>
      </c>
      <c r="H236" s="25" t="inlineStr">
        <is>
          <t>WV_2 floor</t>
        </is>
      </c>
      <c r="I236" s="25" t="inlineStr">
        <is>
          <t>rate</t>
        </is>
      </c>
      <c r="J236" s="25" t="inlineStr">
        <is>
          <t>diff</t>
        </is>
      </c>
    </row>
    <row r="237">
      <c r="B237" s="16" t="n">
        <v>0</v>
      </c>
      <c r="C237" s="29" t="n">
        <v>0.0211</v>
      </c>
      <c r="D237" s="33" t="n">
        <v>0.0211</v>
      </c>
      <c r="E237" s="16" t="n">
        <v>0</v>
      </c>
      <c r="F237" s="29" t="n">
        <v>0.0211</v>
      </c>
      <c r="G237" s="33" t="n">
        <v>0.0211</v>
      </c>
      <c r="H237" s="16" t="n">
        <v>0</v>
      </c>
      <c r="I237" s="29" t="n">
        <v>0.0211</v>
      </c>
      <c r="J237" s="33" t="n">
        <v>0.0211</v>
      </c>
    </row>
    <row r="238">
      <c r="B238" s="16" t="n">
        <v>7500</v>
      </c>
      <c r="C238" s="29" t="n">
        <v>0.0281</v>
      </c>
      <c r="D238" s="33" t="n">
        <v>0.006999999999999999</v>
      </c>
      <c r="E238" s="16" t="n">
        <v>7500</v>
      </c>
      <c r="F238" s="29" t="n">
        <v>0.0281</v>
      </c>
      <c r="G238" s="33" t="n">
        <v>0.006999999999999999</v>
      </c>
      <c r="H238" s="16" t="n">
        <v>7500</v>
      </c>
      <c r="I238" s="29" t="n">
        <v>0.0281</v>
      </c>
      <c r="J238" s="33" t="n">
        <v>0.006999999999999999</v>
      </c>
    </row>
    <row r="239">
      <c r="B239" s="16" t="n">
        <v>18750</v>
      </c>
      <c r="C239" s="29" t="n">
        <v>0.0316</v>
      </c>
      <c r="D239" s="33" t="n">
        <v>0.003500000000000003</v>
      </c>
      <c r="E239" s="16" t="n">
        <v>18750</v>
      </c>
      <c r="F239" s="29" t="n">
        <v>0.0316</v>
      </c>
      <c r="G239" s="33" t="n">
        <v>0.003500000000000003</v>
      </c>
      <c r="H239" s="16" t="n">
        <v>18750</v>
      </c>
      <c r="I239" s="29" t="n">
        <v>0.0316</v>
      </c>
      <c r="J239" s="33" t="n">
        <v>0.003500000000000003</v>
      </c>
    </row>
    <row r="240">
      <c r="B240" s="16" t="n">
        <v>30000</v>
      </c>
      <c r="C240" s="29" t="n">
        <v>0.0422</v>
      </c>
      <c r="D240" s="33" t="n">
        <v>0.0106</v>
      </c>
      <c r="E240" s="16" t="n">
        <v>30000</v>
      </c>
      <c r="F240" s="29" t="n">
        <v>0.0422</v>
      </c>
      <c r="G240" s="33" t="n">
        <v>0.0106</v>
      </c>
      <c r="H240" s="16" t="n">
        <v>30000</v>
      </c>
      <c r="I240" s="29" t="n">
        <v>0.0422</v>
      </c>
      <c r="J240" s="33" t="n">
        <v>0.0106</v>
      </c>
    </row>
    <row r="241">
      <c r="B241" s="16" t="n">
        <v>45000</v>
      </c>
      <c r="C241" s="29" t="n">
        <v>0.0458</v>
      </c>
      <c r="D241" s="33" t="n">
        <v>0.003599999999999999</v>
      </c>
      <c r="E241" s="16" t="n">
        <v>45000</v>
      </c>
      <c r="F241" s="29" t="n">
        <v>0.0458</v>
      </c>
      <c r="G241" s="33" t="n">
        <v>0.003599999999999999</v>
      </c>
      <c r="H241" s="16" t="n">
        <v>45000</v>
      </c>
      <c r="I241" s="29" t="n">
        <v>0.0458</v>
      </c>
      <c r="J241" s="33" t="n">
        <v>0.003599999999999999</v>
      </c>
    </row>
    <row r="251">
      <c r="B251" t="inlineStr">
        <is>
          <t>2026 PARAMETERS ANNEX — official 2026 figures used only by the 'Rest of 2026' schedule</t>
        </is>
      </c>
    </row>
    <row r="253">
      <c r="B253" t="inlineStr">
        <is>
          <t>Social Security wage base</t>
        </is>
      </c>
      <c r="C253" s="16" t="n">
        <v>184500</v>
      </c>
      <c r="D253" s="2" t="inlineStr">
        <is>
          <t>SSA/IRS 2026 announcement (Nov 2025): $184,500</t>
        </is>
      </c>
      <c r="L253" s="13" t="inlineStr">
        <is>
          <t>Federal withholding (percentage method)</t>
        </is>
      </c>
      <c r="M253" s="28" t="inlineStr">
        <is>
          <t>Official — official Pub 15-T tables</t>
        </is>
      </c>
      <c r="N253" s="13" t="inlineStr">
        <is>
          <t>2026-01-01</t>
        </is>
      </c>
      <c r="O253" s="28" t="inlineStr">
        <is>
          <t>IRS Rev. Proc. 2025-32; IRS Publication 15-T (2026)</t>
        </is>
      </c>
    </row>
    <row r="254">
      <c r="B254" t="inlineStr">
        <is>
          <t>Social Security rate (employee)</t>
        </is>
      </c>
      <c r="C254" s="33" t="n">
        <v>0.062</v>
      </c>
      <c r="D254" s="2" t="inlineStr">
        <is>
          <t>IRC §3101(a): 6.2%</t>
        </is>
      </c>
      <c r="L254" s="13" t="inlineStr">
        <is>
          <t>FICA — Social Security wage base</t>
        </is>
      </c>
      <c r="M254" s="28" t="inlineStr">
        <is>
          <t>Official</t>
        </is>
      </c>
      <c r="N254" s="13" t="inlineStr">
        <is>
          <t>2026-01-01</t>
        </is>
      </c>
      <c r="O254" s="28" t="inlineStr">
        <is>
          <t>SSA/IRS 2026 announcement (Nov 2025)</t>
        </is>
      </c>
    </row>
    <row r="255">
      <c r="B255" t="inlineStr">
        <is>
          <t>Medicare rate (employee)</t>
        </is>
      </c>
      <c r="C255" s="33" t="n">
        <v>0.0145</v>
      </c>
      <c r="D255" s="2" t="inlineStr">
        <is>
          <t>IRC §3101(b): 1.45%</t>
        </is>
      </c>
      <c r="L255" s="13" t="inlineStr">
        <is>
          <t>Retirement &amp; benefit limits (401(k) / HSA / FSA)</t>
        </is>
      </c>
      <c r="M255" s="28" t="inlineStr">
        <is>
          <t>Per-item status in the parameter block (columns B–D, rows 3–15)</t>
        </is>
      </c>
      <c r="N255" s="13" t="inlineStr">
        <is>
          <t>2026-01-01</t>
        </is>
      </c>
      <c r="O255" s="28" t="inlineStr">
        <is>
          <t>IRS releases — the source note on each parameter row governs</t>
        </is>
      </c>
    </row>
    <row r="256">
      <c r="B256" t="inlineStr">
        <is>
          <t>Additional Medicare rate</t>
        </is>
      </c>
      <c r="C256" s="33" t="n">
        <v>0.008999999999999999</v>
      </c>
      <c r="D256" s="2" t="inlineStr">
        <is>
          <t>IRC §3101(b)(2): 0.9%</t>
        </is>
      </c>
      <c r="L256" s="13" t="inlineStr">
        <is>
          <t>Alaska (AK)</t>
        </is>
      </c>
      <c r="M256" s="28" t="inlineStr">
        <is>
          <t>Official — no wage tax</t>
        </is>
      </c>
      <c r="N256" s="13" t="inlineStr">
        <is>
          <t>2026-01-01</t>
        </is>
      </c>
      <c r="O256" s="28" t="inlineStr">
        <is>
          <t>State law — no wage income tax.</t>
        </is>
      </c>
    </row>
    <row r="257">
      <c r="B257" t="inlineStr">
        <is>
          <t>Additional Medicare withholding threshold</t>
        </is>
      </c>
      <c r="C257" s="16" t="n">
        <v>200000</v>
      </c>
      <c r="D257" s="2" t="inlineStr">
        <is>
          <t>Employer must withhold past $200,000 of wages in the year</t>
        </is>
      </c>
      <c r="L257" s="13" t="inlineStr">
        <is>
          <t>Alabama (AL)</t>
        </is>
      </c>
      <c r="M257" s="28" t="inlineStr">
        <is>
          <t>Official — formula</t>
        </is>
      </c>
      <c r="N257" s="13" t="inlineStr">
        <is>
          <t>2026-01-01</t>
        </is>
      </c>
      <c r="O257" s="28" t="inlineStr">
        <is>
          <t>ALDOR Withholding Tax Tables &amp; Instructions, Rev. Jan 2026.</t>
        </is>
      </c>
    </row>
    <row r="258">
      <c r="B258" t="inlineStr">
        <is>
          <t>Pub 15-T Worksheet 1A line 1g — MFJ</t>
        </is>
      </c>
      <c r="C258" s="16" t="n">
        <v>12900</v>
      </c>
      <c r="D258" s="2" t="inlineStr">
        <is>
          <t>IRS Publication 15-T (2026), Worksheet 1A</t>
        </is>
      </c>
      <c r="L258" s="13" t="inlineStr">
        <is>
          <t>Arkansas (AR)</t>
        </is>
      </c>
      <c r="M258" s="28" t="inlineStr">
        <is>
          <t>Official — formula</t>
        </is>
      </c>
      <c r="N258" s="13" t="inlineStr">
        <is>
          <t>2026-01-01</t>
        </is>
      </c>
      <c r="O258" s="28" t="inlineStr">
        <is>
          <t>AR DFA Withholding Tax Formula, eff. 01/01/2026.</t>
        </is>
      </c>
    </row>
    <row r="259">
      <c r="B259" t="inlineStr">
        <is>
          <t>Pub 15-T Worksheet 1A line 1g — other</t>
        </is>
      </c>
      <c r="C259" s="16" t="n">
        <v>8600</v>
      </c>
      <c r="D259" s="2" t="inlineStr">
        <is>
          <t>IRS Publication 15-T (2026), Worksheet 1A</t>
        </is>
      </c>
      <c r="L259" s="13" t="inlineStr">
        <is>
          <t>Arizona (AZ)</t>
        </is>
      </c>
      <c r="M259" s="28" t="inlineStr">
        <is>
          <t>Official — formula</t>
        </is>
      </c>
      <c r="N259" s="13" t="inlineStr">
        <is>
          <t>2026-01-01</t>
        </is>
      </c>
      <c r="O259" s="28" t="inlineStr">
        <is>
          <t>ADOR Form A-4.</t>
        </is>
      </c>
    </row>
    <row r="260">
      <c r="B260" t="inlineStr">
        <is>
          <t>Federal supplemental wage rate</t>
        </is>
      </c>
      <c r="C260" s="33" t="n">
        <v>0.22</v>
      </c>
      <c r="D260" s="2" t="inlineStr">
        <is>
          <t>IRS Pub 15: optional flat rate 22% on supplemental wages</t>
        </is>
      </c>
      <c r="L260" s="13" t="inlineStr">
        <is>
          <t>California (CA)</t>
        </is>
      </c>
      <c r="M260" s="28" t="inlineStr">
        <is>
          <t>Official — formula (Method B)</t>
        </is>
      </c>
      <c r="N260" s="13" t="inlineStr">
        <is>
          <t>2026-01-01</t>
        </is>
      </c>
      <c r="O260" s="28" t="inlineStr">
        <is>
          <t>CA EDD DE 44.</t>
        </is>
      </c>
    </row>
    <row r="261">
      <c r="B261" t="inlineStr">
        <is>
          <t>HSA limit — self-only</t>
        </is>
      </c>
      <c r="C261" s="16" t="n">
        <v>4400</v>
      </c>
      <c r="D261" s="2" t="inlineStr">
        <is>
          <t>IRS Rev. Proc. 2025-19, §2.01(1) — verified at irs.gov 2026-10-13</t>
        </is>
      </c>
      <c r="L261" s="13" t="inlineStr">
        <is>
          <t>Colorado (CO)</t>
        </is>
      </c>
      <c r="M261" s="28" t="inlineStr">
        <is>
          <t>Official — formula</t>
        </is>
      </c>
      <c r="N261" s="13" t="inlineStr">
        <is>
          <t>2026-01-01</t>
        </is>
      </c>
      <c r="O261" s="28" t="inlineStr">
        <is>
          <t>CO DOR DR 1098 Withholding Worksheet.</t>
        </is>
      </c>
    </row>
    <row r="262">
      <c r="B262" t="inlineStr">
        <is>
          <t>HSA limit — family</t>
        </is>
      </c>
      <c r="C262" s="16" t="n">
        <v>8750</v>
      </c>
      <c r="D262" s="2" t="inlineStr">
        <is>
          <t>IRS Rev. Proc. 2025-19, §2.01(1) — verified at irs.gov 2026-10-13</t>
        </is>
      </c>
      <c r="L262" s="13" t="inlineStr">
        <is>
          <t>Connecticut (CT)</t>
        </is>
      </c>
      <c r="M262" s="28" t="inlineStr">
        <is>
          <t>Manual entry (unsupported for auto-calc)</t>
        </is>
      </c>
      <c r="N262" s="13" t="inlineStr">
        <is>
          <t>2026-01-01</t>
        </is>
      </c>
      <c r="O262" s="28" t="inlineStr">
        <is>
          <t>CT DRS IP 2025.</t>
        </is>
      </c>
    </row>
    <row r="263">
      <c r="B263" t="inlineStr">
        <is>
          <t>Health FSA limit</t>
        </is>
      </c>
      <c r="C263" s="16" t="n">
        <v>3400</v>
      </c>
      <c r="D263" s="2" t="inlineStr">
        <is>
          <t>IRS Rev. Proc. 2025-32, §4.15 (cafeteria plans) — verified at irs.gov 2026-10-13</t>
        </is>
      </c>
      <c r="L263" s="13" t="inlineStr">
        <is>
          <t>District of Columbia (DC)</t>
        </is>
      </c>
      <c r="M263" s="28" t="inlineStr">
        <is>
          <t>Manual entry (unsupported for auto-calc)</t>
        </is>
      </c>
      <c r="N263" s="13" t="inlineStr">
        <is>
          <t>2026-01-01</t>
        </is>
      </c>
      <c r="O263" s="28" t="inlineStr">
        <is>
          <t>DC OTR FR-230.</t>
        </is>
      </c>
    </row>
    <row r="264">
      <c r="B264" t="inlineStr">
        <is>
          <t>Dependent-care FSA limit — MFJ</t>
        </is>
      </c>
      <c r="C264" s="16" t="n">
        <v>7500</v>
      </c>
      <c r="D264" s="2" t="inlineStr">
        <is>
          <t>IRC §129 as amended by P.L. 119-21 §70404 (exclusion $7,500 from 2026) — IRS W-2/W-3 correction notice, verified 2026-10-13</t>
        </is>
      </c>
      <c r="L264" s="13" t="inlineStr">
        <is>
          <t>Delaware (DE)</t>
        </is>
      </c>
      <c r="M264" s="28" t="inlineStr">
        <is>
          <t>Official — formula</t>
        </is>
      </c>
      <c r="N264" s="13" t="inlineStr">
        <is>
          <t>2026-01-01</t>
        </is>
      </c>
      <c r="O264" s="28" t="inlineStr">
        <is>
          <t>Delaware Division of Revenue / Dept. of Finance PIT schedule.</t>
        </is>
      </c>
    </row>
    <row r="265">
      <c r="B265" t="inlineStr">
        <is>
          <t>Dependent-care FSA limit — other</t>
        </is>
      </c>
      <c r="C265" s="16" t="n">
        <v>3750</v>
      </c>
      <c r="D265" s="2" t="inlineStr">
        <is>
          <t>Half of the MFJ limit (married filing separately) — same source</t>
        </is>
      </c>
      <c r="L265" s="13" t="inlineStr">
        <is>
          <t>Florida (FL)</t>
        </is>
      </c>
      <c r="M265" s="28" t="inlineStr">
        <is>
          <t>Official — no wage tax</t>
        </is>
      </c>
      <c r="N265" s="13" t="inlineStr">
        <is>
          <t>2026-01-01</t>
        </is>
      </c>
      <c r="O265" s="28" t="inlineStr">
        <is>
          <t>State law — no wage income tax.</t>
        </is>
      </c>
    </row>
    <row r="269">
      <c r="B269" s="16" t="n">
        <v>0</v>
      </c>
      <c r="C269" s="29" t="n">
        <v>0</v>
      </c>
      <c r="D269" s="33" t="n">
        <v>0</v>
      </c>
      <c r="E269" s="16" t="n">
        <v>0</v>
      </c>
      <c r="F269" s="29" t="n">
        <v>0</v>
      </c>
      <c r="G269" s="33" t="n">
        <v>0</v>
      </c>
      <c r="H269" s="16" t="n">
        <v>0</v>
      </c>
      <c r="I269" s="29" t="n">
        <v>0</v>
      </c>
      <c r="J269" s="33" t="n">
        <v>0</v>
      </c>
    </row>
    <row r="270">
      <c r="B270" s="16" t="n">
        <v>19300</v>
      </c>
      <c r="C270" s="29" t="n">
        <v>0.1</v>
      </c>
      <c r="D270" s="33" t="n">
        <v>0.1</v>
      </c>
      <c r="E270" s="16" t="n">
        <v>7500</v>
      </c>
      <c r="F270" s="29" t="n">
        <v>0.1</v>
      </c>
      <c r="G270" s="33" t="n">
        <v>0.1</v>
      </c>
      <c r="H270" s="16" t="n">
        <v>15550</v>
      </c>
      <c r="I270" s="29" t="n">
        <v>0.1</v>
      </c>
      <c r="J270" s="33" t="n">
        <v>0.1</v>
      </c>
    </row>
    <row r="271">
      <c r="B271" s="16" t="n">
        <v>44100</v>
      </c>
      <c r="C271" s="29" t="n">
        <v>0.12</v>
      </c>
      <c r="D271" s="33" t="n">
        <v>0.01999999999999999</v>
      </c>
      <c r="E271" s="16" t="n">
        <v>19900</v>
      </c>
      <c r="F271" s="29" t="n">
        <v>0.12</v>
      </c>
      <c r="G271" s="33" t="n">
        <v>0.01999999999999999</v>
      </c>
      <c r="H271" s="16" t="n">
        <v>33250</v>
      </c>
      <c r="I271" s="29" t="n">
        <v>0.12</v>
      </c>
      <c r="J271" s="33" t="n">
        <v>0.01999999999999999</v>
      </c>
    </row>
    <row r="272">
      <c r="B272" s="16" t="n">
        <v>120100</v>
      </c>
      <c r="C272" s="29" t="n">
        <v>0.22</v>
      </c>
      <c r="D272" s="33" t="n">
        <v>0.1</v>
      </c>
      <c r="E272" s="16" t="n">
        <v>57900</v>
      </c>
      <c r="F272" s="29" t="n">
        <v>0.22</v>
      </c>
      <c r="G272" s="33" t="n">
        <v>0.1</v>
      </c>
      <c r="H272" s="16" t="n">
        <v>83000</v>
      </c>
      <c r="I272" s="29" t="n">
        <v>0.22</v>
      </c>
      <c r="J272" s="33" t="n">
        <v>0.1</v>
      </c>
    </row>
    <row r="273">
      <c r="B273" s="16" t="n">
        <v>230700</v>
      </c>
      <c r="C273" s="29" t="n">
        <v>0.24</v>
      </c>
      <c r="D273" s="33" t="n">
        <v>0.01999999999999999</v>
      </c>
      <c r="E273" s="16" t="n">
        <v>113200</v>
      </c>
      <c r="F273" s="29" t="n">
        <v>0.24</v>
      </c>
      <c r="G273" s="33" t="n">
        <v>0.01999999999999999</v>
      </c>
      <c r="H273" s="16" t="n">
        <v>121250</v>
      </c>
      <c r="I273" s="29" t="n">
        <v>0.24</v>
      </c>
      <c r="J273" s="33" t="n">
        <v>0.01999999999999999</v>
      </c>
    </row>
    <row r="274">
      <c r="B274" s="16" t="n">
        <v>422850</v>
      </c>
      <c r="C274" s="29" t="n">
        <v>0.32</v>
      </c>
      <c r="D274" s="33" t="n">
        <v>0.08000000000000002</v>
      </c>
      <c r="E274" s="16" t="n">
        <v>209275</v>
      </c>
      <c r="F274" s="29" t="n">
        <v>0.32</v>
      </c>
      <c r="G274" s="33" t="n">
        <v>0.08000000000000002</v>
      </c>
      <c r="H274" s="16" t="n">
        <v>217300</v>
      </c>
      <c r="I274" s="29" t="n">
        <v>0.32</v>
      </c>
      <c r="J274" s="33" t="n">
        <v>0.08000000000000002</v>
      </c>
    </row>
    <row r="275">
      <c r="B275" s="16" t="n">
        <v>531750</v>
      </c>
      <c r="C275" s="29" t="n">
        <v>0.35</v>
      </c>
      <c r="D275" s="33" t="n">
        <v>0.02999999999999997</v>
      </c>
      <c r="E275" s="16" t="n">
        <v>263725</v>
      </c>
      <c r="F275" s="29" t="n">
        <v>0.35</v>
      </c>
      <c r="G275" s="33" t="n">
        <v>0.02999999999999997</v>
      </c>
      <c r="H275" s="16" t="n">
        <v>271750</v>
      </c>
      <c r="I275" s="29" t="n">
        <v>0.35</v>
      </c>
      <c r="J275" s="33" t="n">
        <v>0.02999999999999997</v>
      </c>
    </row>
    <row r="276">
      <c r="B276" s="16" t="n">
        <v>788000</v>
      </c>
      <c r="C276" s="29" t="n">
        <v>0.37</v>
      </c>
      <c r="D276" s="33" t="n">
        <v>0.02000000000000002</v>
      </c>
      <c r="E276" s="16" t="n">
        <v>648100</v>
      </c>
      <c r="F276" s="29" t="n">
        <v>0.37</v>
      </c>
      <c r="G276" s="33" t="n">
        <v>0.02000000000000002</v>
      </c>
      <c r="H276" s="16" t="n">
        <v>656150</v>
      </c>
      <c r="I276" s="29" t="n">
        <v>0.37</v>
      </c>
      <c r="J276" s="33" t="n">
        <v>0.02000000000000002</v>
      </c>
    </row>
    <row r="279">
      <c r="B279" s="16" t="n">
        <v>0</v>
      </c>
      <c r="C279" s="29" t="n">
        <v>0</v>
      </c>
      <c r="D279" s="33" t="n">
        <v>0</v>
      </c>
      <c r="E279" s="16" t="n">
        <v>0</v>
      </c>
      <c r="F279" s="29" t="n">
        <v>0</v>
      </c>
      <c r="G279" s="33" t="n">
        <v>0</v>
      </c>
      <c r="H279" s="16" t="n">
        <v>0</v>
      </c>
      <c r="I279" s="29" t="n">
        <v>0</v>
      </c>
      <c r="J279" s="33" t="n">
        <v>0</v>
      </c>
    </row>
    <row r="280">
      <c r="B280" s="16" t="n">
        <v>16100</v>
      </c>
      <c r="C280" s="29" t="n">
        <v>0.1</v>
      </c>
      <c r="D280" s="33" t="n">
        <v>0.1</v>
      </c>
      <c r="E280" s="16" t="n">
        <v>8050</v>
      </c>
      <c r="F280" s="29" t="n">
        <v>0.1</v>
      </c>
      <c r="G280" s="33" t="n">
        <v>0.1</v>
      </c>
      <c r="H280" s="16" t="n">
        <v>12075</v>
      </c>
      <c r="I280" s="29" t="n">
        <v>0.1</v>
      </c>
      <c r="J280" s="33" t="n">
        <v>0.1</v>
      </c>
    </row>
    <row r="281">
      <c r="B281" s="16" t="n">
        <v>28500</v>
      </c>
      <c r="C281" s="29" t="n">
        <v>0.12</v>
      </c>
      <c r="D281" s="33" t="n">
        <v>0.01999999999999999</v>
      </c>
      <c r="E281" s="16" t="n">
        <v>14250</v>
      </c>
      <c r="F281" s="29" t="n">
        <v>0.12</v>
      </c>
      <c r="G281" s="33" t="n">
        <v>0.01999999999999999</v>
      </c>
      <c r="H281" s="16" t="n">
        <v>20925</v>
      </c>
      <c r="I281" s="29" t="n">
        <v>0.12</v>
      </c>
      <c r="J281" s="33" t="n">
        <v>0.01999999999999999</v>
      </c>
    </row>
    <row r="282">
      <c r="B282" s="16" t="n">
        <v>66500</v>
      </c>
      <c r="C282" s="29" t="n">
        <v>0.22</v>
      </c>
      <c r="D282" s="33" t="n">
        <v>0.1</v>
      </c>
      <c r="E282" s="16" t="n">
        <v>33250</v>
      </c>
      <c r="F282" s="29" t="n">
        <v>0.22</v>
      </c>
      <c r="G282" s="33" t="n">
        <v>0.1</v>
      </c>
      <c r="H282" s="16" t="n">
        <v>45800</v>
      </c>
      <c r="I282" s="29" t="n">
        <v>0.22</v>
      </c>
      <c r="J282" s="33" t="n">
        <v>0.1</v>
      </c>
    </row>
    <row r="283">
      <c r="B283" s="16" t="n">
        <v>121800</v>
      </c>
      <c r="C283" s="29" t="n">
        <v>0.24</v>
      </c>
      <c r="D283" s="33" t="n">
        <v>0.01999999999999999</v>
      </c>
      <c r="E283" s="16" t="n">
        <v>60900</v>
      </c>
      <c r="F283" s="29" t="n">
        <v>0.24</v>
      </c>
      <c r="G283" s="33" t="n">
        <v>0.01999999999999999</v>
      </c>
      <c r="H283" s="16" t="n">
        <v>64925</v>
      </c>
      <c r="I283" s="29" t="n">
        <v>0.24</v>
      </c>
      <c r="J283" s="33" t="n">
        <v>0.01999999999999999</v>
      </c>
    </row>
    <row r="284">
      <c r="B284" s="16" t="n">
        <v>217875</v>
      </c>
      <c r="C284" s="29" t="n">
        <v>0.32</v>
      </c>
      <c r="D284" s="33" t="n">
        <v>0.08000000000000002</v>
      </c>
      <c r="E284" s="16" t="n">
        <v>108938</v>
      </c>
      <c r="F284" s="29" t="n">
        <v>0.32</v>
      </c>
      <c r="G284" s="33" t="n">
        <v>0.08000000000000002</v>
      </c>
      <c r="H284" s="16" t="n">
        <v>112950</v>
      </c>
      <c r="I284" s="29" t="n">
        <v>0.32</v>
      </c>
      <c r="J284" s="33" t="n">
        <v>0.08000000000000002</v>
      </c>
    </row>
    <row r="285">
      <c r="B285" s="16" t="n">
        <v>272325</v>
      </c>
      <c r="C285" s="29" t="n">
        <v>0.35</v>
      </c>
      <c r="D285" s="33" t="n">
        <v>0.02999999999999997</v>
      </c>
      <c r="E285" s="16" t="n">
        <v>136163</v>
      </c>
      <c r="F285" s="29" t="n">
        <v>0.35</v>
      </c>
      <c r="G285" s="33" t="n">
        <v>0.02999999999999997</v>
      </c>
      <c r="H285" s="16" t="n">
        <v>140175</v>
      </c>
      <c r="I285" s="29" t="n">
        <v>0.35</v>
      </c>
      <c r="J285" s="33" t="n">
        <v>0.02999999999999997</v>
      </c>
    </row>
    <row r="286">
      <c r="B286" s="16" t="n">
        <v>400450</v>
      </c>
      <c r="C286" s="29" t="n">
        <v>0.37</v>
      </c>
      <c r="D286" s="33" t="n">
        <v>0.02000000000000002</v>
      </c>
      <c r="E286" s="16" t="n">
        <v>328350</v>
      </c>
      <c r="F286" s="29" t="n">
        <v>0.37</v>
      </c>
      <c r="G286" s="33" t="n">
        <v>0.02000000000000002</v>
      </c>
      <c r="H286" s="16" t="n">
        <v>332375</v>
      </c>
      <c r="I286" s="29" t="n">
        <v>0.37</v>
      </c>
      <c r="J286" s="33" t="n">
        <v>0.02000000000000002</v>
      </c>
    </row>
    <row r="289">
      <c r="B289" s="16" t="n">
        <v>0</v>
      </c>
      <c r="C289" s="29" t="n">
        <v>0.011</v>
      </c>
      <c r="D289" s="33" t="n">
        <v>0.011</v>
      </c>
      <c r="E289" s="16" t="n">
        <v>0</v>
      </c>
      <c r="F289" s="29" t="n">
        <v>0.011</v>
      </c>
      <c r="G289" s="33" t="n">
        <v>0.011</v>
      </c>
      <c r="H289" s="16" t="n">
        <v>0</v>
      </c>
      <c r="I289" s="29" t="n">
        <v>0.011</v>
      </c>
      <c r="J289" s="33" t="n">
        <v>0.011</v>
      </c>
    </row>
    <row r="290">
      <c r="B290" s="16" t="n">
        <v>11079</v>
      </c>
      <c r="C290" s="29" t="n">
        <v>0.022</v>
      </c>
      <c r="D290" s="33" t="n">
        <v>0.011</v>
      </c>
      <c r="E290" s="16" t="n">
        <v>22158</v>
      </c>
      <c r="F290" s="29" t="n">
        <v>0.022</v>
      </c>
      <c r="G290" s="33" t="n">
        <v>0.011</v>
      </c>
      <c r="H290" s="16" t="n">
        <v>22173</v>
      </c>
      <c r="I290" s="29" t="n">
        <v>0.022</v>
      </c>
      <c r="J290" s="33" t="n">
        <v>0.011</v>
      </c>
    </row>
    <row r="291">
      <c r="B291" s="16" t="n">
        <v>26264</v>
      </c>
      <c r="C291" s="29" t="n">
        <v>0.044</v>
      </c>
      <c r="D291" s="33" t="n">
        <v>0.022</v>
      </c>
      <c r="E291" s="16" t="n">
        <v>52528</v>
      </c>
      <c r="F291" s="29" t="n">
        <v>0.044</v>
      </c>
      <c r="G291" s="33" t="n">
        <v>0.022</v>
      </c>
      <c r="H291" s="16" t="n">
        <v>52530</v>
      </c>
      <c r="I291" s="29" t="n">
        <v>0.044</v>
      </c>
      <c r="J291" s="33" t="n">
        <v>0.022</v>
      </c>
    </row>
    <row r="292">
      <c r="B292" s="16" t="n">
        <v>41452</v>
      </c>
      <c r="C292" s="29" t="n">
        <v>0.066</v>
      </c>
      <c r="D292" s="33" t="n">
        <v>0.02200000000000001</v>
      </c>
      <c r="E292" s="16" t="n">
        <v>82904</v>
      </c>
      <c r="F292" s="29" t="n">
        <v>0.066</v>
      </c>
      <c r="G292" s="33" t="n">
        <v>0.02200000000000001</v>
      </c>
      <c r="H292" s="16" t="n">
        <v>67716</v>
      </c>
      <c r="I292" s="29" t="n">
        <v>0.066</v>
      </c>
      <c r="J292" s="33" t="n">
        <v>0.02200000000000001</v>
      </c>
    </row>
    <row r="293">
      <c r="B293" s="16" t="n">
        <v>57542</v>
      </c>
      <c r="C293" s="29" t="n">
        <v>0.08799999999999999</v>
      </c>
      <c r="D293" s="33" t="n">
        <v>0.02199999999999999</v>
      </c>
      <c r="E293" s="16" t="n">
        <v>115084</v>
      </c>
      <c r="F293" s="29" t="n">
        <v>0.08799999999999999</v>
      </c>
      <c r="G293" s="33" t="n">
        <v>0.02199999999999999</v>
      </c>
      <c r="H293" s="16" t="n">
        <v>83805</v>
      </c>
      <c r="I293" s="29" t="n">
        <v>0.08799999999999999</v>
      </c>
      <c r="J293" s="33" t="n">
        <v>0.02199999999999999</v>
      </c>
    </row>
    <row r="294">
      <c r="B294" s="16" t="n">
        <v>72724</v>
      </c>
      <c r="C294" s="29" t="n">
        <v>0.1023</v>
      </c>
      <c r="D294" s="33" t="n">
        <v>0.01430000000000001</v>
      </c>
      <c r="E294" s="16" t="n">
        <v>145448</v>
      </c>
      <c r="F294" s="29" t="n">
        <v>0.1023</v>
      </c>
      <c r="G294" s="33" t="n">
        <v>0.01430000000000001</v>
      </c>
      <c r="H294" s="16" t="n">
        <v>98990</v>
      </c>
      <c r="I294" s="29" t="n">
        <v>0.1023</v>
      </c>
      <c r="J294" s="33" t="n">
        <v>0.01430000000000001</v>
      </c>
    </row>
    <row r="295">
      <c r="B295" s="16" t="n">
        <v>371479</v>
      </c>
      <c r="C295" s="29" t="n">
        <v>0.1133</v>
      </c>
      <c r="D295" s="33" t="n">
        <v>0.011</v>
      </c>
      <c r="E295" s="16" t="n">
        <v>742958</v>
      </c>
      <c r="F295" s="29" t="n">
        <v>0.1133</v>
      </c>
      <c r="G295" s="33" t="n">
        <v>0.011</v>
      </c>
      <c r="H295" s="16" t="n">
        <v>505208</v>
      </c>
      <c r="I295" s="29" t="n">
        <v>0.1133</v>
      </c>
      <c r="J295" s="33" t="n">
        <v>0.011</v>
      </c>
    </row>
    <row r="296">
      <c r="B296" s="16" t="n">
        <v>445771</v>
      </c>
      <c r="C296" s="29" t="n">
        <v>0.1243</v>
      </c>
      <c r="D296" s="33" t="n">
        <v>0.011</v>
      </c>
      <c r="E296" s="16" t="n">
        <v>891542</v>
      </c>
      <c r="F296" s="29" t="n">
        <v>0.1243</v>
      </c>
      <c r="G296" s="33" t="n">
        <v>0.011</v>
      </c>
      <c r="H296" s="16" t="n">
        <v>606251</v>
      </c>
      <c r="I296" s="29" t="n">
        <v>0.1243</v>
      </c>
      <c r="J296" s="33" t="n">
        <v>0.011</v>
      </c>
    </row>
    <row r="297">
      <c r="B297" s="16" t="n">
        <v>742953</v>
      </c>
      <c r="C297" s="29" t="n">
        <v>0.1353</v>
      </c>
      <c r="D297" s="33" t="n">
        <v>0.01100000000000001</v>
      </c>
      <c r="E297" s="16" t="n">
        <v>1000000</v>
      </c>
      <c r="F297" s="29" t="n">
        <v>0.1353</v>
      </c>
      <c r="G297" s="33" t="n">
        <v>0.01100000000000001</v>
      </c>
      <c r="H297" s="16" t="n">
        <v>1000000</v>
      </c>
      <c r="I297" s="29" t="n">
        <v>0.1353</v>
      </c>
      <c r="J297" s="33" t="n">
        <v>0.01100000000000001</v>
      </c>
    </row>
    <row r="298">
      <c r="B298" s="16" t="n">
        <v>1000000</v>
      </c>
      <c r="C298" s="29" t="n">
        <v>0.1463</v>
      </c>
      <c r="D298" s="33" t="n">
        <v>0.01100000000000001</v>
      </c>
      <c r="E298" s="16" t="n">
        <v>1485906</v>
      </c>
      <c r="F298" s="29" t="n">
        <v>0.1463</v>
      </c>
      <c r="G298" s="33" t="n">
        <v>0.01100000000000001</v>
      </c>
      <c r="H298" s="16" t="n">
        <v>1010417</v>
      </c>
      <c r="I298" s="29" t="n">
        <v>0.1463</v>
      </c>
      <c r="J298" s="33" t="n">
        <v>0.01100000000000001</v>
      </c>
    </row>
    <row r="332">
      <c r="B332" s="16" t="n">
        <v>0</v>
      </c>
      <c r="C332" s="29" t="n">
        <v>0.02</v>
      </c>
      <c r="D332" s="33" t="n">
        <v>0.02</v>
      </c>
      <c r="E332" s="16" t="n">
        <v>0</v>
      </c>
      <c r="F332" s="29" t="n">
        <v>0.02</v>
      </c>
      <c r="G332" s="33" t="n">
        <v>0.02</v>
      </c>
      <c r="H332" s="16" t="n">
        <v>0</v>
      </c>
      <c r="I332" s="29" t="n">
        <v>0</v>
      </c>
      <c r="J332" s="33" t="n">
        <v>0</v>
      </c>
    </row>
    <row r="333">
      <c r="B333" s="16" t="n">
        <v>500</v>
      </c>
      <c r="C333" s="29" t="n">
        <v>0.04</v>
      </c>
      <c r="D333" s="33" t="n">
        <v>0.02</v>
      </c>
      <c r="E333" s="16" t="n">
        <v>1000</v>
      </c>
      <c r="F333" s="29" t="n">
        <v>0.04</v>
      </c>
      <c r="G333" s="33" t="n">
        <v>0.02</v>
      </c>
      <c r="H333" s="16" t="n">
        <v>5600</v>
      </c>
      <c r="I333" s="29" t="n">
        <v>0.02</v>
      </c>
      <c r="J333" s="33" t="n">
        <v>0.02</v>
      </c>
    </row>
    <row r="334">
      <c r="B334" s="16" t="n">
        <v>3000</v>
      </c>
      <c r="C334" s="29" t="n">
        <v>0.05</v>
      </c>
      <c r="D334" s="33" t="n">
        <v>0.01</v>
      </c>
      <c r="E334" s="16" t="n">
        <v>6000</v>
      </c>
      <c r="F334" s="29" t="n">
        <v>0.05</v>
      </c>
      <c r="G334" s="33" t="n">
        <v>0.01</v>
      </c>
      <c r="H334" s="16" t="n">
        <v>11200</v>
      </c>
      <c r="I334" s="29" t="n">
        <v>0.03</v>
      </c>
      <c r="J334" s="33" t="n">
        <v>0.009999999999999998</v>
      </c>
    </row>
    <row r="335">
      <c r="H335" s="16" t="n">
        <v>16000</v>
      </c>
      <c r="I335" s="29" t="n">
        <v>0.034</v>
      </c>
      <c r="J335" s="33" t="n">
        <v>0.004000000000000004</v>
      </c>
    </row>
    <row r="336">
      <c r="H336" s="16" t="n">
        <v>26400</v>
      </c>
      <c r="I336" s="29" t="n">
        <v>0.037</v>
      </c>
      <c r="J336" s="33" t="n">
        <v>0.002999999999999996</v>
      </c>
    </row>
    <row r="341">
      <c r="B341" s="16" t="n">
        <v>0</v>
      </c>
      <c r="C341" s="29" t="n">
        <v>0</v>
      </c>
      <c r="D341" s="33" t="n">
        <v>0</v>
      </c>
      <c r="E341" s="16" t="n">
        <v>0</v>
      </c>
      <c r="F341" s="29" t="n">
        <v>0.014</v>
      </c>
      <c r="G341" s="33" t="n">
        <v>0.014</v>
      </c>
      <c r="H341" s="16" t="n">
        <v>0</v>
      </c>
      <c r="I341" s="29" t="n">
        <v>0.014</v>
      </c>
      <c r="J341" s="33" t="n">
        <v>0.014</v>
      </c>
    </row>
    <row r="342">
      <c r="B342" s="16" t="n">
        <v>2000</v>
      </c>
      <c r="C342" s="29" t="n">
        <v>0.022</v>
      </c>
      <c r="D342" s="33" t="n">
        <v>0.022</v>
      </c>
      <c r="E342" s="16" t="n">
        <v>9600</v>
      </c>
      <c r="F342" s="29" t="n">
        <v>0.032</v>
      </c>
      <c r="G342" s="33" t="n">
        <v>0.018</v>
      </c>
      <c r="H342" s="16" t="n">
        <v>19200</v>
      </c>
      <c r="I342" s="29" t="n">
        <v>0.032</v>
      </c>
      <c r="J342" s="33" t="n">
        <v>0.018</v>
      </c>
    </row>
    <row r="343">
      <c r="B343" s="16" t="n">
        <v>5000</v>
      </c>
      <c r="C343" s="29" t="n">
        <v>0.039</v>
      </c>
      <c r="D343" s="33" t="n">
        <v>0.017</v>
      </c>
      <c r="E343" s="16" t="n">
        <v>14400</v>
      </c>
      <c r="F343" s="29" t="n">
        <v>0.055</v>
      </c>
      <c r="G343" s="33" t="n">
        <v>0.023</v>
      </c>
      <c r="H343" s="16" t="n">
        <v>28800</v>
      </c>
      <c r="I343" s="29" t="n">
        <v>0.055</v>
      </c>
      <c r="J343" s="33" t="n">
        <v>0.023</v>
      </c>
    </row>
    <row r="344">
      <c r="B344" s="16" t="n">
        <v>10000</v>
      </c>
      <c r="C344" s="29" t="n">
        <v>0.048</v>
      </c>
      <c r="D344" s="33" t="n">
        <v>0.009000000000000001</v>
      </c>
      <c r="E344" s="16" t="n">
        <v>19200</v>
      </c>
      <c r="F344" s="29" t="n">
        <v>0.064</v>
      </c>
      <c r="G344" s="33" t="n">
        <v>0.009000000000000001</v>
      </c>
      <c r="H344" s="16" t="n">
        <v>38400</v>
      </c>
      <c r="I344" s="29" t="n">
        <v>0.064</v>
      </c>
      <c r="J344" s="33" t="n">
        <v>0.009000000000000001</v>
      </c>
    </row>
    <row r="345">
      <c r="B345" s="16" t="n">
        <v>20000</v>
      </c>
      <c r="C345" s="29" t="n">
        <v>0.052</v>
      </c>
      <c r="D345" s="33" t="n">
        <v>0.003999999999999997</v>
      </c>
      <c r="E345" s="16" t="n">
        <v>24000</v>
      </c>
      <c r="F345" s="29" t="n">
        <v>0.068</v>
      </c>
      <c r="G345" s="33" t="n">
        <v>0.004000000000000004</v>
      </c>
      <c r="H345" s="16" t="n">
        <v>48000</v>
      </c>
      <c r="I345" s="29" t="n">
        <v>0.068</v>
      </c>
      <c r="J345" s="33" t="n">
        <v>0.004000000000000004</v>
      </c>
    </row>
    <row r="346">
      <c r="B346" s="16" t="n">
        <v>25000</v>
      </c>
      <c r="C346" s="29" t="n">
        <v>0.0555</v>
      </c>
      <c r="D346" s="33" t="n">
        <v>0.003500000000000003</v>
      </c>
      <c r="E346" s="16" t="n">
        <v>36000</v>
      </c>
      <c r="F346" s="29" t="n">
        <v>0.07199999999999999</v>
      </c>
      <c r="G346" s="33" t="n">
        <v>0.00399999999999999</v>
      </c>
      <c r="H346" s="16" t="n">
        <v>72000</v>
      </c>
      <c r="I346" s="29" t="n">
        <v>0.07199999999999999</v>
      </c>
      <c r="J346" s="33" t="n">
        <v>0.00399999999999999</v>
      </c>
    </row>
    <row r="347">
      <c r="B347" s="16" t="n">
        <v>60000</v>
      </c>
      <c r="C347" s="29" t="n">
        <v>0.066</v>
      </c>
      <c r="D347" s="33" t="n">
        <v>0.0105</v>
      </c>
      <c r="E347" s="16" t="n">
        <v>48000</v>
      </c>
      <c r="F347" s="29" t="n">
        <v>0.076</v>
      </c>
      <c r="G347" s="33" t="n">
        <v>0.004000000000000004</v>
      </c>
      <c r="H347" s="16" t="n">
        <v>96000</v>
      </c>
      <c r="I347" s="29" t="n">
        <v>0.076</v>
      </c>
      <c r="J347" s="33" t="n">
        <v>0.004000000000000004</v>
      </c>
    </row>
    <row r="348">
      <c r="E348" s="16" t="n">
        <v>125000</v>
      </c>
      <c r="F348" s="29" t="n">
        <v>0.079</v>
      </c>
      <c r="G348" s="33" t="n">
        <v>0.003000000000000003</v>
      </c>
      <c r="H348" s="16" t="n">
        <v>250000</v>
      </c>
      <c r="I348" s="29" t="n">
        <v>0.079</v>
      </c>
      <c r="J348" s="33" t="n">
        <v>0.003000000000000003</v>
      </c>
    </row>
    <row r="353">
      <c r="B353" s="16" t="n">
        <v>0</v>
      </c>
      <c r="C353" s="29" t="n">
        <v>0</v>
      </c>
      <c r="D353" s="33" t="n">
        <v>0</v>
      </c>
      <c r="E353" s="16" t="n">
        <v>0</v>
      </c>
      <c r="F353" s="29" t="n">
        <v>0</v>
      </c>
      <c r="G353" s="33" t="n">
        <v>0</v>
      </c>
      <c r="H353" s="16" t="n">
        <v>0</v>
      </c>
      <c r="I353" s="29" t="n">
        <v>0.0475</v>
      </c>
      <c r="J353" s="33" t="n">
        <v>0.0475</v>
      </c>
    </row>
    <row r="354">
      <c r="B354" s="16" t="n">
        <v>3600</v>
      </c>
      <c r="C354" s="29" t="n">
        <v>0.052</v>
      </c>
      <c r="D354" s="33" t="n">
        <v>0.052</v>
      </c>
      <c r="E354" s="16" t="n">
        <v>8232</v>
      </c>
      <c r="F354" s="29" t="n">
        <v>0.052</v>
      </c>
      <c r="G354" s="33" t="n">
        <v>0.052</v>
      </c>
      <c r="H354" s="16" t="n">
        <v>100000</v>
      </c>
      <c r="I354" s="29" t="n">
        <v>0.05</v>
      </c>
      <c r="J354" s="33" t="n">
        <v>0.002500000000000002</v>
      </c>
    </row>
    <row r="355">
      <c r="B355" s="16" t="n">
        <v>26616</v>
      </c>
      <c r="C355" s="29" t="n">
        <v>0.0558</v>
      </c>
      <c r="D355" s="33" t="n">
        <v>0.003800000000000005</v>
      </c>
      <c r="E355" s="16" t="n">
        <v>54240</v>
      </c>
      <c r="F355" s="29" t="n">
        <v>0.0558</v>
      </c>
      <c r="G355" s="33" t="n">
        <v>0.003800000000000005</v>
      </c>
      <c r="H355" s="16" t="n">
        <v>125000</v>
      </c>
      <c r="I355" s="29" t="n">
        <v>0.0525</v>
      </c>
      <c r="J355" s="33" t="n">
        <v>0.002499999999999995</v>
      </c>
    </row>
    <row r="356">
      <c r="H356" s="16" t="n">
        <v>150000</v>
      </c>
      <c r="I356" s="29" t="n">
        <v>0.055</v>
      </c>
      <c r="J356" s="33" t="n">
        <v>0.002500000000000002</v>
      </c>
    </row>
    <row r="357">
      <c r="H357" s="16" t="n">
        <v>250000</v>
      </c>
      <c r="I357" s="29" t="n">
        <v>0.0575</v>
      </c>
      <c r="J357" s="33" t="n">
        <v>0.002500000000000002</v>
      </c>
    </row>
    <row r="358">
      <c r="H358" s="16" t="n">
        <v>500000</v>
      </c>
      <c r="I358" s="29" t="n">
        <v>0.0625</v>
      </c>
      <c r="J358" s="33" t="n">
        <v>0.004999999999999998</v>
      </c>
    </row>
    <row r="359">
      <c r="H359" s="16" t="n">
        <v>1000000</v>
      </c>
      <c r="I359" s="29" t="n">
        <v>0.065</v>
      </c>
      <c r="J359" s="33" t="n">
        <v>0.002500000000000002</v>
      </c>
    </row>
    <row r="364">
      <c r="B364" s="16" t="n">
        <v>0</v>
      </c>
      <c r="C364" s="29" t="n">
        <v>0.0475</v>
      </c>
      <c r="D364" s="33" t="n">
        <v>0.0475</v>
      </c>
      <c r="E364" s="16" t="n">
        <v>0</v>
      </c>
      <c r="F364" s="29" t="n">
        <v>0</v>
      </c>
      <c r="G364" s="33" t="n">
        <v>0</v>
      </c>
      <c r="H364" s="16" t="n">
        <v>0</v>
      </c>
      <c r="I364" s="29" t="n">
        <v>0</v>
      </c>
      <c r="J364" s="33" t="n">
        <v>0</v>
      </c>
    </row>
    <row r="365">
      <c r="B365" s="16" t="n">
        <v>150000</v>
      </c>
      <c r="C365" s="29" t="n">
        <v>0.05</v>
      </c>
      <c r="D365" s="33" t="n">
        <v>0.002500000000000002</v>
      </c>
      <c r="E365" s="16" t="n">
        <v>4700</v>
      </c>
      <c r="F365" s="29" t="n">
        <v>0.0535</v>
      </c>
      <c r="G365" s="33" t="n">
        <v>0.0535</v>
      </c>
      <c r="H365" s="16" t="n">
        <v>14700</v>
      </c>
      <c r="I365" s="29" t="n">
        <v>0.0535</v>
      </c>
      <c r="J365" s="33" t="n">
        <v>0.0535</v>
      </c>
    </row>
    <row r="366">
      <c r="B366" s="16" t="n">
        <v>175000</v>
      </c>
      <c r="C366" s="29" t="n">
        <v>0.0525</v>
      </c>
      <c r="D366" s="33" t="n">
        <v>0.002499999999999995</v>
      </c>
      <c r="E366" s="16" t="n">
        <v>38010</v>
      </c>
      <c r="F366" s="29" t="n">
        <v>0.068</v>
      </c>
      <c r="G366" s="33" t="n">
        <v>0.01450000000000001</v>
      </c>
      <c r="H366" s="16" t="n">
        <v>63400</v>
      </c>
      <c r="I366" s="29" t="n">
        <v>0.068</v>
      </c>
      <c r="J366" s="33" t="n">
        <v>0.01450000000000001</v>
      </c>
    </row>
    <row r="367">
      <c r="B367" s="16" t="n">
        <v>225000</v>
      </c>
      <c r="C367" s="29" t="n">
        <v>0.055</v>
      </c>
      <c r="D367" s="33" t="n">
        <v>0.002500000000000002</v>
      </c>
      <c r="E367" s="16" t="n">
        <v>114130</v>
      </c>
      <c r="F367" s="29" t="n">
        <v>0.0785</v>
      </c>
      <c r="G367" s="33" t="n">
        <v>0.0105</v>
      </c>
      <c r="H367" s="16" t="n">
        <v>208180</v>
      </c>
      <c r="I367" s="29" t="n">
        <v>0.0785</v>
      </c>
      <c r="J367" s="33" t="n">
        <v>0.0105</v>
      </c>
    </row>
    <row r="368">
      <c r="B368" s="16" t="n">
        <v>300000</v>
      </c>
      <c r="C368" s="29" t="n">
        <v>0.0575</v>
      </c>
      <c r="D368" s="33" t="n">
        <v>0.002500000000000002</v>
      </c>
      <c r="E368" s="16" t="n">
        <v>207850</v>
      </c>
      <c r="F368" s="29" t="n">
        <v>0.0985</v>
      </c>
      <c r="G368" s="33" t="n">
        <v>0.02</v>
      </c>
      <c r="H368" s="16" t="n">
        <v>352630</v>
      </c>
      <c r="I368" s="29" t="n">
        <v>0.0985</v>
      </c>
      <c r="J368" s="33" t="n">
        <v>0.02</v>
      </c>
    </row>
    <row r="369">
      <c r="B369" s="16" t="n">
        <v>600000</v>
      </c>
      <c r="C369" s="29" t="n">
        <v>0.0625</v>
      </c>
      <c r="D369" s="33" t="n">
        <v>0.004999999999999998</v>
      </c>
    </row>
    <row r="370">
      <c r="B370" s="16" t="n">
        <v>1200000</v>
      </c>
      <c r="C370" s="29" t="n">
        <v>0.065</v>
      </c>
      <c r="D370" s="33" t="n">
        <v>0.002500000000000002</v>
      </c>
    </row>
    <row r="375">
      <c r="B375" s="16" t="n">
        <v>0</v>
      </c>
      <c r="C375" s="29" t="n">
        <v>0</v>
      </c>
      <c r="D375" s="33" t="n">
        <v>0</v>
      </c>
      <c r="E375" s="16" t="n">
        <v>0</v>
      </c>
      <c r="F375" s="29" t="n">
        <v>0</v>
      </c>
      <c r="G375" s="33" t="n">
        <v>0</v>
      </c>
      <c r="H375" s="16" t="n">
        <v>0</v>
      </c>
      <c r="I375" s="29" t="n">
        <v>0</v>
      </c>
      <c r="J375" s="33" t="n">
        <v>0</v>
      </c>
    </row>
    <row r="376">
      <c r="B376" s="16" t="n">
        <v>1348</v>
      </c>
      <c r="C376" s="29" t="n">
        <v>0.02</v>
      </c>
      <c r="D376" s="33" t="n">
        <v>0.02</v>
      </c>
      <c r="E376" s="16" t="n">
        <v>16100</v>
      </c>
      <c r="F376" s="29" t="n">
        <v>0.047</v>
      </c>
      <c r="G376" s="33" t="n">
        <v>0.047</v>
      </c>
      <c r="H376" s="16" t="n">
        <v>32200</v>
      </c>
      <c r="I376" s="29" t="n">
        <v>0.047</v>
      </c>
      <c r="J376" s="33" t="n">
        <v>0.047</v>
      </c>
    </row>
    <row r="377">
      <c r="B377" s="16" t="n">
        <v>2696</v>
      </c>
      <c r="C377" s="29" t="n">
        <v>0.025</v>
      </c>
      <c r="D377" s="33" t="n">
        <v>0.005000000000000001</v>
      </c>
      <c r="E377" s="16" t="n">
        <v>63600</v>
      </c>
      <c r="F377" s="29" t="n">
        <v>0.0565</v>
      </c>
      <c r="G377" s="33" t="n">
        <v>0.009500000000000001</v>
      </c>
      <c r="H377" s="16" t="n">
        <v>127200</v>
      </c>
      <c r="I377" s="29" t="n">
        <v>0.0565</v>
      </c>
      <c r="J377" s="33" t="n">
        <v>0.009500000000000001</v>
      </c>
    </row>
    <row r="378">
      <c r="B378" s="16" t="n">
        <v>4044</v>
      </c>
      <c r="C378" s="29" t="n">
        <v>0.03</v>
      </c>
      <c r="D378" s="33" t="n">
        <v>0.004999999999999998</v>
      </c>
    </row>
    <row r="379">
      <c r="B379" s="16" t="n">
        <v>5392</v>
      </c>
      <c r="C379" s="29" t="n">
        <v>0.035</v>
      </c>
      <c r="D379" s="33" t="n">
        <v>0.005000000000000004</v>
      </c>
    </row>
    <row r="380">
      <c r="B380" s="16" t="n">
        <v>6740</v>
      </c>
      <c r="C380" s="29" t="n">
        <v>0.04</v>
      </c>
      <c r="D380" s="33" t="n">
        <v>0.004999999999999998</v>
      </c>
    </row>
    <row r="381">
      <c r="B381" s="16" t="n">
        <v>8088</v>
      </c>
      <c r="C381" s="29" t="n">
        <v>0.045</v>
      </c>
      <c r="D381" s="33" t="n">
        <v>0.004999999999999998</v>
      </c>
    </row>
    <row r="382">
      <c r="B382" s="16" t="n">
        <v>9436</v>
      </c>
      <c r="C382" s="29" t="n">
        <v>0.047</v>
      </c>
      <c r="D382" s="33" t="n">
        <v>0.002000000000000002</v>
      </c>
    </row>
    <row r="387">
      <c r="B387" s="16" t="n">
        <v>0</v>
      </c>
      <c r="C387" s="29" t="n">
        <v>0</v>
      </c>
      <c r="D387" s="33" t="n">
        <v>0</v>
      </c>
      <c r="E387" s="16" t="n">
        <v>0</v>
      </c>
      <c r="F387" s="29" t="n">
        <v>0</v>
      </c>
      <c r="G387" s="33" t="n">
        <v>0</v>
      </c>
      <c r="H387" s="16" t="n">
        <v>0</v>
      </c>
      <c r="I387" s="29" t="n">
        <v>0</v>
      </c>
      <c r="J387" s="33" t="n">
        <v>0</v>
      </c>
    </row>
    <row r="388">
      <c r="B388" s="16" t="n">
        <v>24150</v>
      </c>
      <c r="C388" s="29" t="n">
        <v>0.047</v>
      </c>
      <c r="D388" s="33" t="n">
        <v>0.047</v>
      </c>
      <c r="E388" s="16" t="n">
        <v>57625</v>
      </c>
      <c r="F388" s="29" t="n">
        <v>0.0195</v>
      </c>
      <c r="G388" s="33" t="n">
        <v>0.0195</v>
      </c>
      <c r="H388" s="16" t="n">
        <v>57500</v>
      </c>
      <c r="I388" s="29" t="n">
        <v>0.0195</v>
      </c>
      <c r="J388" s="33" t="n">
        <v>0.0195</v>
      </c>
    </row>
    <row r="389">
      <c r="B389" s="16" t="n">
        <v>95400</v>
      </c>
      <c r="C389" s="29" t="n">
        <v>0.0565</v>
      </c>
      <c r="D389" s="33" t="n">
        <v>0.009500000000000001</v>
      </c>
      <c r="E389" s="16" t="n">
        <v>258450</v>
      </c>
      <c r="F389" s="29" t="n">
        <v>0.025</v>
      </c>
      <c r="G389" s="33" t="n">
        <v>0.005500000000000001</v>
      </c>
      <c r="H389" s="16" t="n">
        <v>168525</v>
      </c>
      <c r="I389" s="29" t="n">
        <v>0.025</v>
      </c>
      <c r="J389" s="33" t="n">
        <v>0.005500000000000001</v>
      </c>
    </row>
    <row r="394">
      <c r="B394" s="16" t="n">
        <v>0</v>
      </c>
      <c r="C394" s="29" t="n">
        <v>0</v>
      </c>
      <c r="D394" s="33" t="n">
        <v>0</v>
      </c>
      <c r="E394" s="16" t="n">
        <v>0</v>
      </c>
      <c r="F394" s="29" t="n">
        <v>0</v>
      </c>
      <c r="G394" s="33" t="n">
        <v>0</v>
      </c>
      <c r="H394" s="16" t="n">
        <v>0</v>
      </c>
      <c r="I394" s="29" t="n">
        <v>0</v>
      </c>
      <c r="J394" s="33" t="n">
        <v>0</v>
      </c>
    </row>
    <row r="395">
      <c r="B395" s="16" t="n">
        <v>78475</v>
      </c>
      <c r="C395" s="29" t="n">
        <v>0.0195</v>
      </c>
      <c r="D395" s="33" t="n">
        <v>0.0195</v>
      </c>
      <c r="E395" s="16" t="n">
        <v>3430</v>
      </c>
      <c r="F395" s="29" t="n">
        <v>0.0226</v>
      </c>
      <c r="G395" s="33" t="n">
        <v>0.0226</v>
      </c>
      <c r="H395" s="16" t="n">
        <v>8190</v>
      </c>
      <c r="I395" s="29" t="n">
        <v>0.0226</v>
      </c>
      <c r="J395" s="33" t="n">
        <v>0.0226</v>
      </c>
    </row>
    <row r="396">
      <c r="B396" s="16" t="n">
        <v>289675</v>
      </c>
      <c r="C396" s="29" t="n">
        <v>0.025</v>
      </c>
      <c r="D396" s="33" t="n">
        <v>0.005500000000000001</v>
      </c>
      <c r="E396" s="16" t="n">
        <v>6710</v>
      </c>
      <c r="F396" s="29" t="n">
        <v>0.0322</v>
      </c>
      <c r="G396" s="33" t="n">
        <v>0.009600000000000001</v>
      </c>
      <c r="H396" s="16" t="n">
        <v>13010</v>
      </c>
      <c r="I396" s="29" t="n">
        <v>0.0322</v>
      </c>
      <c r="J396" s="33" t="n">
        <v>0.009600000000000001</v>
      </c>
    </row>
    <row r="397">
      <c r="E397" s="16" t="n">
        <v>21810</v>
      </c>
      <c r="F397" s="29" t="n">
        <v>0.0421</v>
      </c>
      <c r="G397" s="33" t="n">
        <v>0.009899999999999999</v>
      </c>
      <c r="H397" s="16" t="n">
        <v>32400</v>
      </c>
      <c r="I397" s="29" t="n">
        <v>0.0421</v>
      </c>
      <c r="J397" s="33" t="n">
        <v>0.009899999999999999</v>
      </c>
    </row>
    <row r="398">
      <c r="E398" s="16" t="n">
        <v>31610</v>
      </c>
      <c r="F398" s="29" t="n">
        <v>0.0435</v>
      </c>
      <c r="G398" s="33" t="n">
        <v>0.001399999999999998</v>
      </c>
      <c r="H398" s="16" t="n">
        <v>50400</v>
      </c>
      <c r="I398" s="29" t="n">
        <v>0.0435</v>
      </c>
      <c r="J398" s="33" t="n">
        <v>0.001399999999999998</v>
      </c>
    </row>
    <row r="399">
      <c r="E399" s="16" t="n">
        <v>40130</v>
      </c>
      <c r="F399" s="29" t="n">
        <v>0.0448</v>
      </c>
      <c r="G399" s="33" t="n">
        <v>0.001300000000000003</v>
      </c>
      <c r="H399" s="16" t="n">
        <v>62530</v>
      </c>
      <c r="I399" s="29" t="n">
        <v>0.0448</v>
      </c>
      <c r="J399" s="33" t="n">
        <v>0.001300000000000003</v>
      </c>
    </row>
    <row r="400">
      <c r="E400" s="16" t="n">
        <v>75370</v>
      </c>
      <c r="F400" s="29" t="n">
        <v>0.046</v>
      </c>
      <c r="G400" s="33" t="n">
        <v>0.0012</v>
      </c>
      <c r="H400" s="16" t="n">
        <v>82920</v>
      </c>
      <c r="I400" s="29" t="n">
        <v>0.046</v>
      </c>
      <c r="J400" s="33" t="n">
        <v>0.0012</v>
      </c>
    </row>
    <row r="405">
      <c r="B405" s="16" t="n">
        <v>0</v>
      </c>
      <c r="C405" s="29" t="n">
        <v>0.015</v>
      </c>
      <c r="D405" s="33" t="n">
        <v>0.015</v>
      </c>
      <c r="E405" s="16" t="n">
        <v>0</v>
      </c>
      <c r="F405" s="29" t="n">
        <v>0.015</v>
      </c>
      <c r="G405" s="33" t="n">
        <v>0.015</v>
      </c>
      <c r="H405" s="16" t="n">
        <v>0</v>
      </c>
      <c r="I405" s="29" t="n">
        <v>0.015</v>
      </c>
      <c r="J405" s="33" t="n">
        <v>0.015</v>
      </c>
    </row>
    <row r="406">
      <c r="B406" s="16" t="n">
        <v>20000</v>
      </c>
      <c r="C406" s="29" t="n">
        <v>0.02</v>
      </c>
      <c r="D406" s="33" t="n">
        <v>0.005000000000000001</v>
      </c>
      <c r="E406" s="16" t="n">
        <v>20000</v>
      </c>
      <c r="F406" s="29" t="n">
        <v>0.02</v>
      </c>
      <c r="G406" s="33" t="n">
        <v>0.005000000000000001</v>
      </c>
      <c r="H406" s="16" t="n">
        <v>20000</v>
      </c>
      <c r="I406" s="29" t="n">
        <v>0.023</v>
      </c>
      <c r="J406" s="33" t="n">
        <v>0.008</v>
      </c>
    </row>
    <row r="407">
      <c r="B407" s="16" t="n">
        <v>35000</v>
      </c>
      <c r="C407" s="29" t="n">
        <v>0.039</v>
      </c>
      <c r="D407" s="33" t="n">
        <v>0.019</v>
      </c>
      <c r="E407" s="16" t="n">
        <v>50000</v>
      </c>
      <c r="F407" s="29" t="n">
        <v>0.027</v>
      </c>
      <c r="G407" s="33" t="n">
        <v>0.006999999999999999</v>
      </c>
      <c r="H407" s="16" t="n">
        <v>40000</v>
      </c>
      <c r="I407" s="29" t="n">
        <v>0.028</v>
      </c>
      <c r="J407" s="33" t="n">
        <v>0.005000000000000001</v>
      </c>
    </row>
    <row r="408">
      <c r="B408" s="16" t="n">
        <v>40000</v>
      </c>
      <c r="C408" s="29" t="n">
        <v>0.061</v>
      </c>
      <c r="D408" s="33" t="n">
        <v>0.022</v>
      </c>
      <c r="E408" s="16" t="n">
        <v>70000</v>
      </c>
      <c r="F408" s="29" t="n">
        <v>0.039</v>
      </c>
      <c r="G408" s="33" t="n">
        <v>0.012</v>
      </c>
      <c r="H408" s="16" t="n">
        <v>50000</v>
      </c>
      <c r="I408" s="29" t="n">
        <v>0.035</v>
      </c>
      <c r="J408" s="33" t="n">
        <v>0.007000000000000003</v>
      </c>
    </row>
    <row r="409">
      <c r="B409" s="16" t="n">
        <v>75000</v>
      </c>
      <c r="C409" s="29" t="n">
        <v>0.07000000000000001</v>
      </c>
      <c r="D409" s="33" t="n">
        <v>0.009000000000000008</v>
      </c>
      <c r="E409" s="16" t="n">
        <v>80000</v>
      </c>
      <c r="F409" s="29" t="n">
        <v>0.061</v>
      </c>
      <c r="G409" s="33" t="n">
        <v>0.022</v>
      </c>
      <c r="H409" s="16" t="n">
        <v>60000</v>
      </c>
      <c r="I409" s="29" t="n">
        <v>0.056</v>
      </c>
      <c r="J409" s="33" t="n">
        <v>0.021</v>
      </c>
    </row>
    <row r="410">
      <c r="B410" s="16" t="n">
        <v>500000</v>
      </c>
      <c r="C410" s="29" t="n">
        <v>0.099</v>
      </c>
      <c r="D410" s="33" t="n">
        <v>0.029</v>
      </c>
      <c r="E410" s="16" t="n">
        <v>150000</v>
      </c>
      <c r="F410" s="29" t="n">
        <v>0.07000000000000001</v>
      </c>
      <c r="G410" s="33" t="n">
        <v>0.009000000000000008</v>
      </c>
      <c r="H410" s="16" t="n">
        <v>150000</v>
      </c>
      <c r="I410" s="29" t="n">
        <v>0.066</v>
      </c>
      <c r="J410" s="33" t="n">
        <v>0.01</v>
      </c>
    </row>
    <row r="411">
      <c r="B411" s="16" t="n">
        <v>1000000</v>
      </c>
      <c r="C411" s="29" t="n">
        <v>0.118</v>
      </c>
      <c r="D411" s="33" t="n">
        <v>0.01899999999999999</v>
      </c>
      <c r="E411" s="16" t="n">
        <v>500000</v>
      </c>
      <c r="F411" s="29" t="n">
        <v>0.099</v>
      </c>
      <c r="G411" s="33" t="n">
        <v>0.029</v>
      </c>
      <c r="H411" s="16" t="n">
        <v>500000</v>
      </c>
      <c r="I411" s="29" t="n">
        <v>0.099</v>
      </c>
      <c r="J411" s="33" t="n">
        <v>0.033</v>
      </c>
    </row>
    <row r="412">
      <c r="E412" s="16" t="n">
        <v>1000000</v>
      </c>
      <c r="F412" s="29" t="n">
        <v>0.118</v>
      </c>
      <c r="G412" s="33" t="n">
        <v>0.01899999999999999</v>
      </c>
      <c r="H412" s="16" t="n">
        <v>1000000</v>
      </c>
      <c r="I412" s="29" t="n">
        <v>0.118</v>
      </c>
      <c r="J412" s="33" t="n">
        <v>0.01899999999999999</v>
      </c>
    </row>
    <row r="417">
      <c r="B417" s="16" t="n">
        <v>0</v>
      </c>
      <c r="C417" s="29" t="n">
        <v>0.015</v>
      </c>
      <c r="D417" s="33" t="n">
        <v>0.015</v>
      </c>
      <c r="E417" s="16" t="n">
        <v>0</v>
      </c>
      <c r="F417" s="29" t="n">
        <v>0.015</v>
      </c>
      <c r="G417" s="33" t="n">
        <v>0.015</v>
      </c>
      <c r="H417" s="16" t="n">
        <v>0</v>
      </c>
      <c r="I417" s="29" t="n">
        <v>0.039</v>
      </c>
      <c r="J417" s="33" t="n">
        <v>0.039</v>
      </c>
    </row>
    <row r="418">
      <c r="B418" s="16" t="n">
        <v>20000</v>
      </c>
      <c r="C418" s="29" t="n">
        <v>0.027</v>
      </c>
      <c r="D418" s="33" t="n">
        <v>0.012</v>
      </c>
      <c r="E418" s="16" t="n">
        <v>20000</v>
      </c>
      <c r="F418" s="29" t="n">
        <v>0.02</v>
      </c>
      <c r="G418" s="33" t="n">
        <v>0.005000000000000001</v>
      </c>
      <c r="H418" s="16" t="n">
        <v>8500</v>
      </c>
      <c r="I418" s="29" t="n">
        <v>0.044</v>
      </c>
      <c r="J418" s="33" t="n">
        <v>0.004999999999999998</v>
      </c>
    </row>
    <row r="419">
      <c r="B419" s="16" t="n">
        <v>40000</v>
      </c>
      <c r="C419" s="29" t="n">
        <v>0.034</v>
      </c>
      <c r="D419" s="33" t="n">
        <v>0.007000000000000003</v>
      </c>
      <c r="E419" s="16" t="n">
        <v>35000</v>
      </c>
      <c r="F419" s="29" t="n">
        <v>0.058</v>
      </c>
      <c r="G419" s="33" t="n">
        <v>0.03800000000000001</v>
      </c>
      <c r="H419" s="16" t="n">
        <v>11700</v>
      </c>
      <c r="I419" s="29" t="n">
        <v>0.0515</v>
      </c>
      <c r="J419" s="33" t="n">
        <v>0.0075</v>
      </c>
    </row>
    <row r="420">
      <c r="B420" s="16" t="n">
        <v>50000</v>
      </c>
      <c r="C420" s="29" t="n">
        <v>0.043</v>
      </c>
      <c r="D420" s="33" t="n">
        <v>0.008999999999999994</v>
      </c>
      <c r="E420" s="16" t="n">
        <v>100000</v>
      </c>
      <c r="F420" s="29" t="n">
        <v>0.065</v>
      </c>
      <c r="G420" s="33" t="n">
        <v>0.006999999999999999</v>
      </c>
      <c r="H420" s="16" t="n">
        <v>13900</v>
      </c>
      <c r="I420" s="29" t="n">
        <v>0.054</v>
      </c>
      <c r="J420" s="33" t="n">
        <v>0.002500000000000002</v>
      </c>
    </row>
    <row r="421">
      <c r="B421" s="16" t="n">
        <v>60000</v>
      </c>
      <c r="C421" s="29" t="n">
        <v>0.056</v>
      </c>
      <c r="D421" s="33" t="n">
        <v>0.013</v>
      </c>
      <c r="E421" s="16" t="n">
        <v>500000</v>
      </c>
      <c r="F421" s="29" t="n">
        <v>0.099</v>
      </c>
      <c r="G421" s="33" t="n">
        <v>0.034</v>
      </c>
      <c r="H421" s="16" t="n">
        <v>80650</v>
      </c>
      <c r="I421" s="29" t="n">
        <v>0.059</v>
      </c>
      <c r="J421" s="33" t="n">
        <v>0.004999999999999998</v>
      </c>
    </row>
    <row r="422">
      <c r="B422" s="16" t="n">
        <v>150000</v>
      </c>
      <c r="C422" s="29" t="n">
        <v>0.065</v>
      </c>
      <c r="D422" s="33" t="n">
        <v>0.009000000000000001</v>
      </c>
      <c r="E422" s="16" t="n">
        <v>1000000</v>
      </c>
      <c r="F422" s="29" t="n">
        <v>0.118</v>
      </c>
      <c r="G422" s="33" t="n">
        <v>0.01899999999999999</v>
      </c>
      <c r="H422" s="16" t="n">
        <v>96800</v>
      </c>
      <c r="I422" s="29" t="n">
        <v>0.0703</v>
      </c>
      <c r="J422" s="33" t="n">
        <v>0.0113</v>
      </c>
    </row>
    <row r="423">
      <c r="B423" s="16" t="n">
        <v>500000</v>
      </c>
      <c r="C423" s="29" t="n">
        <v>0.099</v>
      </c>
      <c r="D423" s="33" t="n">
        <v>0.034</v>
      </c>
      <c r="H423" s="16" t="n">
        <v>107650</v>
      </c>
      <c r="I423" s="29" t="n">
        <v>0.07530000000000001</v>
      </c>
      <c r="J423" s="33" t="n">
        <v>0.005000000000000004</v>
      </c>
    </row>
    <row r="424">
      <c r="B424" s="16" t="n">
        <v>1000000</v>
      </c>
      <c r="C424" s="29" t="n">
        <v>0.118</v>
      </c>
      <c r="D424" s="33" t="n">
        <v>0.01899999999999999</v>
      </c>
      <c r="H424" s="16" t="n">
        <v>157650</v>
      </c>
      <c r="I424" s="29" t="n">
        <v>0.064</v>
      </c>
      <c r="J424" s="33" t="n">
        <v>-0.0113</v>
      </c>
    </row>
    <row r="425">
      <c r="H425" s="16" t="n">
        <v>215400</v>
      </c>
      <c r="I425" s="29" t="n">
        <v>0.1144</v>
      </c>
      <c r="J425" s="33" t="n">
        <v>0.0504</v>
      </c>
    </row>
    <row r="426">
      <c r="H426" s="16" t="n">
        <v>265400</v>
      </c>
      <c r="I426" s="29" t="n">
        <v>0.0735</v>
      </c>
      <c r="J426" s="33" t="n">
        <v>-0.04090000000000001</v>
      </c>
    </row>
    <row r="427">
      <c r="H427" s="16" t="n">
        <v>1077550</v>
      </c>
      <c r="I427" s="29" t="n">
        <v>0.1045</v>
      </c>
      <c r="J427" s="33" t="n">
        <v>0.031</v>
      </c>
    </row>
    <row r="428">
      <c r="H428" s="16" t="n">
        <v>5000000</v>
      </c>
      <c r="I428" s="29" t="n">
        <v>0.111</v>
      </c>
      <c r="J428" s="33" t="n">
        <v>0.006500000000000006</v>
      </c>
    </row>
    <row r="429">
      <c r="H429" s="16" t="n">
        <v>25000000</v>
      </c>
      <c r="I429" s="29" t="n">
        <v>0.117</v>
      </c>
      <c r="J429" s="33" t="n">
        <v>0.006000000000000005</v>
      </c>
    </row>
    <row r="434">
      <c r="B434" s="16" t="n">
        <v>0</v>
      </c>
      <c r="C434" s="29" t="n">
        <v>0.039</v>
      </c>
      <c r="D434" s="33" t="n">
        <v>0.039</v>
      </c>
      <c r="E434" s="16" t="n">
        <v>0</v>
      </c>
      <c r="F434" s="29" t="n">
        <v>0.0205</v>
      </c>
      <c r="G434" s="33" t="n">
        <v>0.0205</v>
      </c>
      <c r="H434" s="16" t="n">
        <v>0</v>
      </c>
      <c r="I434" s="29" t="n">
        <v>0.01775</v>
      </c>
      <c r="J434" s="33" t="n">
        <v>0.01775</v>
      </c>
    </row>
    <row r="435">
      <c r="B435" s="16" t="n">
        <v>8500</v>
      </c>
      <c r="C435" s="29" t="n">
        <v>0.044</v>
      </c>
      <c r="D435" s="33" t="n">
        <v>0.004999999999999998</v>
      </c>
      <c r="E435" s="16" t="n">
        <v>8000</v>
      </c>
      <c r="F435" s="29" t="n">
        <v>0.028</v>
      </c>
      <c r="G435" s="33" t="n">
        <v>0.0075</v>
      </c>
      <c r="H435" s="16" t="n">
        <v>26050</v>
      </c>
      <c r="I435" s="29" t="n">
        <v>0.0299</v>
      </c>
      <c r="J435" s="33" t="n">
        <v>0.01215</v>
      </c>
    </row>
    <row r="436">
      <c r="B436" s="16" t="n">
        <v>11700</v>
      </c>
      <c r="C436" s="29" t="n">
        <v>0.0515</v>
      </c>
      <c r="D436" s="33" t="n">
        <v>0.0075</v>
      </c>
      <c r="E436" s="16" t="n">
        <v>8700</v>
      </c>
      <c r="F436" s="29" t="n">
        <v>0.0325</v>
      </c>
      <c r="G436" s="33" t="n">
        <v>0.004500000000000001</v>
      </c>
      <c r="H436" s="16" t="n">
        <v>100000</v>
      </c>
      <c r="I436" s="29" t="n">
        <v>0.0364</v>
      </c>
      <c r="J436" s="33" t="n">
        <v>0.006500000000000002</v>
      </c>
    </row>
    <row r="437">
      <c r="B437" s="16" t="n">
        <v>13900</v>
      </c>
      <c r="C437" s="29" t="n">
        <v>0.054</v>
      </c>
      <c r="D437" s="33" t="n">
        <v>0.002500000000000002</v>
      </c>
      <c r="E437" s="16" t="n">
        <v>15000</v>
      </c>
      <c r="F437" s="29" t="n">
        <v>0.0395</v>
      </c>
      <c r="G437" s="33" t="n">
        <v>0.006999999999999999</v>
      </c>
    </row>
    <row r="438">
      <c r="B438" s="16" t="n">
        <v>80650</v>
      </c>
      <c r="C438" s="29" t="n">
        <v>0.059</v>
      </c>
      <c r="D438" s="33" t="n">
        <v>0.004999999999999998</v>
      </c>
      <c r="E438" s="16" t="n">
        <v>25000</v>
      </c>
      <c r="F438" s="29" t="n">
        <v>0.0415</v>
      </c>
      <c r="G438" s="33" t="n">
        <v>0.002000000000000002</v>
      </c>
    </row>
    <row r="439">
      <c r="B439" s="16" t="n">
        <v>96800</v>
      </c>
      <c r="C439" s="29" t="n">
        <v>0.06569999999999999</v>
      </c>
      <c r="D439" s="33" t="n">
        <v>0.006699999999999998</v>
      </c>
      <c r="E439" s="16" t="n">
        <v>60000</v>
      </c>
      <c r="F439" s="29" t="n">
        <v>0.0425</v>
      </c>
      <c r="G439" s="33" t="n">
        <v>0.001000000000000001</v>
      </c>
    </row>
    <row r="440">
      <c r="B440" s="16" t="n">
        <v>107650</v>
      </c>
      <c r="C440" s="29" t="n">
        <v>0.0707</v>
      </c>
      <c r="D440" s="33" t="n">
        <v>0.005000000000000004</v>
      </c>
    </row>
    <row r="441">
      <c r="B441" s="16" t="n">
        <v>157650</v>
      </c>
      <c r="C441" s="29" t="n">
        <v>0.0801</v>
      </c>
      <c r="D441" s="33" t="n">
        <v>0.009400000000000006</v>
      </c>
    </row>
    <row r="442">
      <c r="B442" s="16" t="n">
        <v>211550</v>
      </c>
      <c r="C442" s="29" t="n">
        <v>0.064</v>
      </c>
      <c r="D442" s="33" t="n">
        <v>-0.0161</v>
      </c>
    </row>
    <row r="443">
      <c r="B443" s="16" t="n">
        <v>323200</v>
      </c>
      <c r="C443" s="29" t="n">
        <v>0.1349</v>
      </c>
      <c r="D443" s="33" t="n">
        <v>0.07089999999999999</v>
      </c>
    </row>
    <row r="444">
      <c r="B444" s="16" t="n">
        <v>373200</v>
      </c>
      <c r="C444" s="29" t="n">
        <v>0.0735</v>
      </c>
      <c r="D444" s="33" t="n">
        <v>-0.0614</v>
      </c>
    </row>
    <row r="445">
      <c r="B445" s="16" t="n">
        <v>1077550</v>
      </c>
      <c r="C445" s="29" t="n">
        <v>0.0765</v>
      </c>
      <c r="D445" s="33" t="n">
        <v>0.003000000000000003</v>
      </c>
    </row>
    <row r="446">
      <c r="B446" s="16" t="n">
        <v>2155350</v>
      </c>
      <c r="C446" s="29" t="n">
        <v>0.1045</v>
      </c>
      <c r="D446" s="33" t="n">
        <v>0.028</v>
      </c>
    </row>
    <row r="447">
      <c r="B447" s="16" t="n">
        <v>5000000</v>
      </c>
      <c r="C447" s="29" t="n">
        <v>0.111</v>
      </c>
      <c r="D447" s="33" t="n">
        <v>0.006500000000000006</v>
      </c>
    </row>
    <row r="448">
      <c r="B448" s="16" t="n">
        <v>25000000</v>
      </c>
      <c r="C448" s="29" t="n">
        <v>0.117</v>
      </c>
      <c r="D448" s="33" t="n">
        <v>0.006000000000000005</v>
      </c>
    </row>
    <row r="453">
      <c r="B453" s="16" t="n">
        <v>0</v>
      </c>
      <c r="C453" s="29" t="n">
        <v>0.016</v>
      </c>
      <c r="D453" s="33" t="n">
        <v>0.016</v>
      </c>
      <c r="E453" s="16" t="n">
        <v>0</v>
      </c>
      <c r="F453" s="29" t="n">
        <v>0</v>
      </c>
      <c r="G453" s="33" t="n">
        <v>0</v>
      </c>
      <c r="H453" s="16" t="n">
        <v>0</v>
      </c>
      <c r="I453" s="29" t="n">
        <v>0</v>
      </c>
      <c r="J453" s="33" t="n">
        <v>0</v>
      </c>
    </row>
    <row r="454">
      <c r="B454" s="16" t="n">
        <v>26050</v>
      </c>
      <c r="C454" s="29" t="n">
        <v>0.0299</v>
      </c>
      <c r="D454" s="33" t="n">
        <v>0.0139</v>
      </c>
      <c r="E454" s="16" t="n">
        <v>10100</v>
      </c>
      <c r="F454" s="29" t="n">
        <v>0.025</v>
      </c>
      <c r="G454" s="33" t="n">
        <v>0.025</v>
      </c>
      <c r="H454" s="16" t="n">
        <v>20200</v>
      </c>
      <c r="I454" s="29" t="n">
        <v>0.025</v>
      </c>
      <c r="J454" s="33" t="n">
        <v>0.025</v>
      </c>
    </row>
    <row r="455">
      <c r="B455" s="16" t="n">
        <v>100000</v>
      </c>
      <c r="C455" s="29" t="n">
        <v>0.034</v>
      </c>
      <c r="D455" s="33" t="n">
        <v>0.004100000000000003</v>
      </c>
      <c r="E455" s="16" t="n">
        <v>11250</v>
      </c>
      <c r="F455" s="29" t="n">
        <v>0.035</v>
      </c>
      <c r="G455" s="33" t="n">
        <v>0.01</v>
      </c>
      <c r="H455" s="16" t="n">
        <v>22500</v>
      </c>
      <c r="I455" s="29" t="n">
        <v>0.035</v>
      </c>
      <c r="J455" s="33" t="n">
        <v>0.01</v>
      </c>
    </row>
    <row r="456">
      <c r="E456" s="16" t="n">
        <v>13550</v>
      </c>
      <c r="F456" s="29" t="n">
        <v>0.045</v>
      </c>
      <c r="G456" s="33" t="n">
        <v>0.009999999999999995</v>
      </c>
      <c r="H456" s="16" t="n">
        <v>27100</v>
      </c>
      <c r="I456" s="29" t="n">
        <v>0.045</v>
      </c>
      <c r="J456" s="33" t="n">
        <v>0.009999999999999995</v>
      </c>
    </row>
    <row r="461">
      <c r="B461" s="16" t="n">
        <v>0</v>
      </c>
      <c r="C461" s="29" t="n">
        <v>0.0475</v>
      </c>
      <c r="D461" s="33" t="n">
        <v>0.0475</v>
      </c>
      <c r="E461" s="16" t="n">
        <v>0</v>
      </c>
      <c r="F461" s="29" t="n">
        <v>0.0475</v>
      </c>
      <c r="G461" s="33" t="n">
        <v>0.0475</v>
      </c>
      <c r="H461" s="16" t="n">
        <v>0</v>
      </c>
      <c r="I461" s="29" t="n">
        <v>0.0375</v>
      </c>
      <c r="J461" s="33" t="n">
        <v>0.0375</v>
      </c>
    </row>
    <row r="462">
      <c r="B462" s="16" t="n">
        <v>4550</v>
      </c>
      <c r="C462" s="29" t="n">
        <v>0.0675</v>
      </c>
      <c r="D462" s="33" t="n">
        <v>0.02</v>
      </c>
      <c r="E462" s="16" t="n">
        <v>9100</v>
      </c>
      <c r="F462" s="29" t="n">
        <v>0.0675</v>
      </c>
      <c r="G462" s="33" t="n">
        <v>0.02</v>
      </c>
      <c r="H462" s="16" t="n">
        <v>82050</v>
      </c>
      <c r="I462" s="29" t="n">
        <v>0.0475</v>
      </c>
      <c r="J462" s="33" t="n">
        <v>0.01</v>
      </c>
    </row>
    <row r="463">
      <c r="B463" s="16" t="n">
        <v>11400</v>
      </c>
      <c r="C463" s="29" t="n">
        <v>0.08749999999999999</v>
      </c>
      <c r="D463" s="33" t="n">
        <v>0.01999999999999999</v>
      </c>
      <c r="E463" s="16" t="n">
        <v>22800</v>
      </c>
      <c r="F463" s="29" t="n">
        <v>0.08749999999999999</v>
      </c>
      <c r="G463" s="33" t="n">
        <v>0.01999999999999999</v>
      </c>
      <c r="H463" s="16" t="n">
        <v>186450</v>
      </c>
      <c r="I463" s="29" t="n">
        <v>0.0599</v>
      </c>
      <c r="J463" s="33" t="n">
        <v>0.0124</v>
      </c>
    </row>
    <row r="464">
      <c r="B464" s="16" t="n">
        <v>125000</v>
      </c>
      <c r="C464" s="29" t="n">
        <v>0.099</v>
      </c>
      <c r="D464" s="33" t="n">
        <v>0.01150000000000001</v>
      </c>
      <c r="E464" s="16" t="n">
        <v>250000</v>
      </c>
      <c r="F464" s="29" t="n">
        <v>0.099</v>
      </c>
      <c r="G464" s="33" t="n">
        <v>0.01150000000000001</v>
      </c>
    </row>
    <row r="469">
      <c r="B469" s="16" t="n">
        <v>0</v>
      </c>
      <c r="C469" s="29" t="n">
        <v>0</v>
      </c>
      <c r="D469" s="33" t="n">
        <v>0</v>
      </c>
      <c r="E469" s="16" t="n">
        <v>0</v>
      </c>
      <c r="F469" s="29" t="n">
        <v>0.02</v>
      </c>
      <c r="G469" s="33" t="n">
        <v>0.02</v>
      </c>
      <c r="H469" s="16" t="n">
        <v>0</v>
      </c>
      <c r="I469" s="29" t="n">
        <v>0</v>
      </c>
      <c r="J469" s="33" t="n">
        <v>0</v>
      </c>
    </row>
    <row r="470">
      <c r="B470" s="16" t="n">
        <v>3640</v>
      </c>
      <c r="C470" s="29" t="n">
        <v>0.03</v>
      </c>
      <c r="D470" s="33" t="n">
        <v>0.03</v>
      </c>
      <c r="E470" s="16" t="n">
        <v>3000</v>
      </c>
      <c r="F470" s="29" t="n">
        <v>0.03</v>
      </c>
      <c r="G470" s="33" t="n">
        <v>0.009999999999999998</v>
      </c>
      <c r="H470" s="16" t="n">
        <v>3925</v>
      </c>
      <c r="I470" s="29" t="n">
        <v>0.0335</v>
      </c>
      <c r="J470" s="33" t="n">
        <v>0.0335</v>
      </c>
    </row>
    <row r="471">
      <c r="B471" s="16" t="n">
        <v>18230</v>
      </c>
      <c r="C471" s="29" t="n">
        <v>0.06</v>
      </c>
      <c r="D471" s="33" t="n">
        <v>0.03</v>
      </c>
      <c r="E471" s="16" t="n">
        <v>5000</v>
      </c>
      <c r="F471" s="29" t="n">
        <v>0.05</v>
      </c>
      <c r="G471" s="33" t="n">
        <v>0.02</v>
      </c>
      <c r="H471" s="16" t="n">
        <v>54675</v>
      </c>
      <c r="I471" s="29" t="n">
        <v>0.066</v>
      </c>
      <c r="J471" s="33" t="n">
        <v>0.0325</v>
      </c>
    </row>
    <row r="472">
      <c r="E472" s="16" t="n">
        <v>17000</v>
      </c>
      <c r="F472" s="29" t="n">
        <v>0.0575</v>
      </c>
      <c r="G472" s="33" t="n">
        <v>0.0075</v>
      </c>
      <c r="H472" s="16" t="n">
        <v>126775</v>
      </c>
      <c r="I472" s="29" t="n">
        <v>0.076</v>
      </c>
      <c r="J472" s="33" t="n">
        <v>0.009999999999999995</v>
      </c>
    </row>
    <row r="473">
      <c r="H473" s="16" t="n">
        <v>260225</v>
      </c>
      <c r="I473" s="29" t="n">
        <v>0.08749999999999999</v>
      </c>
      <c r="J473" s="33" t="n">
        <v>0.0115</v>
      </c>
    </row>
    <row r="478">
      <c r="B478" s="16" t="n">
        <v>0</v>
      </c>
      <c r="C478" s="29" t="n">
        <v>0</v>
      </c>
      <c r="D478" s="33" t="n">
        <v>0</v>
      </c>
      <c r="E478" s="16" t="n">
        <v>0</v>
      </c>
      <c r="F478" s="29" t="n">
        <v>0.0354</v>
      </c>
      <c r="G478" s="33" t="n">
        <v>0.0354</v>
      </c>
      <c r="H478" s="16" t="n">
        <v>0</v>
      </c>
      <c r="I478" s="29" t="n">
        <v>0.0211</v>
      </c>
      <c r="J478" s="33" t="n">
        <v>0.0211</v>
      </c>
    </row>
    <row r="479">
      <c r="B479" s="16" t="n">
        <v>11775</v>
      </c>
      <c r="C479" s="29" t="n">
        <v>0.0335</v>
      </c>
      <c r="D479" s="33" t="n">
        <v>0.0335</v>
      </c>
      <c r="E479" s="16" t="n">
        <v>12760</v>
      </c>
      <c r="F479" s="29" t="n">
        <v>0.0465</v>
      </c>
      <c r="G479" s="33" t="n">
        <v>0.0111</v>
      </c>
      <c r="H479" s="16" t="n">
        <v>10000</v>
      </c>
      <c r="I479" s="29" t="n">
        <v>0.0281</v>
      </c>
      <c r="J479" s="33" t="n">
        <v>0.006999999999999999</v>
      </c>
    </row>
    <row r="480">
      <c r="B480" s="16" t="n">
        <v>96475</v>
      </c>
      <c r="C480" s="29" t="n">
        <v>0.066</v>
      </c>
      <c r="D480" s="33" t="n">
        <v>0.0325</v>
      </c>
      <c r="E480" s="16" t="n">
        <v>25520</v>
      </c>
      <c r="F480" s="29" t="n">
        <v>0.053</v>
      </c>
      <c r="G480" s="33" t="n">
        <v>0.006499999999999999</v>
      </c>
      <c r="H480" s="16" t="n">
        <v>25000</v>
      </c>
      <c r="I480" s="29" t="n">
        <v>0.0316</v>
      </c>
      <c r="J480" s="33" t="n">
        <v>0.003500000000000003</v>
      </c>
    </row>
    <row r="481">
      <c r="B481" s="16" t="n">
        <v>216525</v>
      </c>
      <c r="C481" s="29" t="n">
        <v>0.076</v>
      </c>
      <c r="D481" s="33" t="n">
        <v>0.009999999999999995</v>
      </c>
      <c r="E481" s="16" t="n">
        <v>280950</v>
      </c>
      <c r="F481" s="29" t="n">
        <v>0.0765</v>
      </c>
      <c r="G481" s="33" t="n">
        <v>0.0235</v>
      </c>
      <c r="H481" s="16" t="n">
        <v>40000</v>
      </c>
      <c r="I481" s="29" t="n">
        <v>0.0422</v>
      </c>
      <c r="J481" s="33" t="n">
        <v>0.0106</v>
      </c>
    </row>
    <row r="482">
      <c r="B482" s="16" t="n">
        <v>323825</v>
      </c>
      <c r="C482" s="29" t="n">
        <v>0.08749999999999999</v>
      </c>
      <c r="D482" s="33" t="n">
        <v>0.0115</v>
      </c>
      <c r="H482" s="16" t="n">
        <v>60000</v>
      </c>
      <c r="I482" s="29" t="n">
        <v>0.0458</v>
      </c>
      <c r="J482" s="33" t="n">
        <v>0.003599999999999999</v>
      </c>
    </row>
    <row r="487">
      <c r="B487" s="16" t="n">
        <v>0</v>
      </c>
      <c r="C487" s="29" t="n">
        <v>0.0211</v>
      </c>
      <c r="D487" s="33" t="n">
        <v>0.0211</v>
      </c>
      <c r="E487" s="16" t="n">
        <v>0</v>
      </c>
      <c r="F487" s="29" t="n">
        <v>0.0211</v>
      </c>
      <c r="G487" s="33" t="n">
        <v>0.0211</v>
      </c>
      <c r="H487" s="16" t="n">
        <v>0</v>
      </c>
      <c r="I487" s="29" t="n">
        <v>0.0211</v>
      </c>
      <c r="J487" s="33" t="n">
        <v>0.0211</v>
      </c>
    </row>
    <row r="488">
      <c r="B488" s="16" t="n">
        <v>7500</v>
      </c>
      <c r="C488" s="29" t="n">
        <v>0.0281</v>
      </c>
      <c r="D488" s="33" t="n">
        <v>0.006999999999999999</v>
      </c>
      <c r="E488" s="16" t="n">
        <v>7500</v>
      </c>
      <c r="F488" s="29" t="n">
        <v>0.0281</v>
      </c>
      <c r="G488" s="33" t="n">
        <v>0.006999999999999999</v>
      </c>
      <c r="H488" s="16" t="n">
        <v>7500</v>
      </c>
      <c r="I488" s="29" t="n">
        <v>0.0281</v>
      </c>
      <c r="J488" s="33" t="n">
        <v>0.006999999999999999</v>
      </c>
    </row>
    <row r="489">
      <c r="B489" s="16" t="n">
        <v>18750</v>
      </c>
      <c r="C489" s="29" t="n">
        <v>0.0316</v>
      </c>
      <c r="D489" s="33" t="n">
        <v>0.003500000000000003</v>
      </c>
      <c r="E489" s="16" t="n">
        <v>18750</v>
      </c>
      <c r="F489" s="29" t="n">
        <v>0.0316</v>
      </c>
      <c r="G489" s="33" t="n">
        <v>0.003500000000000003</v>
      </c>
      <c r="H489" s="16" t="n">
        <v>18750</v>
      </c>
      <c r="I489" s="29" t="n">
        <v>0.0316</v>
      </c>
      <c r="J489" s="33" t="n">
        <v>0.003500000000000003</v>
      </c>
    </row>
    <row r="490">
      <c r="B490" s="16" t="n">
        <v>30000</v>
      </c>
      <c r="C490" s="29" t="n">
        <v>0.0422</v>
      </c>
      <c r="D490" s="33" t="n">
        <v>0.0106</v>
      </c>
      <c r="E490" s="16" t="n">
        <v>30000</v>
      </c>
      <c r="F490" s="29" t="n">
        <v>0.0422</v>
      </c>
      <c r="G490" s="33" t="n">
        <v>0.0106</v>
      </c>
      <c r="H490" s="16" t="n">
        <v>30000</v>
      </c>
      <c r="I490" s="29" t="n">
        <v>0.0422</v>
      </c>
      <c r="J490" s="33" t="n">
        <v>0.0106</v>
      </c>
    </row>
    <row r="491">
      <c r="B491" s="16" t="n">
        <v>45000</v>
      </c>
      <c r="C491" s="29" t="n">
        <v>0.0458</v>
      </c>
      <c r="D491" s="33" t="n">
        <v>0.003599999999999999</v>
      </c>
      <c r="E491" s="16" t="n">
        <v>45000</v>
      </c>
      <c r="F491" s="29" t="n">
        <v>0.0458</v>
      </c>
      <c r="G491" s="33" t="n">
        <v>0.003599999999999999</v>
      </c>
      <c r="H491" s="16" t="n">
        <v>45000</v>
      </c>
      <c r="I491" s="29" t="n">
        <v>0.0458</v>
      </c>
      <c r="J491" s="33" t="n">
        <v>0.003599999999999999</v>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B5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26" customWidth="1" min="3" max="3"/>
    <col width="24" customWidth="1" min="4" max="4"/>
    <col width="30" customWidth="1" min="5" max="5"/>
    <col width="9" customWidth="1" min="6" max="6"/>
    <col width="14" customWidth="1" min="7" max="7"/>
    <col width="14" customWidth="1" min="8" max="8"/>
    <col width="14" customWidth="1" min="9" max="9"/>
    <col width="14" customWidth="1" min="10" max="10"/>
    <col width="13" customWidth="1" min="11" max="11"/>
    <col width="13" customWidth="1" min="12" max="12"/>
    <col width="10" customWidth="1" min="13" max="13"/>
    <col width="30" customWidth="1" min="14" max="14"/>
    <col width="9" customWidth="1" min="15" max="15"/>
    <col width="11" customWidth="1" min="16" max="16"/>
    <col width="26" customWidth="1" min="17" max="17"/>
    <col width="9" customWidth="1" min="18" max="18"/>
    <col width="11" customWidth="1" min="19" max="19"/>
    <col width="44" customWidth="1" min="20" max="20"/>
    <col width="11" customWidth="1" min="21" max="21"/>
    <col width="52" customWidth="1" min="22" max="22"/>
    <col width="11" customWidth="1" min="23" max="23"/>
    <col width="8" customWidth="1" min="24" max="24"/>
    <col width="10" customWidth="1" min="25" max="25"/>
    <col width="11" customWidth="1" min="26" max="26"/>
    <col width="8" customWidth="1" min="27" max="27"/>
    <col width="10" customWidth="1" min="28" max="28"/>
  </cols>
  <sheetData>
    <row r="1">
      <c r="A1" s="9" t="inlineStr">
        <is>
          <t>StateTables — the annual-maintenance surface</t>
        </is>
      </c>
    </row>
    <row r="2">
      <c r="A2" s="2" t="inlineStr">
        <is>
          <t>One row per state: method, parameters, employee-paid programs, source, and verification date. Rows marked LIVE compute withholding by formula; rows marked MANUAL ENTRY use the per-check amount on Inputs (spec §6 integrity rule — no unverified formulas).</t>
        </is>
      </c>
    </row>
    <row r="5">
      <c r="A5" s="19" t="inlineStr">
        <is>
          <t>Code</t>
        </is>
      </c>
      <c r="B5" s="19" t="inlineStr">
        <is>
          <t>State</t>
        </is>
      </c>
      <c r="C5" s="19" t="inlineStr">
        <is>
          <t>Withholding certificate</t>
        </is>
      </c>
      <c r="D5" s="19" t="inlineStr">
        <is>
          <t>Method</t>
        </is>
      </c>
      <c r="E5" s="19" t="inlineStr">
        <is>
          <t>Live in v0.2?</t>
        </is>
      </c>
      <c r="F5" s="19" t="inlineStr">
        <is>
          <t>Table key</t>
        </is>
      </c>
      <c r="G5" s="19" t="inlineStr">
        <is>
          <t>Std deduction (&lt;2 allow.)</t>
        </is>
      </c>
      <c r="H5" s="19" t="inlineStr">
        <is>
          <t>Std deduction (2+ allow.)</t>
        </is>
      </c>
      <c r="I5" s="19" t="inlineStr">
        <is>
          <t>Low-income threshold (&lt;2)</t>
        </is>
      </c>
      <c r="J5" s="19" t="inlineStr">
        <is>
          <t>Low-income threshold (2+)</t>
        </is>
      </c>
      <c r="K5" s="19" t="inlineStr">
        <is>
          <t>Exemption credit / allowance</t>
        </is>
      </c>
      <c r="L5" s="19" t="inlineStr">
        <is>
          <t>Est.-deduction per allowance</t>
        </is>
      </c>
      <c r="M5" s="19" t="inlineStr">
        <is>
          <t>Supplemental rate</t>
        </is>
      </c>
      <c r="N5" s="19" t="inlineStr">
        <is>
          <t>Program 1</t>
        </is>
      </c>
      <c r="O5" s="19" t="inlineStr">
        <is>
          <t>P1 rate</t>
        </is>
      </c>
      <c r="P5" s="19" t="inlineStr">
        <is>
          <t>P1 wage cap</t>
        </is>
      </c>
      <c r="Q5" s="19" t="inlineStr">
        <is>
          <t>Program 2</t>
        </is>
      </c>
      <c r="R5" s="19" t="inlineStr">
        <is>
          <t>P2 rate</t>
        </is>
      </c>
      <c r="S5" s="19" t="inlineStr">
        <is>
          <t>P2 wage cap</t>
        </is>
      </c>
      <c r="T5" s="19" t="inlineStr">
        <is>
          <t>Source (official publication)</t>
        </is>
      </c>
      <c r="U5" s="19" t="inlineStr">
        <is>
          <t>Date verified</t>
        </is>
      </c>
      <c r="V5" s="19" t="inlineStr">
        <is>
          <t>Notes / QA status</t>
        </is>
      </c>
      <c r="W5" s="19" t="inlineStr">
        <is>
          <t>P1 annual $ cap</t>
        </is>
      </c>
      <c r="X5" s="19" t="inlineStr">
        <is>
          <t>P1 type</t>
        </is>
      </c>
      <c r="Y5" s="19" t="inlineStr">
        <is>
          <t>P1 flat $/qtr</t>
        </is>
      </c>
      <c r="Z5" s="19" t="inlineStr">
        <is>
          <t>P2 annual $ cap</t>
        </is>
      </c>
      <c r="AA5" s="19" t="inlineStr">
        <is>
          <t>P2 type</t>
        </is>
      </c>
      <c r="AB5" s="19" t="inlineStr">
        <is>
          <t>P2 flat $/qtr</t>
        </is>
      </c>
    </row>
    <row r="6">
      <c r="A6" s="13" t="inlineStr">
        <is>
          <t>AK</t>
        </is>
      </c>
      <c r="B6" s="13" t="inlineStr">
        <is>
          <t>Alaska</t>
        </is>
      </c>
      <c r="C6" s="13" t="inlineStr">
        <is>
          <t>— (no income tax)</t>
        </is>
      </c>
      <c r="D6" s="13" t="inlineStr">
        <is>
          <t>None</t>
        </is>
      </c>
      <c r="E6" s="13" t="inlineStr">
        <is>
          <t>LIVE — $0 (no wage income tax)</t>
        </is>
      </c>
      <c r="F6" s="13" t="inlineStr">
        <is>
          <t>None</t>
        </is>
      </c>
      <c r="G6" s="13" t="n"/>
      <c r="H6" s="13" t="n"/>
      <c r="I6" s="13" t="n"/>
      <c r="J6" s="13" t="n"/>
      <c r="K6" s="13" t="n"/>
      <c r="L6" s="13" t="n"/>
      <c r="M6" s="13" t="n"/>
      <c r="N6" s="13" t="inlineStr">
        <is>
          <t>AK Employment Security Tax</t>
        </is>
      </c>
      <c r="O6" s="27" t="n">
        <v>0.005</v>
      </c>
      <c r="P6" s="16" t="n">
        <v>54200</v>
      </c>
      <c r="Q6" s="13" t="n"/>
      <c r="R6" s="13" t="n"/>
      <c r="S6" s="13" t="n"/>
      <c r="T6" s="28" t="inlineStr">
        <is>
          <t>State law — no wage income tax (regional research files, planner-build/states-*.md)</t>
        </is>
      </c>
      <c r="U6" s="13" t="inlineStr">
        <is>
          <t>2026-10-13</t>
        </is>
      </c>
      <c r="V6" s="28" t="inlineStr">
        <is>
          <t>Employee-paid programs at left still apply where listed.</t>
        </is>
      </c>
      <c r="W6" s="13" t="n"/>
      <c r="X6" s="13" t="inlineStr">
        <is>
          <t>rate</t>
        </is>
      </c>
      <c r="Y6" s="13" t="n"/>
      <c r="Z6" s="13" t="n"/>
      <c r="AA6" s="13" t="n"/>
      <c r="AB6" s="13" t="n"/>
    </row>
    <row r="7">
      <c r="A7" s="13" t="inlineStr">
        <is>
          <t>AL</t>
        </is>
      </c>
      <c r="B7" s="13" t="inlineStr">
        <is>
          <t>Alabama</t>
        </is>
      </c>
      <c r="C7" s="13" t="inlineStr">
        <is>
          <t>Form A-4</t>
        </is>
      </c>
      <c r="D7" s="13" t="inlineStr">
        <is>
          <t>Graduated</t>
        </is>
      </c>
      <c r="E7" s="13" t="inlineStr">
        <is>
          <t>LIVE — formula (Phase B)</t>
        </is>
      </c>
      <c r="F7" s="13" t="inlineStr">
        <is>
          <t>GEN</t>
        </is>
      </c>
      <c r="G7" s="13" t="n"/>
      <c r="H7" s="13" t="n"/>
      <c r="I7" s="13" t="n"/>
      <c r="J7" s="13" t="n"/>
      <c r="K7" s="13" t="n"/>
      <c r="L7" s="13" t="n"/>
      <c r="M7" s="29" t="n">
        <v>0.05</v>
      </c>
      <c r="N7" s="13" t="n"/>
      <c r="O7" s="13" t="n"/>
      <c r="P7" s="13" t="n"/>
      <c r="Q7" s="13" t="n"/>
      <c r="R7" s="13" t="n"/>
      <c r="S7" s="13" t="n"/>
      <c r="T7" s="28" t="inlineStr">
        <is>
          <t>ALDOR Withholding Tax Tables &amp; Instructions, Rev. Jan 2026 (read via mirror of the official booklet)</t>
        </is>
      </c>
      <c r="U7" s="13" t="inlineStr">
        <is>
          <t>2026-10-13</t>
        </is>
      </c>
      <c r="V7" s="28" t="inlineStr">
        <is>
          <t>Graduated 2/4/5%; sliding standard deduction; deducts annualized federal withholding from the state base; $1,500/$3,000 personal exemption; dependent amount steps down with income. QA: booklet formula example verified arithmetically (fed WH is an exogenous input there).</t>
        </is>
      </c>
      <c r="W7" s="13" t="n"/>
      <c r="X7" s="13" t="n"/>
      <c r="Y7" s="13" t="n"/>
      <c r="Z7" s="13" t="n"/>
      <c r="AA7" s="13" t="n"/>
      <c r="AB7" s="13" t="n"/>
    </row>
    <row r="8">
      <c r="A8" s="13" t="inlineStr">
        <is>
          <t>AR</t>
        </is>
      </c>
      <c r="B8" s="13" t="inlineStr">
        <is>
          <t>Arkansas</t>
        </is>
      </c>
      <c r="C8" s="13" t="inlineStr">
        <is>
          <t>Form AR4EC</t>
        </is>
      </c>
      <c r="D8" s="13" t="inlineStr">
        <is>
          <t>Graduated</t>
        </is>
      </c>
      <c r="E8" s="13" t="inlineStr">
        <is>
          <t>LIVE — formula (Phase B)</t>
        </is>
      </c>
      <c r="F8" s="13" t="inlineStr">
        <is>
          <t>GEN</t>
        </is>
      </c>
      <c r="G8" s="13" t="n"/>
      <c r="H8" s="13" t="n"/>
      <c r="I8" s="13" t="n"/>
      <c r="J8" s="13" t="n"/>
      <c r="K8" s="13" t="n"/>
      <c r="L8" s="13" t="n"/>
      <c r="M8" s="29" t="n">
        <v>0.039</v>
      </c>
      <c r="N8" s="13" t="n"/>
      <c r="O8" s="13" t="n"/>
      <c r="P8" s="13" t="n"/>
      <c r="Q8" s="13" t="n"/>
      <c r="R8" s="13" t="n"/>
      <c r="S8" s="13" t="n"/>
      <c r="T8" s="28" t="inlineStr">
        <is>
          <t>AR DFA Withholding Tax Formula, eff. 01/01/2026 (post-HB 1001 top rate 3.7%)</t>
        </is>
      </c>
      <c r="U8" s="13" t="inlineStr">
        <is>
          <t>2026-10-13</t>
        </is>
      </c>
      <c r="V8" s="28" t="inlineStr">
        <is>
          <t>SD $2,470; $50-midrange rounding under $97,701; $29 credit per exemption. Supplemental 3.9% as printed in the Jan 2026 DFA instructions (post-cut supplemental rate not re-published — flagged). QA: DFA 'Gary' example PASS (−$0.02, guide rounds annual tax to whole dollars).</t>
        </is>
      </c>
      <c r="W8" s="13" t="n"/>
      <c r="X8" s="13" t="n"/>
      <c r="Y8" s="13" t="n"/>
      <c r="Z8" s="13" t="n"/>
      <c r="AA8" s="13" t="n"/>
      <c r="AB8" s="13" t="n"/>
    </row>
    <row r="9">
      <c r="A9" s="13" t="inlineStr">
        <is>
          <t>AZ</t>
        </is>
      </c>
      <c r="B9" s="13" t="inlineStr">
        <is>
          <t>Arizona</t>
        </is>
      </c>
      <c r="C9" s="13" t="inlineStr">
        <is>
          <t>Form A-4</t>
        </is>
      </c>
      <c r="D9" s="13" t="inlineStr">
        <is>
          <t>Percent-of-gross (elected %)</t>
        </is>
      </c>
      <c r="E9" s="13" t="inlineStr">
        <is>
          <t>LIVE — formula (Phase B)</t>
        </is>
      </c>
      <c r="F9" s="13" t="inlineStr">
        <is>
          <t>DIR</t>
        </is>
      </c>
      <c r="G9" s="13" t="n"/>
      <c r="H9" s="13" t="n"/>
      <c r="I9" s="13" t="n"/>
      <c r="J9" s="13" t="n"/>
      <c r="K9" s="13" t="n"/>
      <c r="L9" s="13" t="n"/>
      <c r="M9" s="13" t="n"/>
      <c r="N9" s="13" t="n"/>
      <c r="O9" s="13" t="n"/>
      <c r="P9" s="13" t="n"/>
      <c r="Q9" s="13" t="n"/>
      <c r="R9" s="13" t="n"/>
      <c r="S9" s="13" t="n"/>
      <c r="T9" s="28" t="inlineStr">
        <is>
          <t>ADOR Form A-4 (2026) + azdor.gov withholding pages</t>
        </is>
      </c>
      <c r="U9" s="13" t="inlineStr">
        <is>
          <t>2026-10-13</t>
        </is>
      </c>
      <c r="V9" s="28" t="inlineStr">
        <is>
          <t>Employee-elected % of federal taxable wages (Inputs row 82; default 2.0%). Bonuses are wages at the same elected %. QA: 2.0% x $2,000 = $40.00 anchor PASS.</t>
        </is>
      </c>
      <c r="W9" s="13" t="n"/>
      <c r="X9" s="13" t="n"/>
      <c r="Y9" s="13" t="n"/>
      <c r="Z9" s="13" t="n"/>
      <c r="AA9" s="13" t="n"/>
      <c r="AB9" s="13" t="n"/>
    </row>
    <row r="10">
      <c r="A10" s="13" t="inlineStr">
        <is>
          <t>CA</t>
        </is>
      </c>
      <c r="B10" s="13" t="inlineStr">
        <is>
          <t>California</t>
        </is>
      </c>
      <c r="C10" s="13" t="inlineStr">
        <is>
          <t>Form DE 4</t>
        </is>
      </c>
      <c r="D10" s="13" t="inlineStr">
        <is>
          <t>Graduated — Method B</t>
        </is>
      </c>
      <c r="E10" s="13" t="inlineStr">
        <is>
          <t>LIVE — Method B (annualized)</t>
        </is>
      </c>
      <c r="F10" s="13" t="inlineStr">
        <is>
          <t>CA-B</t>
        </is>
      </c>
      <c r="G10" s="16" t="n">
        <v>5706</v>
      </c>
      <c r="H10" s="16" t="n">
        <v>11412</v>
      </c>
      <c r="I10" s="16" t="n">
        <v>18896</v>
      </c>
      <c r="J10" s="16" t="n">
        <v>37791</v>
      </c>
      <c r="K10" s="16" t="n">
        <v>168.3</v>
      </c>
      <c r="L10" s="16" t="n">
        <v>1000</v>
      </c>
      <c r="M10" s="29" t="n">
        <v>0.1023</v>
      </c>
      <c r="N10" s="13" t="inlineStr">
        <is>
          <t>CA SDI</t>
        </is>
      </c>
      <c r="O10" s="27" t="n">
        <v>0.013</v>
      </c>
      <c r="P10" s="13" t="n"/>
      <c r="Q10" s="13" t="n"/>
      <c r="R10" s="13" t="n"/>
      <c r="S10" s="13" t="n"/>
      <c r="T10" s="28" t="inlineStr">
        <is>
          <t>CA EDD DE 44 (2026) + 2026 Withholding Schedules Method B (26methb.pdf), Tables 1–7; SDI 1.3% per DE 44 / DE 3395</t>
        </is>
      </c>
      <c r="U10" s="13" t="inlineStr">
        <is>
          <t>2026-10-13</t>
        </is>
      </c>
      <c r="V10" s="28" t="inlineStr">
        <is>
          <t>Validated against EDD worked Examples B &amp; E and the Profile R-1 stub (SDI exact; PIT within payroll-method variance).</t>
        </is>
      </c>
      <c r="W10" s="13" t="n"/>
      <c r="X10" s="13" t="inlineStr">
        <is>
          <t>rate</t>
        </is>
      </c>
      <c r="Y10" s="13" t="n"/>
      <c r="Z10" s="13" t="n"/>
      <c r="AA10" s="13" t="n"/>
      <c r="AB10" s="13" t="n"/>
    </row>
    <row r="11">
      <c r="A11" s="13" t="inlineStr">
        <is>
          <t>CO</t>
        </is>
      </c>
      <c r="B11" s="13" t="inlineStr">
        <is>
          <t>Colorado</t>
        </is>
      </c>
      <c r="C11" s="13" t="inlineStr">
        <is>
          <t>Form DR 0004 (optional)</t>
        </is>
      </c>
      <c r="D11" s="13" t="inlineStr">
        <is>
          <t>Flat</t>
        </is>
      </c>
      <c r="E11" s="13" t="inlineStr">
        <is>
          <t>LIVE — formula (Phase B)</t>
        </is>
      </c>
      <c r="F11" s="13" t="inlineStr">
        <is>
          <t>DIR</t>
        </is>
      </c>
      <c r="G11" s="13" t="n"/>
      <c r="H11" s="13" t="n"/>
      <c r="I11" s="13" t="n"/>
      <c r="J11" s="13" t="n"/>
      <c r="K11" s="13" t="n"/>
      <c r="L11" s="13" t="n"/>
      <c r="M11" s="13" t="n"/>
      <c r="N11" s="13" t="inlineStr">
        <is>
          <t>CO FAMLI (employee share)</t>
        </is>
      </c>
      <c r="O11" s="27" t="n">
        <v>0.0044</v>
      </c>
      <c r="P11" s="16" t="n">
        <v>184500</v>
      </c>
      <c r="Q11" s="13" t="n"/>
      <c r="R11" s="13" t="n"/>
      <c r="S11" s="13" t="n"/>
      <c r="T11" s="28" t="inlineStr">
        <is>
          <t>CO DOR DR 1098 Withholding Worksheet; Wage Withholding Tax Guide (Jan 2026)</t>
        </is>
      </c>
      <c r="U11" s="13" t="inlineStr">
        <is>
          <t>2026-10-13</t>
        </is>
      </c>
      <c r="V11" s="28" t="inlineStr">
        <is>
          <t>Flat 4.40% over a $5,000 allowance ($10,000 MFJ). No separate supplemental rate is published — one-offs run through the formula. No official dollar example exists (formula arithmetic QA).</t>
        </is>
      </c>
      <c r="W11" s="13" t="n"/>
      <c r="X11" s="13" t="inlineStr">
        <is>
          <t>rate</t>
        </is>
      </c>
      <c r="Y11" s="13" t="n"/>
      <c r="Z11" s="13" t="n"/>
      <c r="AA11" s="13" t="n"/>
      <c r="AB11" s="13" t="n"/>
    </row>
    <row r="12">
      <c r="A12" s="13" t="inlineStr">
        <is>
          <t>CT</t>
        </is>
      </c>
      <c r="B12" s="13" t="inlineStr">
        <is>
          <t>Connecticut</t>
        </is>
      </c>
      <c r="C12" s="13" t="inlineStr">
        <is>
          <t>Form CT-W4</t>
        </is>
      </c>
      <c r="D12" s="13" t="inlineStr">
        <is>
          <t>Graduated</t>
        </is>
      </c>
      <c r="E12" s="13" t="inlineStr">
        <is>
          <t>MANUAL ENTRY — see Notes</t>
        </is>
      </c>
      <c r="F12" s="13" t="inlineStr">
        <is>
          <t>—</t>
        </is>
      </c>
      <c r="G12" s="13" t="n"/>
      <c r="H12" s="13" t="n"/>
      <c r="I12" s="13" t="n"/>
      <c r="J12" s="13" t="n"/>
      <c r="K12" s="13" t="n"/>
      <c r="L12" s="13" t="n"/>
      <c r="M12" s="13" t="n"/>
      <c r="N12" s="13" t="inlineStr">
        <is>
          <t>CT Paid Leave</t>
        </is>
      </c>
      <c r="O12" s="27" t="n">
        <v>0.005</v>
      </c>
      <c r="P12" s="16" t="n">
        <v>184500</v>
      </c>
      <c r="Q12" s="13" t="n"/>
      <c r="R12" s="13" t="n"/>
      <c r="S12" s="13" t="n"/>
      <c r="T12" s="28" t="inlineStr">
        <is>
          <t>CT DRS IP 2025(1) / TPG-211 Withholding Calculation Rules (2026 unchanged)</t>
        </is>
      </c>
      <c r="U12" s="13" t="inlineStr">
        <is>
          <t>2026-10-13</t>
        </is>
      </c>
      <c r="V12" s="28" t="inlineStr">
        <is>
          <t>MANUAL — integrity rule: the TPG-211 Tables A/C/D/E stepped grids were not transcribed in the research, and the three published examples ($39.97 / $78.82 / $17.65) cannot be reproduced exactly from the verified anchors alone. CT Paid Leave program at left IS live. Revisit when the grids are transcribed and the examples reproduce.</t>
        </is>
      </c>
      <c r="W12" s="13" t="n"/>
      <c r="X12" s="13" t="inlineStr">
        <is>
          <t>rate</t>
        </is>
      </c>
      <c r="Y12" s="13" t="n"/>
      <c r="Z12" s="13" t="n"/>
      <c r="AA12" s="13" t="n"/>
      <c r="AB12" s="13" t="n"/>
    </row>
    <row r="13">
      <c r="A13" s="13" t="inlineStr">
        <is>
          <t>DC</t>
        </is>
      </c>
      <c r="B13" s="13" t="inlineStr">
        <is>
          <t>District of Columbia</t>
        </is>
      </c>
      <c r="C13" s="13" t="inlineStr">
        <is>
          <t>Form D-4</t>
        </is>
      </c>
      <c r="D13" s="13" t="inlineStr">
        <is>
          <t>Graduated</t>
        </is>
      </c>
      <c r="E13" s="13" t="inlineStr">
        <is>
          <t>MANUAL ENTRY — see Notes</t>
        </is>
      </c>
      <c r="F13" s="13" t="inlineStr">
        <is>
          <t>—</t>
        </is>
      </c>
      <c r="G13" s="13" t="n"/>
      <c r="H13" s="13" t="n"/>
      <c r="I13" s="13" t="n"/>
      <c r="J13" s="13" t="n"/>
      <c r="K13" s="13" t="n"/>
      <c r="L13" s="13" t="n"/>
      <c r="M13" s="13" t="n"/>
      <c r="N13" s="13" t="n"/>
      <c r="O13" s="13" t="n"/>
      <c r="P13" s="13" t="n"/>
      <c r="Q13" s="13" t="n"/>
      <c r="R13" s="13" t="n"/>
      <c r="S13" s="13" t="n"/>
      <c r="T13" s="28" t="inlineStr">
        <is>
          <t>DC OTR FR-230 (latest located edition: 2017); DC Code 47-1806.03 rate schedule</t>
        </is>
      </c>
      <c r="U13" s="13" t="inlineStr">
        <is>
          <t>2026-10-13</t>
        </is>
      </c>
      <c r="V13" s="28" t="inlineStr">
        <is>
          <t>MANUAL — integrity rule: the statutory brackets are verified, but the 2026 withholding allowance value is UNVERIFIED (FR-230 not reissued since 2017; secondary sources conflict $1,675 vs $1,775). A core method parameter cannot be guessed.</t>
        </is>
      </c>
      <c r="W13" s="13" t="n"/>
      <c r="X13" s="13" t="n"/>
      <c r="Y13" s="13" t="n"/>
      <c r="Z13" s="13" t="n"/>
      <c r="AA13" s="13" t="n"/>
      <c r="AB13" s="13" t="n"/>
    </row>
    <row r="14">
      <c r="A14" s="13" t="inlineStr">
        <is>
          <t>DE</t>
        </is>
      </c>
      <c r="B14" s="13" t="inlineStr">
        <is>
          <t>Delaware</t>
        </is>
      </c>
      <c r="C14" s="13" t="inlineStr">
        <is>
          <t>Federal W-4 / W-4A worksheet</t>
        </is>
      </c>
      <c r="D14" s="13" t="inlineStr">
        <is>
          <t>Graduated</t>
        </is>
      </c>
      <c r="E14" s="13" t="inlineStr">
        <is>
          <t>LIVE — formula (Phase B)</t>
        </is>
      </c>
      <c r="F14" s="13" t="inlineStr">
        <is>
          <t>GEN</t>
        </is>
      </c>
      <c r="G14" s="13" t="n"/>
      <c r="H14" s="13" t="n"/>
      <c r="I14" s="13" t="n"/>
      <c r="J14" s="13" t="n"/>
      <c r="K14" s="13" t="n"/>
      <c r="L14" s="13" t="n"/>
      <c r="M14" s="13" t="n"/>
      <c r="N14" s="13" t="inlineStr">
        <is>
          <t>DE Paid Leave (employee share, up to)</t>
        </is>
      </c>
      <c r="O14" s="27" t="n">
        <v>0.004</v>
      </c>
      <c r="P14" s="13" t="n"/>
      <c r="Q14" s="13" t="n"/>
      <c r="R14" s="13" t="n"/>
      <c r="S14" s="13" t="n"/>
      <c r="T14" s="28" t="inlineStr">
        <is>
          <t>Delaware Division of Revenue / Dept. of Finance PIT schedule; Form W-4A worksheet</t>
        </is>
      </c>
      <c r="U14" s="13" t="inlineStr">
        <is>
          <t>2026-10-13</t>
        </is>
      </c>
      <c r="V14" s="28" t="inlineStr">
        <is>
          <t>Graduated schedule (top 6.6% over $60,000); $3,250 worksheet standard deduction (single verified; joint $6,500 unverified — engine uses $3,250 for all statuses); $110 credit per exemption. No official supplemental rate — one-offs aggregate. Wilmington 1.25% via Inputs row 81 if applicable.</t>
        </is>
      </c>
      <c r="W14" s="13" t="n"/>
      <c r="X14" s="13" t="inlineStr">
        <is>
          <t>rate</t>
        </is>
      </c>
      <c r="Y14" s="13" t="n"/>
      <c r="Z14" s="13" t="n"/>
      <c r="AA14" s="13" t="n"/>
      <c r="AB14" s="13" t="n"/>
    </row>
    <row r="15">
      <c r="A15" s="13" t="inlineStr">
        <is>
          <t>FL</t>
        </is>
      </c>
      <c r="B15" s="13" t="inlineStr">
        <is>
          <t>Florida</t>
        </is>
      </c>
      <c r="C15" s="13" t="inlineStr">
        <is>
          <t>— (no income tax)</t>
        </is>
      </c>
      <c r="D15" s="13" t="inlineStr">
        <is>
          <t>None</t>
        </is>
      </c>
      <c r="E15" s="13" t="inlineStr">
        <is>
          <t>LIVE — $0 (no wage income tax)</t>
        </is>
      </c>
      <c r="F15" s="13" t="inlineStr">
        <is>
          <t>None</t>
        </is>
      </c>
      <c r="G15" s="13" t="n"/>
      <c r="H15" s="13" t="n"/>
      <c r="I15" s="13" t="n"/>
      <c r="J15" s="13" t="n"/>
      <c r="K15" s="13" t="n"/>
      <c r="L15" s="13" t="n"/>
      <c r="M15" s="13" t="n"/>
      <c r="N15" s="13" t="n"/>
      <c r="O15" s="13" t="n"/>
      <c r="P15" s="13" t="n"/>
      <c r="Q15" s="13" t="n"/>
      <c r="R15" s="13" t="n"/>
      <c r="S15" s="13" t="n"/>
      <c r="T15" s="28" t="inlineStr">
        <is>
          <t>State law — no wage income tax (regional research files, planner-build/states-*.md)</t>
        </is>
      </c>
      <c r="U15" s="13" t="inlineStr">
        <is>
          <t>2026-10-13</t>
        </is>
      </c>
      <c r="V15" s="28" t="inlineStr">
        <is>
          <t>Employee-paid programs at left still apply where listed.</t>
        </is>
      </c>
      <c r="W15" s="13" t="n"/>
      <c r="X15" s="13" t="n"/>
      <c r="Y15" s="13" t="n"/>
      <c r="Z15" s="13" t="n"/>
      <c r="AA15" s="13" t="n"/>
      <c r="AB15" s="13" t="n"/>
    </row>
    <row r="16">
      <c r="A16" s="13" t="inlineStr">
        <is>
          <t>GA</t>
        </is>
      </c>
      <c r="B16" s="13" t="inlineStr">
        <is>
          <t>Georgia</t>
        </is>
      </c>
      <c r="C16" s="13" t="inlineStr">
        <is>
          <t>Form G-4</t>
        </is>
      </c>
      <c r="D16" s="13" t="inlineStr">
        <is>
          <t>Flat</t>
        </is>
      </c>
      <c r="E16" s="13" t="inlineStr">
        <is>
          <t>MANUAL ENTRY — see Notes</t>
        </is>
      </c>
      <c r="F16" s="13" t="inlineStr">
        <is>
          <t>—</t>
        </is>
      </c>
      <c r="G16" s="13" t="n"/>
      <c r="H16" s="13" t="n"/>
      <c r="I16" s="13" t="n"/>
      <c r="J16" s="13" t="n"/>
      <c r="K16" s="13" t="n"/>
      <c r="L16" s="13" t="n"/>
      <c r="M16" s="13" t="n"/>
      <c r="N16" s="13" t="n"/>
      <c r="O16" s="13" t="n"/>
      <c r="P16" s="13" t="n"/>
      <c r="Q16" s="13" t="n"/>
      <c r="R16" s="13" t="n"/>
      <c r="S16" s="13" t="n"/>
      <c r="T16" s="28" t="inlineStr">
        <is>
          <t>GA DOR Form G-4 (Rev. 06/03/26); Employer's Withholding Tax Guide</t>
        </is>
      </c>
      <c r="U16" s="13" t="inlineStr">
        <is>
          <t>2026-10-13</t>
        </is>
      </c>
      <c r="V16" s="28" t="inlineStr">
        <is>
          <t>MANUAL — integrity rule: standard deductions ($15,000/$30,000) and $5,000 dependent allowance are verified on the official G-4, but the revised 4.99% rate and its May 11, 2026 start are UNVERIFIED from an official DOR page (secondary reports only); the prior verified rate (5.19%) was superseded. Shipping either would be a guess.</t>
        </is>
      </c>
      <c r="W16" s="13" t="n"/>
      <c r="X16" s="13" t="n"/>
      <c r="Y16" s="13" t="n"/>
      <c r="Z16" s="13" t="n"/>
      <c r="AA16" s="13" t="n"/>
      <c r="AB16" s="13" t="n"/>
    </row>
    <row r="17">
      <c r="A17" s="13" t="inlineStr">
        <is>
          <t>HI</t>
        </is>
      </c>
      <c r="B17" s="13" t="inlineStr">
        <is>
          <t>Hawaii</t>
        </is>
      </c>
      <c r="C17" s="13" t="inlineStr">
        <is>
          <t>Form HW-4</t>
        </is>
      </c>
      <c r="D17" s="13" t="inlineStr">
        <is>
          <t>Graduated</t>
        </is>
      </c>
      <c r="E17" s="13" t="inlineStr">
        <is>
          <t>LIVE — formula (Phase B)</t>
        </is>
      </c>
      <c r="F17" s="13" t="inlineStr">
        <is>
          <t>GEN</t>
        </is>
      </c>
      <c r="G17" s="13" t="n"/>
      <c r="H17" s="13" t="n"/>
      <c r="I17" s="13" t="n"/>
      <c r="J17" s="13" t="n"/>
      <c r="K17" s="13" t="n"/>
      <c r="L17" s="13" t="n"/>
      <c r="M17" s="13" t="n"/>
      <c r="N17" s="13" t="n"/>
      <c r="O17" s="13" t="n"/>
      <c r="P17" s="13" t="n"/>
      <c r="Q17" s="13" t="n"/>
      <c r="R17" s="13" t="n"/>
      <c r="S17" s="13" t="n"/>
      <c r="T17" s="28" t="inlineStr">
        <is>
          <t>HI DOTAX Booklet A, Employer's Tax Guide (Rev. 2025), Appendix eff. 1/1/2026</t>
        </is>
      </c>
      <c r="U17" s="13" t="inlineStr">
        <is>
          <t>2026-10-13</t>
        </is>
      </c>
      <c r="V17" s="28" t="inlineStr">
        <is>
          <t>Graduated withholding schedules (top 7.9% — NOT the 11% return rates); $1,144/allowance + $4,350 lump sum. No flat supplemental — one-offs aggregate. HI TDI has no statewide employee rate (min(50% of premium, 0.5% of weekly wages, DLIR max); 2026 DLIR $ max unverified) — enter any TDI deduction as a flat deduction instead. QA: Booklet A example PASS (exact).</t>
        </is>
      </c>
      <c r="W17" s="13" t="n"/>
      <c r="X17" s="13" t="n"/>
      <c r="Y17" s="13" t="n"/>
      <c r="Z17" s="13" t="n"/>
      <c r="AA17" s="13" t="n"/>
      <c r="AB17" s="13" t="n"/>
    </row>
    <row r="18">
      <c r="A18" s="13" t="inlineStr">
        <is>
          <t>IA</t>
        </is>
      </c>
      <c r="B18" s="13" t="inlineStr">
        <is>
          <t>Iowa</t>
        </is>
      </c>
      <c r="C18" s="13" t="inlineStr">
        <is>
          <t>IA W-4</t>
        </is>
      </c>
      <c r="D18" s="13" t="inlineStr">
        <is>
          <t>Flat (formula)</t>
        </is>
      </c>
      <c r="E18" s="13" t="inlineStr">
        <is>
          <t>LIVE — formula (Phase B)</t>
        </is>
      </c>
      <c r="F18" s="13" t="inlineStr">
        <is>
          <t>DIR</t>
        </is>
      </c>
      <c r="G18" s="13" t="n"/>
      <c r="H18" s="13" t="n"/>
      <c r="I18" s="13" t="n"/>
      <c r="J18" s="13" t="n"/>
      <c r="K18" s="13" t="n"/>
      <c r="L18" s="13" t="n"/>
      <c r="M18" s="13" t="n"/>
      <c r="N18" s="13" t="n"/>
      <c r="O18" s="13" t="n"/>
      <c r="P18" s="13" t="n"/>
      <c r="Q18" s="13" t="n"/>
      <c r="R18" s="13" t="n"/>
      <c r="S18" s="13" t="n"/>
      <c r="T18" s="28" t="inlineStr">
        <is>
          <t>Iowa DOR, Iowa Withholding Formula eff. 1/1/2026</t>
        </is>
      </c>
      <c r="U18" s="13" t="inlineStr">
        <is>
          <t>2026-10-13</t>
        </is>
      </c>
      <c r="V18" s="28" t="inlineStr">
        <is>
          <t>Flat 3.80% over a status deduction ($13,000 other / $19,500 HoH / $26,000 MFJ — MFJ figure assumes spouse has no earned income), minus a $40-per-unit allowance credit (row 23 = units). Supplemental treatment UNVERIFIED in the official formula — one-offs aggregate. QA: Formula Examples 1 &amp; 2 PASS (exact).</t>
        </is>
      </c>
      <c r="W18" s="13" t="n"/>
      <c r="X18" s="13" t="n"/>
      <c r="Y18" s="13" t="n"/>
      <c r="Z18" s="13" t="n"/>
      <c r="AA18" s="13" t="n"/>
      <c r="AB18" s="13" t="n"/>
    </row>
    <row r="19">
      <c r="A19" s="13" t="inlineStr">
        <is>
          <t>ID</t>
        </is>
      </c>
      <c r="B19" s="13" t="inlineStr">
        <is>
          <t>Idaho</t>
        </is>
      </c>
      <c r="C19" s="13" t="inlineStr">
        <is>
          <t>Form ID W-4</t>
        </is>
      </c>
      <c r="D19" s="13" t="inlineStr">
        <is>
          <t>Flat</t>
        </is>
      </c>
      <c r="E19" s="13" t="inlineStr">
        <is>
          <t>LIVE — formula (Phase B)</t>
        </is>
      </c>
      <c r="F19" s="13" t="inlineStr">
        <is>
          <t>DIR</t>
        </is>
      </c>
      <c r="G19" s="13" t="n"/>
      <c r="H19" s="13" t="n"/>
      <c r="I19" s="13" t="n"/>
      <c r="J19" s="13" t="n"/>
      <c r="K19" s="13" t="n"/>
      <c r="L19" s="13" t="n"/>
      <c r="M19" s="29" t="n">
        <v>0.053</v>
      </c>
      <c r="N19" s="13" t="n"/>
      <c r="O19" s="13" t="n"/>
      <c r="P19" s="13" t="n"/>
      <c r="Q19" s="13" t="n"/>
      <c r="R19" s="13" t="n"/>
      <c r="S19" s="13" t="n"/>
      <c r="T19" s="28" t="inlineStr">
        <is>
          <t>ID Tax Commission, Computing Withholding page + revised 2026 tables (July 31, 2026 notice; Child Tax Credit sunset)</t>
        </is>
      </c>
      <c r="U19" s="13" t="inlineStr">
        <is>
          <t>2026-10-13</t>
        </is>
      </c>
      <c r="V19" s="28" t="inlineStr">
        <is>
          <t>Flat 5.3% over the status threshold (Married $32,000 verified in the official example; Single $16,094 derived from the verified $619 biweekly figure). Allowance value is $0 under the revised tables. QA: both official examples PASS within guide rounding.</t>
        </is>
      </c>
      <c r="W19" s="13" t="n"/>
      <c r="X19" s="13" t="n"/>
      <c r="Y19" s="13" t="n"/>
      <c r="Z19" s="13" t="n"/>
      <c r="AA19" s="13" t="n"/>
      <c r="AB19" s="13" t="n"/>
    </row>
    <row r="20">
      <c r="A20" s="13" t="inlineStr">
        <is>
          <t>IL</t>
        </is>
      </c>
      <c r="B20" s="13" t="inlineStr">
        <is>
          <t>Illinois</t>
        </is>
      </c>
      <c r="C20" s="13" t="inlineStr">
        <is>
          <t>Form IL-W-4</t>
        </is>
      </c>
      <c r="D20" s="13" t="inlineStr">
        <is>
          <t>Flat</t>
        </is>
      </c>
      <c r="E20" s="13" t="inlineStr">
        <is>
          <t>LIVE — formula (Phase B)</t>
        </is>
      </c>
      <c r="F20" s="13" t="inlineStr">
        <is>
          <t>DIR</t>
        </is>
      </c>
      <c r="G20" s="13" t="n"/>
      <c r="H20" s="13" t="n"/>
      <c r="I20" s="13" t="n"/>
      <c r="J20" s="13" t="n"/>
      <c r="K20" s="13" t="n"/>
      <c r="L20" s="13" t="n"/>
      <c r="M20" s="13" t="n"/>
      <c r="N20" s="13" t="n"/>
      <c r="O20" s="13" t="n"/>
      <c r="P20" s="13" t="n"/>
      <c r="Q20" s="13" t="n"/>
      <c r="R20" s="13" t="n"/>
      <c r="S20" s="13" t="n"/>
      <c r="T20" s="28" t="inlineStr">
        <is>
          <t>IL DOR Booklet IL-700-T (R-12/25), eff. 1/1/2026</t>
        </is>
      </c>
      <c r="U20" s="13" t="inlineStr">
        <is>
          <t>2026-10-13</t>
        </is>
      </c>
      <c r="V20" s="28" t="inlineStr">
        <is>
          <t>Flat 4.95%; Line 1 allowances $2,925 (row 23), Line 2 $1,000 (row 24). No separate supplemental rate — same computation. QA: automated-method example PASS (exact); the $8.38 example uses the wage tables, not the formula.</t>
        </is>
      </c>
      <c r="W20" s="13" t="n"/>
      <c r="X20" s="13" t="n"/>
      <c r="Y20" s="13" t="n"/>
      <c r="Z20" s="13" t="n"/>
      <c r="AA20" s="13" t="n"/>
      <c r="AB20" s="13" t="n"/>
    </row>
    <row r="21">
      <c r="A21" s="13" t="inlineStr">
        <is>
          <t>IN</t>
        </is>
      </c>
      <c r="B21" s="13" t="inlineStr">
        <is>
          <t>Indiana</t>
        </is>
      </c>
      <c r="C21" s="13" t="inlineStr">
        <is>
          <t>Form WH-4</t>
        </is>
      </c>
      <c r="D21" s="13" t="inlineStr">
        <is>
          <t>Flat + county</t>
        </is>
      </c>
      <c r="E21" s="13" t="inlineStr">
        <is>
          <t>LIVE — formula (Phase B)</t>
        </is>
      </c>
      <c r="F21" s="13" t="inlineStr">
        <is>
          <t>DIR</t>
        </is>
      </c>
      <c r="G21" s="13" t="n"/>
      <c r="H21" s="13" t="n"/>
      <c r="I21" s="13" t="n"/>
      <c r="J21" s="13" t="n"/>
      <c r="K21" s="13" t="n"/>
      <c r="L21" s="13" t="n"/>
      <c r="M21" s="13" t="n"/>
      <c r="N21" s="13" t="n"/>
      <c r="O21" s="13" t="n"/>
      <c r="P21" s="13" t="n"/>
      <c r="Q21" s="13" t="n"/>
      <c r="R21" s="13" t="n"/>
      <c r="S21" s="13" t="n"/>
      <c r="T21" s="28" t="inlineStr">
        <is>
          <t>IN DOR Departmental Notice #1 (R46/01-26), eff. 1/1/2026</t>
        </is>
      </c>
      <c r="U21" s="13" t="inlineStr">
        <is>
          <t>2026-10-13</t>
        </is>
      </c>
      <c r="V21" s="28" t="inlineStr">
        <is>
          <t>State 2.95% + your county rate (row 76), on wages minus $1,000 personal (row 23), $1,500 dependent (row 24), $3,000 adopted-child (row 86) exemptions. Bonuses: same rates with NO exemptions. QA: DN1 example PASS (state $13.96 + county $4.73).</t>
        </is>
      </c>
      <c r="W21" s="13" t="n"/>
      <c r="X21" s="13" t="n"/>
      <c r="Y21" s="13" t="n"/>
      <c r="Z21" s="13" t="n"/>
      <c r="AA21" s="13" t="n"/>
      <c r="AB21" s="13" t="n"/>
    </row>
    <row r="22">
      <c r="A22" s="13" t="inlineStr">
        <is>
          <t>KS</t>
        </is>
      </c>
      <c r="B22" s="13" t="inlineStr">
        <is>
          <t>Kansas</t>
        </is>
      </c>
      <c r="C22" s="13" t="inlineStr">
        <is>
          <t>Form K-4</t>
        </is>
      </c>
      <c r="D22" s="13" t="inlineStr">
        <is>
          <t>Graduated</t>
        </is>
      </c>
      <c r="E22" s="13" t="inlineStr">
        <is>
          <t>LIVE — formula (Phase B)</t>
        </is>
      </c>
      <c r="F22" s="13" t="inlineStr">
        <is>
          <t>GEN</t>
        </is>
      </c>
      <c r="G22" s="13" t="n"/>
      <c r="H22" s="13" t="n"/>
      <c r="I22" s="13" t="n"/>
      <c r="J22" s="13" t="n"/>
      <c r="K22" s="13" t="n"/>
      <c r="L22" s="13" t="n"/>
      <c r="M22" s="29" t="n">
        <v>0.05</v>
      </c>
      <c r="N22" s="13" t="n"/>
      <c r="O22" s="13" t="n"/>
      <c r="P22" s="13" t="n"/>
      <c r="Q22" s="13" t="n"/>
      <c r="R22" s="13" t="n"/>
      <c r="S22" s="13" t="n"/>
      <c r="T22" s="28" t="inlineStr">
        <is>
          <t>KS DOR KW-100 Withholding Tax Guide (Rev. 10-24; current for 2026)</t>
        </is>
      </c>
      <c r="U22" s="13" t="inlineStr">
        <is>
          <t>2026-10-13</t>
        </is>
      </c>
      <c r="V22" s="28" t="inlineStr">
        <is>
          <t>Exemption $9,160 (x2 MFJ built in) + $2,320 per dependent (row 24; +1 for HoH). QA: KW-100 example PASS within guide's whole-dollar rounding (+$0.44).</t>
        </is>
      </c>
      <c r="W22" s="13" t="n"/>
      <c r="X22" s="13" t="n"/>
      <c r="Y22" s="13" t="n"/>
      <c r="Z22" s="13" t="n"/>
      <c r="AA22" s="13" t="n"/>
      <c r="AB22" s="13" t="n"/>
    </row>
    <row r="23">
      <c r="A23" s="13" t="inlineStr">
        <is>
          <t>KY</t>
        </is>
      </c>
      <c r="B23" s="13" t="inlineStr">
        <is>
          <t>Kentucky</t>
        </is>
      </c>
      <c r="C23" s="13" t="inlineStr">
        <is>
          <t>Form K-4 (exempt/extra only)</t>
        </is>
      </c>
      <c r="D23" s="13" t="inlineStr">
        <is>
          <t>Flat</t>
        </is>
      </c>
      <c r="E23" s="13" t="inlineStr">
        <is>
          <t>LIVE — formula (Phase B)</t>
        </is>
      </c>
      <c r="F23" s="13" t="inlineStr">
        <is>
          <t>DIR</t>
        </is>
      </c>
      <c r="G23" s="13" t="n"/>
      <c r="H23" s="13" t="n"/>
      <c r="I23" s="13" t="n"/>
      <c r="J23" s="13" t="n"/>
      <c r="K23" s="13" t="n"/>
      <c r="L23" s="13" t="n"/>
      <c r="M23" s="13" t="n"/>
      <c r="N23" s="13" t="n"/>
      <c r="O23" s="13" t="n"/>
      <c r="P23" s="13" t="n"/>
      <c r="Q23" s="13" t="n"/>
      <c r="R23" s="13" t="n"/>
      <c r="S23" s="13" t="n"/>
      <c r="T23" s="28" t="inlineStr">
        <is>
          <t>KY DOR Form 42A003 (TCF) 2026 Withholding Tax Formula; Employer Payroll Withholding page (rate 3.5%)</t>
        </is>
      </c>
      <c r="U23" s="13" t="inlineStr">
        <is>
          <t>2026-10-13</t>
        </is>
      </c>
      <c r="V23" s="28" t="inlineStr">
        <is>
          <t>Flat 3.5% over a $3,360 standard deduction; no personal exemptions. Local occupational taxes (Louisville, Lexington, many others) via Inputs row 81/27. QA: 42A003 monthly example PASS (exact). The same sheet's biweekly example contains two printed misprints — not used.</t>
        </is>
      </c>
      <c r="W23" s="13" t="n"/>
      <c r="X23" s="13" t="n"/>
      <c r="Y23" s="13" t="n"/>
      <c r="Z23" s="13" t="n"/>
      <c r="AA23" s="13" t="n"/>
      <c r="AB23" s="13" t="n"/>
    </row>
    <row r="24">
      <c r="A24" s="13" t="inlineStr">
        <is>
          <t>LA</t>
        </is>
      </c>
      <c r="B24" s="13" t="inlineStr">
        <is>
          <t>Louisiana</t>
        </is>
      </c>
      <c r="C24" s="13" t="inlineStr">
        <is>
          <t>Form R-1300 (L-4)</t>
        </is>
      </c>
      <c r="D24" s="13" t="inlineStr">
        <is>
          <t>Flat</t>
        </is>
      </c>
      <c r="E24" s="13" t="inlineStr">
        <is>
          <t>LIVE — formula (Phase B)</t>
        </is>
      </c>
      <c r="F24" s="13" t="inlineStr">
        <is>
          <t>DIR</t>
        </is>
      </c>
      <c r="G24" s="13" t="n"/>
      <c r="H24" s="13" t="n"/>
      <c r="I24" s="13" t="n"/>
      <c r="J24" s="13" t="n"/>
      <c r="K24" s="13" t="n"/>
      <c r="L24" s="13" t="n"/>
      <c r="M24" s="13" t="n"/>
      <c r="N24" s="13" t="n"/>
      <c r="O24" s="13" t="n"/>
      <c r="P24" s="13" t="n"/>
      <c r="Q24" s="13" t="n"/>
      <c r="R24" s="13" t="n"/>
      <c r="S24" s="13" t="n"/>
      <c r="T24" s="28" t="inlineStr">
        <is>
          <t>LA LDR Form R-1306 (1/26) formulas; LAC 61:I.1501 NOI (2026 SDs $12,875/$25,750)</t>
        </is>
      </c>
      <c r="U24" s="13" t="inlineStr">
        <is>
          <t>2026-10-13</t>
        </is>
      </c>
      <c r="V24" s="28" t="inlineStr">
        <is>
          <t>Flat 3.09% (3.0% statute + 0.09% cushion) over the L-4 standard-deduction claim (row 84). No separate supplemental rate — same formula. QA: both R-1306 examples PASS (exact).</t>
        </is>
      </c>
      <c r="W24" s="13" t="n"/>
      <c r="X24" s="13" t="n"/>
      <c r="Y24" s="13" t="n"/>
      <c r="Z24" s="13" t="n"/>
      <c r="AA24" s="13" t="n"/>
      <c r="AB24" s="13" t="n"/>
    </row>
    <row r="25">
      <c r="A25" s="13" t="inlineStr">
        <is>
          <t>MA</t>
        </is>
      </c>
      <c r="B25" s="13" t="inlineStr">
        <is>
          <t>Massachusetts</t>
        </is>
      </c>
      <c r="C25" s="13" t="inlineStr">
        <is>
          <t>Form M-4</t>
        </is>
      </c>
      <c r="D25" s="13" t="inlineStr">
        <is>
          <t>Flat</t>
        </is>
      </c>
      <c r="E25" s="13" t="inlineStr">
        <is>
          <t>LIVE — formula (Phase B)</t>
        </is>
      </c>
      <c r="F25" s="13" t="inlineStr">
        <is>
          <t>DIR</t>
        </is>
      </c>
      <c r="G25" s="13" t="n"/>
      <c r="H25" s="13" t="n"/>
      <c r="I25" s="13" t="n"/>
      <c r="J25" s="13" t="n"/>
      <c r="K25" s="13" t="n"/>
      <c r="L25" s="13" t="n"/>
      <c r="M25" s="13" t="n"/>
      <c r="N25" s="13" t="inlineStr">
        <is>
          <t>MA PFML (employee max)</t>
        </is>
      </c>
      <c r="O25" s="27" t="n">
        <v>0.0046</v>
      </c>
      <c r="P25" s="16" t="n">
        <v>184500</v>
      </c>
      <c r="Q25" s="13" t="n"/>
      <c r="R25" s="13" t="n"/>
      <c r="S25" s="13" t="n"/>
      <c r="T25" s="28" t="inlineStr">
        <is>
          <t>MA DOR Circular M (eff. 1/1/2026), percentage method p.12 + section G</t>
        </is>
      </c>
      <c r="U25" s="13" t="inlineStr">
        <is>
          <t>2026-10-13</t>
        </is>
      </c>
      <c r="V25" s="28" t="inlineStr">
        <is>
          <t>5.0% (9.0% over $1,107,750) on wages minus cumulative FICA (capped $2,000/yr) minus the exemption factor ($4,400 for 1; $1,000n + $3,400 for more); minus $120/yr HoH value and $110/yr per blind person (row 75). One-offs use the Circular M section G method. Spouse counts as 4 exemptions on the M-4. QA: section G bonus example PASS (exact, $24,854).</t>
        </is>
      </c>
      <c r="W25" s="13" t="n"/>
      <c r="X25" s="13" t="inlineStr">
        <is>
          <t>rate</t>
        </is>
      </c>
      <c r="Y25" s="13" t="n"/>
      <c r="Z25" s="13" t="n"/>
      <c r="AA25" s="13" t="n"/>
      <c r="AB25" s="13" t="n"/>
    </row>
    <row r="26">
      <c r="A26" s="13" t="inlineStr">
        <is>
          <t>MD</t>
        </is>
      </c>
      <c r="B26" s="13" t="inlineStr">
        <is>
          <t>Maryland</t>
        </is>
      </c>
      <c r="C26" s="13" t="inlineStr">
        <is>
          <t>Form MW507</t>
        </is>
      </c>
      <c r="D26" s="13" t="inlineStr">
        <is>
          <t>Graduated + county</t>
        </is>
      </c>
      <c r="E26" s="13" t="inlineStr">
        <is>
          <t>LIVE — formula (Phase B)</t>
        </is>
      </c>
      <c r="F26" s="13" t="inlineStr">
        <is>
          <t>GEN</t>
        </is>
      </c>
      <c r="G26" s="13" t="n"/>
      <c r="H26" s="13" t="n"/>
      <c r="I26" s="13" t="n"/>
      <c r="J26" s="13" t="n"/>
      <c r="K26" s="13" t="n"/>
      <c r="L26" s="13" t="n"/>
      <c r="M26" s="13" t="n"/>
      <c r="N26" s="13" t="n"/>
      <c r="O26" s="13" t="n"/>
      <c r="P26" s="13" t="n"/>
      <c r="Q26" s="13" t="n"/>
      <c r="R26" s="13" t="n"/>
      <c r="S26" s="13" t="n"/>
      <c r="T26" s="28" t="inlineStr">
        <is>
          <t>Comptroller of Maryland, 2026 Employer Withholding Guide (Rev. Dec 2025)</t>
        </is>
      </c>
      <c r="U26" s="13" t="inlineStr">
        <is>
          <t>2026-10-13</t>
        </is>
      </c>
      <c r="V26" s="28" t="inlineStr">
        <is>
          <t>State schedule on wages minus $3,400 SD and $3,200/exemption, PLUS your county's flat rate (row 74) on the same base. Anne Arundel &amp; Frederick counties are graduated — the flat-rate entry is an approximation there. Lump-sum bonus: 6.50% + county rate. No narrative worked example is published (QA = combined-table anchors). Nonresidents: use county rate 2.25%.</t>
        </is>
      </c>
      <c r="W26" s="13" t="n"/>
      <c r="X26" s="13" t="n"/>
      <c r="Y26" s="13" t="n"/>
      <c r="Z26" s="13" t="n"/>
      <c r="AA26" s="13" t="n"/>
      <c r="AB26" s="13" t="n"/>
    </row>
    <row r="27">
      <c r="A27" s="13" t="inlineStr">
        <is>
          <t>ME</t>
        </is>
      </c>
      <c r="B27" s="13" t="inlineStr">
        <is>
          <t>Maine</t>
        </is>
      </c>
      <c r="C27" s="13" t="inlineStr">
        <is>
          <t>Form W-4ME</t>
        </is>
      </c>
      <c r="D27" s="13" t="inlineStr">
        <is>
          <t>Graduated</t>
        </is>
      </c>
      <c r="E27" s="13" t="inlineStr">
        <is>
          <t>MANUAL ENTRY — see Notes</t>
        </is>
      </c>
      <c r="F27" s="13" t="inlineStr">
        <is>
          <t>—</t>
        </is>
      </c>
      <c r="G27" s="13" t="n"/>
      <c r="H27" s="13" t="n"/>
      <c r="I27" s="13" t="n"/>
      <c r="J27" s="13" t="n"/>
      <c r="K27" s="13" t="n"/>
      <c r="L27" s="13" t="n"/>
      <c r="M27" s="29" t="n">
        <v>0.05</v>
      </c>
      <c r="N27" s="13" t="inlineStr">
        <is>
          <t>ME Paid Family &amp; Medical Leave (employee share)</t>
        </is>
      </c>
      <c r="O27" s="27" t="n">
        <v>0.005</v>
      </c>
      <c r="P27" s="16" t="n">
        <v>184500</v>
      </c>
      <c r="Q27" s="13" t="n"/>
      <c r="R27" s="13" t="n"/>
      <c r="S27" s="13" t="n"/>
      <c r="T27" s="28" t="inlineStr">
        <is>
          <t>Maine Revenue Services, Withholding Tables for Individual Income Tax (2026 booklet)</t>
        </is>
      </c>
      <c r="U27" s="13" t="inlineStr">
        <is>
          <t>2026-10-13</t>
        </is>
      </c>
      <c r="V27" s="28" t="inlineStr">
        <is>
          <t>MANUAL — per spec: the 2026 withholding standard-deduction table could not be verified (secondary reports conflict: $12,850/$28,550 vs $15,700/$31,400). Allowance ($5,300) and rate schedules are verified but the deduction is a core parameter. ME PFML program at left IS live.</t>
        </is>
      </c>
      <c r="W27" s="13" t="n"/>
      <c r="X27" s="13" t="inlineStr">
        <is>
          <t>rate</t>
        </is>
      </c>
      <c r="Y27" s="13" t="n"/>
      <c r="Z27" s="13" t="n"/>
      <c r="AA27" s="13" t="n"/>
      <c r="AB27" s="13" t="n"/>
    </row>
    <row r="28">
      <c r="A28" s="13" t="inlineStr">
        <is>
          <t>MI</t>
        </is>
      </c>
      <c r="B28" s="13" t="inlineStr">
        <is>
          <t>Michigan</t>
        </is>
      </c>
      <c r="C28" s="13" t="inlineStr">
        <is>
          <t>Form MI-W4</t>
        </is>
      </c>
      <c r="D28" s="13" t="inlineStr">
        <is>
          <t>Flat</t>
        </is>
      </c>
      <c r="E28" s="13" t="inlineStr">
        <is>
          <t>LIVE — formula (Phase B)</t>
        </is>
      </c>
      <c r="F28" s="13" t="inlineStr">
        <is>
          <t>DIR</t>
        </is>
      </c>
      <c r="G28" s="13" t="n"/>
      <c r="H28" s="13" t="n"/>
      <c r="I28" s="13" t="n"/>
      <c r="J28" s="13" t="n"/>
      <c r="K28" s="13" t="n"/>
      <c r="L28" s="13" t="n"/>
      <c r="M28" s="29" t="n">
        <v>0.0425</v>
      </c>
      <c r="N28" s="13" t="n"/>
      <c r="O28" s="13" t="n"/>
      <c r="P28" s="13" t="n"/>
      <c r="Q28" s="13" t="n"/>
      <c r="R28" s="13" t="n"/>
      <c r="S28" s="13" t="n"/>
      <c r="T28" s="28" t="inlineStr">
        <is>
          <t>MI Treasury Form 446 (Rev. 10-25), 2026 Withholding Guide</t>
        </is>
      </c>
      <c r="U28" s="13" t="inlineStr">
        <is>
          <t>2026-10-13</t>
        </is>
      </c>
      <c r="V28" s="28" t="inlineStr">
        <is>
          <t>Flat 4.25%; $5,900 per exemption. Bonuses paid separately: 4.25% with no exemptions. City income taxes (Detroit etc.) via Inputs row 81/27. No official wage worked example is published.</t>
        </is>
      </c>
      <c r="W28" s="13" t="n"/>
      <c r="X28" s="13" t="n"/>
      <c r="Y28" s="13" t="n"/>
      <c r="Z28" s="13" t="n"/>
      <c r="AA28" s="13" t="n"/>
      <c r="AB28" s="13" t="n"/>
    </row>
    <row r="29">
      <c r="A29" s="13" t="inlineStr">
        <is>
          <t>MN</t>
        </is>
      </c>
      <c r="B29" s="13" t="inlineStr">
        <is>
          <t>Minnesota</t>
        </is>
      </c>
      <c r="C29" s="13" t="inlineStr">
        <is>
          <t>Form W-4MN</t>
        </is>
      </c>
      <c r="D29" s="13" t="inlineStr">
        <is>
          <t>Graduated</t>
        </is>
      </c>
      <c r="E29" s="13" t="inlineStr">
        <is>
          <t>LIVE — formula (Phase B)</t>
        </is>
      </c>
      <c r="F29" s="13" t="inlineStr">
        <is>
          <t>GEN</t>
        </is>
      </c>
      <c r="G29" s="13" t="n"/>
      <c r="H29" s="13" t="n"/>
      <c r="I29" s="13" t="n"/>
      <c r="J29" s="13" t="n"/>
      <c r="K29" s="13" t="n"/>
      <c r="L29" s="13" t="n"/>
      <c r="M29" s="29" t="n">
        <v>0.0625</v>
      </c>
      <c r="N29" s="13" t="inlineStr">
        <is>
          <t>MN Paid Leave (employee share)</t>
        </is>
      </c>
      <c r="O29" s="27" t="n">
        <v>0.0044</v>
      </c>
      <c r="P29" s="16" t="n">
        <v>185000</v>
      </c>
      <c r="Q29" s="13" t="n"/>
      <c r="R29" s="13" t="n"/>
      <c r="S29" s="13" t="n"/>
      <c r="T29" s="28" t="inlineStr">
        <is>
          <t>MN DOR 2026 Withholding Instruction Booklet &amp; Tax Tables (Computer Formula, p.34)</t>
        </is>
      </c>
      <c r="U29" s="13" t="inlineStr">
        <is>
          <t>2026-10-13</t>
        </is>
      </c>
      <c r="V29" s="28" t="inlineStr">
        <is>
          <t>$5,300 per allowance; Step-5 exclusion $4,700 single / $14,700 married is built into the bracket floors. Engine keeps cents (booklet permits whole-dollar rounding). No official worked example — derived formula check PASS.</t>
        </is>
      </c>
      <c r="W29" s="13" t="n"/>
      <c r="X29" s="13" t="inlineStr">
        <is>
          <t>rate</t>
        </is>
      </c>
      <c r="Y29" s="13" t="n"/>
      <c r="Z29" s="13" t="n"/>
      <c r="AA29" s="13" t="n"/>
      <c r="AB29" s="13" t="n"/>
    </row>
    <row r="30">
      <c r="A30" s="13" t="inlineStr">
        <is>
          <t>MO</t>
        </is>
      </c>
      <c r="B30" s="13" t="inlineStr">
        <is>
          <t>Missouri</t>
        </is>
      </c>
      <c r="C30" s="13" t="inlineStr">
        <is>
          <t>Form MO W-4</t>
        </is>
      </c>
      <c r="D30" s="13" t="inlineStr">
        <is>
          <t>Graduated</t>
        </is>
      </c>
      <c r="E30" s="13" t="inlineStr">
        <is>
          <t>LIVE — formula (Phase B)</t>
        </is>
      </c>
      <c r="F30" s="13" t="inlineStr">
        <is>
          <t>GEN</t>
        </is>
      </c>
      <c r="G30" s="13" t="n"/>
      <c r="H30" s="13" t="n"/>
      <c r="I30" s="13" t="n"/>
      <c r="J30" s="13" t="n"/>
      <c r="K30" s="13" t="n"/>
      <c r="L30" s="13" t="n"/>
      <c r="M30" s="29" t="n">
        <v>0.047</v>
      </c>
      <c r="N30" s="13" t="n"/>
      <c r="O30" s="13" t="n"/>
      <c r="P30" s="13" t="n"/>
      <c r="Q30" s="13" t="n"/>
      <c r="R30" s="13" t="n"/>
      <c r="S30" s="13" t="n"/>
      <c r="T30" s="28" t="inlineStr">
        <is>
          <t>MO DOR 2026 Withholding Tax Formula; Form 4282 Employer's Tax Guide</t>
        </is>
      </c>
      <c r="U30" s="13" t="inlineStr">
        <is>
          <t>2026-10-13</t>
        </is>
      </c>
      <c r="V30" s="28" t="inlineStr">
        <is>
          <t>Standard deduction by status/spouse-works (row 83): $16,100 / $24,150 HoH / $32,200. Nine $1,348 bands to 4.7%. Kansas City &amp; St. Louis 1% earnings taxes via Inputs row 81. QA: formula-sheet example PASS (−$0.02; guide rounds to whole dollars).</t>
        </is>
      </c>
      <c r="W30" s="13" t="n"/>
      <c r="X30" s="13" t="n"/>
      <c r="Y30" s="13" t="n"/>
      <c r="Z30" s="13" t="n"/>
      <c r="AA30" s="13" t="n"/>
      <c r="AB30" s="13" t="n"/>
    </row>
    <row r="31">
      <c r="A31" s="13" t="inlineStr">
        <is>
          <t>MS</t>
        </is>
      </c>
      <c r="B31" s="13" t="inlineStr">
        <is>
          <t>Mississippi</t>
        </is>
      </c>
      <c r="C31" s="13" t="inlineStr">
        <is>
          <t>Form 89-350</t>
        </is>
      </c>
      <c r="D31" s="13" t="inlineStr">
        <is>
          <t>Flat</t>
        </is>
      </c>
      <c r="E31" s="13" t="inlineStr">
        <is>
          <t>LIVE — formula (Phase B)</t>
        </is>
      </c>
      <c r="F31" s="13" t="inlineStr">
        <is>
          <t>DIR</t>
        </is>
      </c>
      <c r="G31" s="13" t="n"/>
      <c r="H31" s="13" t="n"/>
      <c r="I31" s="13" t="n"/>
      <c r="J31" s="13" t="n"/>
      <c r="K31" s="13" t="n"/>
      <c r="L31" s="13" t="n"/>
      <c r="M31" s="13" t="n"/>
      <c r="N31" s="13" t="n"/>
      <c r="O31" s="13" t="n"/>
      <c r="P31" s="13" t="n"/>
      <c r="Q31" s="13" t="n"/>
      <c r="R31" s="13" t="n"/>
      <c r="S31" s="13" t="n"/>
      <c r="T31" s="28" t="inlineStr">
        <is>
          <t>MS DOR Computer Payroll Accounting — For Periods In 2026 (Rev. 8/13/25)</t>
        </is>
      </c>
      <c r="U31" s="13" t="inlineStr">
        <is>
          <t>2026-10-13</t>
        </is>
      </c>
      <c r="V31" s="28" t="inlineStr">
        <is>
          <t>4.0% of taxable income over $10,000; TI = wages − standard deduction (Single $2,300 / Married $4,600 / HoH $3,400) − your Form 89-350 exemption total (row 85). Married-both-employed uses $2,300 — engine uses $4,600 for 'Married' (note). No official worked example — derived formula check PASS.</t>
        </is>
      </c>
      <c r="W31" s="13" t="n"/>
      <c r="X31" s="13" t="n"/>
      <c r="Y31" s="13" t="n"/>
      <c r="Z31" s="13" t="n"/>
      <c r="AA31" s="13" t="n"/>
      <c r="AB31" s="13" t="n"/>
    </row>
    <row r="32">
      <c r="A32" s="13" t="inlineStr">
        <is>
          <t>MT</t>
        </is>
      </c>
      <c r="B32" s="13" t="inlineStr">
        <is>
          <t>Montana</t>
        </is>
      </c>
      <c r="C32" s="13" t="inlineStr">
        <is>
          <t>Form MW-4</t>
        </is>
      </c>
      <c r="D32" s="13" t="inlineStr">
        <is>
          <t>Graduated</t>
        </is>
      </c>
      <c r="E32" s="13" t="inlineStr">
        <is>
          <t>LIVE — formula (Phase B)</t>
        </is>
      </c>
      <c r="F32" s="13" t="inlineStr">
        <is>
          <t>GEN</t>
        </is>
      </c>
      <c r="G32" s="13" t="n"/>
      <c r="H32" s="13" t="n"/>
      <c r="I32" s="13" t="n"/>
      <c r="J32" s="13" t="n"/>
      <c r="K32" s="13" t="n"/>
      <c r="L32" s="13" t="n"/>
      <c r="M32" s="29" t="n">
        <v>0.05</v>
      </c>
      <c r="N32" s="13" t="n"/>
      <c r="O32" s="13" t="n"/>
      <c r="P32" s="13" t="n"/>
      <c r="Q32" s="13" t="n"/>
      <c r="R32" s="13" t="n"/>
      <c r="S32" s="13" t="n"/>
      <c r="T32" s="28" t="inlineStr">
        <is>
          <t>MT DOR Employer &amp; Information Agent Guide with Withholding Tax Tables, V4 Nov 2025</t>
        </is>
      </c>
      <c r="U32" s="13" t="inlineStr">
        <is>
          <t>2026-10-13</t>
        </is>
      </c>
      <c r="V32" s="28" t="inlineStr">
        <is>
          <t>0% / 4.7% / 5.65% by status family (MFJ both-working uses the Single family — select 'Single'). No separate deduction — the 0% bracket is the deduction. Guide examples round to the nearest dollar. QA: all three published examples PASS within rounding.</t>
        </is>
      </c>
      <c r="W32" s="13" t="n"/>
      <c r="X32" s="13" t="n"/>
      <c r="Y32" s="13" t="n"/>
      <c r="Z32" s="13" t="n"/>
      <c r="AA32" s="13" t="n"/>
      <c r="AB32" s="13" t="n"/>
    </row>
    <row r="33">
      <c r="A33" s="13" t="inlineStr">
        <is>
          <t>NC</t>
        </is>
      </c>
      <c r="B33" s="13" t="inlineStr">
        <is>
          <t>North Carolina</t>
        </is>
      </c>
      <c r="C33" s="13" t="inlineStr">
        <is>
          <t>Form NC-4</t>
        </is>
      </c>
      <c r="D33" s="13" t="inlineStr">
        <is>
          <t>Flat</t>
        </is>
      </c>
      <c r="E33" s="13" t="inlineStr">
        <is>
          <t>MANUAL ENTRY — see Notes</t>
        </is>
      </c>
      <c r="F33" s="13" t="inlineStr">
        <is>
          <t>—</t>
        </is>
      </c>
      <c r="G33" s="13" t="n"/>
      <c r="H33" s="13" t="n"/>
      <c r="I33" s="13" t="n"/>
      <c r="J33" s="13" t="n"/>
      <c r="K33" s="13" t="n"/>
      <c r="L33" s="13" t="n"/>
      <c r="M33" s="29" t="n">
        <v>0.0409</v>
      </c>
      <c r="N33" s="13" t="n"/>
      <c r="O33" s="13" t="n"/>
      <c r="P33" s="13" t="n"/>
      <c r="Q33" s="13" t="n"/>
      <c r="R33" s="13" t="n"/>
      <c r="S33" s="13" t="n"/>
      <c r="T33" s="28" t="inlineStr">
        <is>
          <t>NCDOR NC-30 (2026) — not readable in the research session; NC tax rate schedules (statutory 3.99%)</t>
        </is>
      </c>
      <c r="U33" s="13" t="inlineStr">
        <is>
          <t>2026-10-13</t>
        </is>
      </c>
      <c r="V33" s="28" t="inlineStr">
        <is>
          <t>MANUAL — integrity rule: the 4.09% withholding rate, $2,500 allowance and withholding standard deductions are consistent in secondary sources but were UNVERIFIED from the 2026 NC-30 itself. The supplemental rule (rate + 0.10%) is verified in 17 NCAC 06C .0117 but the base rate for the formula is not.</t>
        </is>
      </c>
      <c r="W33" s="13" t="n"/>
      <c r="X33" s="13" t="n"/>
      <c r="Y33" s="13" t="n"/>
      <c r="Z33" s="13" t="n"/>
      <c r="AA33" s="13" t="n"/>
      <c r="AB33" s="13" t="n"/>
    </row>
    <row r="34">
      <c r="A34" s="13" t="inlineStr">
        <is>
          <t>ND</t>
        </is>
      </c>
      <c r="B34" s="13" t="inlineStr">
        <is>
          <t>North Dakota</t>
        </is>
      </c>
      <c r="C34" s="13" t="inlineStr">
        <is>
          <t>Federal W-4</t>
        </is>
      </c>
      <c r="D34" s="13" t="inlineStr">
        <is>
          <t>Graduated</t>
        </is>
      </c>
      <c r="E34" s="13" t="inlineStr">
        <is>
          <t>LIVE — formula (Phase B)</t>
        </is>
      </c>
      <c r="F34" s="13" t="inlineStr">
        <is>
          <t>GEN</t>
        </is>
      </c>
      <c r="G34" s="13" t="n"/>
      <c r="H34" s="13" t="n"/>
      <c r="I34" s="13" t="n"/>
      <c r="J34" s="13" t="n"/>
      <c r="K34" s="13" t="n"/>
      <c r="L34" s="13" t="n"/>
      <c r="M34" s="29" t="n">
        <v>0.015</v>
      </c>
      <c r="N34" s="13" t="n"/>
      <c r="O34" s="13" t="n"/>
      <c r="P34" s="13" t="n"/>
      <c r="Q34" s="13" t="n"/>
      <c r="R34" s="13" t="n"/>
      <c r="S34" s="13" t="n"/>
      <c r="T34" s="28" t="inlineStr">
        <is>
          <t>ND Tax Commissioner, Income Tax Withholding Rates &amp; Instructions (2026), Section 2 (2020+ W-4)</t>
        </is>
      </c>
      <c r="U34" s="13" t="inlineStr">
        <is>
          <t>2026-10-13</t>
        </is>
      </c>
      <c r="V34" s="28" t="inlineStr">
        <is>
          <t>Zero bracket built into the schedule (Single $57,625 / MFJ $57,500 / HoH $78,475); 1.95% / 2.50%. Engine implements Section 2 (current W-4s). QA: the guide's Section 2 example is a stale prior-year carryover (research-verified) — engine matches the 2026 TABLE ($13.49/wk). Section 1 (pre-2020 W-4) example reproduces but is not the engine's method.</t>
        </is>
      </c>
      <c r="W34" s="13" t="n"/>
      <c r="X34" s="13" t="n"/>
      <c r="Y34" s="13" t="n"/>
      <c r="Z34" s="13" t="n"/>
      <c r="AA34" s="13" t="n"/>
      <c r="AB34" s="13" t="n"/>
    </row>
    <row r="35">
      <c r="A35" s="13" t="inlineStr">
        <is>
          <t>NE</t>
        </is>
      </c>
      <c r="B35" s="13" t="inlineStr">
        <is>
          <t>Nebraska</t>
        </is>
      </c>
      <c r="C35" s="13" t="inlineStr">
        <is>
          <t>Form W-4N</t>
        </is>
      </c>
      <c r="D35" s="13" t="inlineStr">
        <is>
          <t>Graduated</t>
        </is>
      </c>
      <c r="E35" s="13" t="inlineStr">
        <is>
          <t>LIVE — formula (Phase B)</t>
        </is>
      </c>
      <c r="F35" s="13" t="inlineStr">
        <is>
          <t>GEN</t>
        </is>
      </c>
      <c r="G35" s="13" t="n"/>
      <c r="H35" s="13" t="n"/>
      <c r="I35" s="13" t="n"/>
      <c r="J35" s="13" t="n"/>
      <c r="K35" s="13" t="n"/>
      <c r="L35" s="13" t="n"/>
      <c r="M35" s="29" t="n">
        <v>0.035</v>
      </c>
      <c r="N35" s="13" t="n"/>
      <c r="O35" s="13" t="n"/>
      <c r="P35" s="13" t="n"/>
      <c r="Q35" s="13" t="n"/>
      <c r="R35" s="13" t="n"/>
      <c r="S35" s="13" t="n"/>
      <c r="T35" s="28" t="inlineStr">
        <is>
          <t>NE DOR Circular EN (Rev. 11-2025), percentage method Table 7</t>
        </is>
      </c>
      <c r="U35" s="13" t="inlineStr">
        <is>
          <t>2026-10-13</t>
        </is>
      </c>
      <c r="V35" s="28" t="inlineStr">
        <is>
          <t>$2,440 per allowance; withholding-specific rates 2.26%–4.60%; the 1.5%-of-taxable-wages floor is applied in the engine. No narrative example — derived formula check PASS ($147.17/mo).</t>
        </is>
      </c>
      <c r="W35" s="13" t="n"/>
      <c r="X35" s="13" t="n"/>
      <c r="Y35" s="13" t="n"/>
      <c r="Z35" s="13" t="n"/>
      <c r="AA35" s="13" t="n"/>
      <c r="AB35" s="13" t="n"/>
    </row>
    <row r="36">
      <c r="A36" s="13" t="inlineStr">
        <is>
          <t>NH</t>
        </is>
      </c>
      <c r="B36" s="13" t="inlineStr">
        <is>
          <t>New Hampshire</t>
        </is>
      </c>
      <c r="C36" s="13" t="inlineStr">
        <is>
          <t>— (no income tax)</t>
        </is>
      </c>
      <c r="D36" s="13" t="inlineStr">
        <is>
          <t>None</t>
        </is>
      </c>
      <c r="E36" s="13" t="inlineStr">
        <is>
          <t>LIVE — $0 (no wage income tax)</t>
        </is>
      </c>
      <c r="F36" s="13" t="inlineStr">
        <is>
          <t>None</t>
        </is>
      </c>
      <c r="G36" s="13" t="n"/>
      <c r="H36" s="13" t="n"/>
      <c r="I36" s="13" t="n"/>
      <c r="J36" s="13" t="n"/>
      <c r="K36" s="13" t="n"/>
      <c r="L36" s="13" t="n"/>
      <c r="M36" s="13" t="n"/>
      <c r="N36" s="13" t="n"/>
      <c r="O36" s="13" t="n"/>
      <c r="P36" s="13" t="n"/>
      <c r="Q36" s="13" t="n"/>
      <c r="R36" s="13" t="n"/>
      <c r="S36" s="13" t="n"/>
      <c r="T36" s="28" t="inlineStr">
        <is>
          <t>State law — no wage income tax (regional research files, planner-build/states-*.md)</t>
        </is>
      </c>
      <c r="U36" s="13" t="inlineStr">
        <is>
          <t>2026-10-13</t>
        </is>
      </c>
      <c r="V36" s="28" t="inlineStr">
        <is>
          <t>Employee-paid programs at left still apply where listed.</t>
        </is>
      </c>
      <c r="W36" s="13" t="n"/>
      <c r="X36" s="13" t="n"/>
      <c r="Y36" s="13" t="n"/>
      <c r="Z36" s="13" t="n"/>
      <c r="AA36" s="13" t="n"/>
      <c r="AB36" s="13" t="n"/>
    </row>
    <row r="37">
      <c r="A37" s="13" t="inlineStr">
        <is>
          <t>NJ</t>
        </is>
      </c>
      <c r="B37" s="13" t="inlineStr">
        <is>
          <t>New Jersey</t>
        </is>
      </c>
      <c r="C37" s="13" t="inlineStr">
        <is>
          <t>Form NJ-W4</t>
        </is>
      </c>
      <c r="D37" s="13" t="inlineStr">
        <is>
          <t>Graduated</t>
        </is>
      </c>
      <c r="E37" s="13" t="inlineStr">
        <is>
          <t>LIVE — formula (Phase B)</t>
        </is>
      </c>
      <c r="F37" s="13" t="inlineStr">
        <is>
          <t>GEN</t>
        </is>
      </c>
      <c r="G37" s="13" t="n"/>
      <c r="H37" s="13" t="n"/>
      <c r="I37" s="13" t="n"/>
      <c r="J37" s="13" t="n"/>
      <c r="K37" s="13" t="n"/>
      <c r="L37" s="13" t="n"/>
      <c r="M37" s="13" t="n"/>
      <c r="N37" s="13" t="inlineStr">
        <is>
          <t>NJ Temporary Disability (TDI)</t>
        </is>
      </c>
      <c r="O37" s="27" t="n">
        <v>0.0019</v>
      </c>
      <c r="P37" s="16" t="n">
        <v>171100</v>
      </c>
      <c r="Q37" s="13" t="inlineStr">
        <is>
          <t>NJ Family Leave Insurance (FLI)</t>
        </is>
      </c>
      <c r="R37" s="27" t="n">
        <v>0.0023</v>
      </c>
      <c r="S37" s="16" t="n">
        <v>171100</v>
      </c>
      <c r="T37" s="28" t="inlineStr">
        <is>
          <t>NJ Division of Taxation, NJ-WT (Sept 2025 ed.) + Withholding Rate Tables (post-10/1/2020)</t>
        </is>
      </c>
      <c r="U37" s="13" t="inlineStr">
        <is>
          <t>2026-10-13</t>
        </is>
      </c>
      <c r="V37" s="28" t="inlineStr">
        <is>
          <t>Rate tables A–E; $1,000 per exemption. Select your table letter (row 77) from your NJ-W4 — the status-to-letter mapping is printed on the NJ-W4 and was not transcribed in the research. One-offs paid separately use the tables WITHOUT exemptions. QA: NJ-WT's percentage-method examples are image-only in the PDF — not extractable; tables transcribed from the official rate-table publication.</t>
        </is>
      </c>
      <c r="W37" s="13" t="n"/>
      <c r="X37" s="13" t="inlineStr">
        <is>
          <t>rate</t>
        </is>
      </c>
      <c r="Y37" s="13" t="n"/>
      <c r="Z37" s="13" t="n"/>
      <c r="AA37" s="13" t="inlineStr">
        <is>
          <t>rate</t>
        </is>
      </c>
      <c r="AB37" s="13" t="n"/>
    </row>
    <row r="38">
      <c r="A38" s="13" t="inlineStr">
        <is>
          <t>NM</t>
        </is>
      </c>
      <c r="B38" s="13" t="inlineStr">
        <is>
          <t>New Mexico</t>
        </is>
      </c>
      <c r="C38" s="13" t="inlineStr">
        <is>
          <t>Federal W-4 (NM copy)</t>
        </is>
      </c>
      <c r="D38" s="13" t="inlineStr">
        <is>
          <t>Graduated</t>
        </is>
      </c>
      <c r="E38" s="13" t="inlineStr">
        <is>
          <t>MANUAL ENTRY — see Notes</t>
        </is>
      </c>
      <c r="F38" s="13" t="inlineStr">
        <is>
          <t>—</t>
        </is>
      </c>
      <c r="G38" s="13" t="n"/>
      <c r="H38" s="13" t="n"/>
      <c r="I38" s="13" t="n"/>
      <c r="J38" s="13" t="n"/>
      <c r="K38" s="13" t="n"/>
      <c r="L38" s="13" t="n"/>
      <c r="M38" s="29" t="n">
        <v>0.059</v>
      </c>
      <c r="N38" s="13" t="inlineStr">
        <is>
          <t>NM Workers' Comp fee (employee share)</t>
        </is>
      </c>
      <c r="O38" s="13" t="n"/>
      <c r="P38" s="13" t="n"/>
      <c r="Q38" s="13" t="n"/>
      <c r="R38" s="13" t="n"/>
      <c r="S38" s="13" t="n"/>
      <c r="T38" s="28" t="inlineStr">
        <is>
          <t>NM TRD FYI-104 (Rev. 11/2025), Withholding Tax</t>
        </is>
      </c>
      <c r="U38" s="13" t="inlineStr">
        <is>
          <t>2026-10-13</t>
        </is>
      </c>
      <c r="V38" s="28" t="inlineStr">
        <is>
          <t>MANUAL — integrity rule: FYI-104's stated annual rate order (1.5/3.2/4.3/4.7/4.9/5.9%) contradicts its own published worked example (married, weekly $1,000 + $20 extra -&gt; $41.80; the table portion implies different band rates), and the upper bands cannot be determined unambiguously from the research. The verified supplemental rate (5.9%) and the workers-comp fee (program at left, live) are unaffected.</t>
        </is>
      </c>
      <c r="W38" s="13" t="n"/>
      <c r="X38" s="13" t="inlineStr">
        <is>
          <t>flatq</t>
        </is>
      </c>
      <c r="Y38" s="16" t="n">
        <v>2.25</v>
      </c>
      <c r="Z38" s="13" t="n"/>
      <c r="AA38" s="13" t="n"/>
      <c r="AB38" s="13" t="n"/>
    </row>
    <row r="39">
      <c r="A39" s="13" t="inlineStr">
        <is>
          <t>NV</t>
        </is>
      </c>
      <c r="B39" s="13" t="inlineStr">
        <is>
          <t>Nevada</t>
        </is>
      </c>
      <c r="C39" s="13" t="inlineStr">
        <is>
          <t>— (no income tax)</t>
        </is>
      </c>
      <c r="D39" s="13" t="inlineStr">
        <is>
          <t>None</t>
        </is>
      </c>
      <c r="E39" s="13" t="inlineStr">
        <is>
          <t>LIVE — $0 (no wage income tax)</t>
        </is>
      </c>
      <c r="F39" s="13" t="inlineStr">
        <is>
          <t>None</t>
        </is>
      </c>
      <c r="G39" s="13" t="n"/>
      <c r="H39" s="13" t="n"/>
      <c r="I39" s="13" t="n"/>
      <c r="J39" s="13" t="n"/>
      <c r="K39" s="13" t="n"/>
      <c r="L39" s="13" t="n"/>
      <c r="M39" s="13" t="n"/>
      <c r="N39" s="13" t="n"/>
      <c r="O39" s="13" t="n"/>
      <c r="P39" s="13" t="n"/>
      <c r="Q39" s="13" t="n"/>
      <c r="R39" s="13" t="n"/>
      <c r="S39" s="13" t="n"/>
      <c r="T39" s="28" t="inlineStr">
        <is>
          <t>State law — no wage income tax (regional research files, planner-build/states-*.md)</t>
        </is>
      </c>
      <c r="U39" s="13" t="inlineStr">
        <is>
          <t>2026-10-13</t>
        </is>
      </c>
      <c r="V39" s="28" t="inlineStr">
        <is>
          <t>Employee-paid programs at left still apply where listed.</t>
        </is>
      </c>
      <c r="W39" s="13" t="n"/>
      <c r="X39" s="13" t="n"/>
      <c r="Y39" s="13" t="n"/>
      <c r="Z39" s="13" t="n"/>
      <c r="AA39" s="13" t="n"/>
      <c r="AB39" s="13" t="n"/>
    </row>
    <row r="40">
      <c r="A40" s="13" t="inlineStr">
        <is>
          <t>NY</t>
        </is>
      </c>
      <c r="B40" s="13" t="inlineStr">
        <is>
          <t>New York</t>
        </is>
      </c>
      <c r="C40" s="13" t="inlineStr">
        <is>
          <t>Form IT-2104</t>
        </is>
      </c>
      <c r="D40" s="13" t="inlineStr">
        <is>
          <t>Graduated</t>
        </is>
      </c>
      <c r="E40" s="13" t="inlineStr">
        <is>
          <t>LIVE — formula (Phase B)</t>
        </is>
      </c>
      <c r="F40" s="13" t="inlineStr">
        <is>
          <t>GEN</t>
        </is>
      </c>
      <c r="G40" s="13" t="n"/>
      <c r="H40" s="13" t="n"/>
      <c r="I40" s="13" t="n"/>
      <c r="J40" s="13" t="n"/>
      <c r="K40" s="13" t="n"/>
      <c r="L40" s="13" t="n"/>
      <c r="M40" s="29" t="n">
        <v>0.117</v>
      </c>
      <c r="N40" s="13" t="inlineStr">
        <is>
          <t>NY Paid Family Leave (PFL)</t>
        </is>
      </c>
      <c r="O40" s="27" t="n">
        <v>0.00432</v>
      </c>
      <c r="P40" s="16" t="n">
        <v>95349.07000000001</v>
      </c>
      <c r="Q40" s="13" t="inlineStr">
        <is>
          <t>NY Disability (DBL, employee max)</t>
        </is>
      </c>
      <c r="R40" s="27" t="n">
        <v>0.005</v>
      </c>
      <c r="S40" s="13" t="n"/>
      <c r="T40" s="28" t="inlineStr">
        <is>
          <t>NY Tax Dept NYS-50-T-NYS / -NYC / -Y (1/26), Method II exact calculation</t>
        </is>
      </c>
      <c r="U40" s="13" t="inlineStr">
        <is>
          <t>2026-10-13</t>
        </is>
      </c>
      <c r="V40" s="28" t="inlineStr">
        <is>
          <t>Table A allowance $7,400 single / $7,950 married + $1,000/exemption; Method III top rates apply at $1,077,550+ single / $2,155,350+ married (built into the schedule). NYC and Yonkers compute on the Local line (rows 78–79). The engine includes the Method II tables' printed bracket-base amounts, which are rounded in the publication and differ from pure rate accumulation by up to ~$4.29/yr (band adjustments in the formula). QA: monthly examples PASS (within $0.01); weekly examples −$0.02/−$0.03 — the published examples use Method I per-period tables, whose rounding differs from annualized Method II by design.</t>
        </is>
      </c>
      <c r="W40" s="16" t="n">
        <v>411.91</v>
      </c>
      <c r="X40" s="13" t="inlineStr">
        <is>
          <t>rate</t>
        </is>
      </c>
      <c r="Y40" s="13" t="n"/>
      <c r="Z40" s="13" t="n"/>
      <c r="AA40" s="13" t="inlineStr">
        <is>
          <t>dbl</t>
        </is>
      </c>
      <c r="AB40" s="13" t="n"/>
    </row>
    <row r="41">
      <c r="A41" s="13" t="inlineStr">
        <is>
          <t>OH</t>
        </is>
      </c>
      <c r="B41" s="13" t="inlineStr">
        <is>
          <t>Ohio</t>
        </is>
      </c>
      <c r="C41" s="13" t="inlineStr">
        <is>
          <t>Form IT 4</t>
        </is>
      </c>
      <c r="D41" s="13" t="inlineStr">
        <is>
          <t>Graduated</t>
        </is>
      </c>
      <c r="E41" s="13" t="inlineStr">
        <is>
          <t>LIVE — formula (Phase B)</t>
        </is>
      </c>
      <c r="F41" s="13" t="inlineStr">
        <is>
          <t>GEN</t>
        </is>
      </c>
      <c r="G41" s="13" t="n"/>
      <c r="H41" s="13" t="n"/>
      <c r="I41" s="13" t="n"/>
      <c r="J41" s="13" t="n"/>
      <c r="K41" s="13" t="n"/>
      <c r="L41" s="13" t="n"/>
      <c r="M41" s="29" t="n">
        <v>0.0275</v>
      </c>
      <c r="N41" s="13" t="n"/>
      <c r="O41" s="13" t="n"/>
      <c r="P41" s="13" t="n"/>
      <c r="Q41" s="13" t="n"/>
      <c r="R41" s="13" t="n"/>
      <c r="S41" s="13" t="n"/>
      <c r="T41" s="28" t="inlineStr">
        <is>
          <t>ODT Optional Computer Formula (Rev. 09/25; Rev. 07/26 eff. 8/1/2026); OAC 5703-7-10</t>
        </is>
      </c>
      <c r="U41" s="13" t="inlineStr">
        <is>
          <t>2026-10-13</t>
        </is>
      </c>
      <c r="V41" s="28" t="inlineStr">
        <is>
          <t>Period-aware: pay dates Jan 1–Jul 31, 2026 use 1.775%/2.99%/3.64%; Aug 1+ use 1.6%/2.99%/3.4% (thresholds $26,050/$100,000; $650/exemption). Municipal &amp; school-district taxes via Inputs row 81/27. No official worked example — derived formula check PASS ($34.92).</t>
        </is>
      </c>
      <c r="W41" s="13" t="n"/>
      <c r="X41" s="13" t="n"/>
      <c r="Y41" s="13" t="n"/>
      <c r="Z41" s="13" t="n"/>
      <c r="AA41" s="13" t="n"/>
      <c r="AB41" s="13" t="n"/>
    </row>
    <row r="42">
      <c r="A42" s="13" t="inlineStr">
        <is>
          <t>OK</t>
        </is>
      </c>
      <c r="B42" s="13" t="inlineStr">
        <is>
          <t>Oklahoma</t>
        </is>
      </c>
      <c r="C42" s="13" t="inlineStr">
        <is>
          <t>Form OK-W-4</t>
        </is>
      </c>
      <c r="D42" s="13" t="inlineStr">
        <is>
          <t>Graduated</t>
        </is>
      </c>
      <c r="E42" s="13" t="inlineStr">
        <is>
          <t>LIVE — formula (Phase B)</t>
        </is>
      </c>
      <c r="F42" s="13" t="inlineStr">
        <is>
          <t>GEN</t>
        </is>
      </c>
      <c r="G42" s="13" t="n"/>
      <c r="H42" s="13" t="n"/>
      <c r="I42" s="13" t="n"/>
      <c r="J42" s="13" t="n"/>
      <c r="K42" s="13" t="n"/>
      <c r="L42" s="13" t="n"/>
      <c r="M42" s="29" t="n">
        <v>0.045</v>
      </c>
      <c r="N42" s="13" t="n"/>
      <c r="O42" s="13" t="n"/>
      <c r="P42" s="13" t="n"/>
      <c r="Q42" s="13" t="n"/>
      <c r="R42" s="13" t="n"/>
      <c r="S42" s="13" t="n"/>
      <c r="T42" s="28" t="inlineStr">
        <is>
          <t>OK Tax Commission Packet OW-2 (2026), Percentage Formula Method (Table 7 annualized)</t>
        </is>
      </c>
      <c r="U42" s="13" t="inlineStr">
        <is>
          <t>2026-10-13</t>
        </is>
      </c>
      <c r="V42" s="28" t="inlineStr">
        <is>
          <t>$1,000 per allowance; zero bracket $10,100 single / $20,200 married (standard deduction embedded in thresholds). Results rounded to cents (packet rounds to whole dollars). QA: OW-2 sample computation PASS (−$0.33 rounding; the packet's prose '$12.19' is a misprint for its table's $9.10 base).</t>
        </is>
      </c>
      <c r="W42" s="13" t="n"/>
      <c r="X42" s="13" t="n"/>
      <c r="Y42" s="13" t="n"/>
      <c r="Z42" s="13" t="n"/>
      <c r="AA42" s="13" t="n"/>
      <c r="AB42" s="13" t="n"/>
    </row>
    <row r="43">
      <c r="A43" s="13" t="inlineStr">
        <is>
          <t>OR</t>
        </is>
      </c>
      <c r="B43" s="13" t="inlineStr">
        <is>
          <t>Oregon</t>
        </is>
      </c>
      <c r="C43" s="13" t="inlineStr">
        <is>
          <t>Form OR-W-4</t>
        </is>
      </c>
      <c r="D43" s="13" t="inlineStr">
        <is>
          <t>Graduated</t>
        </is>
      </c>
      <c r="E43" s="13" t="inlineStr">
        <is>
          <t>LIVE — formula (Phase B)</t>
        </is>
      </c>
      <c r="F43" s="13" t="inlineStr">
        <is>
          <t>DIR</t>
        </is>
      </c>
      <c r="G43" s="13" t="n"/>
      <c r="H43" s="13" t="n"/>
      <c r="I43" s="13" t="n"/>
      <c r="J43" s="13" t="n"/>
      <c r="K43" s="13" t="n"/>
      <c r="L43" s="13" t="n"/>
      <c r="M43" s="29" t="n">
        <v>0.08</v>
      </c>
      <c r="N43" s="13" t="inlineStr">
        <is>
          <t>Paid Leave Oregon (employee share)</t>
        </is>
      </c>
      <c r="O43" s="27" t="n">
        <v>0.006</v>
      </c>
      <c r="P43" s="16" t="n">
        <v>184500</v>
      </c>
      <c r="Q43" s="13" t="inlineStr">
        <is>
          <t>OR statewide transit tax</t>
        </is>
      </c>
      <c r="R43" s="27" t="n">
        <v>0.001</v>
      </c>
      <c r="S43" s="13" t="n"/>
      <c r="T43" s="28" t="inlineStr">
        <is>
          <t>OR DOR Pub. 150-206-436, Withholding Tax Formulas (Rev. 12-11-25), eff. 1/1/2026</t>
        </is>
      </c>
      <c r="U43" s="13" t="inlineStr">
        <is>
          <t>2026-10-13</t>
        </is>
      </c>
      <c r="V43" s="28" t="inlineStr">
        <is>
          <t>BASE = wages − federal withholding (capped $8,750, phased out at high wages) − standard deduction ($2,910 S / $5,820 M; single with 3+ allowances uses the married formula); minus $263 per allowance after the brackets; allowances forced to 0 over $100K (S) / $200K (M) wages. High-BASE (&gt;$125K/$250K) bracket constants were partly illegible in the research — the 8.75%/9.9% split at those floors is verified, intermediate constants are not; treat very-high-income OR results with care. QA: Examples 1–2 verified arithmetically (booklet's federal WH is an exogenous input).</t>
        </is>
      </c>
      <c r="W43" s="13" t="n"/>
      <c r="X43" s="13" t="inlineStr">
        <is>
          <t>rate</t>
        </is>
      </c>
      <c r="Y43" s="13" t="n"/>
      <c r="Z43" s="13" t="n"/>
      <c r="AA43" s="13" t="inlineStr">
        <is>
          <t>rate</t>
        </is>
      </c>
      <c r="AB43" s="13" t="n"/>
    </row>
    <row r="44">
      <c r="A44" s="13" t="inlineStr">
        <is>
          <t>PA</t>
        </is>
      </c>
      <c r="B44" s="13" t="inlineStr">
        <is>
          <t>Pennsylvania</t>
        </is>
      </c>
      <c r="C44" s="13" t="inlineStr">
        <is>
          <t>Federal W-4 (no state form)</t>
        </is>
      </c>
      <c r="D44" s="13" t="inlineStr">
        <is>
          <t>Flat</t>
        </is>
      </c>
      <c r="E44" s="13" t="inlineStr">
        <is>
          <t>LIVE — formula (Phase B)</t>
        </is>
      </c>
      <c r="F44" s="13" t="inlineStr">
        <is>
          <t>DIR</t>
        </is>
      </c>
      <c r="G44" s="13" t="n"/>
      <c r="H44" s="13" t="n"/>
      <c r="I44" s="13" t="n"/>
      <c r="J44" s="13" t="n"/>
      <c r="K44" s="13" t="n"/>
      <c r="L44" s="13" t="n"/>
      <c r="M44" s="13" t="n"/>
      <c r="N44" s="13" t="n"/>
      <c r="O44" s="13" t="n"/>
      <c r="P44" s="13" t="n"/>
      <c r="Q44" s="13" t="n"/>
      <c r="R44" s="13" t="n"/>
      <c r="S44" s="13" t="n"/>
      <c r="T44" s="28" t="inlineStr">
        <is>
          <t>PA DOR REV-415, Employer's Guide to Withholding PA Personal Income Tax</t>
        </is>
      </c>
      <c r="U44" s="13" t="inlineStr">
        <is>
          <t>2026-10-13</t>
        </is>
      </c>
      <c r="V44" s="28" t="inlineStr">
        <is>
          <t>Flat 3.07% on PA-taxable compensation — PA does NOT exclude pre-tax 401(k) deferrals, so the engine adds them back for PA, and PA does not conform to HSAs either: payroll HSA contributions are added back as well (the Levers tab prices this). Philadelphia computes on the Local line (row 80); other Act 32 EIT via row 81. PA employee UC (historically 0.07%) is NOT modeled — the 2026 rate was unverified.</t>
        </is>
      </c>
      <c r="W44" s="13" t="n"/>
      <c r="X44" s="13" t="n"/>
      <c r="Y44" s="13" t="n"/>
      <c r="Z44" s="13" t="n"/>
      <c r="AA44" s="13" t="n"/>
      <c r="AB44" s="13" t="n"/>
    </row>
    <row r="45">
      <c r="A45" s="13" t="inlineStr">
        <is>
          <t>RI</t>
        </is>
      </c>
      <c r="B45" s="13" t="inlineStr">
        <is>
          <t>Rhode Island</t>
        </is>
      </c>
      <c r="C45" s="13" t="inlineStr">
        <is>
          <t>Form RI W-4</t>
        </is>
      </c>
      <c r="D45" s="13" t="inlineStr">
        <is>
          <t>Graduated</t>
        </is>
      </c>
      <c r="E45" s="13" t="inlineStr">
        <is>
          <t>LIVE — formula (Phase B)</t>
        </is>
      </c>
      <c r="F45" s="13" t="inlineStr">
        <is>
          <t>GEN</t>
        </is>
      </c>
      <c r="G45" s="13" t="n"/>
      <c r="H45" s="13" t="n"/>
      <c r="I45" s="13" t="n"/>
      <c r="J45" s="13" t="n"/>
      <c r="K45" s="13" t="n"/>
      <c r="L45" s="13" t="n"/>
      <c r="M45" s="13" t="n"/>
      <c r="N45" s="13" t="inlineStr">
        <is>
          <t>RI Temporary Disability (TDI)</t>
        </is>
      </c>
      <c r="O45" s="27" t="n">
        <v>0.011</v>
      </c>
      <c r="P45" s="16" t="n">
        <v>100000</v>
      </c>
      <c r="Q45" s="13" t="n"/>
      <c r="R45" s="13" t="n"/>
      <c r="S45" s="13" t="n"/>
      <c r="T45" s="28" t="inlineStr">
        <is>
          <t>RI Division of Taxation, 2026 Withholding Tables booklet (percentage method); RI DLT (TDI)</t>
        </is>
      </c>
      <c r="U45" s="13" t="inlineStr">
        <is>
          <t>2026-10-13</t>
        </is>
      </c>
      <c r="V45" s="28" t="inlineStr">
        <is>
          <t>Brackets 3.75/4.75/5.99% (floors $82,050/$186,450, all statuses) on wages minus $1,000 per exemption. The exemption phase-out above $290,800 of wages is secondary-sourced only and is NOT modeled (flagged). Supplemental rate UNVERIFIED — one-offs aggregate. No extractable worked example.</t>
        </is>
      </c>
      <c r="W45" s="13" t="n"/>
      <c r="X45" s="13" t="inlineStr">
        <is>
          <t>rate</t>
        </is>
      </c>
      <c r="Y45" s="13" t="n"/>
      <c r="Z45" s="13" t="n"/>
      <c r="AA45" s="13" t="n"/>
      <c r="AB45" s="13" t="n"/>
    </row>
    <row r="46">
      <c r="A46" s="13" t="inlineStr">
        <is>
          <t>SC</t>
        </is>
      </c>
      <c r="B46" s="13" t="inlineStr">
        <is>
          <t>South Carolina</t>
        </is>
      </c>
      <c r="C46" s="13" t="inlineStr">
        <is>
          <t>Form SC W-4</t>
        </is>
      </c>
      <c r="D46" s="13" t="inlineStr">
        <is>
          <t>Graduated</t>
        </is>
      </c>
      <c r="E46" s="13" t="inlineStr">
        <is>
          <t>LIVE — formula (Phase B)</t>
        </is>
      </c>
      <c r="F46" s="13" t="inlineStr">
        <is>
          <t>GEN</t>
        </is>
      </c>
      <c r="G46" s="13" t="n"/>
      <c r="H46" s="13" t="n"/>
      <c r="I46" s="13" t="n"/>
      <c r="J46" s="13" t="n"/>
      <c r="K46" s="13" t="n"/>
      <c r="L46" s="13" t="n"/>
      <c r="M46" s="13" t="n"/>
      <c r="N46" s="13" t="n"/>
      <c r="O46" s="13" t="n"/>
      <c r="P46" s="13" t="n"/>
      <c r="Q46" s="13" t="n"/>
      <c r="R46" s="13" t="n"/>
      <c r="S46" s="13" t="n"/>
      <c r="T46" s="28" t="inlineStr">
        <is>
          <t>SCDOR Form WH-1603F (Rev. 11/4/25), Formula for Computing SC Withholding</t>
        </is>
      </c>
      <c r="U46" s="13" t="inlineStr">
        <is>
          <t>2026-10-13</t>
        </is>
      </c>
      <c r="V46" s="28" t="inlineStr">
        <is>
          <t>$5,000 per allowance; standard deduction = 10% of wages capped at $7,500 ($0 with zero allowances). QA: WH-1603F example PASS (exact, $10.58/wk).</t>
        </is>
      </c>
      <c r="W46" s="13" t="n"/>
      <c r="X46" s="13" t="n"/>
      <c r="Y46" s="13" t="n"/>
      <c r="Z46" s="13" t="n"/>
      <c r="AA46" s="13" t="n"/>
      <c r="AB46" s="13" t="n"/>
    </row>
    <row r="47">
      <c r="A47" s="13" t="inlineStr">
        <is>
          <t>SD</t>
        </is>
      </c>
      <c r="B47" s="13" t="inlineStr">
        <is>
          <t>South Dakota</t>
        </is>
      </c>
      <c r="C47" s="13" t="inlineStr">
        <is>
          <t>— (no income tax)</t>
        </is>
      </c>
      <c r="D47" s="13" t="inlineStr">
        <is>
          <t>None</t>
        </is>
      </c>
      <c r="E47" s="13" t="inlineStr">
        <is>
          <t>LIVE — $0 (no wage income tax)</t>
        </is>
      </c>
      <c r="F47" s="13" t="inlineStr">
        <is>
          <t>None</t>
        </is>
      </c>
      <c r="G47" s="13" t="n"/>
      <c r="H47" s="13" t="n"/>
      <c r="I47" s="13" t="n"/>
      <c r="J47" s="13" t="n"/>
      <c r="K47" s="13" t="n"/>
      <c r="L47" s="13" t="n"/>
      <c r="M47" s="13" t="n"/>
      <c r="N47" s="13" t="n"/>
      <c r="O47" s="13" t="n"/>
      <c r="P47" s="13" t="n"/>
      <c r="Q47" s="13" t="n"/>
      <c r="R47" s="13" t="n"/>
      <c r="S47" s="13" t="n"/>
      <c r="T47" s="28" t="inlineStr">
        <is>
          <t>State law — no wage income tax (regional research files, planner-build/states-*.md)</t>
        </is>
      </c>
      <c r="U47" s="13" t="inlineStr">
        <is>
          <t>2026-10-13</t>
        </is>
      </c>
      <c r="V47" s="28" t="inlineStr">
        <is>
          <t>Employee-paid programs at left still apply where listed.</t>
        </is>
      </c>
      <c r="W47" s="13" t="n"/>
      <c r="X47" s="13" t="n"/>
      <c r="Y47" s="13" t="n"/>
      <c r="Z47" s="13" t="n"/>
      <c r="AA47" s="13" t="n"/>
      <c r="AB47" s="13" t="n"/>
    </row>
    <row r="48">
      <c r="A48" s="13" t="inlineStr">
        <is>
          <t>TN</t>
        </is>
      </c>
      <c r="B48" s="13" t="inlineStr">
        <is>
          <t>Tennessee</t>
        </is>
      </c>
      <c r="C48" s="13" t="inlineStr">
        <is>
          <t>— (no income tax)</t>
        </is>
      </c>
      <c r="D48" s="13" t="inlineStr">
        <is>
          <t>None</t>
        </is>
      </c>
      <c r="E48" s="13" t="inlineStr">
        <is>
          <t>LIVE — $0 (no wage income tax)</t>
        </is>
      </c>
      <c r="F48" s="13" t="inlineStr">
        <is>
          <t>None</t>
        </is>
      </c>
      <c r="G48" s="13" t="n"/>
      <c r="H48" s="13" t="n"/>
      <c r="I48" s="13" t="n"/>
      <c r="J48" s="13" t="n"/>
      <c r="K48" s="13" t="n"/>
      <c r="L48" s="13" t="n"/>
      <c r="M48" s="13" t="n"/>
      <c r="N48" s="13" t="n"/>
      <c r="O48" s="13" t="n"/>
      <c r="P48" s="13" t="n"/>
      <c r="Q48" s="13" t="n"/>
      <c r="R48" s="13" t="n"/>
      <c r="S48" s="13" t="n"/>
      <c r="T48" s="28" t="inlineStr">
        <is>
          <t>State law — no wage income tax (regional research files, planner-build/states-*.md)</t>
        </is>
      </c>
      <c r="U48" s="13" t="inlineStr">
        <is>
          <t>2026-10-13</t>
        </is>
      </c>
      <c r="V48" s="28" t="inlineStr">
        <is>
          <t>Employee-paid programs at left still apply where listed.</t>
        </is>
      </c>
      <c r="W48" s="13" t="n"/>
      <c r="X48" s="13" t="n"/>
      <c r="Y48" s="13" t="n"/>
      <c r="Z48" s="13" t="n"/>
      <c r="AA48" s="13" t="n"/>
      <c r="AB48" s="13" t="n"/>
    </row>
    <row r="49">
      <c r="A49" s="13" t="inlineStr">
        <is>
          <t>TX</t>
        </is>
      </c>
      <c r="B49" s="13" t="inlineStr">
        <is>
          <t>Texas</t>
        </is>
      </c>
      <c r="C49" s="13" t="inlineStr">
        <is>
          <t>— (no income tax)</t>
        </is>
      </c>
      <c r="D49" s="13" t="inlineStr">
        <is>
          <t>None</t>
        </is>
      </c>
      <c r="E49" s="13" t="inlineStr">
        <is>
          <t>LIVE — $0 (no wage income tax)</t>
        </is>
      </c>
      <c r="F49" s="13" t="inlineStr">
        <is>
          <t>None</t>
        </is>
      </c>
      <c r="G49" s="13" t="n"/>
      <c r="H49" s="13" t="n"/>
      <c r="I49" s="13" t="n"/>
      <c r="J49" s="13" t="n"/>
      <c r="K49" s="13" t="n"/>
      <c r="L49" s="13" t="n"/>
      <c r="M49" s="13" t="n"/>
      <c r="N49" s="13" t="n"/>
      <c r="O49" s="13" t="n"/>
      <c r="P49" s="13" t="n"/>
      <c r="Q49" s="13" t="n"/>
      <c r="R49" s="13" t="n"/>
      <c r="S49" s="13" t="n"/>
      <c r="T49" s="28" t="inlineStr">
        <is>
          <t>State law — no wage income tax (regional research files, planner-build/states-*.md)</t>
        </is>
      </c>
      <c r="U49" s="13" t="inlineStr">
        <is>
          <t>2026-10-13</t>
        </is>
      </c>
      <c r="V49" s="28" t="inlineStr">
        <is>
          <t>Employee-paid programs at left still apply where listed.</t>
        </is>
      </c>
      <c r="W49" s="13" t="n"/>
      <c r="X49" s="13" t="n"/>
      <c r="Y49" s="13" t="n"/>
      <c r="Z49" s="13" t="n"/>
      <c r="AA49" s="13" t="n"/>
      <c r="AB49" s="13" t="n"/>
    </row>
    <row r="50">
      <c r="A50" s="13" t="inlineStr">
        <is>
          <t>UT</t>
        </is>
      </c>
      <c r="B50" s="13" t="inlineStr">
        <is>
          <t>Utah</t>
        </is>
      </c>
      <c r="C50" s="13" t="inlineStr">
        <is>
          <t>Federal W-4</t>
        </is>
      </c>
      <c r="D50" s="13" t="inlineStr">
        <is>
          <t>Flat</t>
        </is>
      </c>
      <c r="E50" s="13" t="inlineStr">
        <is>
          <t>MANUAL ENTRY — see Notes</t>
        </is>
      </c>
      <c r="F50" s="13" t="inlineStr">
        <is>
          <t>—</t>
        </is>
      </c>
      <c r="G50" s="13" t="n"/>
      <c r="H50" s="13" t="n"/>
      <c r="I50" s="13" t="n"/>
      <c r="J50" s="13" t="n"/>
      <c r="K50" s="13" t="n"/>
      <c r="L50" s="13" t="n"/>
      <c r="M50" s="13" t="n"/>
      <c r="N50" s="13" t="n"/>
      <c r="O50" s="13" t="n"/>
      <c r="P50" s="13" t="n"/>
      <c r="Q50" s="13" t="n"/>
      <c r="R50" s="13" t="n"/>
      <c r="S50" s="13" t="n"/>
      <c r="T50" s="28" t="inlineStr">
        <is>
          <t>UT Tax Commission Publication 14 (last verified edition: Rev. 4/25, 2025 parameters)</t>
        </is>
      </c>
      <c r="U50" s="13" t="inlineStr">
        <is>
          <t>2026-10-13</t>
        </is>
      </c>
      <c r="V50" s="28" t="inlineStr">
        <is>
          <t>MANUAL — integrity rule: the 2026 rate is UNVERIFIED from an official source (last verified: 4.5% with $450/$900 base allowance and 1.3% phase-out; a secondary report claims 4.45% + $485/$970 from 2026-06-01, unconfirmed). Shipping either vintage as '2026' would be a guess.</t>
        </is>
      </c>
      <c r="W50" s="13" t="n"/>
      <c r="X50" s="13" t="n"/>
      <c r="Y50" s="13" t="n"/>
      <c r="Z50" s="13" t="n"/>
      <c r="AA50" s="13" t="n"/>
      <c r="AB50" s="13" t="n"/>
    </row>
    <row r="51">
      <c r="A51" s="13" t="inlineStr">
        <is>
          <t>VA</t>
        </is>
      </c>
      <c r="B51" s="13" t="inlineStr">
        <is>
          <t>Virginia</t>
        </is>
      </c>
      <c r="C51" s="13" t="inlineStr">
        <is>
          <t>Form VA-4</t>
        </is>
      </c>
      <c r="D51" s="13" t="inlineStr">
        <is>
          <t>Graduated</t>
        </is>
      </c>
      <c r="E51" s="13" t="inlineStr">
        <is>
          <t>LIVE — formula (Phase B)</t>
        </is>
      </c>
      <c r="F51" s="13" t="inlineStr">
        <is>
          <t>GEN</t>
        </is>
      </c>
      <c r="G51" s="13" t="n"/>
      <c r="H51" s="13" t="n"/>
      <c r="I51" s="13" t="n"/>
      <c r="J51" s="13" t="n"/>
      <c r="K51" s="13" t="n"/>
      <c r="L51" s="13" t="n"/>
      <c r="M51" s="13" t="n"/>
      <c r="N51" s="13" t="n"/>
      <c r="O51" s="13" t="n"/>
      <c r="P51" s="13" t="n"/>
      <c r="Q51" s="13" t="n"/>
      <c r="R51" s="13" t="n"/>
      <c r="S51" s="13" t="n"/>
      <c r="T51" s="28" t="inlineStr">
        <is>
          <t>Virginia Tax, Employer Withholding Instructions (Rev. 05/25; formula eff. 7/1/2025)</t>
        </is>
      </c>
      <c r="U51" s="13" t="inlineStr">
        <is>
          <t>2026-10-13</t>
        </is>
      </c>
      <c r="V51" s="28" t="inlineStr">
        <is>
          <t>SD $8,750 single / $17,500 MFJ; $930 per exemption (row 23); $800 per age-65/blind exemption (row 24). No official supplemental rate — one-offs aggregate. No narrative example; the research file's derived anchor contains a $2.50 arithmetic slip — the engine follows the verified schedule (bases $60/$120/$720).</t>
        </is>
      </c>
      <c r="W51" s="13" t="n"/>
      <c r="X51" s="13" t="n"/>
      <c r="Y51" s="13" t="n"/>
      <c r="Z51" s="13" t="n"/>
      <c r="AA51" s="13" t="n"/>
      <c r="AB51" s="13" t="n"/>
    </row>
    <row r="52">
      <c r="A52" s="13" t="inlineStr">
        <is>
          <t>VT</t>
        </is>
      </c>
      <c r="B52" s="13" t="inlineStr">
        <is>
          <t>Vermont</t>
        </is>
      </c>
      <c r="C52" s="13" t="inlineStr">
        <is>
          <t>Form W-4VT</t>
        </is>
      </c>
      <c r="D52" s="13" t="inlineStr">
        <is>
          <t>Graduated</t>
        </is>
      </c>
      <c r="E52" s="13" t="inlineStr">
        <is>
          <t>LIVE — formula (Phase B)</t>
        </is>
      </c>
      <c r="F52" s="13" t="inlineStr">
        <is>
          <t>GEN</t>
        </is>
      </c>
      <c r="G52" s="13" t="n"/>
      <c r="H52" s="13" t="n"/>
      <c r="I52" s="13" t="n"/>
      <c r="J52" s="13" t="n"/>
      <c r="K52" s="13" t="n"/>
      <c r="L52" s="13" t="n"/>
      <c r="M52" s="13" t="n"/>
      <c r="N52" s="13" t="n"/>
      <c r="O52" s="13" t="n"/>
      <c r="P52" s="13" t="n"/>
      <c r="Q52" s="13" t="n"/>
      <c r="R52" s="13" t="n"/>
      <c r="S52" s="13" t="n"/>
      <c r="T52" s="28" t="inlineStr">
        <is>
          <t>VT Dept. of Taxes, GB-1210 (2026) Income Tax Withholding Instructions, Tables &amp; Charts</t>
        </is>
      </c>
      <c r="U52" s="13" t="inlineStr">
        <is>
          <t>2026-10-13</t>
        </is>
      </c>
      <c r="V52" s="28" t="inlineStr">
        <is>
          <t>$5,400 per allowance subtracted from wages; Single/Married annual tables. No flat supplemental rate — one-offs aggregate. QA: GB-1210 example PASS (−$0.01, per-period table rounding). VT Child Care Contribution is an employer tax (employee share 0–0.11% at employer election) — not modeled.</t>
        </is>
      </c>
      <c r="W52" s="13" t="n"/>
      <c r="X52" s="13" t="n"/>
      <c r="Y52" s="13" t="n"/>
      <c r="Z52" s="13" t="n"/>
      <c r="AA52" s="13" t="n"/>
      <c r="AB52" s="13" t="n"/>
    </row>
    <row r="53">
      <c r="A53" s="13" t="inlineStr">
        <is>
          <t>WA</t>
        </is>
      </c>
      <c r="B53" s="13" t="inlineStr">
        <is>
          <t>Washington</t>
        </is>
      </c>
      <c r="C53" s="13" t="inlineStr">
        <is>
          <t>— (no income tax)</t>
        </is>
      </c>
      <c r="D53" s="13" t="inlineStr">
        <is>
          <t>None</t>
        </is>
      </c>
      <c r="E53" s="13" t="inlineStr">
        <is>
          <t>LIVE — $0 (no wage income tax)</t>
        </is>
      </c>
      <c r="F53" s="13" t="inlineStr">
        <is>
          <t>None</t>
        </is>
      </c>
      <c r="G53" s="13" t="n"/>
      <c r="H53" s="13" t="n"/>
      <c r="I53" s="13" t="n"/>
      <c r="J53" s="13" t="n"/>
      <c r="K53" s="13" t="n"/>
      <c r="L53" s="13" t="n"/>
      <c r="M53" s="13" t="n"/>
      <c r="N53" s="13" t="inlineStr">
        <is>
          <t>WA Paid Leave (PFML)</t>
        </is>
      </c>
      <c r="O53" s="27" t="n">
        <v>0.008071</v>
      </c>
      <c r="P53" s="16" t="n">
        <v>184500</v>
      </c>
      <c r="Q53" s="13" t="inlineStr">
        <is>
          <t>WA Cares (LTC)</t>
        </is>
      </c>
      <c r="R53" s="27" t="n">
        <v>0.0058</v>
      </c>
      <c r="S53" s="13" t="n"/>
      <c r="T53" s="28" t="inlineStr">
        <is>
          <t>State law — no wage income tax (regional research files, planner-build/states-*.md)</t>
        </is>
      </c>
      <c r="U53" s="13" t="inlineStr">
        <is>
          <t>2026-10-13</t>
        </is>
      </c>
      <c r="V53" s="28" t="inlineStr">
        <is>
          <t>Employee-paid programs at left still apply where listed.</t>
        </is>
      </c>
      <c r="W53" s="13" t="n"/>
      <c r="X53" s="13" t="inlineStr">
        <is>
          <t>rate</t>
        </is>
      </c>
      <c r="Y53" s="13" t="n"/>
      <c r="Z53" s="13" t="n"/>
      <c r="AA53" s="13" t="inlineStr">
        <is>
          <t>rate</t>
        </is>
      </c>
      <c r="AB53" s="13" t="n"/>
    </row>
    <row r="54">
      <c r="A54" s="13" t="inlineStr">
        <is>
          <t>WI</t>
        </is>
      </c>
      <c r="B54" s="13" t="inlineStr">
        <is>
          <t>Wisconsin</t>
        </is>
      </c>
      <c r="C54" s="13" t="inlineStr">
        <is>
          <t>Form WT-4</t>
        </is>
      </c>
      <c r="D54" s="13" t="inlineStr">
        <is>
          <t>Graduated</t>
        </is>
      </c>
      <c r="E54" s="13" t="inlineStr">
        <is>
          <t>LIVE — formula (Phase B)</t>
        </is>
      </c>
      <c r="F54" s="13" t="inlineStr">
        <is>
          <t>GEN</t>
        </is>
      </c>
      <c r="G54" s="13" t="n"/>
      <c r="H54" s="13" t="n"/>
      <c r="I54" s="13" t="n"/>
      <c r="J54" s="13" t="n"/>
      <c r="K54" s="13" t="n"/>
      <c r="L54" s="13" t="n"/>
      <c r="M54" s="13" t="n"/>
      <c r="N54" s="13" t="n"/>
      <c r="O54" s="13" t="n"/>
      <c r="P54" s="13" t="n"/>
      <c r="Q54" s="13" t="n"/>
      <c r="R54" s="13" t="n"/>
      <c r="S54" s="13" t="n"/>
      <c r="T54" s="28" t="inlineStr">
        <is>
          <t>WI DOR Publication W-166 (Jan 2026), Alternate Method pp. 25–26</t>
        </is>
      </c>
      <c r="U54" s="13" t="inlineStr">
        <is>
          <t>2026-10-13</t>
        </is>
      </c>
      <c r="V54" s="28" t="inlineStr">
        <is>
          <t>Sliding standard deduction (Single $6,702 phased at 12% over $17,780; Married $9,461 at 20% over $25,727) and $400 per exemption; withholding schedule 3.54/4.65/5.30/7.65% (NOT the return brackets). HoH uses the Single formula (the alternate method publishes no HoH formula — flagged). One-off flat rate follows your salary band. QA: W-166 Examples 1 &amp; 3 PASS (exact).</t>
        </is>
      </c>
      <c r="W54" s="13" t="n"/>
      <c r="X54" s="13" t="n"/>
      <c r="Y54" s="13" t="n"/>
      <c r="Z54" s="13" t="n"/>
      <c r="AA54" s="13" t="n"/>
      <c r="AB54" s="13" t="n"/>
    </row>
    <row r="55">
      <c r="A55" s="13" t="inlineStr">
        <is>
          <t>WV</t>
        </is>
      </c>
      <c r="B55" s="13" t="inlineStr">
        <is>
          <t>West Virginia</t>
        </is>
      </c>
      <c r="C55" s="13" t="inlineStr">
        <is>
          <t>Form WV/IT-104</t>
        </is>
      </c>
      <c r="D55" s="13" t="inlineStr">
        <is>
          <t>Graduated</t>
        </is>
      </c>
      <c r="E55" s="13" t="inlineStr">
        <is>
          <t>LIVE — formula (Phase B)</t>
        </is>
      </c>
      <c r="F55" s="13" t="inlineStr">
        <is>
          <t>GEN</t>
        </is>
      </c>
      <c r="G55" s="13" t="n"/>
      <c r="H55" s="13" t="n"/>
      <c r="I55" s="13" t="n"/>
      <c r="J55" s="13" t="n"/>
      <c r="K55" s="13" t="n"/>
      <c r="L55" s="13" t="n"/>
      <c r="M55" s="13" t="n"/>
      <c r="N55" s="13" t="n"/>
      <c r="O55" s="13" t="n"/>
      <c r="P55" s="13" t="n"/>
      <c r="Q55" s="13" t="n"/>
      <c r="R55" s="13" t="n"/>
      <c r="S55" s="13" t="n"/>
      <c r="T55" s="28" t="inlineStr">
        <is>
          <t>WV Tax Division Forms IT-100.2A / IT-100.2B (March 2026)</t>
        </is>
      </c>
      <c r="U55" s="13" t="inlineStr">
        <is>
          <t>2026-10-13</t>
        </is>
      </c>
      <c r="V55" s="28" t="inlineStr">
        <is>
          <t>$2,000 per exemption. Table family: 'Married' status uses the two-earner tables; check the WV/IT-104 lower-rate box = select 'Head of household' here to use the one-earner/one-job tables (engine mapping — the one-earner family covers single/HoH too). No separate supplemental rate — bonuses are wages. Municipal city service fees are flat local amounts (row 27) where applicable.</t>
        </is>
      </c>
      <c r="W55" s="13" t="n"/>
      <c r="X55" s="13" t="n"/>
      <c r="Y55" s="13" t="n"/>
      <c r="Z55" s="13" t="n"/>
      <c r="AA55" s="13" t="n"/>
      <c r="AB55" s="13" t="n"/>
    </row>
    <row r="56">
      <c r="A56" s="13" t="inlineStr">
        <is>
          <t>WY</t>
        </is>
      </c>
      <c r="B56" s="13" t="inlineStr">
        <is>
          <t>Wyoming</t>
        </is>
      </c>
      <c r="C56" s="13" t="inlineStr">
        <is>
          <t>— (no income tax)</t>
        </is>
      </c>
      <c r="D56" s="13" t="inlineStr">
        <is>
          <t>None</t>
        </is>
      </c>
      <c r="E56" s="13" t="inlineStr">
        <is>
          <t>LIVE — $0 (no wage income tax)</t>
        </is>
      </c>
      <c r="F56" s="13" t="inlineStr">
        <is>
          <t>None</t>
        </is>
      </c>
      <c r="G56" s="13" t="n"/>
      <c r="H56" s="13" t="n"/>
      <c r="I56" s="13" t="n"/>
      <c r="J56" s="13" t="n"/>
      <c r="K56" s="13" t="n"/>
      <c r="L56" s="13" t="n"/>
      <c r="M56" s="13" t="n"/>
      <c r="N56" s="13" t="n"/>
      <c r="O56" s="13" t="n"/>
      <c r="P56" s="13" t="n"/>
      <c r="Q56" s="13" t="n"/>
      <c r="R56" s="13" t="n"/>
      <c r="S56" s="13" t="n"/>
      <c r="T56" s="28" t="inlineStr">
        <is>
          <t>State law — no wage income tax (regional research files, planner-build/states-*.md)</t>
        </is>
      </c>
      <c r="U56" s="13" t="inlineStr">
        <is>
          <t>2026-10-13</t>
        </is>
      </c>
      <c r="V56" s="28" t="inlineStr">
        <is>
          <t>Employee-paid programs at left still apply where listed.</t>
        </is>
      </c>
      <c r="W56" s="13" t="n"/>
      <c r="X56" s="13" t="n"/>
      <c r="Y56" s="13" t="n"/>
      <c r="Z56" s="13" t="n"/>
      <c r="AA56" s="13" t="n"/>
      <c r="AB56" s="13" t="n"/>
    </row>
  </sheetData>
  <sheetProtection selectLockedCells="0" selectUnlockedCells="0" sheet="1" objects="0" insertRows="1" insertHyperlinks="1" autoFilter="1" scenarios="0" formatColumns="1" deleteColumns="1" insertColumns="1" pivotTables="1" deleteRows="1" formatCells="1" formatRows="1" sort="1"/>
  <mergeCells count="1">
    <mergeCell ref="A2:AB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2026-10-14T15:16:43Z</dcterms:created>
  <dcterms:modified xmlns:dcterms="http://purl.org/dc/terms/" xmlns:xsi="http://www.w3.org/2001/XMLSchema-instance" xsi:type="dcterms:W3CDTF">2026-10-17T00:27:37+00:00Z</dcterms:modified>
</cp:coreProperties>
</file>